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agistrale\M&amp;A\Progetto\"/>
    </mc:Choice>
  </mc:AlternateContent>
  <xr:revisionPtr revIDLastSave="0" documentId="13_ncr:1_{543F5B4B-1500-47B9-9038-D54EC9F7B11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egend" sheetId="23" r:id="rId1"/>
    <sheet name="Estimate" sheetId="20" r:id="rId2"/>
    <sheet name="Analysis" sheetId="15" r:id="rId3"/>
    <sheet name="Ratios" sheetId="22" r:id="rId4"/>
    <sheet name="WACC" sheetId="11" r:id="rId5"/>
    <sheet name="Balance Sheet" sheetId="3" r:id="rId6"/>
    <sheet name="Income Statement" sheetId="2" r:id="rId7"/>
    <sheet name="Segment" sheetId="10" r:id="rId8"/>
    <sheet name="Cash flow" sheetId="5" r:id="rId9"/>
    <sheet name="Key Fin" sheetId="7" r:id="rId10"/>
    <sheet name="Historical prices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20" l="1"/>
  <c r="J59" i="20"/>
  <c r="K59" i="20"/>
  <c r="L59" i="20"/>
  <c r="H59" i="20"/>
  <c r="P16" i="22"/>
  <c r="L60" i="20"/>
  <c r="I14" i="8"/>
  <c r="I12" i="8"/>
  <c r="E10" i="8"/>
  <c r="H55" i="11"/>
  <c r="I55" i="11"/>
  <c r="J55" i="11"/>
  <c r="H54" i="11"/>
  <c r="I54" i="11"/>
  <c r="J54" i="11"/>
  <c r="H53" i="11"/>
  <c r="I53" i="11"/>
  <c r="J53" i="11"/>
  <c r="H52" i="11"/>
  <c r="I52" i="11"/>
  <c r="J52" i="11"/>
  <c r="H51" i="11"/>
  <c r="I51" i="11"/>
  <c r="J51" i="11"/>
  <c r="G52" i="11"/>
  <c r="G53" i="11"/>
  <c r="G54" i="11"/>
  <c r="G55" i="11"/>
  <c r="G51" i="11"/>
  <c r="O6" i="11"/>
  <c r="G67" i="15"/>
  <c r="H67" i="15"/>
  <c r="I67" i="15"/>
  <c r="J67" i="15"/>
  <c r="K67" i="15"/>
  <c r="L67" i="15"/>
  <c r="F67" i="15"/>
  <c r="K52" i="11"/>
  <c r="K53" i="11"/>
  <c r="K54" i="11"/>
  <c r="K55" i="11"/>
  <c r="K51" i="11"/>
  <c r="L66" i="15"/>
  <c r="E64" i="15"/>
  <c r="F30" i="11"/>
  <c r="L12" i="20"/>
  <c r="J35" i="11" l="1"/>
  <c r="J45" i="11" s="1"/>
  <c r="J46" i="11" s="1"/>
  <c r="H66" i="20" s="1"/>
  <c r="J36" i="11" l="1"/>
  <c r="E59" i="15" l="1"/>
  <c r="F58" i="15"/>
  <c r="G58" i="15"/>
  <c r="H58" i="15"/>
  <c r="I58" i="15"/>
  <c r="J58" i="15"/>
  <c r="K58" i="15"/>
  <c r="L58" i="15"/>
  <c r="E58" i="15"/>
  <c r="L47" i="15"/>
  <c r="M11" i="22"/>
  <c r="N11" i="22"/>
  <c r="L11" i="22"/>
  <c r="M10" i="22"/>
  <c r="N10" i="22"/>
  <c r="L10" i="22"/>
  <c r="G13" i="22"/>
  <c r="L7" i="22"/>
  <c r="L8" i="22"/>
  <c r="N8" i="22"/>
  <c r="M8" i="22"/>
  <c r="L6" i="22"/>
  <c r="M75" i="20" l="1"/>
  <c r="N75" i="20" s="1"/>
  <c r="H80" i="20"/>
  <c r="H79" i="20"/>
  <c r="H78" i="20"/>
  <c r="H77" i="20"/>
  <c r="K60" i="20"/>
  <c r="J60" i="20"/>
  <c r="I60" i="20"/>
  <c r="M12" i="20"/>
  <c r="M39" i="20" s="1"/>
  <c r="L39" i="20"/>
  <c r="E6" i="20"/>
  <c r="O12" i="20" l="1"/>
  <c r="O39" i="20" s="1"/>
  <c r="N12" i="20"/>
  <c r="N39" i="20" s="1"/>
  <c r="H5" i="15" l="1"/>
  <c r="K3" i="2"/>
  <c r="D47" i="15" l="1"/>
  <c r="F60" i="15"/>
  <c r="F83" i="15" s="1"/>
  <c r="G60" i="15"/>
  <c r="G83" i="15" s="1"/>
  <c r="H60" i="15"/>
  <c r="H83" i="15" s="1"/>
  <c r="I60" i="15"/>
  <c r="I83" i="15" s="1"/>
  <c r="J60" i="15"/>
  <c r="J83" i="15" s="1"/>
  <c r="K60" i="15"/>
  <c r="K83" i="15" s="1"/>
  <c r="L60" i="15"/>
  <c r="L83" i="15" s="1"/>
  <c r="H13" i="22" s="1"/>
  <c r="E60" i="15"/>
  <c r="F57" i="15"/>
  <c r="G57" i="15"/>
  <c r="H57" i="15"/>
  <c r="I57" i="15"/>
  <c r="J57" i="15"/>
  <c r="K57" i="15"/>
  <c r="L57" i="15"/>
  <c r="F59" i="15"/>
  <c r="G59" i="15"/>
  <c r="H59" i="15"/>
  <c r="I59" i="15"/>
  <c r="J59" i="15"/>
  <c r="K59" i="15"/>
  <c r="K72" i="15" s="1"/>
  <c r="L59" i="15"/>
  <c r="E57" i="15"/>
  <c r="K47" i="15"/>
  <c r="J47" i="15"/>
  <c r="I47" i="15"/>
  <c r="H47" i="15"/>
  <c r="G47" i="15"/>
  <c r="F47" i="15"/>
  <c r="E47" i="15"/>
  <c r="L46" i="15"/>
  <c r="F46" i="15"/>
  <c r="G46" i="15"/>
  <c r="H46" i="15"/>
  <c r="I46" i="15"/>
  <c r="J46" i="15"/>
  <c r="K46" i="15"/>
  <c r="E46" i="15"/>
  <c r="F32" i="15"/>
  <c r="G32" i="15"/>
  <c r="H32" i="15"/>
  <c r="I32" i="15"/>
  <c r="J32" i="15"/>
  <c r="K32" i="15"/>
  <c r="L32" i="15"/>
  <c r="E32" i="15"/>
  <c r="F27" i="15"/>
  <c r="G27" i="15"/>
  <c r="H27" i="15"/>
  <c r="I27" i="15"/>
  <c r="J27" i="15"/>
  <c r="K27" i="15"/>
  <c r="L27" i="15"/>
  <c r="E27" i="15"/>
  <c r="F26" i="15"/>
  <c r="G26" i="15"/>
  <c r="H26" i="15"/>
  <c r="I26" i="15"/>
  <c r="J26" i="15"/>
  <c r="K26" i="15"/>
  <c r="L26" i="15"/>
  <c r="E26" i="15"/>
  <c r="F25" i="15"/>
  <c r="G25" i="15"/>
  <c r="H25" i="15"/>
  <c r="I25" i="15"/>
  <c r="J25" i="15"/>
  <c r="K25" i="15"/>
  <c r="L25" i="15"/>
  <c r="E25" i="15"/>
  <c r="F20" i="15"/>
  <c r="F45" i="15" s="1"/>
  <c r="G20" i="15"/>
  <c r="G45" i="15" s="1"/>
  <c r="H20" i="15"/>
  <c r="H45" i="15" s="1"/>
  <c r="I20" i="15"/>
  <c r="J20" i="15"/>
  <c r="I26" i="20" s="1"/>
  <c r="K20" i="15"/>
  <c r="L20" i="15"/>
  <c r="E20" i="15"/>
  <c r="E45" i="15" s="1"/>
  <c r="F15" i="15"/>
  <c r="G15" i="15"/>
  <c r="H15" i="15"/>
  <c r="I15" i="15"/>
  <c r="J15" i="15"/>
  <c r="K15" i="15"/>
  <c r="L15" i="15"/>
  <c r="E15" i="15"/>
  <c r="F14" i="15"/>
  <c r="G14" i="15"/>
  <c r="H14" i="15"/>
  <c r="I14" i="15"/>
  <c r="H19" i="20" s="1"/>
  <c r="J14" i="15"/>
  <c r="I19" i="20" s="1"/>
  <c r="K14" i="15"/>
  <c r="J19" i="20" s="1"/>
  <c r="L14" i="15"/>
  <c r="K19" i="20" s="1"/>
  <c r="E14" i="15"/>
  <c r="F7" i="15"/>
  <c r="G7" i="15"/>
  <c r="H7" i="15"/>
  <c r="I7" i="15"/>
  <c r="J7" i="15"/>
  <c r="K7" i="15"/>
  <c r="L7" i="15"/>
  <c r="E7" i="15"/>
  <c r="F5" i="15"/>
  <c r="F52" i="15" s="1"/>
  <c r="G5" i="15"/>
  <c r="G10" i="15" s="1"/>
  <c r="G16" i="15" s="1"/>
  <c r="G21" i="15" s="1"/>
  <c r="H10" i="15"/>
  <c r="H12" i="15" s="1"/>
  <c r="I5" i="15"/>
  <c r="J5" i="15"/>
  <c r="K5" i="15"/>
  <c r="L5" i="15"/>
  <c r="I13" i="22" s="1"/>
  <c r="E5" i="15"/>
  <c r="E10" i="15" s="1"/>
  <c r="E16" i="15" s="1"/>
  <c r="E21" i="15" s="1"/>
  <c r="E54" i="15" s="1"/>
  <c r="J43" i="11"/>
  <c r="O7" i="11"/>
  <c r="J41" i="11" s="1"/>
  <c r="J33" i="11"/>
  <c r="I4" i="11"/>
  <c r="J23" i="11" s="1"/>
  <c r="J24" i="11" s="1"/>
  <c r="J26" i="11" s="1"/>
  <c r="T18" i="11"/>
  <c r="W18" i="11" s="1"/>
  <c r="T17" i="11"/>
  <c r="W17" i="11" s="1"/>
  <c r="Q6" i="11"/>
  <c r="J45" i="15" l="1"/>
  <c r="I72" i="15"/>
  <c r="H72" i="15"/>
  <c r="F84" i="15"/>
  <c r="J72" i="15"/>
  <c r="G72" i="15"/>
  <c r="L72" i="15"/>
  <c r="L92" i="15"/>
  <c r="K46" i="20"/>
  <c r="L19" i="20"/>
  <c r="K20" i="20"/>
  <c r="K45" i="15"/>
  <c r="J26" i="20"/>
  <c r="J40" i="15"/>
  <c r="J93" i="15" s="1"/>
  <c r="I11" i="20"/>
  <c r="I13" i="20"/>
  <c r="I46" i="20"/>
  <c r="E72" i="15"/>
  <c r="F80" i="15"/>
  <c r="L45" i="15"/>
  <c r="K26" i="20"/>
  <c r="L26" i="20" s="1"/>
  <c r="J20" i="20"/>
  <c r="I10" i="15"/>
  <c r="I16" i="15" s="1"/>
  <c r="I21" i="15" s="1"/>
  <c r="I42" i="15" s="1"/>
  <c r="I44" i="15" s="1"/>
  <c r="H11" i="20"/>
  <c r="H13" i="20"/>
  <c r="I45" i="15"/>
  <c r="H26" i="20"/>
  <c r="H46" i="20"/>
  <c r="F82" i="15"/>
  <c r="F72" i="15"/>
  <c r="H49" i="20"/>
  <c r="E28" i="15"/>
  <c r="E34" i="15" s="1"/>
  <c r="E79" i="15" s="1"/>
  <c r="I44" i="20"/>
  <c r="K13" i="20"/>
  <c r="J13" i="20"/>
  <c r="J46" i="20"/>
  <c r="I49" i="20"/>
  <c r="K49" i="20"/>
  <c r="L10" i="15"/>
  <c r="L16" i="15" s="1"/>
  <c r="K11" i="20"/>
  <c r="K52" i="15"/>
  <c r="J11" i="20"/>
  <c r="J21" i="20" s="1"/>
  <c r="J49" i="20"/>
  <c r="L87" i="15"/>
  <c r="L84" i="15"/>
  <c r="L13" i="22" s="1"/>
  <c r="K87" i="15"/>
  <c r="K84" i="15"/>
  <c r="J87" i="15"/>
  <c r="J84" i="15"/>
  <c r="I87" i="15"/>
  <c r="I84" i="15"/>
  <c r="H84" i="15"/>
  <c r="H87" i="15"/>
  <c r="G84" i="15"/>
  <c r="G87" i="15"/>
  <c r="L80" i="15"/>
  <c r="L82" i="15"/>
  <c r="K80" i="15"/>
  <c r="K82" i="15"/>
  <c r="J52" i="15"/>
  <c r="J80" i="15"/>
  <c r="J82" i="15"/>
  <c r="I80" i="15"/>
  <c r="I82" i="15"/>
  <c r="F87" i="15"/>
  <c r="H80" i="15"/>
  <c r="H82" i="15"/>
  <c r="G80" i="15"/>
  <c r="G82" i="15"/>
  <c r="I55" i="15"/>
  <c r="I40" i="15"/>
  <c r="I52" i="15"/>
  <c r="H40" i="15"/>
  <c r="G42" i="15"/>
  <c r="G86" i="15" s="1"/>
  <c r="H52" i="15"/>
  <c r="G40" i="15"/>
  <c r="G52" i="15"/>
  <c r="G53" i="15"/>
  <c r="G73" i="15" s="1"/>
  <c r="G54" i="15"/>
  <c r="F40" i="15"/>
  <c r="F93" i="15" s="1"/>
  <c r="E42" i="15"/>
  <c r="E40" i="15"/>
  <c r="E52" i="15"/>
  <c r="E53" i="15"/>
  <c r="E71" i="15" s="1"/>
  <c r="G28" i="15"/>
  <c r="L40" i="15"/>
  <c r="L93" i="15" s="1"/>
  <c r="L52" i="15"/>
  <c r="G23" i="15"/>
  <c r="K40" i="15"/>
  <c r="G8" i="15"/>
  <c r="G18" i="15"/>
  <c r="E18" i="15"/>
  <c r="E12" i="15"/>
  <c r="K8" i="15"/>
  <c r="G12" i="15"/>
  <c r="H11" i="15"/>
  <c r="K9" i="15"/>
  <c r="I8" i="15"/>
  <c r="K10" i="15"/>
  <c r="K16" i="15" s="1"/>
  <c r="K53" i="15" s="1"/>
  <c r="K73" i="15" s="1"/>
  <c r="H16" i="15"/>
  <c r="H53" i="15" s="1"/>
  <c r="H73" i="15" s="1"/>
  <c r="E9" i="15"/>
  <c r="L8" i="15"/>
  <c r="J6" i="15"/>
  <c r="J8" i="15"/>
  <c r="J10" i="15"/>
  <c r="H9" i="15"/>
  <c r="F6" i="15"/>
  <c r="F8" i="15"/>
  <c r="J9" i="15"/>
  <c r="G9" i="15"/>
  <c r="F10" i="15"/>
  <c r="H8" i="15"/>
  <c r="L9" i="15"/>
  <c r="F9" i="15"/>
  <c r="I9" i="15"/>
  <c r="K6" i="15"/>
  <c r="L6" i="15"/>
  <c r="H6" i="15"/>
  <c r="I6" i="15"/>
  <c r="G6" i="15"/>
  <c r="J42" i="11"/>
  <c r="J44" i="11" s="1"/>
  <c r="J31" i="11"/>
  <c r="J32" i="11" s="1"/>
  <c r="J34" i="11" s="1"/>
  <c r="Q7" i="11"/>
  <c r="H60" i="20" l="1"/>
  <c r="L53" i="15"/>
  <c r="L85" i="15" s="1"/>
  <c r="M13" i="22" s="1"/>
  <c r="J13" i="22"/>
  <c r="I23" i="15"/>
  <c r="I12" i="15"/>
  <c r="I86" i="15"/>
  <c r="I11" i="15"/>
  <c r="L21" i="15"/>
  <c r="L54" i="15" s="1"/>
  <c r="I28" i="15"/>
  <c r="I54" i="15"/>
  <c r="I18" i="15"/>
  <c r="I48" i="15"/>
  <c r="J92" i="15"/>
  <c r="L18" i="15"/>
  <c r="L12" i="15"/>
  <c r="H16" i="20"/>
  <c r="H17" i="20" s="1"/>
  <c r="H52" i="20"/>
  <c r="J51" i="20"/>
  <c r="H51" i="20"/>
  <c r="M19" i="20"/>
  <c r="G41" i="15"/>
  <c r="G92" i="15"/>
  <c r="J16" i="20"/>
  <c r="J12" i="20"/>
  <c r="H21" i="20"/>
  <c r="K44" i="20"/>
  <c r="K45" i="20" s="1"/>
  <c r="I12" i="20"/>
  <c r="I16" i="20"/>
  <c r="K14" i="20"/>
  <c r="K15" i="20"/>
  <c r="H44" i="20"/>
  <c r="H45" i="20" s="1"/>
  <c r="L44" i="20"/>
  <c r="M26" i="20"/>
  <c r="I51" i="20"/>
  <c r="H15" i="20"/>
  <c r="I38" i="20"/>
  <c r="I47" i="20" s="1"/>
  <c r="K48" i="20"/>
  <c r="K41" i="15"/>
  <c r="J38" i="20"/>
  <c r="J50" i="20" s="1"/>
  <c r="I45" i="20"/>
  <c r="K93" i="15"/>
  <c r="K12" i="20"/>
  <c r="L11" i="20"/>
  <c r="L21" i="20" s="1"/>
  <c r="K16" i="20"/>
  <c r="H38" i="20"/>
  <c r="H50" i="20" s="1"/>
  <c r="K38" i="20"/>
  <c r="K50" i="20" s="1"/>
  <c r="L73" i="15"/>
  <c r="L71" i="15"/>
  <c r="J48" i="20"/>
  <c r="J47" i="20"/>
  <c r="J14" i="20"/>
  <c r="J15" i="20"/>
  <c r="H42" i="20"/>
  <c r="I48" i="20"/>
  <c r="J44" i="20"/>
  <c r="J45" i="20" s="1"/>
  <c r="F92" i="15"/>
  <c r="I53" i="15"/>
  <c r="I85" i="15" s="1"/>
  <c r="I92" i="15"/>
  <c r="K51" i="20"/>
  <c r="I93" i="15"/>
  <c r="H48" i="20"/>
  <c r="I21" i="20"/>
  <c r="K21" i="20"/>
  <c r="K92" i="15"/>
  <c r="I15" i="20"/>
  <c r="I14" i="20"/>
  <c r="G93" i="15"/>
  <c r="H92" i="15"/>
  <c r="H93" i="15"/>
  <c r="H85" i="15"/>
  <c r="G71" i="15"/>
  <c r="I56" i="15"/>
  <c r="I64" i="15" s="1"/>
  <c r="G85" i="15"/>
  <c r="K85" i="15"/>
  <c r="I81" i="15"/>
  <c r="H71" i="15"/>
  <c r="K71" i="15"/>
  <c r="I43" i="15"/>
  <c r="I41" i="15"/>
  <c r="H39" i="20" s="1"/>
  <c r="E44" i="15"/>
  <c r="E43" i="15"/>
  <c r="G44" i="15"/>
  <c r="G43" i="15"/>
  <c r="L41" i="15"/>
  <c r="F41" i="15"/>
  <c r="H41" i="15"/>
  <c r="J41" i="15"/>
  <c r="G34" i="15"/>
  <c r="G91" i="15" s="1"/>
  <c r="G30" i="15"/>
  <c r="I34" i="15"/>
  <c r="I91" i="15" s="1"/>
  <c r="I30" i="15"/>
  <c r="H18" i="15"/>
  <c r="H21" i="15"/>
  <c r="H17" i="15"/>
  <c r="K18" i="15"/>
  <c r="K21" i="15"/>
  <c r="L17" i="15"/>
  <c r="I17" i="15"/>
  <c r="K11" i="15"/>
  <c r="K12" i="15"/>
  <c r="J16" i="15"/>
  <c r="J11" i="15"/>
  <c r="J12" i="15"/>
  <c r="F16" i="15"/>
  <c r="F12" i="15"/>
  <c r="F11" i="15"/>
  <c r="L11" i="15"/>
  <c r="G11" i="15"/>
  <c r="K9" i="11"/>
  <c r="K10" i="11"/>
  <c r="F10" i="8"/>
  <c r="G10" i="8"/>
  <c r="H10" i="8"/>
  <c r="I10" i="8"/>
  <c r="J10" i="8"/>
  <c r="K10" i="8"/>
  <c r="E101" i="3"/>
  <c r="H22" i="20" l="1"/>
  <c r="L28" i="15"/>
  <c r="L23" i="15"/>
  <c r="L22" i="15"/>
  <c r="L42" i="15"/>
  <c r="L86" i="15" s="1"/>
  <c r="L50" i="20"/>
  <c r="M50" i="20" s="1"/>
  <c r="N50" i="20" s="1"/>
  <c r="O50" i="20" s="1"/>
  <c r="K47" i="20"/>
  <c r="K22" i="20"/>
  <c r="K17" i="20"/>
  <c r="H47" i="20"/>
  <c r="M11" i="20"/>
  <c r="M21" i="20" s="1"/>
  <c r="L13" i="20"/>
  <c r="L14" i="20" s="1"/>
  <c r="L38" i="20"/>
  <c r="N19" i="20"/>
  <c r="H54" i="20"/>
  <c r="I39" i="20"/>
  <c r="I50" i="20"/>
  <c r="I73" i="15"/>
  <c r="I71" i="15"/>
  <c r="H27" i="20"/>
  <c r="H24" i="20"/>
  <c r="K39" i="20"/>
  <c r="J39" i="20"/>
  <c r="M44" i="20"/>
  <c r="M45" i="20" s="1"/>
  <c r="N26" i="20"/>
  <c r="I22" i="20"/>
  <c r="I17" i="20"/>
  <c r="J22" i="20"/>
  <c r="J17" i="20"/>
  <c r="L45" i="20"/>
  <c r="I75" i="15"/>
  <c r="I79" i="15"/>
  <c r="E55" i="15"/>
  <c r="E48" i="15"/>
  <c r="E56" i="15" s="1"/>
  <c r="G75" i="15"/>
  <c r="G79" i="15"/>
  <c r="I74" i="15"/>
  <c r="I65" i="15"/>
  <c r="K17" i="15"/>
  <c r="J53" i="15"/>
  <c r="H22" i="15"/>
  <c r="H23" i="15"/>
  <c r="H28" i="15"/>
  <c r="H54" i="15"/>
  <c r="H42" i="15"/>
  <c r="H86" i="15" s="1"/>
  <c r="I22" i="15"/>
  <c r="L30" i="15"/>
  <c r="L34" i="15"/>
  <c r="I36" i="15"/>
  <c r="L44" i="15"/>
  <c r="L43" i="15"/>
  <c r="F18" i="15"/>
  <c r="F53" i="15"/>
  <c r="K54" i="15"/>
  <c r="K42" i="15"/>
  <c r="K86" i="15" s="1"/>
  <c r="K23" i="15"/>
  <c r="K28" i="15"/>
  <c r="G55" i="15"/>
  <c r="G48" i="15"/>
  <c r="G36" i="15"/>
  <c r="F17" i="15"/>
  <c r="F21" i="15"/>
  <c r="G17" i="15"/>
  <c r="J18" i="15"/>
  <c r="J21" i="15"/>
  <c r="J17" i="15"/>
  <c r="L91" i="15" l="1"/>
  <c r="K13" i="22"/>
  <c r="L49" i="20"/>
  <c r="L51" i="20" s="1"/>
  <c r="O19" i="20"/>
  <c r="L16" i="20"/>
  <c r="I27" i="20"/>
  <c r="I24" i="20"/>
  <c r="I23" i="20"/>
  <c r="L46" i="20"/>
  <c r="M38" i="20"/>
  <c r="M13" i="20"/>
  <c r="M14" i="20" s="1"/>
  <c r="N11" i="20"/>
  <c r="I32" i="20" s="1"/>
  <c r="K23" i="20"/>
  <c r="J27" i="20"/>
  <c r="J24" i="20"/>
  <c r="J23" i="20"/>
  <c r="K42" i="20"/>
  <c r="E65" i="15"/>
  <c r="H40" i="20"/>
  <c r="H41" i="20" s="1"/>
  <c r="H28" i="20"/>
  <c r="N44" i="20"/>
  <c r="N45" i="20" s="1"/>
  <c r="O26" i="20"/>
  <c r="O44" i="20" s="1"/>
  <c r="K24" i="20"/>
  <c r="K27" i="20"/>
  <c r="F73" i="15"/>
  <c r="F85" i="15"/>
  <c r="F71" i="15"/>
  <c r="G56" i="15"/>
  <c r="G64" i="15" s="1"/>
  <c r="G81" i="15"/>
  <c r="L75" i="15"/>
  <c r="L79" i="15"/>
  <c r="N13" i="22" s="1"/>
  <c r="J73" i="15"/>
  <c r="J85" i="15"/>
  <c r="J71" i="15"/>
  <c r="J42" i="15"/>
  <c r="J86" i="15" s="1"/>
  <c r="J54" i="15"/>
  <c r="J22" i="15"/>
  <c r="J23" i="15"/>
  <c r="J28" i="15"/>
  <c r="K29" i="15" s="1"/>
  <c r="K30" i="15"/>
  <c r="K34" i="15"/>
  <c r="K91" i="15" s="1"/>
  <c r="L55" i="15"/>
  <c r="L48" i="15"/>
  <c r="H29" i="15"/>
  <c r="H34" i="15"/>
  <c r="H91" i="15" s="1"/>
  <c r="H30" i="15"/>
  <c r="I29" i="15"/>
  <c r="F28" i="15"/>
  <c r="F54" i="15"/>
  <c r="F42" i="15"/>
  <c r="F86" i="15" s="1"/>
  <c r="F22" i="15"/>
  <c r="F23" i="15"/>
  <c r="G22" i="15"/>
  <c r="K22" i="15"/>
  <c r="L29" i="15"/>
  <c r="K43" i="15"/>
  <c r="K44" i="15"/>
  <c r="L36" i="15"/>
  <c r="H44" i="15"/>
  <c r="H43" i="20" s="1"/>
  <c r="H43" i="15"/>
  <c r="L48" i="20" l="1"/>
  <c r="N21" i="20"/>
  <c r="O45" i="20"/>
  <c r="K43" i="20"/>
  <c r="K28" i="20"/>
  <c r="K40" i="20"/>
  <c r="K41" i="20" s="1"/>
  <c r="J42" i="20"/>
  <c r="K52" i="20"/>
  <c r="M46" i="20"/>
  <c r="M48" i="20" s="1"/>
  <c r="M49" i="20"/>
  <c r="M51" i="20" s="1"/>
  <c r="J40" i="20"/>
  <c r="J41" i="20" s="1"/>
  <c r="J28" i="20"/>
  <c r="M16" i="20"/>
  <c r="I40" i="20"/>
  <c r="I41" i="20" s="1"/>
  <c r="I28" i="20"/>
  <c r="N13" i="20"/>
  <c r="N14" i="20" s="1"/>
  <c r="O11" i="20"/>
  <c r="N38" i="20"/>
  <c r="I34" i="20" s="1"/>
  <c r="L22" i="20"/>
  <c r="L17" i="20"/>
  <c r="K75" i="15"/>
  <c r="K79" i="15"/>
  <c r="G74" i="15"/>
  <c r="G65" i="15"/>
  <c r="L56" i="15"/>
  <c r="L65" i="15" s="1"/>
  <c r="L81" i="15"/>
  <c r="H75" i="15"/>
  <c r="H79" i="15"/>
  <c r="K36" i="15"/>
  <c r="H35" i="15"/>
  <c r="H36" i="15"/>
  <c r="I35" i="15"/>
  <c r="H55" i="15"/>
  <c r="H48" i="15"/>
  <c r="H53" i="20" s="1"/>
  <c r="F34" i="15"/>
  <c r="F91" i="15" s="1"/>
  <c r="F30" i="15"/>
  <c r="F29" i="15"/>
  <c r="G29" i="15"/>
  <c r="J29" i="15"/>
  <c r="J34" i="15"/>
  <c r="J91" i="15" s="1"/>
  <c r="J30" i="15"/>
  <c r="K55" i="15"/>
  <c r="K48" i="15"/>
  <c r="L35" i="15"/>
  <c r="F44" i="15"/>
  <c r="F48" i="15" s="1"/>
  <c r="F43" i="15"/>
  <c r="J43" i="15"/>
  <c r="J44" i="15"/>
  <c r="N46" i="20" l="1"/>
  <c r="N48" i="20" s="1"/>
  <c r="N49" i="20"/>
  <c r="N51" i="20" s="1"/>
  <c r="O13" i="20"/>
  <c r="O14" i="20" s="1"/>
  <c r="O38" i="20"/>
  <c r="J52" i="20"/>
  <c r="I42" i="20"/>
  <c r="I43" i="20" s="1"/>
  <c r="L27" i="20"/>
  <c r="L24" i="20"/>
  <c r="L23" i="20"/>
  <c r="K54" i="20"/>
  <c r="H57" i="20"/>
  <c r="H61" i="20" s="1"/>
  <c r="K53" i="20"/>
  <c r="M22" i="20"/>
  <c r="M17" i="20"/>
  <c r="N16" i="20"/>
  <c r="O21" i="20"/>
  <c r="J43" i="20"/>
  <c r="J75" i="15"/>
  <c r="J79" i="15"/>
  <c r="L74" i="15"/>
  <c r="H66" i="15"/>
  <c r="F81" i="15"/>
  <c r="K56" i="15"/>
  <c r="K64" i="15" s="1"/>
  <c r="K81" i="15"/>
  <c r="F75" i="15"/>
  <c r="F79" i="15"/>
  <c r="H56" i="15"/>
  <c r="H64" i="15" s="1"/>
  <c r="I66" i="15" s="1"/>
  <c r="H81" i="15"/>
  <c r="L64" i="15"/>
  <c r="J55" i="15"/>
  <c r="J48" i="15"/>
  <c r="J35" i="15"/>
  <c r="J36" i="15"/>
  <c r="F35" i="15"/>
  <c r="F36" i="15"/>
  <c r="G35" i="15"/>
  <c r="F56" i="15"/>
  <c r="F55" i="15"/>
  <c r="K35" i="15"/>
  <c r="I35" i="20" l="1"/>
  <c r="O16" i="20"/>
  <c r="O22" i="20" s="1"/>
  <c r="N22" i="20"/>
  <c r="N17" i="20"/>
  <c r="J54" i="20"/>
  <c r="J53" i="20"/>
  <c r="I52" i="20"/>
  <c r="L28" i="20"/>
  <c r="L40" i="20"/>
  <c r="O46" i="20"/>
  <c r="O48" i="20" s="1"/>
  <c r="O49" i="20"/>
  <c r="O51" i="20" s="1"/>
  <c r="M27" i="20"/>
  <c r="M24" i="20"/>
  <c r="M23" i="20"/>
  <c r="F64" i="15"/>
  <c r="G66" i="15" s="1"/>
  <c r="F66" i="15"/>
  <c r="F74" i="15"/>
  <c r="F65" i="15"/>
  <c r="J56" i="15"/>
  <c r="J81" i="15"/>
  <c r="J66" i="15"/>
  <c r="K74" i="15"/>
  <c r="K65" i="15"/>
  <c r="H74" i="15"/>
  <c r="H65" i="15"/>
  <c r="O17" i="20" l="1"/>
  <c r="M28" i="20"/>
  <c r="M40" i="20"/>
  <c r="I53" i="20"/>
  <c r="I54" i="20"/>
  <c r="O27" i="20"/>
  <c r="O24" i="20"/>
  <c r="O23" i="20"/>
  <c r="N24" i="20"/>
  <c r="N23" i="20"/>
  <c r="N27" i="20"/>
  <c r="L42" i="20"/>
  <c r="L41" i="20"/>
  <c r="J74" i="15"/>
  <c r="J65" i="15"/>
  <c r="J64" i="15"/>
  <c r="K66" i="15" s="1"/>
  <c r="M42" i="20" l="1"/>
  <c r="M41" i="20"/>
  <c r="O28" i="20"/>
  <c r="O40" i="20"/>
  <c r="L43" i="20"/>
  <c r="L52" i="20"/>
  <c r="L54" i="20" s="1"/>
  <c r="N40" i="20"/>
  <c r="N28" i="20"/>
  <c r="I33" i="20" s="1"/>
  <c r="N41" i="20" l="1"/>
  <c r="N42" i="20"/>
  <c r="L53" i="20"/>
  <c r="I57" i="20"/>
  <c r="I61" i="20" s="1"/>
  <c r="O42" i="20"/>
  <c r="O41" i="20"/>
  <c r="M52" i="20"/>
  <c r="M54" i="20" s="1"/>
  <c r="M43" i="20"/>
  <c r="J57" i="20" l="1"/>
  <c r="J61" i="20" s="1"/>
  <c r="M53" i="20"/>
  <c r="O52" i="20"/>
  <c r="H70" i="20"/>
  <c r="O43" i="20"/>
  <c r="H67" i="20"/>
  <c r="N52" i="20"/>
  <c r="N43" i="20"/>
  <c r="L57" i="20" l="1"/>
  <c r="H65" i="20"/>
  <c r="H71" i="20" s="1"/>
  <c r="N54" i="20"/>
  <c r="N53" i="20"/>
  <c r="K57" i="20"/>
  <c r="K61" i="20" s="1"/>
  <c r="G62" i="20" s="1"/>
  <c r="H69" i="20"/>
  <c r="H72" i="20" s="1"/>
  <c r="O54" i="20"/>
  <c r="O53" i="20"/>
  <c r="H68" i="20" l="1"/>
  <c r="H73" i="20"/>
  <c r="H74" i="20" l="1"/>
  <c r="H75" i="20" s="1"/>
  <c r="H76" i="20" s="1"/>
  <c r="H81" i="20" s="1"/>
  <c r="L14" i="22" l="1"/>
  <c r="M14" i="22"/>
  <c r="H83" i="20" l="1"/>
  <c r="P17" i="22" s="1"/>
  <c r="P19" i="22" s="1"/>
  <c r="N14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E23782-343F-4E01-B9C3-6D42C615A80D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<sst xmlns="http://schemas.openxmlformats.org/spreadsheetml/2006/main" count="1812" uniqueCount="496">
  <si>
    <t>FY 2011</t>
  </si>
  <si>
    <t>FY 2012</t>
  </si>
  <si>
    <t>FY 2013</t>
  </si>
  <si>
    <t>FY 2014</t>
  </si>
  <si>
    <t>FY 2015</t>
  </si>
  <si>
    <t>FY 2016</t>
  </si>
  <si>
    <t>FY 2017</t>
  </si>
  <si>
    <t>In Millions of INR except Per Share</t>
  </si>
  <si>
    <t>In Millions of INR</t>
  </si>
  <si>
    <t xml:space="preserve">Revenue </t>
  </si>
  <si>
    <t>Vakrangee Ltd (VKI IN) - BBG Adjusted INCOME STATEMENT</t>
  </si>
  <si>
    <t>FY 2008</t>
  </si>
  <si>
    <t>FY 2009</t>
  </si>
  <si>
    <t>FY 2010</t>
  </si>
  <si>
    <t>FY 2018</t>
  </si>
  <si>
    <t>FY 2019</t>
  </si>
  <si>
    <t>FY 2020</t>
  </si>
  <si>
    <t>FY 2021</t>
  </si>
  <si>
    <t>Last 12M</t>
  </si>
  <si>
    <t>12 Months Ending</t>
  </si>
  <si>
    <t>03/31/2008</t>
  </si>
  <si>
    <t>03/31/2009</t>
  </si>
  <si>
    <t>03/31/2010</t>
  </si>
  <si>
    <t>03/31/2011</t>
  </si>
  <si>
    <t>03/31/2012</t>
  </si>
  <si>
    <t>03/31/2013</t>
  </si>
  <si>
    <t>03/31/2014</t>
  </si>
  <si>
    <t>03/31/2015</t>
  </si>
  <si>
    <t>03/31/2016</t>
  </si>
  <si>
    <t>03/31/2017</t>
  </si>
  <si>
    <t>03/31/2018</t>
  </si>
  <si>
    <t>03/31/2019</t>
  </si>
  <si>
    <t>03/31/2020</t>
  </si>
  <si>
    <t>03/31/2021</t>
  </si>
  <si>
    <t>09/30/2021</t>
  </si>
  <si>
    <t>Revenue</t>
  </si>
  <si>
    <t xml:space="preserve">    + Sales &amp; Services Revenue</t>
  </si>
  <si>
    <t>—</t>
  </si>
  <si>
    <t xml:space="preserve">    + Other Revenue</t>
  </si>
  <si>
    <t xml:space="preserve">  + Other Operating Income</t>
  </si>
  <si>
    <t xml:space="preserve">  - Operating Expenses</t>
  </si>
  <si>
    <t xml:space="preserve">    + Selling, General &amp; Admin</t>
  </si>
  <si>
    <t xml:space="preserve">    + Selling &amp; Marketing</t>
  </si>
  <si>
    <t xml:space="preserve">    + Research &amp; Development</t>
  </si>
  <si>
    <t xml:space="preserve">    + Depreciation &amp; Amortization</t>
  </si>
  <si>
    <t xml:space="preserve">    + Prov For Doubtful Accts</t>
  </si>
  <si>
    <t xml:space="preserve">    + Other Operating Expense</t>
  </si>
  <si>
    <t>Operating Income (Loss)</t>
  </si>
  <si>
    <t xml:space="preserve">  - Non-Operating (Income) Loss</t>
  </si>
  <si>
    <t xml:space="preserve">    + Interest Expense, Net</t>
  </si>
  <si>
    <t xml:space="preserve">    + Interest Expense</t>
  </si>
  <si>
    <t xml:space="preserve">    - Interest Income</t>
  </si>
  <si>
    <t xml:space="preserve">    + Other Investment (Inc) Loss</t>
  </si>
  <si>
    <t xml:space="preserve">    + Foreign Exch (Gain) Loss</t>
  </si>
  <si>
    <t xml:space="preserve">    + (Income) Loss from Affiliates</t>
  </si>
  <si>
    <t xml:space="preserve">    + Other Non-Op (Income) Loss</t>
  </si>
  <si>
    <t>Pretax Income (Loss), Adjusted</t>
  </si>
  <si>
    <t xml:space="preserve">  - Abnormal Losses (Gains)</t>
  </si>
  <si>
    <t xml:space="preserve">    + Disposal of Assets</t>
  </si>
  <si>
    <t xml:space="preserve">    + Asset Write-Down</t>
  </si>
  <si>
    <t xml:space="preserve">    + Sale of Investments</t>
  </si>
  <si>
    <t xml:space="preserve">    + Unrealized Investments</t>
  </si>
  <si>
    <t xml:space="preserve">    + Other Abnormal Items</t>
  </si>
  <si>
    <t>Pretax Income (Loss), GAAP</t>
  </si>
  <si>
    <t xml:space="preserve">  - Income Tax Expense (Benefit)</t>
  </si>
  <si>
    <t xml:space="preserve">    + Current Income Tax</t>
  </si>
  <si>
    <t xml:space="preserve">    + Deferred Income Tax</t>
  </si>
  <si>
    <t xml:space="preserve">    + Tax Allowance/Credit</t>
  </si>
  <si>
    <t xml:space="preserve">  - (Income) Loss from Affiliates</t>
  </si>
  <si>
    <t>Income (Loss) from Cont Ops</t>
  </si>
  <si>
    <t xml:space="preserve">  - Net Extraordinary Losses (Gains)</t>
  </si>
  <si>
    <t xml:space="preserve">    + Discontinued Operations</t>
  </si>
  <si>
    <t xml:space="preserve">    + XO &amp; Accounting Changes</t>
  </si>
  <si>
    <t>Income (Loss) Incl. MI</t>
  </si>
  <si>
    <t xml:space="preserve">  - Minority Interest</t>
  </si>
  <si>
    <t>Net Income, GAAP</t>
  </si>
  <si>
    <t xml:space="preserve">  - Preferred Dividends</t>
  </si>
  <si>
    <t xml:space="preserve">  - Other Adjustments</t>
  </si>
  <si>
    <t>Net Income Avail to Common, GAAP</t>
  </si>
  <si>
    <t>Net Income Avail to Common, Adj</t>
  </si>
  <si>
    <t xml:space="preserve">  Net Abnormal Losses (Gains)</t>
  </si>
  <si>
    <t xml:space="preserve">  Net Extraordinary Losses (Gains)</t>
  </si>
  <si>
    <t>Basic Weighted Avg Shares</t>
  </si>
  <si>
    <t>Basic EPS, GAAP</t>
  </si>
  <si>
    <t>Basic EPS from Cont Ops, GAAP</t>
  </si>
  <si>
    <t>Basic EPS from Cont Ops, Adjusted</t>
  </si>
  <si>
    <t>Diluted Weighted Avg Shares</t>
  </si>
  <si>
    <t>Diluted EPS, GAAP</t>
  </si>
  <si>
    <t>Diluted EPS from Cont Ops, GAAP</t>
  </si>
  <si>
    <t>Diluted EPS from Cont Ops, Adjusted</t>
  </si>
  <si>
    <t>Reference Items</t>
  </si>
  <si>
    <t>Accounting Standard</t>
  </si>
  <si>
    <t>IN GAAP</t>
  </si>
  <si>
    <t>EBITDA</t>
  </si>
  <si>
    <t>EBITDA Margin (T12M)</t>
  </si>
  <si>
    <t>EBITA</t>
  </si>
  <si>
    <t>EBIT</t>
  </si>
  <si>
    <t>Operating Margin</t>
  </si>
  <si>
    <t>Profit Margin</t>
  </si>
  <si>
    <t>Sales per Employee</t>
  </si>
  <si>
    <t>Dividends per Share</t>
  </si>
  <si>
    <t>Total Cash Common Dividends</t>
  </si>
  <si>
    <t>Capitalized Interest Expense</t>
  </si>
  <si>
    <t>Personnel Expenses</t>
  </si>
  <si>
    <t>Depreciation Expense</t>
  </si>
  <si>
    <t>Rental Expense</t>
  </si>
  <si>
    <t>COGS</t>
  </si>
  <si>
    <t xml:space="preserve">  + Depreciation &amp; Amortization</t>
  </si>
  <si>
    <t>Interest Expenses, Net</t>
  </si>
  <si>
    <t>EBT</t>
  </si>
  <si>
    <t>Taxes</t>
  </si>
  <si>
    <t>Foreign Exch (Gain) Loss</t>
  </si>
  <si>
    <t>Other Non-Op (Income) Loss</t>
  </si>
  <si>
    <t>Net Income</t>
  </si>
  <si>
    <t>NOPAT</t>
  </si>
  <si>
    <t>D&amp;A</t>
  </si>
  <si>
    <t>Capex</t>
  </si>
  <si>
    <t>Vakrangee Ltd (VKI IN) - Standardized Balance Sheet</t>
  </si>
  <si>
    <t>FY 2007</t>
  </si>
  <si>
    <t>03/31/2007</t>
  </si>
  <si>
    <t>Total Assets</t>
  </si>
  <si>
    <t xml:space="preserve">  + Cash, Cash Equivalents &amp; STI</t>
  </si>
  <si>
    <t xml:space="preserve">    + Cash &amp; Cash Equivalents</t>
  </si>
  <si>
    <t xml:space="preserve">    + ST Investments</t>
  </si>
  <si>
    <t xml:space="preserve">  + Accounts &amp; Notes Receiv</t>
  </si>
  <si>
    <t xml:space="preserve">    + Accounts Receivable, Net</t>
  </si>
  <si>
    <t xml:space="preserve">    + Notes Receivable, Net</t>
  </si>
  <si>
    <t xml:space="preserve">  + Inventories</t>
  </si>
  <si>
    <t xml:space="preserve">    + Raw Materials</t>
  </si>
  <si>
    <t xml:space="preserve">    + Work In Process</t>
  </si>
  <si>
    <t xml:space="preserve">    + Finished Goods</t>
  </si>
  <si>
    <t xml:space="preserve">    + Other Inventory</t>
  </si>
  <si>
    <t xml:space="preserve">  + Other ST Assets</t>
  </si>
  <si>
    <t xml:space="preserve">    + Prepaid Expenses</t>
  </si>
  <si>
    <t xml:space="preserve">    + Derivative &amp; Hedging Assets</t>
  </si>
  <si>
    <t xml:space="preserve">    + Taxes Receivable</t>
  </si>
  <si>
    <t xml:space="preserve">    + Misc ST Assets</t>
  </si>
  <si>
    <t>Total Current Assets</t>
  </si>
  <si>
    <t xml:space="preserve">  + Property, Plant &amp; Equip, Net</t>
  </si>
  <si>
    <t xml:space="preserve">    + Property, Plant &amp; Equip</t>
  </si>
  <si>
    <t xml:space="preserve">    - Accumulated Depreciation</t>
  </si>
  <si>
    <t xml:space="preserve">  + LT Investments &amp; Receivables</t>
  </si>
  <si>
    <t xml:space="preserve">    + LT Investments</t>
  </si>
  <si>
    <t xml:space="preserve">    + LT Receivables</t>
  </si>
  <si>
    <t xml:space="preserve">  + Other LT Assets</t>
  </si>
  <si>
    <t xml:space="preserve">    + Total Intangible Assets</t>
  </si>
  <si>
    <t xml:space="preserve">    + Goodwill</t>
  </si>
  <si>
    <t xml:space="preserve">    + Other Intangible Assets</t>
  </si>
  <si>
    <t xml:space="preserve">    + Prepaid Expense</t>
  </si>
  <si>
    <t xml:space="preserve">    + Deferred Tax Assets</t>
  </si>
  <si>
    <t xml:space="preserve">    + Investments in Affiliates</t>
  </si>
  <si>
    <t xml:space="preserve">    + Misc LT Assets</t>
  </si>
  <si>
    <t>Total Noncurrent Assets</t>
  </si>
  <si>
    <t>Liabilities &amp; Shareholders' Equity</t>
  </si>
  <si>
    <t xml:space="preserve">  + Payables &amp; Accruals</t>
  </si>
  <si>
    <t xml:space="preserve">    + Accounts Payable</t>
  </si>
  <si>
    <t xml:space="preserve">    + Accrued Taxes</t>
  </si>
  <si>
    <t xml:space="preserve">    + Interest &amp; Dividends Payable</t>
  </si>
  <si>
    <t xml:space="preserve">    + Other Payables &amp; Accruals</t>
  </si>
  <si>
    <t xml:space="preserve">  + ST Debt</t>
  </si>
  <si>
    <t xml:space="preserve">    + ST Borrowings</t>
  </si>
  <si>
    <t xml:space="preserve">    + ST Lease Liabilities</t>
  </si>
  <si>
    <t xml:space="preserve">      + ST Finance Leases</t>
  </si>
  <si>
    <t xml:space="preserve">    + Current Portion of LT Debt</t>
  </si>
  <si>
    <t xml:space="preserve">  + Other ST Liabilities</t>
  </si>
  <si>
    <t xml:space="preserve">    + Deferred Revenue</t>
  </si>
  <si>
    <t xml:space="preserve">    + Derivatives &amp; Hedging</t>
  </si>
  <si>
    <t xml:space="preserve">    + Misc ST Liabilities</t>
  </si>
  <si>
    <t>Total Current Liabilities</t>
  </si>
  <si>
    <t xml:space="preserve">  + LT Debt</t>
  </si>
  <si>
    <t xml:space="preserve">    + LT Borrowings</t>
  </si>
  <si>
    <t xml:space="preserve">    + LT Lease Liabilities</t>
  </si>
  <si>
    <t xml:space="preserve">    + LT Finance Leases</t>
  </si>
  <si>
    <t xml:space="preserve">  + Other LT Liabilities</t>
  </si>
  <si>
    <t xml:space="preserve">    + Accrued Liabilities</t>
  </si>
  <si>
    <t xml:space="preserve">    + Pension Liabilities</t>
  </si>
  <si>
    <t xml:space="preserve">    + Deferred Tax Liabilities</t>
  </si>
  <si>
    <t xml:space="preserve">    + Misc LT Liabilities</t>
  </si>
  <si>
    <t>Total Noncurrent Liabilities</t>
  </si>
  <si>
    <t>Total Liabilities</t>
  </si>
  <si>
    <t xml:space="preserve">  + Preferred Equity and Hybrid Capital</t>
  </si>
  <si>
    <t xml:space="preserve">  + Share Capital &amp; APIC</t>
  </si>
  <si>
    <t xml:space="preserve">    + Common Stock</t>
  </si>
  <si>
    <t xml:space="preserve">    + Additional Paid in Capital</t>
  </si>
  <si>
    <t xml:space="preserve">    + Other Share Capital</t>
  </si>
  <si>
    <t xml:space="preserve">  - Treasury Stock</t>
  </si>
  <si>
    <t xml:space="preserve">  + Retained Earnings</t>
  </si>
  <si>
    <t xml:space="preserve">  + Other Equity</t>
  </si>
  <si>
    <t>Equity Before Minority Interest</t>
  </si>
  <si>
    <t xml:space="preserve">  + Minority/Non Controlling Interest</t>
  </si>
  <si>
    <t>Total Equity</t>
  </si>
  <si>
    <t>Total Liabilities &amp; Equity</t>
  </si>
  <si>
    <t>Shares Outstanding</t>
  </si>
  <si>
    <t>Number of Treasury Shares</t>
  </si>
  <si>
    <t>Pension Obligations</t>
  </si>
  <si>
    <t>Future Minimum Operating Lease Obligations</t>
  </si>
  <si>
    <t>Capital Leases - Total</t>
  </si>
  <si>
    <t>Percent Of Foreign Ownership</t>
  </si>
  <si>
    <t>Number Of Shareholders</t>
  </si>
  <si>
    <t>Options Granted During Period</t>
  </si>
  <si>
    <t>Options Outstanding at Period End</t>
  </si>
  <si>
    <t>Net Debt</t>
  </si>
  <si>
    <t>Net Debt to Equity</t>
  </si>
  <si>
    <t>Tangible Common Equity Ratio</t>
  </si>
  <si>
    <t>Current Ratio</t>
  </si>
  <si>
    <t>Cash Conversion Cycle</t>
  </si>
  <si>
    <t>Number of Employees</t>
  </si>
  <si>
    <t>NWC</t>
  </si>
  <si>
    <t>Free cash flow</t>
  </si>
  <si>
    <t>Vakrangee Ltd (VKI IN) - Standardized CASH FLOW</t>
  </si>
  <si>
    <t>Cash from Operating Activities</t>
  </si>
  <si>
    <t xml:space="preserve">  + Net Income</t>
  </si>
  <si>
    <t xml:space="preserve">  + Non-Cash Items</t>
  </si>
  <si>
    <t xml:space="preserve">    + Stock-Based Compensation</t>
  </si>
  <si>
    <t xml:space="preserve">    + Other Non-Cash Adj</t>
  </si>
  <si>
    <t xml:space="preserve">  + Chg in Non-Cash Work Cap</t>
  </si>
  <si>
    <t xml:space="preserve">    + (Inc) Dec in Accts Receiv</t>
  </si>
  <si>
    <t xml:space="preserve">    + (Inc) Dec in Inventories</t>
  </si>
  <si>
    <t xml:space="preserve">    + Inc (Dec) in Accts Payable</t>
  </si>
  <si>
    <t xml:space="preserve">    + Inc (Dec) in Other</t>
  </si>
  <si>
    <t xml:space="preserve">  + Net Cash From Disc Ops</t>
  </si>
  <si>
    <t>Cash from Investing Activities</t>
  </si>
  <si>
    <t xml:space="preserve">  + Change in Fixed &amp; Intang</t>
  </si>
  <si>
    <t xml:space="preserve">    + Disp in Fixed &amp; Intang</t>
  </si>
  <si>
    <t xml:space="preserve">    + Disp of Fixed Prod Assets</t>
  </si>
  <si>
    <t xml:space="preserve">    + Disp of Intangible Assets</t>
  </si>
  <si>
    <t xml:space="preserve">    + Acq of Fixed &amp; Intang</t>
  </si>
  <si>
    <t xml:space="preserve">    + Acq of Fixed Prod Assets</t>
  </si>
  <si>
    <t xml:space="preserve">    + Acq of Intangible Assets</t>
  </si>
  <si>
    <t xml:space="preserve">  + Net Change in LT Investment</t>
  </si>
  <si>
    <t xml:space="preserve">    + Dec in LT Investment</t>
  </si>
  <si>
    <t xml:space="preserve">    + Inc in LT Investment</t>
  </si>
  <si>
    <t xml:space="preserve">  + Net Cash From Acq &amp; Div</t>
  </si>
  <si>
    <t xml:space="preserve">    + Cash from Divestitures</t>
  </si>
  <si>
    <t xml:space="preserve">    + Cash for Acq of Subs</t>
  </si>
  <si>
    <t xml:space="preserve">    + Cash for JVs</t>
  </si>
  <si>
    <t xml:space="preserve">  + Other Investing Activities</t>
  </si>
  <si>
    <t>Cash from Financing Activities</t>
  </si>
  <si>
    <t xml:space="preserve">  + Dividends Paid</t>
  </si>
  <si>
    <t xml:space="preserve">  + Cash From (Repayment) Debt</t>
  </si>
  <si>
    <t xml:space="preserve">    + Cash From (Repay) ST Debt</t>
  </si>
  <si>
    <t xml:space="preserve">    + Cash From LT Debt</t>
  </si>
  <si>
    <t xml:space="preserve">    + Repayments of LT Debt</t>
  </si>
  <si>
    <t xml:space="preserve">  + Cash (Repurchase) of Equity</t>
  </si>
  <si>
    <t xml:space="preserve">    + Increase in Capital Stock</t>
  </si>
  <si>
    <t xml:space="preserve">    + Decrease in Capital Stock</t>
  </si>
  <si>
    <t xml:space="preserve">  + Other Financing Activities</t>
  </si>
  <si>
    <t xml:space="preserve">  Effect of Foreign Exchange Rates</t>
  </si>
  <si>
    <t>Net Changes in Cash</t>
  </si>
  <si>
    <t>Cash Paid for Taxes</t>
  </si>
  <si>
    <t>Cash Paid for Interest</t>
  </si>
  <si>
    <t>Trailing 12M EBITDA Margin</t>
  </si>
  <si>
    <t>Interest Received</t>
  </si>
  <si>
    <t>Free Cash Flow</t>
  </si>
  <si>
    <t>Free Cash Flow to Firm</t>
  </si>
  <si>
    <t>Free Cash Flow to Equity</t>
  </si>
  <si>
    <t>Free Cash Flow per Basic Share</t>
  </si>
  <si>
    <t>Price to Free Cash Flow</t>
  </si>
  <si>
    <t>Cash Flow to Net Income</t>
  </si>
  <si>
    <t>Capital Employed</t>
  </si>
  <si>
    <t>Stockholders Equity</t>
  </si>
  <si>
    <t>Corporate Finance Institute definition = total assets-total current liabilities</t>
  </si>
  <si>
    <t>Corporate Finance Institute definition = Contributed capital + retained earnings</t>
  </si>
  <si>
    <t>Key Profitability Drivers</t>
  </si>
  <si>
    <t>Interest coverage</t>
  </si>
  <si>
    <t>Net Debt/EBITDA (x)</t>
  </si>
  <si>
    <t>Net Debt/Equity (x)</t>
  </si>
  <si>
    <t>Free Cash Flow Yield (%)</t>
  </si>
  <si>
    <t>ROE (%)</t>
  </si>
  <si>
    <t>EBITDA/interest expense</t>
  </si>
  <si>
    <t>Market Cap</t>
  </si>
  <si>
    <t>Current/LTM</t>
  </si>
  <si>
    <t>Market Capitalization</t>
  </si>
  <si>
    <t>- Cash &amp; Equivalents</t>
  </si>
  <si>
    <t>+ Preferred &amp; Other</t>
  </si>
  <si>
    <t>+ Total Debt</t>
  </si>
  <si>
    <t>Enterprise Value</t>
  </si>
  <si>
    <t>Revenue, Adj</t>
  </si>
  <si>
    <t xml:space="preserve">  Growth %, YoY</t>
  </si>
  <si>
    <t>Gross Profit, Adj</t>
  </si>
  <si>
    <t xml:space="preserve">  Margin %</t>
  </si>
  <si>
    <t>EBITDA, Adj</t>
  </si>
  <si>
    <t>Net Income, Adj</t>
  </si>
  <si>
    <t>EPS, Adj</t>
  </si>
  <si>
    <t>Cash from Operations</t>
  </si>
  <si>
    <t>Capital Expenditures</t>
  </si>
  <si>
    <t>Key Valuation Ratios</t>
  </si>
  <si>
    <t>Average price</t>
  </si>
  <si>
    <t>PX_VOLUME</t>
  </si>
  <si>
    <t>PX_LAST</t>
  </si>
  <si>
    <t>Date</t>
  </si>
  <si>
    <t>INR</t>
  </si>
  <si>
    <t>Currency</t>
  </si>
  <si>
    <t>D</t>
  </si>
  <si>
    <t>Period</t>
  </si>
  <si>
    <t>End Date</t>
  </si>
  <si>
    <t>Start Date</t>
  </si>
  <si>
    <t>start date</t>
  </si>
  <si>
    <t>end date</t>
  </si>
  <si>
    <t xml:space="preserve">VKI IN Equity                                                   </t>
  </si>
  <si>
    <t>Security</t>
  </si>
  <si>
    <t>P/E (x)</t>
  </si>
  <si>
    <t>P/BV (x)</t>
  </si>
  <si>
    <t>P/CF</t>
  </si>
  <si>
    <t>DIVIDEND</t>
  </si>
  <si>
    <t>Dividend Yield (%)</t>
  </si>
  <si>
    <t>EV/Sales (x)</t>
  </si>
  <si>
    <t>EV/EBITDA (x)</t>
  </si>
  <si>
    <t>EV/EBIT (x)</t>
  </si>
  <si>
    <t>EV/CE (x)</t>
  </si>
  <si>
    <t>Key Value Drivers</t>
  </si>
  <si>
    <t>Payout</t>
  </si>
  <si>
    <t>Capex/Revenue</t>
  </si>
  <si>
    <t>NWC/Revenue</t>
  </si>
  <si>
    <t>(Stock dividends+cash dividends)/net income</t>
  </si>
  <si>
    <t>Year ended March 31st</t>
  </si>
  <si>
    <t>Vakrangee Ltd (VKI IN) - By Measure SEGMENT</t>
  </si>
  <si>
    <t xml:space="preserve">  Vakrangee Kendra</t>
  </si>
  <si>
    <t xml:space="preserve">  E-Governance Projects</t>
  </si>
  <si>
    <t xml:space="preserve">  Reconciliation</t>
  </si>
  <si>
    <t xml:space="preserve">  Software &amp; Database Services</t>
  </si>
  <si>
    <t>Operating Income</t>
  </si>
  <si>
    <t>Interest Expense</t>
  </si>
  <si>
    <t>Interest Income</t>
  </si>
  <si>
    <t>Segment Profit</t>
  </si>
  <si>
    <t>Pretax Income</t>
  </si>
  <si>
    <t>Income Taxes</t>
  </si>
  <si>
    <t>Property/Plant/Equipment</t>
  </si>
  <si>
    <t>Goodwill</t>
  </si>
  <si>
    <t>Assets</t>
  </si>
  <si>
    <t>Long-Term Assets</t>
  </si>
  <si>
    <t>Liabilities</t>
  </si>
  <si>
    <t>Depreciation and Amortization</t>
  </si>
  <si>
    <t>Depreciation</t>
  </si>
  <si>
    <t>R&amp;D Expenses</t>
  </si>
  <si>
    <t>EV</t>
  </si>
  <si>
    <t>beta (1-10-2014 al 1-10-2017)</t>
  </si>
  <si>
    <t>S&amp;P bse sensex index</t>
  </si>
  <si>
    <t>VAKRANGEE</t>
  </si>
  <si>
    <t>ECLERX</t>
  </si>
  <si>
    <t>AURIONPRO SOLUTIONS LTD</t>
  </si>
  <si>
    <t>REDINGTON</t>
  </si>
  <si>
    <t>nifty 50</t>
  </si>
  <si>
    <t>Cost of equity da CAPM ---&gt;</t>
  </si>
  <si>
    <t xml:space="preserve">rf </t>
  </si>
  <si>
    <t>Average 10-year yield rate on Government of India</t>
  </si>
  <si>
    <t>bonds</t>
  </si>
  <si>
    <t>rm</t>
  </si>
  <si>
    <t>CAGR</t>
  </si>
  <si>
    <t>Rate</t>
  </si>
  <si>
    <t>Value</t>
  </si>
  <si>
    <t>Description</t>
  </si>
  <si>
    <t>Timeframe</t>
  </si>
  <si>
    <t>3 years</t>
  </si>
  <si>
    <t>5 years</t>
  </si>
  <si>
    <t>rm-rf</t>
  </si>
  <si>
    <t>Secondo caso studio</t>
  </si>
  <si>
    <t>Market rate of return was calculated on the basis of CAGR of the Nifty Index over the previous five years+</t>
  </si>
  <si>
    <t>Beta</t>
  </si>
  <si>
    <t>re</t>
  </si>
  <si>
    <t>Secondo Nifty con rm 5 anni e beta 3 anni</t>
  </si>
  <si>
    <t>Secondo Sensex con rm 5 anni e beta 3 anni</t>
  </si>
  <si>
    <t>FCFt = NOPATt – Δ Ct</t>
  </si>
  <si>
    <t>Plowback ratio</t>
  </si>
  <si>
    <t>ROC incr</t>
  </si>
  <si>
    <t>g = b ROCincr</t>
  </si>
  <si>
    <t>ROCincr t = (NOPATt -NOPATt-1 ) / Δ C t-1</t>
  </si>
  <si>
    <t>FCFt = (1- b) NOPATt</t>
  </si>
  <si>
    <t>WACC</t>
  </si>
  <si>
    <t>Terminal Value</t>
  </si>
  <si>
    <t>(INRm, %)</t>
  </si>
  <si>
    <t>2018E</t>
  </si>
  <si>
    <t>2019E</t>
  </si>
  <si>
    <t>2020E</t>
  </si>
  <si>
    <t>% growth</t>
  </si>
  <si>
    <t>% revenue</t>
  </si>
  <si>
    <t>Assumption</t>
  </si>
  <si>
    <t>Conservative estimate based on the 2017 value</t>
  </si>
  <si>
    <t>Conservative estimate based on the 2017 value, expected slowdown of growth in the long run based on low investments on previous years</t>
  </si>
  <si>
    <t>Delta Invested Capital</t>
  </si>
  <si>
    <t xml:space="preserve">Gross Profit </t>
  </si>
  <si>
    <t>Gross Profit</t>
  </si>
  <si>
    <t>A&amp;P</t>
  </si>
  <si>
    <t>SG&amp;A</t>
  </si>
  <si>
    <t>growth yoy (%)</t>
  </si>
  <si>
    <t>ROR</t>
  </si>
  <si>
    <t>Gross Margin</t>
  </si>
  <si>
    <t>Conservative estimate based on revenues growth</t>
  </si>
  <si>
    <t>Revenue CAGR 2017-2020 (%)</t>
  </si>
  <si>
    <t>Target EBIT margin 2020 (%)</t>
  </si>
  <si>
    <t>Cash flow projections</t>
  </si>
  <si>
    <t>Capex on sales (avg. 2017-2020) (%)</t>
  </si>
  <si>
    <t>D&amp;A. on sales (avg. 2017-2020) (%)</t>
  </si>
  <si>
    <t>12% target of capex as % revenue</t>
  </si>
  <si>
    <t>FCF</t>
  </si>
  <si>
    <t>DCF at 2017</t>
  </si>
  <si>
    <t>Time</t>
  </si>
  <si>
    <t>Discount rate</t>
  </si>
  <si>
    <t>Discounted FCF</t>
  </si>
  <si>
    <t>DFCF</t>
  </si>
  <si>
    <t>FCF Terminal Year (INR million)</t>
  </si>
  <si>
    <t>Terminal Growth</t>
  </si>
  <si>
    <t>Discounted Terminal Value</t>
  </si>
  <si>
    <t>Delta C2021</t>
  </si>
  <si>
    <t>Delta C2020</t>
  </si>
  <si>
    <t>NOPAT 2021</t>
  </si>
  <si>
    <t>NOPAT 2020</t>
  </si>
  <si>
    <t>b</t>
  </si>
  <si>
    <t>ROCincr</t>
  </si>
  <si>
    <t>Operating Activities Value</t>
  </si>
  <si>
    <t>Debt and Debt Equivalents</t>
  </si>
  <si>
    <t>Non-controlling interest</t>
  </si>
  <si>
    <t>Preferred stock</t>
  </si>
  <si>
    <t>Cash and Cash equivalents</t>
  </si>
  <si>
    <t>Equity Value</t>
  </si>
  <si>
    <t>Number of Shares</t>
  </si>
  <si>
    <t>Value per Share</t>
  </si>
  <si>
    <t>Scenario No.</t>
  </si>
  <si>
    <t>Desc</t>
  </si>
  <si>
    <t>Base Case</t>
  </si>
  <si>
    <t>Worst Case</t>
  </si>
  <si>
    <t xml:space="preserve">2018E </t>
  </si>
  <si>
    <t xml:space="preserve">Best Case </t>
  </si>
  <si>
    <t>2nd Best Case</t>
  </si>
  <si>
    <t>2nd Worst Case</t>
  </si>
  <si>
    <t>Select scenario</t>
  </si>
  <si>
    <t xml:space="preserve">EBIT EVOLUTION </t>
  </si>
  <si>
    <t>TARGET PRICE ESTIMATION 3 years explcit forecast</t>
  </si>
  <si>
    <t>EMBEDDED ASSUMPTIONS</t>
  </si>
  <si>
    <t>FREE CASH FLOW PROJECTIONS</t>
  </si>
  <si>
    <t>DCF AT 2017</t>
  </si>
  <si>
    <t>FORECAST PERIOD</t>
  </si>
  <si>
    <t>HISTORICAL PERIOD</t>
  </si>
  <si>
    <t>TARGET PRICE IDENTIFICATION</t>
  </si>
  <si>
    <t>SCENARIOS</t>
  </si>
  <si>
    <t>RECLASSIFICATION OF THE INCOME STATEMENT</t>
  </si>
  <si>
    <t xml:space="preserve">CASH FLOW </t>
  </si>
  <si>
    <t>KEY FINANCIALS</t>
  </si>
  <si>
    <t>KEY DCF</t>
  </si>
  <si>
    <t>KEY PROFITABILITY DRIVERS</t>
  </si>
  <si>
    <t>KEY VALUATION RATIOS</t>
  </si>
  <si>
    <t>KEY VALUE DRIVERS</t>
  </si>
  <si>
    <t>Eclerx</t>
  </si>
  <si>
    <t>Aurionpro</t>
  </si>
  <si>
    <t>Vakrangee</t>
  </si>
  <si>
    <t>EV/Revenue</t>
  </si>
  <si>
    <t>P/E</t>
  </si>
  <si>
    <t>Mantained a 30% NWC/Revenue</t>
  </si>
  <si>
    <t>Company Name</t>
  </si>
  <si>
    <t>Redington</t>
  </si>
  <si>
    <t>INR/Share</t>
  </si>
  <si>
    <t>Price</t>
  </si>
  <si>
    <t>(INRm)</t>
  </si>
  <si>
    <t>Earnings</t>
  </si>
  <si>
    <t>EV/EBITDA</t>
  </si>
  <si>
    <t>Market Data</t>
  </si>
  <si>
    <t>Financial Data</t>
  </si>
  <si>
    <t>Valuation</t>
  </si>
  <si>
    <t>(x)</t>
  </si>
  <si>
    <t>Average</t>
  </si>
  <si>
    <t>Median</t>
  </si>
  <si>
    <t>Market Multiples</t>
  </si>
  <si>
    <t>Valuation Multiples</t>
  </si>
  <si>
    <t>Price according to multiples</t>
  </si>
  <si>
    <t>Price according to DCF</t>
  </si>
  <si>
    <t>Target price</t>
  </si>
  <si>
    <t>D/D+E</t>
  </si>
  <si>
    <t>Cost of Debt</t>
  </si>
  <si>
    <t>Interest expenses/debt</t>
  </si>
  <si>
    <t>rd</t>
  </si>
  <si>
    <t>t</t>
  </si>
  <si>
    <t>Average tax rate</t>
  </si>
  <si>
    <t xml:space="preserve">Scenario No. </t>
  </si>
  <si>
    <t>Output Sheets:</t>
  </si>
  <si>
    <t>Estimate</t>
  </si>
  <si>
    <t>Analysis</t>
  </si>
  <si>
    <t>Ratios</t>
  </si>
  <si>
    <t>Input Sheets:</t>
  </si>
  <si>
    <t>Balance Sheet</t>
  </si>
  <si>
    <t>Income Statement</t>
  </si>
  <si>
    <t>Segment</t>
  </si>
  <si>
    <t>Cash Flow</t>
  </si>
  <si>
    <t>Key Fin</t>
  </si>
  <si>
    <t>Historical Prices</t>
  </si>
  <si>
    <t xml:space="preserve">Estimation of Vakrangee's value per share using different scenarios </t>
  </si>
  <si>
    <t>Reclassification of the Financial Report (Balance Sheet, Income Statement, Cash Flow Statement)</t>
  </si>
  <si>
    <t xml:space="preserve">Multiple Method Analysis and Target Price </t>
  </si>
  <si>
    <t>Terminal Year</t>
  </si>
  <si>
    <t>Re</t>
  </si>
  <si>
    <t>We assume 0 debt in the forecast period for all scenarios. We therefore use Re as discount rate</t>
  </si>
  <si>
    <t>We assume the presence of debt only for the continuation value</t>
  </si>
  <si>
    <t>Cost of equity and cost of debt estimation. The presence of debt is assumed only in the continuation value, not the forecast period</t>
  </si>
  <si>
    <t>This will be the discount rate for the forecast period as we assume 0 debt in all scenarios</t>
  </si>
  <si>
    <t>WACC for the continuation value. In the explicit forecast period we assume zero debt, in the continuation value we assumed different debt levels on different scenarios</t>
  </si>
  <si>
    <t>Source: Bloomberg</t>
  </si>
  <si>
    <t xml:space="preserve">Embedded DCF assumptions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</si>
</sst>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_-* #,##0.00\ _€_-;\-* #,##0.00\ _€_-;_-* &quot;-&quot;??\ _€_-;_-@_-"/>
    <numFmt numFmtId="166" formatCode="0.0%"/>
    <numFmt numFmtId="167" formatCode="0.000000%"/>
    <numFmt numFmtId="168" formatCode="0.000000000%"/>
    <numFmt numFmtId="169" formatCode="0.000000000000000%"/>
    <numFmt numFmtId="170" formatCode="0.000000000000000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indexed="9"/>
      <name val="Calibri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Arial Black"/>
      <family val="2"/>
    </font>
    <font>
      <sz val="9"/>
      <color theme="1"/>
      <name val="Arial Black"/>
      <family val="2"/>
    </font>
    <font>
      <b/>
      <i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6" fillId="33" borderId="12">
      <alignment horizontal="right"/>
    </xf>
    <xf numFmtId="0" fontId="17" fillId="34" borderId="0"/>
    <xf numFmtId="0" fontId="18" fillId="34" borderId="13" applyNumberFormat="0" applyProtection="0">
      <alignment horizontal="left" vertical="center" readingOrder="1"/>
    </xf>
    <xf numFmtId="0" fontId="19" fillId="33" borderId="0" applyNumberFormat="0" applyBorder="0" applyProtection="0">
      <alignment horizontal="center"/>
    </xf>
    <xf numFmtId="0" fontId="20" fillId="34" borderId="14">
      <alignment horizontal="left"/>
    </xf>
    <xf numFmtId="0" fontId="20" fillId="34" borderId="14">
      <alignment horizontal="right"/>
    </xf>
    <xf numFmtId="0" fontId="20" fillId="34" borderId="15">
      <alignment horizontal="left"/>
    </xf>
    <xf numFmtId="0" fontId="20" fillId="34" borderId="15">
      <alignment horizontal="right"/>
    </xf>
    <xf numFmtId="0" fontId="16" fillId="33" borderId="16"/>
    <xf numFmtId="164" fontId="16" fillId="35" borderId="12">
      <alignment horizontal="right"/>
    </xf>
    <xf numFmtId="0" fontId="21" fillId="33" borderId="16"/>
    <xf numFmtId="164" fontId="22" fillId="33" borderId="12">
      <alignment horizontal="right"/>
    </xf>
    <xf numFmtId="164" fontId="22" fillId="35" borderId="12">
      <alignment horizontal="right"/>
    </xf>
    <xf numFmtId="0" fontId="23" fillId="33" borderId="16"/>
    <xf numFmtId="164" fontId="24" fillId="33" borderId="12">
      <alignment horizontal="right"/>
    </xf>
    <xf numFmtId="164" fontId="24" fillId="35" borderId="12">
      <alignment horizontal="right"/>
    </xf>
    <xf numFmtId="3" fontId="16" fillId="33" borderId="12">
      <alignment horizontal="right"/>
    </xf>
    <xf numFmtId="3" fontId="16" fillId="35" borderId="12">
      <alignment horizontal="right"/>
    </xf>
    <xf numFmtId="4" fontId="16" fillId="33" borderId="12">
      <alignment horizontal="right"/>
    </xf>
    <xf numFmtId="4" fontId="16" fillId="35" borderId="12">
      <alignment horizontal="right"/>
    </xf>
    <xf numFmtId="3" fontId="22" fillId="33" borderId="12">
      <alignment horizontal="right"/>
    </xf>
    <xf numFmtId="3" fontId="22" fillId="35" borderId="12">
      <alignment horizontal="right"/>
    </xf>
    <xf numFmtId="4" fontId="22" fillId="33" borderId="12">
      <alignment horizontal="right"/>
    </xf>
    <xf numFmtId="4" fontId="22" fillId="35" borderId="12">
      <alignment horizontal="right"/>
    </xf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27" fillId="4" borderId="0" applyNumberFormat="0" applyBorder="0" applyAlignment="0" applyProtection="0"/>
    <xf numFmtId="0" fontId="26" fillId="0" borderId="0" applyNumberFormat="0" applyFill="0" applyBorder="0" applyAlignment="0" applyProtection="0"/>
    <xf numFmtId="22" fontId="28" fillId="0" borderId="0"/>
    <xf numFmtId="0" fontId="20" fillId="34" borderId="14">
      <alignment horizontal="centerContinuous"/>
    </xf>
    <xf numFmtId="0" fontId="20" fillId="34" borderId="15">
      <alignment horizontal="centerContinuous"/>
    </xf>
    <xf numFmtId="164" fontId="16" fillId="33" borderId="16">
      <alignment horizontal="right"/>
    </xf>
    <xf numFmtId="166" fontId="16" fillId="33" borderId="17">
      <alignment horizontal="right"/>
    </xf>
    <xf numFmtId="164" fontId="22" fillId="33" borderId="16">
      <alignment horizontal="right"/>
    </xf>
    <xf numFmtId="166" fontId="22" fillId="33" borderId="17">
      <alignment horizontal="right"/>
    </xf>
    <xf numFmtId="0" fontId="31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157">
    <xf numFmtId="0" fontId="0" fillId="0" borderId="0" xfId="0"/>
    <xf numFmtId="0" fontId="0" fillId="0" borderId="10" xfId="0" applyBorder="1"/>
    <xf numFmtId="0" fontId="0" fillId="0" borderId="11" xfId="0" applyBorder="1"/>
    <xf numFmtId="164" fontId="16" fillId="33" borderId="12" xfId="36">
      <alignment horizontal="right"/>
    </xf>
    <xf numFmtId="43" fontId="0" fillId="0" borderId="0" xfId="1" applyFont="1"/>
    <xf numFmtId="0" fontId="17" fillId="34" borderId="0" xfId="37"/>
    <xf numFmtId="0" fontId="18" fillId="34" borderId="13" xfId="38">
      <alignment horizontal="left" vertical="center" readingOrder="1"/>
    </xf>
    <xf numFmtId="0" fontId="19" fillId="33" borderId="0" xfId="39">
      <alignment horizontal="center"/>
    </xf>
    <xf numFmtId="0" fontId="20" fillId="34" borderId="14" xfId="40">
      <alignment horizontal="left"/>
    </xf>
    <xf numFmtId="0" fontId="20" fillId="34" borderId="14" xfId="41">
      <alignment horizontal="right"/>
    </xf>
    <xf numFmtId="0" fontId="20" fillId="34" borderId="15" xfId="42">
      <alignment horizontal="left"/>
    </xf>
    <xf numFmtId="0" fontId="20" fillId="34" borderId="15" xfId="43">
      <alignment horizontal="right"/>
    </xf>
    <xf numFmtId="0" fontId="16" fillId="33" borderId="16" xfId="44"/>
    <xf numFmtId="164" fontId="16" fillId="35" borderId="12" xfId="45">
      <alignment horizontal="right"/>
    </xf>
    <xf numFmtId="0" fontId="21" fillId="33" borderId="16" xfId="46"/>
    <xf numFmtId="164" fontId="22" fillId="33" borderId="12" xfId="47">
      <alignment horizontal="right"/>
    </xf>
    <xf numFmtId="164" fontId="22" fillId="35" borderId="12" xfId="48">
      <alignment horizontal="right"/>
    </xf>
    <xf numFmtId="0" fontId="23" fillId="33" borderId="16" xfId="49"/>
    <xf numFmtId="164" fontId="24" fillId="33" borderId="12" xfId="50">
      <alignment horizontal="right"/>
    </xf>
    <xf numFmtId="164" fontId="24" fillId="35" borderId="12" xfId="51">
      <alignment horizontal="right"/>
    </xf>
    <xf numFmtId="3" fontId="16" fillId="33" borderId="12" xfId="52">
      <alignment horizontal="right"/>
    </xf>
    <xf numFmtId="3" fontId="16" fillId="35" borderId="12" xfId="53">
      <alignment horizontal="right"/>
    </xf>
    <xf numFmtId="4" fontId="16" fillId="33" borderId="12" xfId="54">
      <alignment horizontal="right"/>
    </xf>
    <xf numFmtId="4" fontId="16" fillId="35" borderId="12" xfId="55">
      <alignment horizontal="right"/>
    </xf>
    <xf numFmtId="3" fontId="22" fillId="33" borderId="12" xfId="56">
      <alignment horizontal="right"/>
    </xf>
    <xf numFmtId="3" fontId="22" fillId="35" borderId="12" xfId="57">
      <alignment horizontal="right"/>
    </xf>
    <xf numFmtId="4" fontId="22" fillId="33" borderId="12" xfId="58">
      <alignment horizontal="right"/>
    </xf>
    <xf numFmtId="4" fontId="22" fillId="35" borderId="12" xfId="59">
      <alignment horizontal="right"/>
    </xf>
    <xf numFmtId="9" fontId="0" fillId="0" borderId="0" xfId="2" applyFont="1"/>
    <xf numFmtId="165" fontId="0" fillId="0" borderId="0" xfId="0" applyNumberFormat="1"/>
    <xf numFmtId="164" fontId="0" fillId="0" borderId="0" xfId="0" applyNumberFormat="1"/>
    <xf numFmtId="0" fontId="0" fillId="0" borderId="0" xfId="0" applyBorder="1"/>
    <xf numFmtId="43" fontId="0" fillId="0" borderId="0" xfId="0" applyNumberFormat="1"/>
    <xf numFmtId="9" fontId="0" fillId="0" borderId="0" xfId="0" applyNumberFormat="1"/>
    <xf numFmtId="0" fontId="25" fillId="0" borderId="0" xfId="0" applyFont="1"/>
    <xf numFmtId="0" fontId="0" fillId="0" borderId="0" xfId="0"/>
    <xf numFmtId="0" fontId="20" fillId="34" borderId="14" xfId="40" applyNumberFormat="1" applyFont="1" applyFill="1" applyBorder="1" applyAlignment="1" applyProtection="1">
      <alignment horizontal="left"/>
    </xf>
    <xf numFmtId="0" fontId="20" fillId="34" borderId="14" xfId="41" applyNumberFormat="1" applyFont="1" applyFill="1" applyBorder="1" applyAlignment="1" applyProtection="1">
      <alignment horizontal="right"/>
    </xf>
    <xf numFmtId="0" fontId="20" fillId="34" borderId="15" xfId="43" applyNumberFormat="1" applyFont="1" applyFill="1" applyBorder="1" applyAlignment="1" applyProtection="1">
      <alignment horizontal="right"/>
    </xf>
    <xf numFmtId="0" fontId="16" fillId="33" borderId="16" xfId="44" applyNumberFormat="1" applyFont="1" applyFill="1" applyBorder="1" applyAlignment="1" applyProtection="1"/>
    <xf numFmtId="0" fontId="20" fillId="34" borderId="15" xfId="42">
      <alignment horizontal="left"/>
    </xf>
    <xf numFmtId="0" fontId="21" fillId="33" borderId="16" xfId="46" applyNumberFormat="1" applyFont="1" applyFill="1" applyBorder="1" applyAlignment="1" applyProtection="1"/>
    <xf numFmtId="0" fontId="23" fillId="33" borderId="16" xfId="49" applyNumberFormat="1" applyFont="1" applyFill="1" applyBorder="1" applyAlignment="1" applyProtection="1"/>
    <xf numFmtId="164" fontId="22" fillId="33" borderId="12" xfId="47" applyNumberFormat="1" applyFont="1" applyFill="1" applyBorder="1" applyAlignment="1" applyProtection="1">
      <alignment horizontal="right"/>
    </xf>
    <xf numFmtId="164" fontId="22" fillId="35" borderId="12" xfId="48" applyNumberFormat="1" applyFont="1" applyFill="1" applyBorder="1" applyAlignment="1" applyProtection="1">
      <alignment horizontal="right"/>
    </xf>
    <xf numFmtId="3" fontId="16" fillId="33" borderId="12" xfId="52" applyNumberFormat="1" applyFont="1" applyFill="1" applyBorder="1" applyAlignment="1" applyProtection="1">
      <alignment horizontal="right"/>
    </xf>
    <xf numFmtId="164" fontId="16" fillId="33" borderId="12" xfId="36" applyNumberFormat="1" applyFont="1" applyFill="1" applyBorder="1" applyAlignment="1" applyProtection="1">
      <alignment horizontal="right"/>
    </xf>
    <xf numFmtId="4" fontId="16" fillId="33" borderId="12" xfId="54" applyNumberFormat="1" applyFont="1" applyFill="1" applyBorder="1" applyAlignment="1" applyProtection="1">
      <alignment horizontal="right"/>
    </xf>
    <xf numFmtId="3" fontId="16" fillId="35" borderId="12" xfId="53" applyNumberFormat="1" applyFont="1" applyFill="1" applyBorder="1" applyAlignment="1" applyProtection="1">
      <alignment horizontal="right"/>
    </xf>
    <xf numFmtId="164" fontId="16" fillId="35" borderId="12" xfId="45" applyNumberFormat="1" applyFont="1" applyFill="1" applyBorder="1" applyAlignment="1" applyProtection="1">
      <alignment horizontal="right"/>
    </xf>
    <xf numFmtId="4" fontId="16" fillId="35" borderId="12" xfId="55" applyNumberFormat="1" applyFont="1" applyFill="1" applyBorder="1" applyAlignment="1" applyProtection="1">
      <alignment horizontal="right"/>
    </xf>
    <xf numFmtId="164" fontId="24" fillId="33" borderId="12" xfId="50" applyNumberFormat="1" applyFont="1" applyFill="1" applyBorder="1" applyAlignment="1" applyProtection="1">
      <alignment horizontal="right"/>
    </xf>
    <xf numFmtId="164" fontId="24" fillId="35" borderId="12" xfId="51" applyNumberFormat="1" applyFont="1" applyFill="1" applyBorder="1" applyAlignment="1" applyProtection="1">
      <alignment horizontal="right"/>
    </xf>
    <xf numFmtId="14" fontId="0" fillId="0" borderId="0" xfId="0" applyNumberFormat="1"/>
    <xf numFmtId="2" fontId="0" fillId="0" borderId="0" xfId="0" applyNumberFormat="1"/>
    <xf numFmtId="22" fontId="28" fillId="0" borderId="0" xfId="68"/>
    <xf numFmtId="0" fontId="20" fillId="34" borderId="14" xfId="69">
      <alignment horizontal="centerContinuous"/>
    </xf>
    <xf numFmtId="0" fontId="20" fillId="34" borderId="15" xfId="70">
      <alignment horizontal="centerContinuous"/>
    </xf>
    <xf numFmtId="164" fontId="16" fillId="33" borderId="16" xfId="71">
      <alignment horizontal="right"/>
    </xf>
    <xf numFmtId="166" fontId="16" fillId="33" borderId="17" xfId="72">
      <alignment horizontal="right"/>
    </xf>
    <xf numFmtId="164" fontId="22" fillId="33" borderId="16" xfId="73">
      <alignment horizontal="right"/>
    </xf>
    <xf numFmtId="166" fontId="22" fillId="33" borderId="17" xfId="74">
      <alignment horizontal="right"/>
    </xf>
    <xf numFmtId="0" fontId="29" fillId="0" borderId="0" xfId="0" applyFont="1"/>
    <xf numFmtId="10" fontId="0" fillId="0" borderId="0" xfId="0" applyNumberForma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36" borderId="0" xfId="0" applyFill="1"/>
    <xf numFmtId="169" fontId="0" fillId="36" borderId="0" xfId="0" applyNumberFormat="1" applyFill="1"/>
    <xf numFmtId="10" fontId="0" fillId="36" borderId="0" xfId="0" applyNumberFormat="1" applyFill="1"/>
    <xf numFmtId="9" fontId="0" fillId="36" borderId="0" xfId="2" applyFont="1" applyFill="1"/>
    <xf numFmtId="168" fontId="0" fillId="36" borderId="0" xfId="0" applyNumberFormat="1" applyFill="1"/>
    <xf numFmtId="0" fontId="0" fillId="37" borderId="0" xfId="0" applyFill="1"/>
    <xf numFmtId="169" fontId="0" fillId="37" borderId="0" xfId="0" applyNumberFormat="1" applyFill="1"/>
    <xf numFmtId="10" fontId="0" fillId="37" borderId="0" xfId="0" applyNumberFormat="1" applyFill="1"/>
    <xf numFmtId="9" fontId="0" fillId="37" borderId="0" xfId="2" applyFont="1" applyFill="1"/>
    <xf numFmtId="168" fontId="0" fillId="37" borderId="0" xfId="0" applyNumberFormat="1" applyFill="1"/>
    <xf numFmtId="0" fontId="14" fillId="37" borderId="0" xfId="0" applyFont="1" applyFill="1"/>
    <xf numFmtId="0" fontId="14" fillId="36" borderId="0" xfId="0" applyFont="1" applyFill="1"/>
    <xf numFmtId="43" fontId="31" fillId="0" borderId="0" xfId="75" applyNumberFormat="1"/>
    <xf numFmtId="0" fontId="14" fillId="0" borderId="0" xfId="0" applyFont="1"/>
    <xf numFmtId="0" fontId="14" fillId="0" borderId="0" xfId="0" applyFont="1" applyBorder="1"/>
    <xf numFmtId="0" fontId="0" fillId="0" borderId="0" xfId="0" applyFont="1" applyBorder="1"/>
    <xf numFmtId="0" fontId="0" fillId="0" borderId="0" xfId="0" applyFill="1" applyBorder="1"/>
    <xf numFmtId="43" fontId="0" fillId="0" borderId="0" xfId="1" applyFont="1" applyBorder="1"/>
    <xf numFmtId="0" fontId="14" fillId="0" borderId="0" xfId="0" applyFont="1" applyFill="1" applyBorder="1"/>
    <xf numFmtId="0" fontId="0" fillId="0" borderId="11" xfId="0" applyFont="1" applyBorder="1"/>
    <xf numFmtId="165" fontId="14" fillId="0" borderId="0" xfId="0" applyNumberFormat="1" applyFont="1"/>
    <xf numFmtId="43" fontId="0" fillId="0" borderId="11" xfId="1" applyFont="1" applyBorder="1"/>
    <xf numFmtId="0" fontId="0" fillId="0" borderId="0" xfId="0" applyNumberFormat="1"/>
    <xf numFmtId="164" fontId="19" fillId="33" borderId="0" xfId="39" applyNumberFormat="1">
      <alignment horizontal="center"/>
    </xf>
    <xf numFmtId="0" fontId="0" fillId="0" borderId="0" xfId="0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wrapText="1"/>
    </xf>
    <xf numFmtId="0" fontId="0" fillId="39" borderId="0" xfId="0" applyFill="1" applyBorder="1"/>
    <xf numFmtId="0" fontId="15" fillId="40" borderId="0" xfId="0" applyFont="1" applyFill="1"/>
    <xf numFmtId="0" fontId="0" fillId="37" borderId="10" xfId="0" applyFill="1" applyBorder="1"/>
    <xf numFmtId="0" fontId="0" fillId="41" borderId="0" xfId="0" applyFill="1"/>
    <xf numFmtId="0" fontId="0" fillId="41" borderId="10" xfId="0" applyFill="1" applyBorder="1"/>
    <xf numFmtId="0" fontId="25" fillId="0" borderId="11" xfId="0" applyFont="1" applyBorder="1"/>
    <xf numFmtId="0" fontId="25" fillId="0" borderId="0" xfId="0" applyFont="1" applyBorder="1"/>
    <xf numFmtId="9" fontId="25" fillId="0" borderId="0" xfId="2" applyFont="1"/>
    <xf numFmtId="9" fontId="25" fillId="0" borderId="11" xfId="2" applyFont="1" applyBorder="1"/>
    <xf numFmtId="43" fontId="0" fillId="37" borderId="0" xfId="0" applyNumberFormat="1" applyFill="1"/>
    <xf numFmtId="9" fontId="25" fillId="37" borderId="0" xfId="2" applyFont="1" applyFill="1"/>
    <xf numFmtId="43" fontId="0" fillId="37" borderId="0" xfId="1" applyFont="1" applyFill="1"/>
    <xf numFmtId="9" fontId="0" fillId="37" borderId="11" xfId="2" applyFont="1" applyFill="1" applyBorder="1"/>
    <xf numFmtId="9" fontId="25" fillId="37" borderId="11" xfId="2" applyFont="1" applyFill="1" applyBorder="1"/>
    <xf numFmtId="165" fontId="0" fillId="37" borderId="0" xfId="0" applyNumberFormat="1" applyFill="1"/>
    <xf numFmtId="0" fontId="25" fillId="37" borderId="0" xfId="0" applyFont="1" applyFill="1"/>
    <xf numFmtId="43" fontId="0" fillId="37" borderId="11" xfId="0" applyNumberFormat="1" applyFill="1" applyBorder="1"/>
    <xf numFmtId="165" fontId="14" fillId="37" borderId="0" xfId="0" applyNumberFormat="1" applyFont="1" applyFill="1"/>
    <xf numFmtId="165" fontId="0" fillId="41" borderId="0" xfId="0" applyNumberFormat="1" applyFill="1"/>
    <xf numFmtId="9" fontId="25" fillId="41" borderId="0" xfId="2" applyFont="1" applyFill="1"/>
    <xf numFmtId="9" fontId="25" fillId="41" borderId="11" xfId="2" applyFont="1" applyFill="1" applyBorder="1"/>
    <xf numFmtId="165" fontId="0" fillId="41" borderId="11" xfId="0" applyNumberFormat="1" applyFill="1" applyBorder="1"/>
    <xf numFmtId="165" fontId="14" fillId="41" borderId="0" xfId="0" applyNumberFormat="1" applyFont="1" applyFill="1"/>
    <xf numFmtId="9" fontId="25" fillId="37" borderId="0" xfId="0" applyNumberFormat="1" applyFont="1" applyFill="1"/>
    <xf numFmtId="9" fontId="25" fillId="41" borderId="0" xfId="0" applyNumberFormat="1" applyFont="1" applyFill="1"/>
    <xf numFmtId="0" fontId="15" fillId="40" borderId="11" xfId="0" applyFont="1" applyFill="1" applyBorder="1"/>
    <xf numFmtId="0" fontId="25" fillId="0" borderId="0" xfId="0" applyFont="1" applyFill="1" applyBorder="1"/>
    <xf numFmtId="9" fontId="25" fillId="0" borderId="0" xfId="2" applyFont="1" applyBorder="1"/>
    <xf numFmtId="0" fontId="25" fillId="0" borderId="11" xfId="0" applyFont="1" applyFill="1" applyBorder="1"/>
    <xf numFmtId="165" fontId="25" fillId="0" borderId="0" xfId="0" applyNumberFormat="1" applyFont="1"/>
    <xf numFmtId="0" fontId="34" fillId="0" borderId="0" xfId="0" applyFont="1"/>
    <xf numFmtId="165" fontId="34" fillId="0" borderId="0" xfId="0" applyNumberFormat="1" applyFont="1"/>
    <xf numFmtId="0" fontId="0" fillId="38" borderId="0" xfId="0" applyFill="1"/>
    <xf numFmtId="0" fontId="25" fillId="38" borderId="0" xfId="0" applyFont="1" applyFill="1"/>
    <xf numFmtId="0" fontId="0" fillId="42" borderId="0" xfId="0" applyFill="1"/>
    <xf numFmtId="43" fontId="0" fillId="42" borderId="0" xfId="0" applyNumberFormat="1" applyFill="1"/>
    <xf numFmtId="43" fontId="14" fillId="37" borderId="0" xfId="0" applyNumberFormat="1" applyFont="1" applyFill="1"/>
    <xf numFmtId="0" fontId="0" fillId="43" borderId="0" xfId="0" applyFill="1"/>
    <xf numFmtId="9" fontId="25" fillId="0" borderId="0" xfId="2" applyNumberFormat="1" applyFont="1"/>
    <xf numFmtId="0" fontId="14" fillId="0" borderId="11" xfId="0" applyFont="1" applyBorder="1" applyAlignment="1">
      <alignment horizontal="center" wrapText="1"/>
    </xf>
    <xf numFmtId="0" fontId="32" fillId="38" borderId="0" xfId="0" applyFont="1" applyFill="1" applyAlignment="1">
      <alignment horizontal="center" textRotation="90"/>
    </xf>
    <xf numFmtId="166" fontId="0" fillId="0" borderId="0" xfId="2" applyNumberFormat="1" applyFont="1"/>
    <xf numFmtId="9" fontId="0" fillId="0" borderId="0" xfId="2" applyNumberFormat="1" applyFont="1"/>
    <xf numFmtId="0" fontId="0" fillId="0" borderId="0" xfId="0" applyAlignment="1">
      <alignment vertical="center"/>
    </xf>
    <xf numFmtId="0" fontId="0" fillId="44" borderId="0" xfId="0" applyFill="1"/>
    <xf numFmtId="0" fontId="0" fillId="45" borderId="0" xfId="0" applyFill="1"/>
    <xf numFmtId="0" fontId="0" fillId="46" borderId="0" xfId="0" applyFill="1"/>
    <xf numFmtId="0" fontId="15" fillId="40" borderId="0" xfId="0" applyFont="1" applyFill="1" applyAlignment="1">
      <alignment horizontal="center"/>
    </xf>
    <xf numFmtId="0" fontId="0" fillId="0" borderId="0" xfId="0" applyAlignment="1">
      <alignment horizontal="right"/>
    </xf>
    <xf numFmtId="165" fontId="0" fillId="43" borderId="0" xfId="0" applyNumberFormat="1" applyFill="1"/>
    <xf numFmtId="0" fontId="32" fillId="38" borderId="0" xfId="0" applyFont="1" applyFill="1" applyAlignment="1">
      <alignment horizontal="center" vertical="center" wrapText="1"/>
    </xf>
    <xf numFmtId="0" fontId="32" fillId="38" borderId="0" xfId="0" applyFont="1" applyFill="1" applyAlignment="1">
      <alignment horizontal="center" vertical="center"/>
    </xf>
    <xf numFmtId="0" fontId="32" fillId="38" borderId="0" xfId="0" applyFont="1" applyFill="1" applyAlignment="1">
      <alignment horizontal="center" vertical="center" textRotation="90"/>
    </xf>
    <xf numFmtId="0" fontId="33" fillId="38" borderId="0" xfId="0" applyFont="1" applyFill="1" applyAlignment="1">
      <alignment horizontal="center" textRotation="90" wrapText="1"/>
    </xf>
    <xf numFmtId="0" fontId="32" fillId="37" borderId="0" xfId="0" applyFont="1" applyFill="1" applyAlignment="1">
      <alignment horizontal="center" vertical="center"/>
    </xf>
    <xf numFmtId="0" fontId="32" fillId="41" borderId="0" xfId="0" applyFont="1" applyFill="1" applyBorder="1" applyAlignment="1">
      <alignment horizontal="center" vertical="center"/>
    </xf>
    <xf numFmtId="0" fontId="32" fillId="39" borderId="0" xfId="0" applyFont="1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32" fillId="38" borderId="0" xfId="0" applyFont="1" applyFill="1" applyAlignment="1">
      <alignment horizontal="center" vertical="center" textRotation="90" wrapText="1"/>
    </xf>
    <xf numFmtId="0" fontId="32" fillId="38" borderId="0" xfId="0" applyFont="1" applyFill="1" applyAlignment="1">
      <alignment horizontal="center" textRotation="90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 vertical="center" wrapText="1"/>
    </xf>
  </cellXfs>
  <cellStyles count="78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60" xr:uid="{8ED23F3C-4031-45E9-8663-FCFF0372F2FF}"/>
    <cellStyle name="60% - Accent2 2" xfId="61" xr:uid="{15925709-74FA-4430-809A-0813B8047A0A}"/>
    <cellStyle name="60% - Accent3 2" xfId="62" xr:uid="{5850B22D-8553-44A1-992B-79CD23ABD2D0}"/>
    <cellStyle name="60% - Accent4 2" xfId="63" xr:uid="{695631A1-0937-47C1-89BE-040109243CC1}"/>
    <cellStyle name="60% - Accent5 2" xfId="64" xr:uid="{9E9C73F9-3DDF-43AC-84FB-892A7FDAD3B1}"/>
    <cellStyle name="60% - Accent6 2" xfId="65" xr:uid="{7D6A2888-2EB1-40AD-B498-ADB6351380E7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blp_column_header" xfId="37" xr:uid="{23B26638-1883-46B6-A108-469321AD18AD}"/>
    <cellStyle name="blp_datetime" xfId="68" xr:uid="{C84D6C5E-B7FC-45E8-9BD9-A05FD7FE05A7}"/>
    <cellStyle name="blp_title_header_row_left" xfId="38" xr:uid="{6E273565-2999-449D-AC29-3A53D81BF8BA}"/>
    <cellStyle name="Calculation" xfId="11" builtinId="22" customBuiltin="1"/>
    <cellStyle name="Check Cell" xfId="13" builtinId="23" customBuiltin="1"/>
    <cellStyle name="Comma" xfId="1" builtinId="3"/>
    <cellStyle name="Comma 2" xfId="76" xr:uid="{C4907F2E-B2D6-4F9C-A18C-D2FB203ACDEA}"/>
    <cellStyle name="Explanatory Text" xfId="16" builtinId="53" customBuiltin="1"/>
    <cellStyle name="fa_column_header_bottom" xfId="43" xr:uid="{2EB4B7FC-FFB2-4D8D-8A0F-BB9F5E5CF80F}"/>
    <cellStyle name="fa_column_header_bottom_centered" xfId="70" xr:uid="{43C6AC28-B9F0-4048-97EE-6F513B7F6731}"/>
    <cellStyle name="fa_column_header_bottom_left" xfId="42" xr:uid="{F58B3902-DDD1-48D9-8564-439EB5FD0DA5}"/>
    <cellStyle name="fa_column_header_empty" xfId="39" xr:uid="{3DEB3308-B25B-48E2-B410-CC0B2AAD633D}"/>
    <cellStyle name="fa_column_header_top" xfId="41" xr:uid="{FF68680F-FAD2-4011-88CB-E60011B262B7}"/>
    <cellStyle name="fa_column_header_top_centered" xfId="69" xr:uid="{60B7B8F7-040D-4524-88D3-9C63EB368E12}"/>
    <cellStyle name="fa_column_header_top_left" xfId="40" xr:uid="{285F7A4B-2F86-41D0-92A1-8024D7E14A0C}"/>
    <cellStyle name="fa_data_bold_0_grouped" xfId="52" xr:uid="{FA1E6A19-A88D-4E2E-ADE4-BC9153C07CA1}"/>
    <cellStyle name="fa_data_bold_1_grouped" xfId="36" xr:uid="{9892BAD5-98A3-4840-8812-9EC1B666613A}"/>
    <cellStyle name="fa_data_bold_1_grouped_single_border" xfId="71" xr:uid="{BC75BAD3-6E90-4C54-91EE-01A516C9F702}"/>
    <cellStyle name="fa_data_bold_1_percent_single_border" xfId="72" xr:uid="{884AE5DD-C953-458D-96EC-D4DFE6F586AB}"/>
    <cellStyle name="fa_data_bold_2_grouped" xfId="54" xr:uid="{CFB842FF-D348-4C7C-AEB1-96842CBEDE73}"/>
    <cellStyle name="fa_data_current_bold_0_grouped" xfId="53" xr:uid="{009035B6-6E0C-4B07-95BD-B5BBE94DF126}"/>
    <cellStyle name="fa_data_current_bold_1_grouped" xfId="45" xr:uid="{850A51C4-8DF1-4F4E-B785-FF35F527FBC7}"/>
    <cellStyle name="fa_data_current_bold_2_grouped" xfId="55" xr:uid="{89B5C7C9-9C70-4087-92E5-50A3F5280D8A}"/>
    <cellStyle name="fa_data_current_italic_1_grouped" xfId="51" xr:uid="{DEB9ED5C-7348-45C9-B8C2-F51F26CCEFD8}"/>
    <cellStyle name="fa_data_current_standard_0_grouped" xfId="57" xr:uid="{50F97C93-53B3-411A-8988-95D8E1888B4C}"/>
    <cellStyle name="fa_data_current_standard_1_grouped" xfId="48" xr:uid="{0281B153-CEA5-4E41-B11E-C9544ADCC76B}"/>
    <cellStyle name="fa_data_current_standard_2_grouped" xfId="59" xr:uid="{45EE0A45-49DA-46E2-9220-BCBD36B5B460}"/>
    <cellStyle name="fa_data_italic_1_grouped" xfId="50" xr:uid="{FD21CABB-08E6-4112-B93A-6E08B654DB2C}"/>
    <cellStyle name="fa_data_standard_0_grouped" xfId="56" xr:uid="{AD4646F0-DA12-4D31-ACD5-4470F16557E1}"/>
    <cellStyle name="fa_data_standard_1_grouped" xfId="47" xr:uid="{F150C2A8-6168-4C3F-964A-F4DABEEF8FED}"/>
    <cellStyle name="fa_data_standard_1_grouped_single_border" xfId="73" xr:uid="{F019905F-C189-457A-98CD-55333D8AAC58}"/>
    <cellStyle name="fa_data_standard_1_percent_single_border" xfId="74" xr:uid="{D70543DC-EF6F-4C97-B7F1-480E55572094}"/>
    <cellStyle name="fa_data_standard_2_grouped" xfId="58" xr:uid="{A1E7AC02-7732-4A26-B6BD-851A1205E5C8}"/>
    <cellStyle name="fa_row_header_bold" xfId="44" xr:uid="{45CB85E1-60E3-48B8-BFD0-62AD213F8FD3}"/>
    <cellStyle name="fa_row_header_italic" xfId="49" xr:uid="{8DFC8497-142F-4D12-8B0E-7830D4ABE333}"/>
    <cellStyle name="fa_row_header_standard" xfId="46" xr:uid="{A60E863C-0556-459F-B0B2-02DA25076295}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66" xr:uid="{3E38ADD7-6DA9-41D0-9C35-69DA756F8FF2}"/>
    <cellStyle name="Normal" xfId="0" builtinId="0"/>
    <cellStyle name="Normal 2" xfId="75" xr:uid="{98733C47-DFC2-4B90-BB37-17291033BFA8}"/>
    <cellStyle name="Note" xfId="15" builtinId="10" customBuiltin="1"/>
    <cellStyle name="Output" xfId="10" builtinId="21" customBuiltin="1"/>
    <cellStyle name="Percent" xfId="2" builtinId="5"/>
    <cellStyle name="Percent 2" xfId="77" xr:uid="{8D93D06C-3B49-4C94-BE10-845D8AE43CF1}"/>
    <cellStyle name="Title 2" xfId="67" xr:uid="{D4738807-E6EE-4017-8347-6CF16D9ADD06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</xdr:row>
      <xdr:rowOff>114300</xdr:rowOff>
    </xdr:from>
    <xdr:to>
      <xdr:col>4</xdr:col>
      <xdr:colOff>38100</xdr:colOff>
      <xdr:row>4</xdr:row>
      <xdr:rowOff>139700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64220EC-0D85-4B5A-A410-B2E9FC76CA29}"/>
            </a:ext>
          </a:extLst>
        </xdr:cNvPr>
        <xdr:cNvSpPr/>
      </xdr:nvSpPr>
      <xdr:spPr>
        <a:xfrm>
          <a:off x="1917700" y="298450"/>
          <a:ext cx="558800" cy="577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E3BC-1AEA-46B6-9061-593C72A51401}">
  <sheetPr>
    <tabColor rgb="FFFFFF00"/>
  </sheetPr>
  <dimension ref="B2:C15"/>
  <sheetViews>
    <sheetView showGridLines="0" tabSelected="1" workbookViewId="0">
      <selection activeCell="C7" sqref="C7"/>
    </sheetView>
  </sheetViews>
  <sheetFormatPr defaultRowHeight="14.5" x14ac:dyDescent="0.35"/>
  <cols>
    <col min="2" max="2" width="13.26953125" bestFit="1" customWidth="1"/>
    <col min="5" max="5" width="16.08984375" bestFit="1" customWidth="1"/>
  </cols>
  <sheetData>
    <row r="2" spans="2:3" x14ac:dyDescent="0.35">
      <c r="B2" t="s">
        <v>473</v>
      </c>
    </row>
    <row r="3" spans="2:3" x14ac:dyDescent="0.35">
      <c r="B3" s="128" t="s">
        <v>474</v>
      </c>
      <c r="C3" t="s">
        <v>484</v>
      </c>
    </row>
    <row r="4" spans="2:3" x14ac:dyDescent="0.35">
      <c r="B4" s="138" t="s">
        <v>475</v>
      </c>
      <c r="C4" t="s">
        <v>485</v>
      </c>
    </row>
    <row r="5" spans="2:3" x14ac:dyDescent="0.35">
      <c r="B5" s="139" t="s">
        <v>476</v>
      </c>
      <c r="C5" t="s">
        <v>486</v>
      </c>
    </row>
    <row r="6" spans="2:3" x14ac:dyDescent="0.35">
      <c r="B6" s="140" t="s">
        <v>368</v>
      </c>
      <c r="C6" t="s">
        <v>491</v>
      </c>
    </row>
    <row r="9" spans="2:3" x14ac:dyDescent="0.35">
      <c r="B9" t="s">
        <v>477</v>
      </c>
    </row>
    <row r="10" spans="2:3" x14ac:dyDescent="0.35">
      <c r="B10" t="s">
        <v>478</v>
      </c>
    </row>
    <row r="11" spans="2:3" x14ac:dyDescent="0.35">
      <c r="B11" t="s">
        <v>479</v>
      </c>
    </row>
    <row r="12" spans="2:3" x14ac:dyDescent="0.35">
      <c r="B12" t="s">
        <v>480</v>
      </c>
    </row>
    <row r="13" spans="2:3" x14ac:dyDescent="0.35">
      <c r="B13" t="s">
        <v>481</v>
      </c>
    </row>
    <row r="14" spans="2:3" x14ac:dyDescent="0.35">
      <c r="B14" t="s">
        <v>482</v>
      </c>
    </row>
    <row r="15" spans="2:3" x14ac:dyDescent="0.35">
      <c r="B15" t="s">
        <v>483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7EDD-0C33-410B-BF37-DC8E57B501DC}">
  <dimension ref="A1:P22"/>
  <sheetViews>
    <sheetView workbookViewId="0">
      <selection activeCell="K25" sqref="K25"/>
    </sheetView>
  </sheetViews>
  <sheetFormatPr defaultRowHeight="14.5" x14ac:dyDescent="0.35"/>
  <cols>
    <col min="1" max="1" width="21.81640625" customWidth="1"/>
  </cols>
  <sheetData>
    <row r="1" spans="1:16" x14ac:dyDescent="0.35">
      <c r="A1" s="36" t="s">
        <v>8</v>
      </c>
      <c r="B1" s="37" t="s">
        <v>11</v>
      </c>
      <c r="C1" s="37" t="s">
        <v>12</v>
      </c>
      <c r="D1" s="37" t="s">
        <v>13</v>
      </c>
      <c r="E1" s="37" t="s">
        <v>0</v>
      </c>
      <c r="F1" s="37" t="s">
        <v>1</v>
      </c>
      <c r="G1" s="37" t="s">
        <v>2</v>
      </c>
      <c r="H1" s="37" t="s">
        <v>3</v>
      </c>
      <c r="I1" s="37" t="s">
        <v>4</v>
      </c>
      <c r="J1" s="37" t="s">
        <v>5</v>
      </c>
      <c r="K1" s="37" t="s">
        <v>6</v>
      </c>
      <c r="L1" s="37" t="s">
        <v>14</v>
      </c>
      <c r="M1" s="37" t="s">
        <v>15</v>
      </c>
      <c r="N1" s="37" t="s">
        <v>16</v>
      </c>
      <c r="O1" s="37" t="s">
        <v>17</v>
      </c>
      <c r="P1" s="37" t="s">
        <v>271</v>
      </c>
    </row>
    <row r="2" spans="1:16" x14ac:dyDescent="0.35">
      <c r="A2" s="40" t="s">
        <v>19</v>
      </c>
      <c r="B2" s="38" t="s">
        <v>20</v>
      </c>
      <c r="C2" s="38" t="s">
        <v>21</v>
      </c>
      <c r="D2" s="38" t="s">
        <v>22</v>
      </c>
      <c r="E2" s="38" t="s">
        <v>23</v>
      </c>
      <c r="F2" s="38" t="s">
        <v>24</v>
      </c>
      <c r="G2" s="38" t="s">
        <v>25</v>
      </c>
      <c r="H2" s="38" t="s">
        <v>26</v>
      </c>
      <c r="I2" s="38" t="s">
        <v>27</v>
      </c>
      <c r="J2" s="38" t="s">
        <v>28</v>
      </c>
      <c r="K2" s="38" t="s">
        <v>29</v>
      </c>
      <c r="L2" s="38" t="s">
        <v>30</v>
      </c>
      <c r="M2" s="38" t="s">
        <v>31</v>
      </c>
      <c r="N2" s="38" t="s">
        <v>32</v>
      </c>
      <c r="O2" s="38" t="s">
        <v>33</v>
      </c>
      <c r="P2" s="38" t="s">
        <v>34</v>
      </c>
    </row>
    <row r="3" spans="1:16" x14ac:dyDescent="0.35">
      <c r="A3" s="39" t="s">
        <v>272</v>
      </c>
      <c r="B3" s="46">
        <v>4252.4877999999999</v>
      </c>
      <c r="C3" s="46">
        <v>534.90409999999997</v>
      </c>
      <c r="D3" s="46">
        <v>2317.105</v>
      </c>
      <c r="E3" s="46">
        <v>8206.5545999999995</v>
      </c>
      <c r="F3" s="46">
        <v>138232.46</v>
      </c>
      <c r="G3" s="46">
        <v>33667.454400000002</v>
      </c>
      <c r="H3" s="46">
        <v>50222.3534</v>
      </c>
      <c r="I3" s="46">
        <v>51732.800199999998</v>
      </c>
      <c r="J3" s="46">
        <v>104860.1874</v>
      </c>
      <c r="K3" s="46">
        <v>174090.8664</v>
      </c>
      <c r="L3" s="46">
        <v>234366.0441</v>
      </c>
      <c r="M3" s="46">
        <v>53257.7909</v>
      </c>
      <c r="N3" s="46">
        <v>21082.179400000001</v>
      </c>
      <c r="O3" s="46">
        <v>59379.706299999998</v>
      </c>
      <c r="P3" s="49">
        <v>46931.669851999999</v>
      </c>
    </row>
    <row r="4" spans="1:16" x14ac:dyDescent="0.35">
      <c r="A4" s="41" t="s">
        <v>273</v>
      </c>
      <c r="B4" s="43">
        <v>44.204999999999998</v>
      </c>
      <c r="C4" s="43">
        <v>44.808999999999997</v>
      </c>
      <c r="D4" s="43">
        <v>48.939</v>
      </c>
      <c r="E4" s="43">
        <v>90.385999999999996</v>
      </c>
      <c r="F4" s="43">
        <v>58.350999999999999</v>
      </c>
      <c r="G4" s="43">
        <v>25.427</v>
      </c>
      <c r="H4" s="43">
        <v>25.803999999999998</v>
      </c>
      <c r="I4" s="43">
        <v>69.287999999999997</v>
      </c>
      <c r="J4" s="43">
        <v>1405.8440000000001</v>
      </c>
      <c r="K4" s="43">
        <v>5830.0029999999997</v>
      </c>
      <c r="L4" s="43">
        <v>7337.8029999999999</v>
      </c>
      <c r="M4" s="43">
        <v>277.01499999999999</v>
      </c>
      <c r="N4" s="43">
        <v>150.55000000000001</v>
      </c>
      <c r="O4" s="43">
        <v>81.858999999999995</v>
      </c>
      <c r="P4" s="44">
        <v>345.24700000000001</v>
      </c>
    </row>
    <row r="5" spans="1:16" x14ac:dyDescent="0.35">
      <c r="A5" s="41" t="s">
        <v>274</v>
      </c>
      <c r="B5" s="43">
        <v>0</v>
      </c>
      <c r="C5" s="43">
        <v>0</v>
      </c>
      <c r="D5" s="43">
        <v>0</v>
      </c>
      <c r="E5" s="43">
        <v>0</v>
      </c>
      <c r="F5" s="43">
        <v>28.501999999999999</v>
      </c>
      <c r="G5" s="43">
        <v>28.501999999999999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4">
        <v>0</v>
      </c>
    </row>
    <row r="6" spans="1:16" x14ac:dyDescent="0.35">
      <c r="A6" s="41" t="s">
        <v>275</v>
      </c>
      <c r="B6" s="43">
        <v>14.5</v>
      </c>
      <c r="C6" s="43">
        <v>224.541</v>
      </c>
      <c r="D6" s="43">
        <v>685.58399999999995</v>
      </c>
      <c r="E6" s="43">
        <v>1634.252</v>
      </c>
      <c r="F6" s="43">
        <v>3715.5050000000001</v>
      </c>
      <c r="G6" s="43">
        <v>4309.0370000000003</v>
      </c>
      <c r="H6" s="43">
        <v>4078.364</v>
      </c>
      <c r="I6" s="43">
        <v>3529.8</v>
      </c>
      <c r="J6" s="43">
        <v>2949.7020000000002</v>
      </c>
      <c r="K6" s="43">
        <v>1440.1890000000001</v>
      </c>
      <c r="L6" s="43">
        <v>0</v>
      </c>
      <c r="M6" s="43">
        <v>0</v>
      </c>
      <c r="N6" s="43">
        <v>0</v>
      </c>
      <c r="O6" s="43">
        <v>0</v>
      </c>
      <c r="P6" s="44">
        <v>0</v>
      </c>
    </row>
    <row r="7" spans="1:16" x14ac:dyDescent="0.35">
      <c r="A7" s="39" t="s">
        <v>276</v>
      </c>
      <c r="B7" s="46">
        <v>4222.7828</v>
      </c>
      <c r="C7" s="46">
        <v>714.63610000000006</v>
      </c>
      <c r="D7" s="46">
        <v>2953.75</v>
      </c>
      <c r="E7" s="46">
        <v>9750.4205999999995</v>
      </c>
      <c r="F7" s="46">
        <v>141918.11600000001</v>
      </c>
      <c r="G7" s="46">
        <v>37979.566400000003</v>
      </c>
      <c r="H7" s="46">
        <v>54274.913399999998</v>
      </c>
      <c r="I7" s="46">
        <v>55193.3122</v>
      </c>
      <c r="J7" s="46">
        <v>106404.0454</v>
      </c>
      <c r="K7" s="46">
        <v>169701.05239999999</v>
      </c>
      <c r="L7" s="46">
        <v>227028.24110000001</v>
      </c>
      <c r="M7" s="46">
        <v>52980.775900000001</v>
      </c>
      <c r="N7" s="46">
        <v>20931.629400000002</v>
      </c>
      <c r="O7" s="46">
        <v>59297.847300000001</v>
      </c>
      <c r="P7" s="49">
        <v>46586.422852000003</v>
      </c>
    </row>
    <row r="8" spans="1:16" x14ac:dyDescent="0.35">
      <c r="A8" s="39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</row>
    <row r="9" spans="1:16" x14ac:dyDescent="0.35">
      <c r="A9" s="39" t="s">
        <v>277</v>
      </c>
      <c r="B9" s="46">
        <v>2238.9839999999999</v>
      </c>
      <c r="C9" s="46">
        <v>2943.1880000000001</v>
      </c>
      <c r="D9" s="46">
        <v>4275.2619999999997</v>
      </c>
      <c r="E9" s="46">
        <v>8896.7710000000006</v>
      </c>
      <c r="F9" s="46">
        <v>13531.874</v>
      </c>
      <c r="G9" s="46">
        <v>15471.352999999999</v>
      </c>
      <c r="H9" s="46">
        <v>19519.017</v>
      </c>
      <c r="I9" s="46">
        <v>27804.793000000001</v>
      </c>
      <c r="J9" s="46">
        <v>31907.366000000002</v>
      </c>
      <c r="K9" s="46">
        <v>40004.637999999999</v>
      </c>
      <c r="L9" s="46">
        <v>65019.955999999998</v>
      </c>
      <c r="M9" s="46">
        <v>15082.269</v>
      </c>
      <c r="N9" s="46">
        <v>6852.2160000000003</v>
      </c>
      <c r="O9" s="46">
        <v>3142.9140000000002</v>
      </c>
      <c r="P9" s="49">
        <v>5374.2020000000002</v>
      </c>
    </row>
    <row r="10" spans="1:16" x14ac:dyDescent="0.35">
      <c r="A10" s="42" t="s">
        <v>278</v>
      </c>
      <c r="B10" s="51">
        <v>91.924700000000001</v>
      </c>
      <c r="C10" s="51">
        <v>31.451899999999998</v>
      </c>
      <c r="D10" s="51">
        <v>45.259599999999999</v>
      </c>
      <c r="E10" s="51">
        <v>108.0988</v>
      </c>
      <c r="F10" s="51">
        <v>52.098700000000001</v>
      </c>
      <c r="G10" s="51">
        <v>14.332699999999999</v>
      </c>
      <c r="H10" s="51">
        <v>26.162299999999998</v>
      </c>
      <c r="I10" s="51">
        <v>42.449800000000003</v>
      </c>
      <c r="J10" s="51">
        <v>14.754899999999999</v>
      </c>
      <c r="K10" s="51">
        <v>25.377400000000002</v>
      </c>
      <c r="L10" s="51">
        <v>62.530999999999999</v>
      </c>
      <c r="M10" s="51">
        <v>-76.803600000000003</v>
      </c>
      <c r="N10" s="51">
        <v>-54.567700000000002</v>
      </c>
      <c r="O10" s="51">
        <v>-54.132899999999999</v>
      </c>
      <c r="P10" s="52">
        <v>-1.33053725283992</v>
      </c>
    </row>
    <row r="11" spans="1:16" x14ac:dyDescent="0.35">
      <c r="A11" s="39" t="s">
        <v>279</v>
      </c>
      <c r="B11" s="46" t="s">
        <v>37</v>
      </c>
      <c r="C11" s="46" t="s">
        <v>37</v>
      </c>
      <c r="D11" s="46" t="s">
        <v>37</v>
      </c>
      <c r="E11" s="46" t="s">
        <v>37</v>
      </c>
      <c r="F11" s="46" t="s">
        <v>37</v>
      </c>
      <c r="G11" s="46" t="s">
        <v>37</v>
      </c>
      <c r="H11" s="46" t="s">
        <v>37</v>
      </c>
      <c r="I11" s="46" t="s">
        <v>37</v>
      </c>
      <c r="J11" s="46" t="s">
        <v>37</v>
      </c>
      <c r="K11" s="46" t="s">
        <v>37</v>
      </c>
      <c r="L11" s="46" t="s">
        <v>37</v>
      </c>
      <c r="M11" s="46" t="s">
        <v>37</v>
      </c>
      <c r="N11" s="46" t="s">
        <v>37</v>
      </c>
      <c r="O11" s="46" t="s">
        <v>37</v>
      </c>
      <c r="P11" s="49"/>
    </row>
    <row r="12" spans="1:16" x14ac:dyDescent="0.35">
      <c r="A12" s="42" t="s">
        <v>280</v>
      </c>
      <c r="B12" s="51" t="s">
        <v>37</v>
      </c>
      <c r="C12" s="51" t="s">
        <v>37</v>
      </c>
      <c r="D12" s="51" t="s">
        <v>37</v>
      </c>
      <c r="E12" s="51" t="s">
        <v>37</v>
      </c>
      <c r="F12" s="51" t="s">
        <v>37</v>
      </c>
      <c r="G12" s="51" t="s">
        <v>37</v>
      </c>
      <c r="H12" s="51" t="s">
        <v>37</v>
      </c>
      <c r="I12" s="51" t="s">
        <v>37</v>
      </c>
      <c r="J12" s="51" t="s">
        <v>37</v>
      </c>
      <c r="K12" s="51" t="s">
        <v>37</v>
      </c>
      <c r="L12" s="51" t="s">
        <v>37</v>
      </c>
      <c r="M12" s="51" t="s">
        <v>37</v>
      </c>
      <c r="N12" s="51" t="s">
        <v>37</v>
      </c>
      <c r="O12" s="51" t="s">
        <v>37</v>
      </c>
      <c r="P12" s="52"/>
    </row>
    <row r="13" spans="1:16" x14ac:dyDescent="0.35">
      <c r="A13" s="39" t="s">
        <v>281</v>
      </c>
      <c r="B13" s="46">
        <v>1017.691</v>
      </c>
      <c r="C13" s="46">
        <v>1127.4970000000001</v>
      </c>
      <c r="D13" s="46">
        <v>797.846</v>
      </c>
      <c r="E13" s="46">
        <v>1388.414</v>
      </c>
      <c r="F13" s="46">
        <v>2419.6979999999999</v>
      </c>
      <c r="G13" s="46">
        <v>3815.0059999999999</v>
      </c>
      <c r="H13" s="46">
        <v>5345.9989999999998</v>
      </c>
      <c r="I13" s="46">
        <v>7232.1949999999997</v>
      </c>
      <c r="J13" s="46">
        <v>8207.5149999999994</v>
      </c>
      <c r="K13" s="46">
        <v>9460.1</v>
      </c>
      <c r="L13" s="46">
        <v>10066.370000000001</v>
      </c>
      <c r="M13" s="46">
        <v>-198.94800000000001</v>
      </c>
      <c r="N13" s="46">
        <v>240.21</v>
      </c>
      <c r="O13" s="46">
        <v>281.08699999999999</v>
      </c>
      <c r="P13" s="49">
        <v>906.846</v>
      </c>
    </row>
    <row r="14" spans="1:16" x14ac:dyDescent="0.35">
      <c r="A14" s="42" t="s">
        <v>280</v>
      </c>
      <c r="B14" s="51">
        <v>45.453250224208801</v>
      </c>
      <c r="C14" s="51">
        <v>38.308697915321801</v>
      </c>
      <c r="D14" s="51">
        <v>18.661920602760699</v>
      </c>
      <c r="E14" s="51">
        <v>15.6058192348662</v>
      </c>
      <c r="F14" s="51">
        <v>17.8814700757633</v>
      </c>
      <c r="G14" s="51">
        <v>24.6585156450118</v>
      </c>
      <c r="H14" s="51">
        <v>27.388669214233499</v>
      </c>
      <c r="I14" s="51">
        <v>26.0106054377028</v>
      </c>
      <c r="J14" s="51">
        <v>25.722947484916201</v>
      </c>
      <c r="K14" s="51">
        <v>23.647508071439098</v>
      </c>
      <c r="L14" s="51">
        <v>15.4819698739876</v>
      </c>
      <c r="M14" s="51">
        <v>-1.3190853445194499</v>
      </c>
      <c r="N14" s="51">
        <v>3.5055812601354099</v>
      </c>
      <c r="O14" s="51">
        <v>8.9435154764018296</v>
      </c>
      <c r="P14" s="52">
        <v>16.8740586974587</v>
      </c>
    </row>
    <row r="15" spans="1:16" x14ac:dyDescent="0.35">
      <c r="A15" s="39" t="s">
        <v>282</v>
      </c>
      <c r="B15" s="46">
        <v>499.34</v>
      </c>
      <c r="C15" s="46">
        <v>372.15280000000001</v>
      </c>
      <c r="D15" s="46">
        <v>236.6729</v>
      </c>
      <c r="E15" s="46">
        <v>481.3245</v>
      </c>
      <c r="F15" s="46">
        <v>688.32339999999999</v>
      </c>
      <c r="G15" s="46">
        <v>1040.6043</v>
      </c>
      <c r="H15" s="46">
        <v>1750.4112</v>
      </c>
      <c r="I15" s="46">
        <v>3212.8937000000001</v>
      </c>
      <c r="J15" s="46">
        <v>3938.7914999999998</v>
      </c>
      <c r="K15" s="46">
        <v>5263.6643999999997</v>
      </c>
      <c r="L15" s="46">
        <v>6823.9966999999997</v>
      </c>
      <c r="M15" s="46">
        <v>264.68099999999998</v>
      </c>
      <c r="N15" s="46">
        <v>679.37670000000003</v>
      </c>
      <c r="O15" s="46">
        <v>628.93079999999998</v>
      </c>
      <c r="P15" s="49">
        <v>876.61098889160201</v>
      </c>
    </row>
    <row r="16" spans="1:16" x14ac:dyDescent="0.35">
      <c r="A16" s="42" t="s">
        <v>280</v>
      </c>
      <c r="B16" s="51">
        <v>22.302079871941899</v>
      </c>
      <c r="C16" s="51">
        <v>12.644547612996501</v>
      </c>
      <c r="D16" s="51">
        <v>5.5358693572464102</v>
      </c>
      <c r="E16" s="51">
        <v>5.4101038455412596</v>
      </c>
      <c r="F16" s="51">
        <v>5.0866816894688798</v>
      </c>
      <c r="G16" s="51">
        <v>6.7260070531646496</v>
      </c>
      <c r="H16" s="51">
        <v>8.9677221808864704</v>
      </c>
      <c r="I16" s="51">
        <v>11.5551794865008</v>
      </c>
      <c r="J16" s="51">
        <v>12.3444584582757</v>
      </c>
      <c r="K16" s="51">
        <v>13.1576353721786</v>
      </c>
      <c r="L16" s="51">
        <v>10.495234263154501</v>
      </c>
      <c r="M16" s="51">
        <v>1.75491499322814</v>
      </c>
      <c r="N16" s="51">
        <v>9.91470058737203</v>
      </c>
      <c r="O16" s="51">
        <v>20.0110725269606</v>
      </c>
      <c r="P16" s="52">
        <v>16.311463337098299</v>
      </c>
    </row>
    <row r="17" spans="1:16" x14ac:dyDescent="0.35">
      <c r="A17" s="39" t="s">
        <v>283</v>
      </c>
      <c r="B17" s="47" t="s">
        <v>37</v>
      </c>
      <c r="C17" s="47">
        <v>0.43480000000000002</v>
      </c>
      <c r="D17" s="47">
        <v>0.27639999999999998</v>
      </c>
      <c r="E17" s="47">
        <v>2.4199999999999999E-2</v>
      </c>
      <c r="F17" s="47">
        <v>3.4000000000000002E-2</v>
      </c>
      <c r="G17" s="47">
        <v>1.0174000000000001</v>
      </c>
      <c r="H17" s="47">
        <v>1.72</v>
      </c>
      <c r="I17" s="47">
        <v>3.0247999999999999</v>
      </c>
      <c r="J17" s="47">
        <v>3.7258</v>
      </c>
      <c r="K17" s="47">
        <v>4.9631999999999996</v>
      </c>
      <c r="L17" s="47">
        <v>6.4283000000000001</v>
      </c>
      <c r="M17" s="47">
        <v>0.25</v>
      </c>
      <c r="N17" s="47">
        <v>0.63849999999999996</v>
      </c>
      <c r="O17" s="47">
        <v>0.59099999999999997</v>
      </c>
      <c r="P17" s="50">
        <v>0.83</v>
      </c>
    </row>
    <row r="18" spans="1:16" x14ac:dyDescent="0.35">
      <c r="A18" s="42" t="s">
        <v>278</v>
      </c>
      <c r="B18" s="51" t="s">
        <v>37</v>
      </c>
      <c r="C18" s="51" t="s">
        <v>37</v>
      </c>
      <c r="D18" s="51">
        <v>-36.431206247872801</v>
      </c>
      <c r="E18" s="51">
        <v>-91.228565226828707</v>
      </c>
      <c r="F18" s="51">
        <v>40.212818609255102</v>
      </c>
      <c r="G18" s="51">
        <v>2892.65207671491</v>
      </c>
      <c r="H18" s="51">
        <v>69.059311055237799</v>
      </c>
      <c r="I18" s="51">
        <v>75.861972733388001</v>
      </c>
      <c r="J18" s="51">
        <v>23.175037994385701</v>
      </c>
      <c r="K18" s="51">
        <v>33.213457029860798</v>
      </c>
      <c r="L18" s="51">
        <v>29.5179143814523</v>
      </c>
      <c r="M18" s="51">
        <v>-96.111238845018605</v>
      </c>
      <c r="N18" s="51">
        <v>155.414211480072</v>
      </c>
      <c r="O18" s="51">
        <v>-7.4436911009934397</v>
      </c>
      <c r="P18" s="52">
        <v>12.1621621621622</v>
      </c>
    </row>
    <row r="19" spans="1:16" x14ac:dyDescent="0.35">
      <c r="A19" s="39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8"/>
    </row>
    <row r="20" spans="1:16" x14ac:dyDescent="0.35">
      <c r="A20" s="39" t="s">
        <v>284</v>
      </c>
      <c r="B20" s="46">
        <v>995.44799999999998</v>
      </c>
      <c r="C20" s="46">
        <v>111.551</v>
      </c>
      <c r="D20" s="46">
        <v>144.72399999999999</v>
      </c>
      <c r="E20" s="46">
        <v>-622.39400000000001</v>
      </c>
      <c r="F20" s="46">
        <v>1681.742</v>
      </c>
      <c r="G20" s="46">
        <v>-28.334</v>
      </c>
      <c r="H20" s="46">
        <v>1581.25</v>
      </c>
      <c r="I20" s="46">
        <v>-657.31799999999998</v>
      </c>
      <c r="J20" s="46">
        <v>2183.9380000000001</v>
      </c>
      <c r="K20" s="46">
        <v>6206.7349999999997</v>
      </c>
      <c r="L20" s="46">
        <v>5496.9440000000004</v>
      </c>
      <c r="M20" s="46">
        <v>-6316.3180000000002</v>
      </c>
      <c r="N20" s="46">
        <v>243.75</v>
      </c>
      <c r="O20" s="46">
        <v>388.55099999999999</v>
      </c>
      <c r="P20" s="49"/>
    </row>
    <row r="21" spans="1:16" x14ac:dyDescent="0.35">
      <c r="A21" s="39" t="s">
        <v>285</v>
      </c>
      <c r="B21" s="46">
        <v>-1480.7550000000001</v>
      </c>
      <c r="C21" s="46">
        <v>-810.47299999999996</v>
      </c>
      <c r="D21" s="46">
        <v>-641.22699999999998</v>
      </c>
      <c r="E21" s="46">
        <v>-604.64300000000003</v>
      </c>
      <c r="F21" s="46">
        <v>-3744.9029999999998</v>
      </c>
      <c r="G21" s="46">
        <v>-930.28800000000001</v>
      </c>
      <c r="H21" s="46">
        <v>-2283.8879999999999</v>
      </c>
      <c r="I21" s="46">
        <v>-43.610999999999997</v>
      </c>
      <c r="J21" s="46">
        <v>-133.55500000000001</v>
      </c>
      <c r="K21" s="46">
        <v>-111.56699999999999</v>
      </c>
      <c r="L21" s="46">
        <v>-711.84199999999998</v>
      </c>
      <c r="M21" s="46">
        <v>-723.68200000000002</v>
      </c>
      <c r="N21" s="46">
        <v>-215.00200000000001</v>
      </c>
      <c r="O21" s="46">
        <v>-213.297</v>
      </c>
      <c r="P21" s="49">
        <v>0</v>
      </c>
    </row>
    <row r="22" spans="1:16" x14ac:dyDescent="0.35">
      <c r="A22" s="39" t="s">
        <v>253</v>
      </c>
      <c r="B22" s="46">
        <v>-485.30700000000002</v>
      </c>
      <c r="C22" s="46">
        <v>-698.92200000000003</v>
      </c>
      <c r="D22" s="46">
        <v>-496.50299999999999</v>
      </c>
      <c r="E22" s="46">
        <v>-1227.037</v>
      </c>
      <c r="F22" s="46">
        <v>-2063.1610000000001</v>
      </c>
      <c r="G22" s="46">
        <v>-958.62199999999996</v>
      </c>
      <c r="H22" s="46">
        <v>-702.63800000000003</v>
      </c>
      <c r="I22" s="46">
        <v>-700.92899999999997</v>
      </c>
      <c r="J22" s="46">
        <v>2050.3829999999998</v>
      </c>
      <c r="K22" s="46">
        <v>6095.1679999999997</v>
      </c>
      <c r="L22" s="46">
        <v>4785.1019999999999</v>
      </c>
      <c r="M22" s="46">
        <v>-7040</v>
      </c>
      <c r="N22" s="46">
        <v>28.748000000000001</v>
      </c>
      <c r="O22" s="46">
        <v>175.25399999999999</v>
      </c>
      <c r="P22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FC2E-EB1F-45A0-B643-6449BD60A54D}">
  <dimension ref="A1:K1745"/>
  <sheetViews>
    <sheetView workbookViewId="0">
      <selection activeCell="J12" sqref="J12"/>
    </sheetView>
  </sheetViews>
  <sheetFormatPr defaultRowHeight="14.5" x14ac:dyDescent="0.35"/>
  <cols>
    <col min="1" max="1" width="10.7265625" style="35" bestFit="1" customWidth="1"/>
    <col min="2" max="2" width="16" style="35" bestFit="1" customWidth="1"/>
    <col min="3" max="3" width="9.1796875" style="35" bestFit="1" customWidth="1"/>
    <col min="4" max="4" width="12.08984375" style="35" bestFit="1" customWidth="1"/>
    <col min="5" max="7" width="10.453125" style="35" bestFit="1" customWidth="1"/>
    <col min="8" max="10" width="8.7265625" style="35"/>
    <col min="11" max="11" width="10.453125" style="35" bestFit="1" customWidth="1"/>
    <col min="12" max="16384" width="8.7265625" style="35"/>
  </cols>
  <sheetData>
    <row r="1" spans="1:11" x14ac:dyDescent="0.35">
      <c r="A1" s="35" t="s">
        <v>300</v>
      </c>
      <c r="B1" s="35" t="s">
        <v>299</v>
      </c>
      <c r="E1" s="35" t="s">
        <v>298</v>
      </c>
      <c r="F1" s="35" t="s">
        <v>297</v>
      </c>
    </row>
    <row r="2" spans="1:11" x14ac:dyDescent="0.35">
      <c r="A2" s="35" t="s">
        <v>296</v>
      </c>
      <c r="B2" s="55">
        <v>40543</v>
      </c>
      <c r="E2" s="53">
        <v>43098</v>
      </c>
      <c r="F2" s="53">
        <v>42737</v>
      </c>
    </row>
    <row r="3" spans="1:11" x14ac:dyDescent="0.35">
      <c r="A3" s="35" t="s">
        <v>295</v>
      </c>
      <c r="B3" s="55">
        <v>43102</v>
      </c>
      <c r="E3" s="53">
        <v>42733</v>
      </c>
      <c r="F3" s="53">
        <v>42371</v>
      </c>
    </row>
    <row r="4" spans="1:11" x14ac:dyDescent="0.35">
      <c r="A4" s="35" t="s">
        <v>294</v>
      </c>
      <c r="B4" s="35" t="s">
        <v>293</v>
      </c>
      <c r="E4" s="53">
        <v>42367</v>
      </c>
      <c r="F4" s="53">
        <v>42006</v>
      </c>
    </row>
    <row r="5" spans="1:11" x14ac:dyDescent="0.35">
      <c r="A5" s="35" t="s">
        <v>292</v>
      </c>
      <c r="B5" s="35" t="s">
        <v>291</v>
      </c>
      <c r="E5" s="53">
        <v>42002</v>
      </c>
      <c r="F5" s="53">
        <v>41641</v>
      </c>
    </row>
    <row r="6" spans="1:11" x14ac:dyDescent="0.35">
      <c r="E6" s="53">
        <v>41637</v>
      </c>
      <c r="F6" s="53">
        <v>41276</v>
      </c>
    </row>
    <row r="7" spans="1:11" x14ac:dyDescent="0.35">
      <c r="A7" s="35" t="s">
        <v>290</v>
      </c>
      <c r="B7" s="35" t="s">
        <v>289</v>
      </c>
      <c r="C7" s="35" t="s">
        <v>288</v>
      </c>
      <c r="E7" s="53">
        <v>41272</v>
      </c>
      <c r="F7" s="53">
        <v>40910</v>
      </c>
    </row>
    <row r="8" spans="1:11" x14ac:dyDescent="0.35">
      <c r="A8" s="53"/>
      <c r="E8" s="53">
        <v>40906</v>
      </c>
      <c r="F8" s="53">
        <v>40545</v>
      </c>
    </row>
    <row r="9" spans="1:11" x14ac:dyDescent="0.35">
      <c r="A9" s="53">
        <v>43101</v>
      </c>
      <c r="B9" s="35">
        <v>420.3</v>
      </c>
      <c r="C9" s="35">
        <v>522135</v>
      </c>
      <c r="E9" s="35">
        <v>2011</v>
      </c>
      <c r="F9" s="35">
        <v>2012</v>
      </c>
      <c r="G9" s="35">
        <v>2013</v>
      </c>
      <c r="H9" s="35">
        <v>2014</v>
      </c>
      <c r="I9" s="35">
        <v>2015</v>
      </c>
      <c r="J9" s="35">
        <v>2016</v>
      </c>
      <c r="K9" s="35">
        <v>2017</v>
      </c>
    </row>
    <row r="10" spans="1:11" x14ac:dyDescent="0.35">
      <c r="A10" s="53">
        <v>43098</v>
      </c>
      <c r="B10" s="35">
        <v>420.25</v>
      </c>
      <c r="C10" s="35">
        <v>1898937</v>
      </c>
      <c r="D10" s="35" t="s">
        <v>287</v>
      </c>
      <c r="E10" s="54">
        <f>SUMIFS(B10:B1745,A10:A1745, "&gt;="&amp;F8,A10:A1745,"&lt;="&amp;E8)/COUNTIFS(A10:A1745, "&gt;="&amp;F8,A10:A1745,"&lt;="&amp;E8)</f>
        <v>8.7079674796747941</v>
      </c>
      <c r="F10" s="54">
        <f>SUMIFS(B10:B1745,A10:A1745, "&gt;="&amp;F7,A10:A1745,"&lt;="&amp;E7)/COUNTIFS(A10:A1745, "&gt;="&amp;F7,A10:A1745,"&lt;="&amp;E7)</f>
        <v>18.94776000000002</v>
      </c>
      <c r="G10" s="54">
        <f>SUMIFS(B10:B1745,A10:A1745, "&gt;="&amp;F6,A10:A1745,"&lt;="&amp;E6)/COUNTIFS(A10:A1745, "&gt;="&amp;F6,A10:A1745,"&lt;="&amp;E6)</f>
        <v>36.358987854250977</v>
      </c>
      <c r="H10" s="54">
        <f>SUMIFS(B10:B1745,A10:A1745, "&gt;="&amp;F5,A10:A1745,"&lt;="&amp;E5)/COUNTIFS(A10:A1745, "&gt;="&amp;F5,A10:A1745,"&lt;="&amp;E5)</f>
        <v>58.042323651452271</v>
      </c>
      <c r="I10" s="54">
        <f>SUMIFS(B10:B1745,A10:A1745, "&gt;="&amp;F4,A10:A1745,"&lt;="&amp;E4)/COUNTIFS(A10:A1745, "&gt;="&amp;F4,A10:A1745,"&lt;="&amp;E4)</f>
        <v>64.895224489795893</v>
      </c>
      <c r="J10" s="54">
        <f>SUMIFS(B10:B1745,A10:A1745, "&gt;="&amp;F3,A10:A1745,"&lt;="&amp;E3)/COUNTIFS(A10:A1745, "&gt;="&amp;F3,A10:A1745,"&lt;="&amp;E3)</f>
        <v>105.3909795918368</v>
      </c>
      <c r="K10" s="54">
        <f>SUMIFS(B10:B1745,A10:A1745, "&gt;="&amp;F2,A10:A1745,"&lt;="&amp;E2)/COUNTIFS(A10:A1745, "&gt;="&amp;F2,A10:A1745,"&lt;="&amp;E2)</f>
        <v>223.39560483870972</v>
      </c>
    </row>
    <row r="11" spans="1:11" x14ac:dyDescent="0.35">
      <c r="A11" s="53">
        <v>43097</v>
      </c>
      <c r="B11" s="35">
        <v>415.25</v>
      </c>
      <c r="C11" s="35">
        <v>2512362</v>
      </c>
      <c r="K11" s="54"/>
    </row>
    <row r="12" spans="1:11" x14ac:dyDescent="0.35">
      <c r="A12" s="53">
        <v>43096</v>
      </c>
      <c r="B12" s="35">
        <v>413.7</v>
      </c>
      <c r="C12" s="35">
        <v>2692670</v>
      </c>
      <c r="G12" s="53">
        <v>42825</v>
      </c>
      <c r="I12" s="35">
        <f>VLOOKUP(G12,A9:B1745,2,FALSE)</f>
        <v>164.48</v>
      </c>
      <c r="K12" s="53"/>
    </row>
    <row r="13" spans="1:11" x14ac:dyDescent="0.35">
      <c r="A13" s="53">
        <v>43095</v>
      </c>
      <c r="B13" s="35">
        <v>427.3</v>
      </c>
      <c r="C13" s="35">
        <v>2925543</v>
      </c>
    </row>
    <row r="14" spans="1:11" x14ac:dyDescent="0.35">
      <c r="A14" s="53">
        <v>43091</v>
      </c>
      <c r="B14" s="35">
        <v>399.55</v>
      </c>
      <c r="C14" s="35">
        <v>1759231</v>
      </c>
      <c r="G14" s="53">
        <v>43039</v>
      </c>
      <c r="I14" s="35">
        <f>VLOOKUP(G14,A9:B1745,2,FALSE)</f>
        <v>281.14999999999998</v>
      </c>
    </row>
    <row r="15" spans="1:11" x14ac:dyDescent="0.35">
      <c r="A15" s="53">
        <v>43090</v>
      </c>
      <c r="B15" s="35">
        <v>392.05</v>
      </c>
      <c r="C15" s="35">
        <v>6855821</v>
      </c>
    </row>
    <row r="16" spans="1:11" x14ac:dyDescent="0.35">
      <c r="A16" s="53">
        <v>43089</v>
      </c>
      <c r="B16" s="35">
        <v>380.85</v>
      </c>
      <c r="C16" s="35">
        <v>5825834</v>
      </c>
    </row>
    <row r="17" spans="1:3" x14ac:dyDescent="0.35">
      <c r="A17" s="53">
        <v>43088</v>
      </c>
      <c r="B17" s="35">
        <v>381.2</v>
      </c>
      <c r="C17" s="35">
        <v>4344302</v>
      </c>
    </row>
    <row r="18" spans="1:3" x14ac:dyDescent="0.35">
      <c r="A18" s="53">
        <v>43087</v>
      </c>
      <c r="B18" s="35">
        <v>373.68</v>
      </c>
      <c r="C18" s="35">
        <v>3191294</v>
      </c>
    </row>
    <row r="19" spans="1:3" x14ac:dyDescent="0.35">
      <c r="A19" s="53">
        <v>43084</v>
      </c>
      <c r="B19" s="35">
        <v>372.73</v>
      </c>
      <c r="C19" s="35">
        <v>4960568</v>
      </c>
    </row>
    <row r="20" spans="1:3" x14ac:dyDescent="0.35">
      <c r="A20" s="53">
        <v>43083</v>
      </c>
      <c r="B20" s="35">
        <v>373.25</v>
      </c>
      <c r="C20" s="35">
        <v>3246750</v>
      </c>
    </row>
    <row r="21" spans="1:3" x14ac:dyDescent="0.35">
      <c r="A21" s="53">
        <v>43082</v>
      </c>
      <c r="B21" s="35">
        <v>372.63</v>
      </c>
      <c r="C21" s="35">
        <v>2157926</v>
      </c>
    </row>
    <row r="22" spans="1:3" x14ac:dyDescent="0.35">
      <c r="A22" s="53">
        <v>43081</v>
      </c>
      <c r="B22" s="35">
        <v>373.93</v>
      </c>
      <c r="C22" s="35">
        <v>3228754</v>
      </c>
    </row>
    <row r="23" spans="1:3" x14ac:dyDescent="0.35">
      <c r="A23" s="53">
        <v>43080</v>
      </c>
      <c r="B23" s="35">
        <v>381.27</v>
      </c>
      <c r="C23" s="35">
        <v>4014834</v>
      </c>
    </row>
    <row r="24" spans="1:3" x14ac:dyDescent="0.35">
      <c r="A24" s="53">
        <v>43077</v>
      </c>
      <c r="B24" s="35">
        <v>379.5</v>
      </c>
      <c r="C24" s="35">
        <v>11118056</v>
      </c>
    </row>
    <row r="25" spans="1:3" x14ac:dyDescent="0.35">
      <c r="A25" s="53">
        <v>43076</v>
      </c>
      <c r="B25" s="35">
        <v>372.18</v>
      </c>
      <c r="C25" s="35">
        <v>4009018</v>
      </c>
    </row>
    <row r="26" spans="1:3" x14ac:dyDescent="0.35">
      <c r="A26" s="53">
        <v>43075</v>
      </c>
      <c r="B26" s="35">
        <v>364.5</v>
      </c>
      <c r="C26" s="35">
        <v>4132370</v>
      </c>
    </row>
    <row r="27" spans="1:3" x14ac:dyDescent="0.35">
      <c r="A27" s="53">
        <v>43074</v>
      </c>
      <c r="B27" s="35">
        <v>374.38</v>
      </c>
      <c r="C27" s="35">
        <v>4918296</v>
      </c>
    </row>
    <row r="28" spans="1:3" x14ac:dyDescent="0.35">
      <c r="A28" s="53">
        <v>43073</v>
      </c>
      <c r="B28" s="35">
        <v>370.2</v>
      </c>
      <c r="C28" s="35">
        <v>5149984</v>
      </c>
    </row>
    <row r="29" spans="1:3" x14ac:dyDescent="0.35">
      <c r="A29" s="53">
        <v>43070</v>
      </c>
      <c r="B29" s="35">
        <v>356.4</v>
      </c>
      <c r="C29" s="35">
        <v>16252062</v>
      </c>
    </row>
    <row r="30" spans="1:3" x14ac:dyDescent="0.35">
      <c r="A30" s="53">
        <v>43069</v>
      </c>
      <c r="B30" s="35">
        <v>356.75</v>
      </c>
      <c r="C30" s="35">
        <v>62748768</v>
      </c>
    </row>
    <row r="31" spans="1:3" x14ac:dyDescent="0.35">
      <c r="A31" s="53">
        <v>43068</v>
      </c>
      <c r="B31" s="35">
        <v>351.1</v>
      </c>
      <c r="C31" s="35">
        <v>6479502</v>
      </c>
    </row>
    <row r="32" spans="1:3" x14ac:dyDescent="0.35">
      <c r="A32" s="53">
        <v>43067</v>
      </c>
      <c r="B32" s="35">
        <v>351.07</v>
      </c>
      <c r="C32" s="35">
        <v>5164664</v>
      </c>
    </row>
    <row r="33" spans="1:3" x14ac:dyDescent="0.35">
      <c r="A33" s="53">
        <v>43066</v>
      </c>
      <c r="B33" s="35">
        <v>359.8</v>
      </c>
      <c r="C33" s="35">
        <v>7488818</v>
      </c>
    </row>
    <row r="34" spans="1:3" x14ac:dyDescent="0.35">
      <c r="A34" s="53">
        <v>43063</v>
      </c>
      <c r="B34" s="35">
        <v>355.65</v>
      </c>
      <c r="C34" s="35">
        <v>11370178</v>
      </c>
    </row>
    <row r="35" spans="1:3" x14ac:dyDescent="0.35">
      <c r="A35" s="53">
        <v>43062</v>
      </c>
      <c r="B35" s="35">
        <v>352.18</v>
      </c>
      <c r="C35" s="35">
        <v>15605308</v>
      </c>
    </row>
    <row r="36" spans="1:3" x14ac:dyDescent="0.35">
      <c r="A36" s="53">
        <v>43061</v>
      </c>
      <c r="B36" s="35">
        <v>352.85</v>
      </c>
      <c r="C36" s="35">
        <v>6414746</v>
      </c>
    </row>
    <row r="37" spans="1:3" x14ac:dyDescent="0.35">
      <c r="A37" s="53">
        <v>43060</v>
      </c>
      <c r="B37" s="35">
        <v>353.43</v>
      </c>
      <c r="C37" s="35">
        <v>9527668</v>
      </c>
    </row>
    <row r="38" spans="1:3" x14ac:dyDescent="0.35">
      <c r="A38" s="53">
        <v>43059</v>
      </c>
      <c r="B38" s="35">
        <v>347.23</v>
      </c>
      <c r="C38" s="35">
        <v>6863028</v>
      </c>
    </row>
    <row r="39" spans="1:3" x14ac:dyDescent="0.35">
      <c r="A39" s="53">
        <v>43056</v>
      </c>
      <c r="B39" s="35">
        <v>329.27</v>
      </c>
      <c r="C39" s="35">
        <v>4348184</v>
      </c>
    </row>
    <row r="40" spans="1:3" x14ac:dyDescent="0.35">
      <c r="A40" s="53">
        <v>43055</v>
      </c>
      <c r="B40" s="35">
        <v>327</v>
      </c>
      <c r="C40" s="35">
        <v>4965592</v>
      </c>
    </row>
    <row r="41" spans="1:3" x14ac:dyDescent="0.35">
      <c r="A41" s="53">
        <v>43054</v>
      </c>
      <c r="B41" s="35">
        <v>322.73</v>
      </c>
      <c r="C41" s="35">
        <v>7390850</v>
      </c>
    </row>
    <row r="42" spans="1:3" x14ac:dyDescent="0.35">
      <c r="A42" s="53">
        <v>43053</v>
      </c>
      <c r="B42" s="35">
        <v>324.95</v>
      </c>
      <c r="C42" s="35">
        <v>11169974</v>
      </c>
    </row>
    <row r="43" spans="1:3" x14ac:dyDescent="0.35">
      <c r="A43" s="53">
        <v>43052</v>
      </c>
      <c r="B43" s="35">
        <v>309.23</v>
      </c>
      <c r="C43" s="35">
        <v>7376856</v>
      </c>
    </row>
    <row r="44" spans="1:3" x14ac:dyDescent="0.35">
      <c r="A44" s="53">
        <v>43049</v>
      </c>
      <c r="B44" s="35">
        <v>296.13</v>
      </c>
      <c r="C44" s="35">
        <v>5460802</v>
      </c>
    </row>
    <row r="45" spans="1:3" x14ac:dyDescent="0.35">
      <c r="A45" s="53">
        <v>43048</v>
      </c>
      <c r="B45" s="35">
        <v>294.05</v>
      </c>
      <c r="C45" s="35">
        <v>6043118</v>
      </c>
    </row>
    <row r="46" spans="1:3" x14ac:dyDescent="0.35">
      <c r="A46" s="53">
        <v>43047</v>
      </c>
      <c r="B46" s="35">
        <v>277.64999999999998</v>
      </c>
      <c r="C46" s="35">
        <v>5517616</v>
      </c>
    </row>
    <row r="47" spans="1:3" x14ac:dyDescent="0.35">
      <c r="A47" s="53">
        <v>43046</v>
      </c>
      <c r="B47" s="35">
        <v>279.18</v>
      </c>
      <c r="C47" s="35">
        <v>3888878</v>
      </c>
    </row>
    <row r="48" spans="1:3" x14ac:dyDescent="0.35">
      <c r="A48" s="53">
        <v>43045</v>
      </c>
      <c r="B48" s="35">
        <v>275</v>
      </c>
      <c r="C48" s="35">
        <v>3436888</v>
      </c>
    </row>
    <row r="49" spans="1:3" x14ac:dyDescent="0.35">
      <c r="A49" s="53">
        <v>43042</v>
      </c>
      <c r="B49" s="35">
        <v>263.73</v>
      </c>
      <c r="C49" s="35">
        <v>6046660</v>
      </c>
    </row>
    <row r="50" spans="1:3" x14ac:dyDescent="0.35">
      <c r="A50" s="53">
        <v>43041</v>
      </c>
      <c r="B50" s="35">
        <v>271.3</v>
      </c>
      <c r="C50" s="35">
        <v>4323046</v>
      </c>
    </row>
    <row r="51" spans="1:3" x14ac:dyDescent="0.35">
      <c r="A51" s="53">
        <v>43040</v>
      </c>
      <c r="B51" s="35">
        <v>274.98</v>
      </c>
      <c r="C51" s="35">
        <v>3258706</v>
      </c>
    </row>
    <row r="52" spans="1:3" x14ac:dyDescent="0.35">
      <c r="A52" s="53">
        <v>43039</v>
      </c>
      <c r="B52" s="35">
        <v>281.14999999999998</v>
      </c>
      <c r="C52" s="35">
        <v>4085536</v>
      </c>
    </row>
    <row r="53" spans="1:3" x14ac:dyDescent="0.35">
      <c r="A53" s="53">
        <v>43038</v>
      </c>
      <c r="B53" s="35">
        <v>269.14999999999998</v>
      </c>
      <c r="C53" s="35">
        <v>1617704</v>
      </c>
    </row>
    <row r="54" spans="1:3" x14ac:dyDescent="0.35">
      <c r="A54" s="53">
        <v>43035</v>
      </c>
      <c r="B54" s="35">
        <v>268.52</v>
      </c>
      <c r="C54" s="35">
        <v>2134834</v>
      </c>
    </row>
    <row r="55" spans="1:3" x14ac:dyDescent="0.35">
      <c r="A55" s="53">
        <v>43034</v>
      </c>
      <c r="B55" s="35">
        <v>274.10000000000002</v>
      </c>
      <c r="C55" s="35">
        <v>5076588</v>
      </c>
    </row>
    <row r="56" spans="1:3" x14ac:dyDescent="0.35">
      <c r="A56" s="53">
        <v>43033</v>
      </c>
      <c r="B56" s="35">
        <v>274.43</v>
      </c>
      <c r="C56" s="35">
        <v>1507328</v>
      </c>
    </row>
    <row r="57" spans="1:3" x14ac:dyDescent="0.35">
      <c r="A57" s="53">
        <v>43032</v>
      </c>
      <c r="B57" s="35">
        <v>274.64999999999998</v>
      </c>
      <c r="C57" s="35">
        <v>1180442</v>
      </c>
    </row>
    <row r="58" spans="1:3" x14ac:dyDescent="0.35">
      <c r="A58" s="53">
        <v>43031</v>
      </c>
      <c r="B58" s="35">
        <v>276.32</v>
      </c>
      <c r="C58" s="35">
        <v>3365864</v>
      </c>
    </row>
    <row r="59" spans="1:3" x14ac:dyDescent="0.35">
      <c r="A59" s="53">
        <v>43027</v>
      </c>
      <c r="B59" s="35">
        <v>271.27</v>
      </c>
      <c r="C59" s="35">
        <v>487626</v>
      </c>
    </row>
    <row r="60" spans="1:3" x14ac:dyDescent="0.35">
      <c r="A60" s="53">
        <v>43026</v>
      </c>
      <c r="B60" s="35">
        <v>272.5</v>
      </c>
      <c r="C60" s="35">
        <v>2616080</v>
      </c>
    </row>
    <row r="61" spans="1:3" x14ac:dyDescent="0.35">
      <c r="A61" s="53">
        <v>43025</v>
      </c>
      <c r="B61" s="35">
        <v>269.63</v>
      </c>
      <c r="C61" s="35">
        <v>5017872</v>
      </c>
    </row>
    <row r="62" spans="1:3" x14ac:dyDescent="0.35">
      <c r="A62" s="53">
        <v>43024</v>
      </c>
      <c r="B62" s="35">
        <v>250.93</v>
      </c>
      <c r="C62" s="35">
        <v>1410814</v>
      </c>
    </row>
    <row r="63" spans="1:3" x14ac:dyDescent="0.35">
      <c r="A63" s="53">
        <v>43021</v>
      </c>
      <c r="B63" s="35">
        <v>252.53</v>
      </c>
      <c r="C63" s="35">
        <v>3066732</v>
      </c>
    </row>
    <row r="64" spans="1:3" x14ac:dyDescent="0.35">
      <c r="A64" s="53">
        <v>43020</v>
      </c>
      <c r="B64" s="35">
        <v>252.95</v>
      </c>
      <c r="C64" s="35">
        <v>3122290</v>
      </c>
    </row>
    <row r="65" spans="1:3" x14ac:dyDescent="0.35">
      <c r="A65" s="53">
        <v>43019</v>
      </c>
      <c r="B65" s="35">
        <v>252.15</v>
      </c>
      <c r="C65" s="35">
        <v>2233170</v>
      </c>
    </row>
    <row r="66" spans="1:3" x14ac:dyDescent="0.35">
      <c r="A66" s="53">
        <v>43018</v>
      </c>
      <c r="B66" s="35">
        <v>252.57</v>
      </c>
      <c r="C66" s="35">
        <v>2635806</v>
      </c>
    </row>
    <row r="67" spans="1:3" x14ac:dyDescent="0.35">
      <c r="A67" s="53">
        <v>43017</v>
      </c>
      <c r="B67" s="35">
        <v>246.9</v>
      </c>
      <c r="C67" s="35">
        <v>1727626</v>
      </c>
    </row>
    <row r="68" spans="1:3" x14ac:dyDescent="0.35">
      <c r="A68" s="53">
        <v>43014</v>
      </c>
      <c r="B68" s="35">
        <v>243</v>
      </c>
      <c r="C68" s="35">
        <v>1277866</v>
      </c>
    </row>
    <row r="69" spans="1:3" x14ac:dyDescent="0.35">
      <c r="A69" s="53">
        <v>43013</v>
      </c>
      <c r="B69" s="35">
        <v>247</v>
      </c>
      <c r="C69" s="35">
        <v>1128582</v>
      </c>
    </row>
    <row r="70" spans="1:3" x14ac:dyDescent="0.35">
      <c r="A70" s="53">
        <v>43012</v>
      </c>
      <c r="B70" s="35">
        <v>246.35</v>
      </c>
      <c r="C70" s="35">
        <v>731336</v>
      </c>
    </row>
    <row r="71" spans="1:3" x14ac:dyDescent="0.35">
      <c r="A71" s="53">
        <v>43011</v>
      </c>
      <c r="B71" s="35">
        <v>247.38</v>
      </c>
      <c r="C71" s="35">
        <v>1935094</v>
      </c>
    </row>
    <row r="72" spans="1:3" x14ac:dyDescent="0.35">
      <c r="A72" s="53">
        <v>43007</v>
      </c>
      <c r="B72" s="35">
        <v>247</v>
      </c>
      <c r="C72" s="35">
        <v>1693254</v>
      </c>
    </row>
    <row r="73" spans="1:3" x14ac:dyDescent="0.35">
      <c r="A73" s="53">
        <v>43006</v>
      </c>
      <c r="B73" s="35">
        <v>250.75</v>
      </c>
      <c r="C73" s="35">
        <v>1904644</v>
      </c>
    </row>
    <row r="74" spans="1:3" x14ac:dyDescent="0.35">
      <c r="A74" s="53">
        <v>43005</v>
      </c>
      <c r="B74" s="35">
        <v>243.15</v>
      </c>
      <c r="C74" s="35">
        <v>4147488</v>
      </c>
    </row>
    <row r="75" spans="1:3" x14ac:dyDescent="0.35">
      <c r="A75" s="53">
        <v>43004</v>
      </c>
      <c r="B75" s="35">
        <v>246.53</v>
      </c>
      <c r="C75" s="35">
        <v>1682910</v>
      </c>
    </row>
    <row r="76" spans="1:3" x14ac:dyDescent="0.35">
      <c r="A76" s="53">
        <v>43003</v>
      </c>
      <c r="B76" s="35">
        <v>249.25</v>
      </c>
      <c r="C76" s="35">
        <v>1943688</v>
      </c>
    </row>
    <row r="77" spans="1:3" x14ac:dyDescent="0.35">
      <c r="A77" s="53">
        <v>43000</v>
      </c>
      <c r="B77" s="35">
        <v>256.63</v>
      </c>
      <c r="C77" s="35">
        <v>1352002</v>
      </c>
    </row>
    <row r="78" spans="1:3" x14ac:dyDescent="0.35">
      <c r="A78" s="53">
        <v>42999</v>
      </c>
      <c r="B78" s="35">
        <v>254.88</v>
      </c>
      <c r="C78" s="35">
        <v>1817512</v>
      </c>
    </row>
    <row r="79" spans="1:3" x14ac:dyDescent="0.35">
      <c r="A79" s="53">
        <v>42998</v>
      </c>
      <c r="B79" s="35">
        <v>254.9</v>
      </c>
      <c r="C79" s="35">
        <v>1559866</v>
      </c>
    </row>
    <row r="80" spans="1:3" x14ac:dyDescent="0.35">
      <c r="A80" s="53">
        <v>42997</v>
      </c>
      <c r="B80" s="35">
        <v>257.27</v>
      </c>
      <c r="C80" s="35">
        <v>5601880</v>
      </c>
    </row>
    <row r="81" spans="1:3" x14ac:dyDescent="0.35">
      <c r="A81" s="53">
        <v>42996</v>
      </c>
      <c r="B81" s="35">
        <v>254.45</v>
      </c>
      <c r="C81" s="35">
        <v>2598288</v>
      </c>
    </row>
    <row r="82" spans="1:3" x14ac:dyDescent="0.35">
      <c r="A82" s="53">
        <v>42993</v>
      </c>
      <c r="B82" s="35">
        <v>250.38</v>
      </c>
      <c r="C82" s="35">
        <v>10044342</v>
      </c>
    </row>
    <row r="83" spans="1:3" x14ac:dyDescent="0.35">
      <c r="A83" s="53">
        <v>42992</v>
      </c>
      <c r="B83" s="35">
        <v>243.28</v>
      </c>
      <c r="C83" s="35">
        <v>9142486</v>
      </c>
    </row>
    <row r="84" spans="1:3" x14ac:dyDescent="0.35">
      <c r="A84" s="53">
        <v>42991</v>
      </c>
      <c r="B84" s="35">
        <v>239.4</v>
      </c>
      <c r="C84" s="35">
        <v>3889018</v>
      </c>
    </row>
    <row r="85" spans="1:3" x14ac:dyDescent="0.35">
      <c r="A85" s="53">
        <v>42990</v>
      </c>
      <c r="B85" s="35">
        <v>230.23</v>
      </c>
      <c r="C85" s="35">
        <v>3433966</v>
      </c>
    </row>
    <row r="86" spans="1:3" x14ac:dyDescent="0.35">
      <c r="A86" s="53">
        <v>42989</v>
      </c>
      <c r="B86" s="35">
        <v>229.68</v>
      </c>
      <c r="C86" s="35">
        <v>5058642</v>
      </c>
    </row>
    <row r="87" spans="1:3" x14ac:dyDescent="0.35">
      <c r="A87" s="53">
        <v>42986</v>
      </c>
      <c r="B87" s="35">
        <v>237.5</v>
      </c>
      <c r="C87" s="35">
        <v>3943984</v>
      </c>
    </row>
    <row r="88" spans="1:3" x14ac:dyDescent="0.35">
      <c r="A88" s="53">
        <v>42985</v>
      </c>
      <c r="B88" s="35">
        <v>243.18</v>
      </c>
      <c r="C88" s="35">
        <v>1596162</v>
      </c>
    </row>
    <row r="89" spans="1:3" x14ac:dyDescent="0.35">
      <c r="A89" s="53">
        <v>42984</v>
      </c>
      <c r="B89" s="35">
        <v>244.95</v>
      </c>
      <c r="C89" s="35">
        <v>1016418</v>
      </c>
    </row>
    <row r="90" spans="1:3" x14ac:dyDescent="0.35">
      <c r="A90" s="53">
        <v>42983</v>
      </c>
      <c r="B90" s="35">
        <v>245.95</v>
      </c>
      <c r="C90" s="35">
        <v>880826</v>
      </c>
    </row>
    <row r="91" spans="1:3" x14ac:dyDescent="0.35">
      <c r="A91" s="53">
        <v>42982</v>
      </c>
      <c r="B91" s="35">
        <v>248.32</v>
      </c>
      <c r="C91" s="35">
        <v>3258716</v>
      </c>
    </row>
    <row r="92" spans="1:3" x14ac:dyDescent="0.35">
      <c r="A92" s="53">
        <v>42979</v>
      </c>
      <c r="B92" s="35">
        <v>253.2</v>
      </c>
      <c r="C92" s="35">
        <v>2491878</v>
      </c>
    </row>
    <row r="93" spans="1:3" x14ac:dyDescent="0.35">
      <c r="A93" s="53">
        <v>42978</v>
      </c>
      <c r="B93" s="35">
        <v>256</v>
      </c>
      <c r="C93" s="35">
        <v>1703672</v>
      </c>
    </row>
    <row r="94" spans="1:3" x14ac:dyDescent="0.35">
      <c r="A94" s="53">
        <v>42977</v>
      </c>
      <c r="B94" s="35">
        <v>251.1</v>
      </c>
      <c r="C94" s="35">
        <v>2947758</v>
      </c>
    </row>
    <row r="95" spans="1:3" x14ac:dyDescent="0.35">
      <c r="A95" s="53">
        <v>42976</v>
      </c>
      <c r="B95" s="35">
        <v>239.23</v>
      </c>
      <c r="C95" s="35">
        <v>1359586</v>
      </c>
    </row>
    <row r="96" spans="1:3" x14ac:dyDescent="0.35">
      <c r="A96" s="53">
        <v>42975</v>
      </c>
      <c r="B96" s="35">
        <v>237.9</v>
      </c>
      <c r="C96" s="35">
        <v>1307646</v>
      </c>
    </row>
    <row r="97" spans="1:3" x14ac:dyDescent="0.35">
      <c r="A97" s="53">
        <v>42971</v>
      </c>
      <c r="B97" s="35">
        <v>236.05</v>
      </c>
      <c r="C97" s="35">
        <v>2621418</v>
      </c>
    </row>
    <row r="98" spans="1:3" x14ac:dyDescent="0.35">
      <c r="A98" s="53">
        <v>42970</v>
      </c>
      <c r="B98" s="35">
        <v>229.8</v>
      </c>
      <c r="C98" s="35">
        <v>2424366</v>
      </c>
    </row>
    <row r="99" spans="1:3" x14ac:dyDescent="0.35">
      <c r="A99" s="53">
        <v>42969</v>
      </c>
      <c r="B99" s="35">
        <v>223.23</v>
      </c>
      <c r="C99" s="35">
        <v>1071072</v>
      </c>
    </row>
    <row r="100" spans="1:3" x14ac:dyDescent="0.35">
      <c r="A100" s="53">
        <v>42968</v>
      </c>
      <c r="B100" s="35">
        <v>225.05</v>
      </c>
      <c r="C100" s="35">
        <v>1553252</v>
      </c>
    </row>
    <row r="101" spans="1:3" x14ac:dyDescent="0.35">
      <c r="A101" s="53">
        <v>42965</v>
      </c>
      <c r="B101" s="35">
        <v>224.8</v>
      </c>
      <c r="C101" s="35">
        <v>7793350</v>
      </c>
    </row>
    <row r="102" spans="1:3" x14ac:dyDescent="0.35">
      <c r="A102" s="53">
        <v>42964</v>
      </c>
      <c r="B102" s="35">
        <v>224.98</v>
      </c>
      <c r="C102" s="35">
        <v>3521518</v>
      </c>
    </row>
    <row r="103" spans="1:3" x14ac:dyDescent="0.35">
      <c r="A103" s="53">
        <v>42963</v>
      </c>
      <c r="B103" s="35">
        <v>228.07</v>
      </c>
      <c r="C103" s="35">
        <v>1543220</v>
      </c>
    </row>
    <row r="104" spans="1:3" x14ac:dyDescent="0.35">
      <c r="A104" s="53">
        <v>42961</v>
      </c>
      <c r="B104" s="35">
        <v>224.32</v>
      </c>
      <c r="C104" s="35">
        <v>1551880</v>
      </c>
    </row>
    <row r="105" spans="1:3" x14ac:dyDescent="0.35">
      <c r="A105" s="53">
        <v>42958</v>
      </c>
      <c r="B105" s="35">
        <v>221.48</v>
      </c>
      <c r="C105" s="35">
        <v>3438954</v>
      </c>
    </row>
    <row r="106" spans="1:3" x14ac:dyDescent="0.35">
      <c r="A106" s="53">
        <v>42957</v>
      </c>
      <c r="B106" s="35">
        <v>224.68</v>
      </c>
      <c r="C106" s="35">
        <v>1767220</v>
      </c>
    </row>
    <row r="107" spans="1:3" x14ac:dyDescent="0.35">
      <c r="A107" s="53">
        <v>42956</v>
      </c>
      <c r="B107" s="35">
        <v>225.13</v>
      </c>
      <c r="C107" s="35">
        <v>2154196</v>
      </c>
    </row>
    <row r="108" spans="1:3" x14ac:dyDescent="0.35">
      <c r="A108" s="53">
        <v>42955</v>
      </c>
      <c r="B108" s="35">
        <v>226.6</v>
      </c>
      <c r="C108" s="35">
        <v>1427544</v>
      </c>
    </row>
    <row r="109" spans="1:3" x14ac:dyDescent="0.35">
      <c r="A109" s="53">
        <v>42954</v>
      </c>
      <c r="B109" s="35">
        <v>231.28</v>
      </c>
      <c r="C109" s="35">
        <v>2072926</v>
      </c>
    </row>
    <row r="110" spans="1:3" x14ac:dyDescent="0.35">
      <c r="A110" s="53">
        <v>42951</v>
      </c>
      <c r="B110" s="35">
        <v>224.35</v>
      </c>
      <c r="C110" s="35">
        <v>1414532</v>
      </c>
    </row>
    <row r="111" spans="1:3" x14ac:dyDescent="0.35">
      <c r="A111" s="53">
        <v>42950</v>
      </c>
      <c r="B111" s="35">
        <v>225.5</v>
      </c>
      <c r="C111" s="35">
        <v>2151614</v>
      </c>
    </row>
    <row r="112" spans="1:3" x14ac:dyDescent="0.35">
      <c r="A112" s="53">
        <v>42949</v>
      </c>
      <c r="B112" s="35">
        <v>225.9</v>
      </c>
      <c r="C112" s="35">
        <v>6516628</v>
      </c>
    </row>
    <row r="113" spans="1:3" x14ac:dyDescent="0.35">
      <c r="A113" s="53">
        <v>42948</v>
      </c>
      <c r="B113" s="35">
        <v>223.28</v>
      </c>
      <c r="C113" s="35">
        <v>1493710</v>
      </c>
    </row>
    <row r="114" spans="1:3" x14ac:dyDescent="0.35">
      <c r="A114" s="53">
        <v>42947</v>
      </c>
      <c r="B114" s="35">
        <v>220.63</v>
      </c>
      <c r="C114" s="35">
        <v>2321714</v>
      </c>
    </row>
    <row r="115" spans="1:3" x14ac:dyDescent="0.35">
      <c r="A115" s="53">
        <v>42944</v>
      </c>
      <c r="B115" s="35">
        <v>226.38</v>
      </c>
      <c r="C115" s="35">
        <v>1178576</v>
      </c>
    </row>
    <row r="116" spans="1:3" x14ac:dyDescent="0.35">
      <c r="A116" s="53">
        <v>42943</v>
      </c>
      <c r="B116" s="35">
        <v>223.5</v>
      </c>
      <c r="C116" s="35">
        <v>1439354</v>
      </c>
    </row>
    <row r="117" spans="1:3" x14ac:dyDescent="0.35">
      <c r="A117" s="53">
        <v>42942</v>
      </c>
      <c r="B117" s="35">
        <v>219.8</v>
      </c>
      <c r="C117" s="35">
        <v>981092</v>
      </c>
    </row>
    <row r="118" spans="1:3" x14ac:dyDescent="0.35">
      <c r="A118" s="53">
        <v>42941</v>
      </c>
      <c r="B118" s="35">
        <v>218.8</v>
      </c>
      <c r="C118" s="35">
        <v>1276230</v>
      </c>
    </row>
    <row r="119" spans="1:3" x14ac:dyDescent="0.35">
      <c r="A119" s="53">
        <v>42940</v>
      </c>
      <c r="B119" s="35">
        <v>220.15</v>
      </c>
      <c r="C119" s="35">
        <v>726004</v>
      </c>
    </row>
    <row r="120" spans="1:3" x14ac:dyDescent="0.35">
      <c r="A120" s="53">
        <v>42937</v>
      </c>
      <c r="B120" s="35">
        <v>218.8</v>
      </c>
      <c r="C120" s="35">
        <v>2120414</v>
      </c>
    </row>
    <row r="121" spans="1:3" x14ac:dyDescent="0.35">
      <c r="A121" s="53">
        <v>42936</v>
      </c>
      <c r="B121" s="35">
        <v>224.75</v>
      </c>
      <c r="C121" s="35">
        <v>1268370</v>
      </c>
    </row>
    <row r="122" spans="1:3" x14ac:dyDescent="0.35">
      <c r="A122" s="53">
        <v>42935</v>
      </c>
      <c r="B122" s="35">
        <v>221.57</v>
      </c>
      <c r="C122" s="35">
        <v>1741180</v>
      </c>
    </row>
    <row r="123" spans="1:3" x14ac:dyDescent="0.35">
      <c r="A123" s="53">
        <v>42934</v>
      </c>
      <c r="B123" s="35">
        <v>222.8</v>
      </c>
      <c r="C123" s="35">
        <v>1228290</v>
      </c>
    </row>
    <row r="124" spans="1:3" x14ac:dyDescent="0.35">
      <c r="A124" s="53">
        <v>42933</v>
      </c>
      <c r="B124" s="35">
        <v>222.82</v>
      </c>
      <c r="C124" s="35">
        <v>890496</v>
      </c>
    </row>
    <row r="125" spans="1:3" x14ac:dyDescent="0.35">
      <c r="A125" s="53">
        <v>42930</v>
      </c>
      <c r="B125" s="35">
        <v>222.15</v>
      </c>
      <c r="C125" s="35">
        <v>1423590</v>
      </c>
    </row>
    <row r="126" spans="1:3" x14ac:dyDescent="0.35">
      <c r="A126" s="53">
        <v>42929</v>
      </c>
      <c r="B126" s="35">
        <v>222.65</v>
      </c>
      <c r="C126" s="35">
        <v>2564190</v>
      </c>
    </row>
    <row r="127" spans="1:3" x14ac:dyDescent="0.35">
      <c r="A127" s="53">
        <v>42928</v>
      </c>
      <c r="B127" s="35">
        <v>226.95</v>
      </c>
      <c r="C127" s="35">
        <v>1877692</v>
      </c>
    </row>
    <row r="128" spans="1:3" x14ac:dyDescent="0.35">
      <c r="A128" s="53">
        <v>42927</v>
      </c>
      <c r="B128" s="35">
        <v>225</v>
      </c>
      <c r="C128" s="35">
        <v>1549282</v>
      </c>
    </row>
    <row r="129" spans="1:3" x14ac:dyDescent="0.35">
      <c r="A129" s="53">
        <v>42926</v>
      </c>
      <c r="B129" s="35">
        <v>222.28</v>
      </c>
      <c r="C129" s="35">
        <v>473088</v>
      </c>
    </row>
    <row r="130" spans="1:3" x14ac:dyDescent="0.35">
      <c r="A130" s="53">
        <v>42923</v>
      </c>
      <c r="B130" s="35">
        <v>220.1</v>
      </c>
      <c r="C130" s="35">
        <v>1984662</v>
      </c>
    </row>
    <row r="131" spans="1:3" x14ac:dyDescent="0.35">
      <c r="A131" s="53">
        <v>42922</v>
      </c>
      <c r="B131" s="35">
        <v>220</v>
      </c>
      <c r="C131" s="35">
        <v>1682876</v>
      </c>
    </row>
    <row r="132" spans="1:3" x14ac:dyDescent="0.35">
      <c r="A132" s="53">
        <v>42921</v>
      </c>
      <c r="B132" s="35">
        <v>219.03</v>
      </c>
      <c r="C132" s="35">
        <v>1608264</v>
      </c>
    </row>
    <row r="133" spans="1:3" x14ac:dyDescent="0.35">
      <c r="A133" s="53">
        <v>42920</v>
      </c>
      <c r="B133" s="35">
        <v>220.35</v>
      </c>
      <c r="C133" s="35">
        <v>2145654</v>
      </c>
    </row>
    <row r="134" spans="1:3" x14ac:dyDescent="0.35">
      <c r="A134" s="53">
        <v>42919</v>
      </c>
      <c r="B134" s="35">
        <v>219.88</v>
      </c>
      <c r="C134" s="35">
        <v>1730886</v>
      </c>
    </row>
    <row r="135" spans="1:3" x14ac:dyDescent="0.35">
      <c r="A135" s="53">
        <v>42916</v>
      </c>
      <c r="B135" s="35">
        <v>215.4</v>
      </c>
      <c r="C135" s="35">
        <v>1329558</v>
      </c>
    </row>
    <row r="136" spans="1:3" x14ac:dyDescent="0.35">
      <c r="A136" s="53">
        <v>42915</v>
      </c>
      <c r="B136" s="35">
        <v>209.57</v>
      </c>
      <c r="C136" s="35">
        <v>2731200</v>
      </c>
    </row>
    <row r="137" spans="1:3" x14ac:dyDescent="0.35">
      <c r="A137" s="53">
        <v>42914</v>
      </c>
      <c r="B137" s="35">
        <v>205.75</v>
      </c>
      <c r="C137" s="35">
        <v>3690036</v>
      </c>
    </row>
    <row r="138" spans="1:3" x14ac:dyDescent="0.35">
      <c r="A138" s="53">
        <v>42913</v>
      </c>
      <c r="B138" s="35">
        <v>204.85</v>
      </c>
      <c r="C138" s="35">
        <v>5604292</v>
      </c>
    </row>
    <row r="139" spans="1:3" x14ac:dyDescent="0.35">
      <c r="A139" s="53">
        <v>42909</v>
      </c>
      <c r="B139" s="35">
        <v>212.13</v>
      </c>
      <c r="C139" s="35">
        <v>3291844</v>
      </c>
    </row>
    <row r="140" spans="1:3" x14ac:dyDescent="0.35">
      <c r="A140" s="53">
        <v>42908</v>
      </c>
      <c r="B140" s="35">
        <v>215.82</v>
      </c>
      <c r="C140" s="35">
        <v>3111020</v>
      </c>
    </row>
    <row r="141" spans="1:3" x14ac:dyDescent="0.35">
      <c r="A141" s="53">
        <v>42907</v>
      </c>
      <c r="B141" s="35">
        <v>216.18</v>
      </c>
      <c r="C141" s="35">
        <v>2999636</v>
      </c>
    </row>
    <row r="142" spans="1:3" x14ac:dyDescent="0.35">
      <c r="A142" s="53">
        <v>42906</v>
      </c>
      <c r="B142" s="35">
        <v>212.15</v>
      </c>
      <c r="C142" s="35">
        <v>5307250</v>
      </c>
    </row>
    <row r="143" spans="1:3" x14ac:dyDescent="0.35">
      <c r="A143" s="53">
        <v>42905</v>
      </c>
      <c r="B143" s="35">
        <v>212.28</v>
      </c>
      <c r="C143" s="35">
        <v>9101852</v>
      </c>
    </row>
    <row r="144" spans="1:3" x14ac:dyDescent="0.35">
      <c r="A144" s="53">
        <v>42902</v>
      </c>
      <c r="B144" s="35">
        <v>222.57</v>
      </c>
      <c r="C144" s="35">
        <v>5548812</v>
      </c>
    </row>
    <row r="145" spans="1:3" x14ac:dyDescent="0.35">
      <c r="A145" s="53">
        <v>42901</v>
      </c>
      <c r="B145" s="35">
        <v>225.38</v>
      </c>
      <c r="C145" s="35">
        <v>3222142</v>
      </c>
    </row>
    <row r="146" spans="1:3" x14ac:dyDescent="0.35">
      <c r="A146" s="53">
        <v>42900</v>
      </c>
      <c r="B146" s="35">
        <v>217.85</v>
      </c>
      <c r="C146" s="35">
        <v>4441468</v>
      </c>
    </row>
    <row r="147" spans="1:3" x14ac:dyDescent="0.35">
      <c r="A147" s="53">
        <v>42899</v>
      </c>
      <c r="B147" s="35">
        <v>212.3</v>
      </c>
      <c r="C147" s="35">
        <v>1853544</v>
      </c>
    </row>
    <row r="148" spans="1:3" x14ac:dyDescent="0.35">
      <c r="A148" s="53">
        <v>42898</v>
      </c>
      <c r="B148" s="35">
        <v>210.57</v>
      </c>
      <c r="C148" s="35">
        <v>2439786</v>
      </c>
    </row>
    <row r="149" spans="1:3" x14ac:dyDescent="0.35">
      <c r="A149" s="53">
        <v>42895</v>
      </c>
      <c r="B149" s="35">
        <v>207.75</v>
      </c>
      <c r="C149" s="35">
        <v>2765088</v>
      </c>
    </row>
    <row r="150" spans="1:3" x14ac:dyDescent="0.35">
      <c r="A150" s="53">
        <v>42894</v>
      </c>
      <c r="B150" s="35">
        <v>207.57</v>
      </c>
      <c r="C150" s="35">
        <v>2465306</v>
      </c>
    </row>
    <row r="151" spans="1:3" x14ac:dyDescent="0.35">
      <c r="A151" s="53">
        <v>42893</v>
      </c>
      <c r="B151" s="35">
        <v>205</v>
      </c>
      <c r="C151" s="35">
        <v>2311648</v>
      </c>
    </row>
    <row r="152" spans="1:3" x14ac:dyDescent="0.35">
      <c r="A152" s="53">
        <v>42892</v>
      </c>
      <c r="B152" s="35">
        <v>201.82</v>
      </c>
      <c r="C152" s="35">
        <v>2243982</v>
      </c>
    </row>
    <row r="153" spans="1:3" x14ac:dyDescent="0.35">
      <c r="A153" s="53">
        <v>42891</v>
      </c>
      <c r="B153" s="35">
        <v>203.23</v>
      </c>
      <c r="C153" s="35">
        <v>5085500</v>
      </c>
    </row>
    <row r="154" spans="1:3" x14ac:dyDescent="0.35">
      <c r="A154" s="53">
        <v>42888</v>
      </c>
      <c r="B154" s="35">
        <v>194.98</v>
      </c>
      <c r="C154" s="35">
        <v>3699618</v>
      </c>
    </row>
    <row r="155" spans="1:3" x14ac:dyDescent="0.35">
      <c r="A155" s="53">
        <v>42887</v>
      </c>
      <c r="B155" s="35">
        <v>194.5</v>
      </c>
      <c r="C155" s="35">
        <v>5938942</v>
      </c>
    </row>
    <row r="156" spans="1:3" x14ac:dyDescent="0.35">
      <c r="A156" s="53">
        <v>42886</v>
      </c>
      <c r="B156" s="35">
        <v>182.45</v>
      </c>
      <c r="C156" s="35">
        <v>6072086</v>
      </c>
    </row>
    <row r="157" spans="1:3" x14ac:dyDescent="0.35">
      <c r="A157" s="53">
        <v>42885</v>
      </c>
      <c r="B157" s="35">
        <v>178.95</v>
      </c>
      <c r="C157" s="35">
        <v>2925514</v>
      </c>
    </row>
    <row r="158" spans="1:3" x14ac:dyDescent="0.35">
      <c r="A158" s="53">
        <v>42884</v>
      </c>
      <c r="B158" s="35">
        <v>175.45</v>
      </c>
      <c r="C158" s="35">
        <v>774380</v>
      </c>
    </row>
    <row r="159" spans="1:3" x14ac:dyDescent="0.35">
      <c r="A159" s="53">
        <v>42881</v>
      </c>
      <c r="B159" s="35">
        <v>175.98</v>
      </c>
      <c r="C159" s="35">
        <v>3653462</v>
      </c>
    </row>
    <row r="160" spans="1:3" x14ac:dyDescent="0.35">
      <c r="A160" s="53">
        <v>42880</v>
      </c>
      <c r="B160" s="35">
        <v>176.28</v>
      </c>
      <c r="C160" s="35">
        <v>3047850</v>
      </c>
    </row>
    <row r="161" spans="1:3" x14ac:dyDescent="0.35">
      <c r="A161" s="53">
        <v>42879</v>
      </c>
      <c r="B161" s="35">
        <v>175.82</v>
      </c>
      <c r="C161" s="35">
        <v>2123458</v>
      </c>
    </row>
    <row r="162" spans="1:3" x14ac:dyDescent="0.35">
      <c r="A162" s="53">
        <v>42878</v>
      </c>
      <c r="B162" s="35">
        <v>177.68</v>
      </c>
      <c r="C162" s="35">
        <v>1748704</v>
      </c>
    </row>
    <row r="163" spans="1:3" x14ac:dyDescent="0.35">
      <c r="A163" s="53">
        <v>42877</v>
      </c>
      <c r="B163" s="35">
        <v>177.63</v>
      </c>
      <c r="C163" s="35">
        <v>7036446</v>
      </c>
    </row>
    <row r="164" spans="1:3" x14ac:dyDescent="0.35">
      <c r="A164" s="53">
        <v>42874</v>
      </c>
      <c r="B164" s="35">
        <v>174.53</v>
      </c>
      <c r="C164" s="35">
        <v>4235168</v>
      </c>
    </row>
    <row r="165" spans="1:3" x14ac:dyDescent="0.35">
      <c r="A165" s="53">
        <v>42873</v>
      </c>
      <c r="B165" s="35">
        <v>173.48</v>
      </c>
      <c r="C165" s="35">
        <v>12314316</v>
      </c>
    </row>
    <row r="166" spans="1:3" x14ac:dyDescent="0.35">
      <c r="A166" s="53">
        <v>42872</v>
      </c>
      <c r="B166" s="35">
        <v>174.5</v>
      </c>
      <c r="C166" s="35">
        <v>1794436</v>
      </c>
    </row>
    <row r="167" spans="1:3" x14ac:dyDescent="0.35">
      <c r="A167" s="53">
        <v>42871</v>
      </c>
      <c r="B167" s="35">
        <v>174.5</v>
      </c>
      <c r="C167" s="35">
        <v>1235280</v>
      </c>
    </row>
    <row r="168" spans="1:3" x14ac:dyDescent="0.35">
      <c r="A168" s="53">
        <v>42870</v>
      </c>
      <c r="B168" s="35">
        <v>174.63</v>
      </c>
      <c r="C168" s="35">
        <v>4989918</v>
      </c>
    </row>
    <row r="169" spans="1:3" x14ac:dyDescent="0.35">
      <c r="A169" s="53">
        <v>42867</v>
      </c>
      <c r="B169" s="35">
        <v>174.3</v>
      </c>
      <c r="C169" s="35">
        <v>1171818</v>
      </c>
    </row>
    <row r="170" spans="1:3" x14ac:dyDescent="0.35">
      <c r="A170" s="53">
        <v>42866</v>
      </c>
      <c r="B170" s="35">
        <v>175.9</v>
      </c>
      <c r="C170" s="35">
        <v>3048810</v>
      </c>
    </row>
    <row r="171" spans="1:3" x14ac:dyDescent="0.35">
      <c r="A171" s="53">
        <v>42865</v>
      </c>
      <c r="B171" s="35">
        <v>175.7</v>
      </c>
      <c r="C171" s="35">
        <v>1837354</v>
      </c>
    </row>
    <row r="172" spans="1:3" x14ac:dyDescent="0.35">
      <c r="A172" s="53">
        <v>42864</v>
      </c>
      <c r="B172" s="35">
        <v>175.53</v>
      </c>
      <c r="C172" s="35">
        <v>1620012</v>
      </c>
    </row>
    <row r="173" spans="1:3" x14ac:dyDescent="0.35">
      <c r="A173" s="53">
        <v>42863</v>
      </c>
      <c r="B173" s="35">
        <v>175.07</v>
      </c>
      <c r="C173" s="35">
        <v>2050488</v>
      </c>
    </row>
    <row r="174" spans="1:3" x14ac:dyDescent="0.35">
      <c r="A174" s="53">
        <v>42860</v>
      </c>
      <c r="B174" s="35">
        <v>174.82</v>
      </c>
      <c r="C174" s="35">
        <v>1901266</v>
      </c>
    </row>
    <row r="175" spans="1:3" x14ac:dyDescent="0.35">
      <c r="A175" s="53">
        <v>42859</v>
      </c>
      <c r="B175" s="35">
        <v>172.78</v>
      </c>
      <c r="C175" s="35">
        <v>1637322</v>
      </c>
    </row>
    <row r="176" spans="1:3" x14ac:dyDescent="0.35">
      <c r="A176" s="53">
        <v>42858</v>
      </c>
      <c r="B176" s="35">
        <v>171.35</v>
      </c>
      <c r="C176" s="35">
        <v>2924236</v>
      </c>
    </row>
    <row r="177" spans="1:3" x14ac:dyDescent="0.35">
      <c r="A177" s="53">
        <v>42857</v>
      </c>
      <c r="B177" s="35">
        <v>170.55</v>
      </c>
      <c r="C177" s="35">
        <v>4246380</v>
      </c>
    </row>
    <row r="178" spans="1:3" x14ac:dyDescent="0.35">
      <c r="A178" s="53">
        <v>42853</v>
      </c>
      <c r="B178" s="35">
        <v>171.07</v>
      </c>
      <c r="C178" s="35">
        <v>3206450</v>
      </c>
    </row>
    <row r="179" spans="1:3" x14ac:dyDescent="0.35">
      <c r="A179" s="53">
        <v>42852</v>
      </c>
      <c r="B179" s="35">
        <v>171.95</v>
      </c>
      <c r="C179" s="35">
        <v>1568414</v>
      </c>
    </row>
    <row r="180" spans="1:3" x14ac:dyDescent="0.35">
      <c r="A180" s="53">
        <v>42851</v>
      </c>
      <c r="B180" s="35">
        <v>172.28</v>
      </c>
      <c r="C180" s="35">
        <v>1678148</v>
      </c>
    </row>
    <row r="181" spans="1:3" x14ac:dyDescent="0.35">
      <c r="A181" s="53">
        <v>42850</v>
      </c>
      <c r="B181" s="35">
        <v>173.8</v>
      </c>
      <c r="C181" s="35">
        <v>1163976</v>
      </c>
    </row>
    <row r="182" spans="1:3" x14ac:dyDescent="0.35">
      <c r="A182" s="53">
        <v>42849</v>
      </c>
      <c r="B182" s="35">
        <v>173.25</v>
      </c>
      <c r="C182" s="35">
        <v>799836</v>
      </c>
    </row>
    <row r="183" spans="1:3" x14ac:dyDescent="0.35">
      <c r="A183" s="53">
        <v>42846</v>
      </c>
      <c r="B183" s="35">
        <v>173.18</v>
      </c>
      <c r="C183" s="35">
        <v>364488</v>
      </c>
    </row>
    <row r="184" spans="1:3" x14ac:dyDescent="0.35">
      <c r="A184" s="53">
        <v>42845</v>
      </c>
      <c r="B184" s="35">
        <v>174.88</v>
      </c>
      <c r="C184" s="35">
        <v>1065894</v>
      </c>
    </row>
    <row r="185" spans="1:3" x14ac:dyDescent="0.35">
      <c r="A185" s="53">
        <v>42844</v>
      </c>
      <c r="B185" s="35">
        <v>174.23</v>
      </c>
      <c r="C185" s="35">
        <v>2214120</v>
      </c>
    </row>
    <row r="186" spans="1:3" x14ac:dyDescent="0.35">
      <c r="A186" s="53">
        <v>42843</v>
      </c>
      <c r="B186" s="35">
        <v>172.98</v>
      </c>
      <c r="C186" s="35">
        <v>3809874</v>
      </c>
    </row>
    <row r="187" spans="1:3" x14ac:dyDescent="0.35">
      <c r="A187" s="53">
        <v>42842</v>
      </c>
      <c r="B187" s="35">
        <v>168.65</v>
      </c>
      <c r="C187" s="35">
        <v>1943896</v>
      </c>
    </row>
    <row r="188" spans="1:3" x14ac:dyDescent="0.35">
      <c r="A188" s="53">
        <v>42838</v>
      </c>
      <c r="B188" s="35">
        <v>166</v>
      </c>
      <c r="C188" s="35">
        <v>1068376</v>
      </c>
    </row>
    <row r="189" spans="1:3" x14ac:dyDescent="0.35">
      <c r="A189" s="53">
        <v>42837</v>
      </c>
      <c r="B189" s="35">
        <v>165.57</v>
      </c>
      <c r="C189" s="35">
        <v>927112</v>
      </c>
    </row>
    <row r="190" spans="1:3" x14ac:dyDescent="0.35">
      <c r="A190" s="53">
        <v>42836</v>
      </c>
      <c r="B190" s="35">
        <v>167.25</v>
      </c>
      <c r="C190" s="35">
        <v>762996</v>
      </c>
    </row>
    <row r="191" spans="1:3" x14ac:dyDescent="0.35">
      <c r="A191" s="53">
        <v>42835</v>
      </c>
      <c r="B191" s="35">
        <v>167.5</v>
      </c>
      <c r="C191" s="35">
        <v>1107878</v>
      </c>
    </row>
    <row r="192" spans="1:3" x14ac:dyDescent="0.35">
      <c r="A192" s="53">
        <v>42832</v>
      </c>
      <c r="B192" s="35">
        <v>164.45</v>
      </c>
      <c r="C192" s="35">
        <v>589658</v>
      </c>
    </row>
    <row r="193" spans="1:3" x14ac:dyDescent="0.35">
      <c r="A193" s="53">
        <v>42831</v>
      </c>
      <c r="B193" s="35">
        <v>164.75</v>
      </c>
      <c r="C193" s="35">
        <v>1045888</v>
      </c>
    </row>
    <row r="194" spans="1:3" x14ac:dyDescent="0.35">
      <c r="A194" s="53">
        <v>42830</v>
      </c>
      <c r="B194" s="35">
        <v>164.73</v>
      </c>
      <c r="C194" s="35">
        <v>741210</v>
      </c>
    </row>
    <row r="195" spans="1:3" x14ac:dyDescent="0.35">
      <c r="A195" s="53">
        <v>42828</v>
      </c>
      <c r="B195" s="35">
        <v>164.57</v>
      </c>
      <c r="C195" s="35">
        <v>921582</v>
      </c>
    </row>
    <row r="196" spans="1:3" x14ac:dyDescent="0.35">
      <c r="A196" s="53">
        <v>42825</v>
      </c>
      <c r="B196" s="35">
        <v>164.48</v>
      </c>
      <c r="C196" s="35">
        <v>792944</v>
      </c>
    </row>
    <row r="197" spans="1:3" x14ac:dyDescent="0.35">
      <c r="A197" s="53">
        <v>42824</v>
      </c>
      <c r="B197" s="35">
        <v>165.35</v>
      </c>
      <c r="C197" s="35">
        <v>840698</v>
      </c>
    </row>
    <row r="198" spans="1:3" x14ac:dyDescent="0.35">
      <c r="A198" s="53">
        <v>42823</v>
      </c>
      <c r="B198" s="35">
        <v>165.32</v>
      </c>
      <c r="C198" s="35">
        <v>1279446</v>
      </c>
    </row>
    <row r="199" spans="1:3" x14ac:dyDescent="0.35">
      <c r="A199" s="53">
        <v>42822</v>
      </c>
      <c r="B199" s="35">
        <v>168.13</v>
      </c>
      <c r="C199" s="35">
        <v>1970546</v>
      </c>
    </row>
    <row r="200" spans="1:3" x14ac:dyDescent="0.35">
      <c r="A200" s="53">
        <v>42821</v>
      </c>
      <c r="B200" s="35">
        <v>165.65</v>
      </c>
      <c r="C200" s="35">
        <v>2906764</v>
      </c>
    </row>
    <row r="201" spans="1:3" x14ac:dyDescent="0.35">
      <c r="A201" s="53">
        <v>42818</v>
      </c>
      <c r="B201" s="35">
        <v>164.48</v>
      </c>
      <c r="C201" s="35">
        <v>2135066</v>
      </c>
    </row>
    <row r="202" spans="1:3" x14ac:dyDescent="0.35">
      <c r="A202" s="53">
        <v>42817</v>
      </c>
      <c r="B202" s="35">
        <v>161.9</v>
      </c>
      <c r="C202" s="35">
        <v>1057940</v>
      </c>
    </row>
    <row r="203" spans="1:3" x14ac:dyDescent="0.35">
      <c r="A203" s="53">
        <v>42816</v>
      </c>
      <c r="B203" s="35">
        <v>159.47999999999999</v>
      </c>
      <c r="C203" s="35">
        <v>1006016</v>
      </c>
    </row>
    <row r="204" spans="1:3" x14ac:dyDescent="0.35">
      <c r="A204" s="53">
        <v>42815</v>
      </c>
      <c r="B204" s="35">
        <v>158.97999999999999</v>
      </c>
      <c r="C204" s="35">
        <v>2288882</v>
      </c>
    </row>
    <row r="205" spans="1:3" x14ac:dyDescent="0.35">
      <c r="A205" s="53">
        <v>42814</v>
      </c>
      <c r="B205" s="35">
        <v>158.97999999999999</v>
      </c>
      <c r="C205" s="35">
        <v>3311564</v>
      </c>
    </row>
    <row r="206" spans="1:3" x14ac:dyDescent="0.35">
      <c r="A206" s="53">
        <v>42811</v>
      </c>
      <c r="B206" s="35">
        <v>159.75</v>
      </c>
      <c r="C206" s="35">
        <v>8392720</v>
      </c>
    </row>
    <row r="207" spans="1:3" x14ac:dyDescent="0.35">
      <c r="A207" s="53">
        <v>42810</v>
      </c>
      <c r="B207" s="35">
        <v>158.75</v>
      </c>
      <c r="C207" s="35">
        <v>1761186</v>
      </c>
    </row>
    <row r="208" spans="1:3" x14ac:dyDescent="0.35">
      <c r="A208" s="53">
        <v>42809</v>
      </c>
      <c r="B208" s="35">
        <v>156.55000000000001</v>
      </c>
      <c r="C208" s="35">
        <v>4901832</v>
      </c>
    </row>
    <row r="209" spans="1:3" x14ac:dyDescent="0.35">
      <c r="A209" s="53">
        <v>42808</v>
      </c>
      <c r="B209" s="35">
        <v>155.9</v>
      </c>
      <c r="C209" s="35">
        <v>3896680</v>
      </c>
    </row>
    <row r="210" spans="1:3" x14ac:dyDescent="0.35">
      <c r="A210" s="53">
        <v>42804</v>
      </c>
      <c r="B210" s="35">
        <v>154.47999999999999</v>
      </c>
      <c r="C210" s="35">
        <v>534152</v>
      </c>
    </row>
    <row r="211" spans="1:3" x14ac:dyDescent="0.35">
      <c r="A211" s="53">
        <v>42803</v>
      </c>
      <c r="B211" s="35">
        <v>154.65</v>
      </c>
      <c r="C211" s="35">
        <v>751784</v>
      </c>
    </row>
    <row r="212" spans="1:3" x14ac:dyDescent="0.35">
      <c r="A212" s="53">
        <v>42802</v>
      </c>
      <c r="B212" s="35">
        <v>154.93</v>
      </c>
      <c r="C212" s="35">
        <v>279796</v>
      </c>
    </row>
    <row r="213" spans="1:3" x14ac:dyDescent="0.35">
      <c r="A213" s="53">
        <v>42801</v>
      </c>
      <c r="B213" s="35">
        <v>154.85</v>
      </c>
      <c r="C213" s="35">
        <v>3314658</v>
      </c>
    </row>
    <row r="214" spans="1:3" x14ac:dyDescent="0.35">
      <c r="A214" s="53">
        <v>42800</v>
      </c>
      <c r="B214" s="35">
        <v>154.53</v>
      </c>
      <c r="C214" s="35">
        <v>880900</v>
      </c>
    </row>
    <row r="215" spans="1:3" x14ac:dyDescent="0.35">
      <c r="A215" s="53">
        <v>42797</v>
      </c>
      <c r="B215" s="35">
        <v>154.6</v>
      </c>
      <c r="C215" s="35">
        <v>1219294</v>
      </c>
    </row>
    <row r="216" spans="1:3" x14ac:dyDescent="0.35">
      <c r="A216" s="53">
        <v>42796</v>
      </c>
      <c r="B216" s="35">
        <v>155.13</v>
      </c>
      <c r="C216" s="35">
        <v>3709430</v>
      </c>
    </row>
    <row r="217" spans="1:3" x14ac:dyDescent="0.35">
      <c r="A217" s="53">
        <v>42795</v>
      </c>
      <c r="B217" s="35">
        <v>157.72999999999999</v>
      </c>
      <c r="C217" s="35">
        <v>1154026</v>
      </c>
    </row>
    <row r="218" spans="1:3" x14ac:dyDescent="0.35">
      <c r="A218" s="53">
        <v>42794</v>
      </c>
      <c r="B218" s="35">
        <v>158.6</v>
      </c>
      <c r="C218" s="35">
        <v>954072</v>
      </c>
    </row>
    <row r="219" spans="1:3" x14ac:dyDescent="0.35">
      <c r="A219" s="53">
        <v>42793</v>
      </c>
      <c r="B219" s="35">
        <v>157.53</v>
      </c>
      <c r="C219" s="35">
        <v>1104186</v>
      </c>
    </row>
    <row r="220" spans="1:3" x14ac:dyDescent="0.35">
      <c r="A220" s="53">
        <v>42789</v>
      </c>
      <c r="B220" s="35">
        <v>157.4</v>
      </c>
      <c r="C220" s="35">
        <v>5649818</v>
      </c>
    </row>
    <row r="221" spans="1:3" x14ac:dyDescent="0.35">
      <c r="A221" s="53">
        <v>42788</v>
      </c>
      <c r="B221" s="35">
        <v>156.94999999999999</v>
      </c>
      <c r="C221" s="35">
        <v>5551606</v>
      </c>
    </row>
    <row r="222" spans="1:3" x14ac:dyDescent="0.35">
      <c r="A222" s="53">
        <v>42787</v>
      </c>
      <c r="B222" s="35">
        <v>155.97999999999999</v>
      </c>
      <c r="C222" s="35">
        <v>737894</v>
      </c>
    </row>
    <row r="223" spans="1:3" x14ac:dyDescent="0.35">
      <c r="A223" s="53">
        <v>42786</v>
      </c>
      <c r="B223" s="35">
        <v>156.63</v>
      </c>
      <c r="C223" s="35">
        <v>346610</v>
      </c>
    </row>
    <row r="224" spans="1:3" x14ac:dyDescent="0.35">
      <c r="A224" s="53">
        <v>42783</v>
      </c>
      <c r="B224" s="35">
        <v>156.18</v>
      </c>
      <c r="C224" s="35">
        <v>752412</v>
      </c>
    </row>
    <row r="225" spans="1:3" x14ac:dyDescent="0.35">
      <c r="A225" s="53">
        <v>42782</v>
      </c>
      <c r="B225" s="35">
        <v>155.32</v>
      </c>
      <c r="C225" s="35">
        <v>6612282</v>
      </c>
    </row>
    <row r="226" spans="1:3" x14ac:dyDescent="0.35">
      <c r="A226" s="53">
        <v>42781</v>
      </c>
      <c r="B226" s="35">
        <v>154.35</v>
      </c>
      <c r="C226" s="35">
        <v>2277516</v>
      </c>
    </row>
    <row r="227" spans="1:3" x14ac:dyDescent="0.35">
      <c r="A227" s="53">
        <v>42780</v>
      </c>
      <c r="B227" s="35">
        <v>152.5</v>
      </c>
      <c r="C227" s="35">
        <v>4598490</v>
      </c>
    </row>
    <row r="228" spans="1:3" x14ac:dyDescent="0.35">
      <c r="A228" s="53">
        <v>42779</v>
      </c>
      <c r="B228" s="35">
        <v>152.18</v>
      </c>
      <c r="C228" s="35">
        <v>878572</v>
      </c>
    </row>
    <row r="229" spans="1:3" x14ac:dyDescent="0.35">
      <c r="A229" s="53">
        <v>42776</v>
      </c>
      <c r="B229" s="35">
        <v>152</v>
      </c>
      <c r="C229" s="35">
        <v>4869832</v>
      </c>
    </row>
    <row r="230" spans="1:3" x14ac:dyDescent="0.35">
      <c r="A230" s="53">
        <v>42775</v>
      </c>
      <c r="B230" s="35">
        <v>151.6</v>
      </c>
      <c r="C230" s="35">
        <v>2080396</v>
      </c>
    </row>
    <row r="231" spans="1:3" x14ac:dyDescent="0.35">
      <c r="A231" s="53">
        <v>42774</v>
      </c>
      <c r="B231" s="35">
        <v>150.94999999999999</v>
      </c>
      <c r="C231" s="35">
        <v>2921918</v>
      </c>
    </row>
    <row r="232" spans="1:3" x14ac:dyDescent="0.35">
      <c r="A232" s="53">
        <v>42773</v>
      </c>
      <c r="B232" s="35">
        <v>152.1</v>
      </c>
      <c r="C232" s="35">
        <v>1278368</v>
      </c>
    </row>
    <row r="233" spans="1:3" x14ac:dyDescent="0.35">
      <c r="A233" s="53">
        <v>42772</v>
      </c>
      <c r="B233" s="35">
        <v>152.25</v>
      </c>
      <c r="C233" s="35">
        <v>2441270</v>
      </c>
    </row>
    <row r="234" spans="1:3" x14ac:dyDescent="0.35">
      <c r="A234" s="53">
        <v>42769</v>
      </c>
      <c r="B234" s="35">
        <v>154.75</v>
      </c>
      <c r="C234" s="35">
        <v>1379082</v>
      </c>
    </row>
    <row r="235" spans="1:3" x14ac:dyDescent="0.35">
      <c r="A235" s="53">
        <v>42768</v>
      </c>
      <c r="B235" s="35">
        <v>155.82</v>
      </c>
      <c r="C235" s="35">
        <v>3408760</v>
      </c>
    </row>
    <row r="236" spans="1:3" x14ac:dyDescent="0.35">
      <c r="A236" s="53">
        <v>42767</v>
      </c>
      <c r="B236" s="35">
        <v>153.78</v>
      </c>
      <c r="C236" s="35">
        <v>1071662</v>
      </c>
    </row>
    <row r="237" spans="1:3" x14ac:dyDescent="0.35">
      <c r="A237" s="53">
        <v>42766</v>
      </c>
      <c r="B237" s="35">
        <v>152.80000000000001</v>
      </c>
      <c r="C237" s="35">
        <v>4721374</v>
      </c>
    </row>
    <row r="238" spans="1:3" x14ac:dyDescent="0.35">
      <c r="A238" s="53">
        <v>42765</v>
      </c>
      <c r="B238" s="35">
        <v>153.6</v>
      </c>
      <c r="C238" s="35">
        <v>964284</v>
      </c>
    </row>
    <row r="239" spans="1:3" x14ac:dyDescent="0.35">
      <c r="A239" s="53">
        <v>42762</v>
      </c>
      <c r="B239" s="35">
        <v>152.80000000000001</v>
      </c>
      <c r="C239" s="35">
        <v>2765776</v>
      </c>
    </row>
    <row r="240" spans="1:3" x14ac:dyDescent="0.35">
      <c r="A240" s="53">
        <v>42760</v>
      </c>
      <c r="B240" s="35">
        <v>151.28</v>
      </c>
      <c r="C240" s="35">
        <v>2169560</v>
      </c>
    </row>
    <row r="241" spans="1:3" x14ac:dyDescent="0.35">
      <c r="A241" s="53">
        <v>42759</v>
      </c>
      <c r="B241" s="35">
        <v>149.43</v>
      </c>
      <c r="C241" s="35">
        <v>1733858</v>
      </c>
    </row>
    <row r="242" spans="1:3" x14ac:dyDescent="0.35">
      <c r="A242" s="53">
        <v>42758</v>
      </c>
      <c r="B242" s="35">
        <v>152.28</v>
      </c>
      <c r="C242" s="35">
        <v>4480634</v>
      </c>
    </row>
    <row r="243" spans="1:3" x14ac:dyDescent="0.35">
      <c r="A243" s="53">
        <v>42755</v>
      </c>
      <c r="B243" s="35">
        <v>152</v>
      </c>
      <c r="C243" s="35">
        <v>2364474</v>
      </c>
    </row>
    <row r="244" spans="1:3" x14ac:dyDescent="0.35">
      <c r="A244" s="53">
        <v>42754</v>
      </c>
      <c r="B244" s="35">
        <v>149.85</v>
      </c>
      <c r="C244" s="35">
        <v>3620934</v>
      </c>
    </row>
    <row r="245" spans="1:3" x14ac:dyDescent="0.35">
      <c r="A245" s="53">
        <v>42753</v>
      </c>
      <c r="B245" s="35">
        <v>146.55000000000001</v>
      </c>
      <c r="C245" s="35">
        <v>2236758</v>
      </c>
    </row>
    <row r="246" spans="1:3" x14ac:dyDescent="0.35">
      <c r="A246" s="53">
        <v>42752</v>
      </c>
      <c r="B246" s="35">
        <v>146.05000000000001</v>
      </c>
      <c r="C246" s="35">
        <v>1041070</v>
      </c>
    </row>
    <row r="247" spans="1:3" x14ac:dyDescent="0.35">
      <c r="A247" s="53">
        <v>42751</v>
      </c>
      <c r="B247" s="35">
        <v>146.9</v>
      </c>
      <c r="C247" s="35">
        <v>3565464</v>
      </c>
    </row>
    <row r="248" spans="1:3" x14ac:dyDescent="0.35">
      <c r="A248" s="53">
        <v>42748</v>
      </c>
      <c r="B248" s="35">
        <v>145.25</v>
      </c>
      <c r="C248" s="35">
        <v>3136296</v>
      </c>
    </row>
    <row r="249" spans="1:3" x14ac:dyDescent="0.35">
      <c r="A249" s="53">
        <v>42747</v>
      </c>
      <c r="B249" s="35">
        <v>140.97999999999999</v>
      </c>
      <c r="C249" s="35">
        <v>3769700</v>
      </c>
    </row>
    <row r="250" spans="1:3" x14ac:dyDescent="0.35">
      <c r="A250" s="53">
        <v>42746</v>
      </c>
      <c r="B250" s="35">
        <v>135.43</v>
      </c>
      <c r="C250" s="35">
        <v>2341022</v>
      </c>
    </row>
    <row r="251" spans="1:3" x14ac:dyDescent="0.35">
      <c r="A251" s="53">
        <v>42745</v>
      </c>
      <c r="B251" s="35">
        <v>136.32</v>
      </c>
      <c r="C251" s="35">
        <v>606466</v>
      </c>
    </row>
    <row r="252" spans="1:3" x14ac:dyDescent="0.35">
      <c r="A252" s="53">
        <v>42744</v>
      </c>
      <c r="B252" s="35">
        <v>135.19999999999999</v>
      </c>
      <c r="C252" s="35">
        <v>637768</v>
      </c>
    </row>
    <row r="253" spans="1:3" x14ac:dyDescent="0.35">
      <c r="A253" s="53">
        <v>42741</v>
      </c>
      <c r="B253" s="35">
        <v>135.25</v>
      </c>
      <c r="C253" s="35">
        <v>1483432</v>
      </c>
    </row>
    <row r="254" spans="1:3" x14ac:dyDescent="0.35">
      <c r="A254" s="53">
        <v>42740</v>
      </c>
      <c r="B254" s="35">
        <v>137.65</v>
      </c>
      <c r="C254" s="35">
        <v>3735140</v>
      </c>
    </row>
    <row r="255" spans="1:3" x14ac:dyDescent="0.35">
      <c r="A255" s="53">
        <v>42739</v>
      </c>
      <c r="B255" s="35">
        <v>137.85</v>
      </c>
      <c r="C255" s="35">
        <v>4435208</v>
      </c>
    </row>
    <row r="256" spans="1:3" x14ac:dyDescent="0.35">
      <c r="A256" s="53">
        <v>42738</v>
      </c>
      <c r="B256" s="35">
        <v>137.72999999999999</v>
      </c>
      <c r="C256" s="35">
        <v>1773006</v>
      </c>
    </row>
    <row r="257" spans="1:3" x14ac:dyDescent="0.35">
      <c r="A257" s="53">
        <v>42737</v>
      </c>
      <c r="B257" s="35">
        <v>137.28</v>
      </c>
      <c r="C257" s="35">
        <v>704758</v>
      </c>
    </row>
    <row r="258" spans="1:3" x14ac:dyDescent="0.35">
      <c r="A258" s="53">
        <v>42734</v>
      </c>
      <c r="B258" s="35">
        <v>136.85</v>
      </c>
      <c r="C258" s="35">
        <v>1752106</v>
      </c>
    </row>
    <row r="259" spans="1:3" x14ac:dyDescent="0.35">
      <c r="A259" s="53">
        <v>42733</v>
      </c>
      <c r="B259" s="35">
        <v>136.44999999999999</v>
      </c>
      <c r="C259" s="35">
        <v>1555038</v>
      </c>
    </row>
    <row r="260" spans="1:3" x14ac:dyDescent="0.35">
      <c r="A260" s="53">
        <v>42732</v>
      </c>
      <c r="B260" s="35">
        <v>135.63</v>
      </c>
      <c r="C260" s="35">
        <v>1499966</v>
      </c>
    </row>
    <row r="261" spans="1:3" x14ac:dyDescent="0.35">
      <c r="A261" s="53">
        <v>42731</v>
      </c>
      <c r="B261" s="35">
        <v>133.25</v>
      </c>
      <c r="C261" s="35">
        <v>1187834</v>
      </c>
    </row>
    <row r="262" spans="1:3" x14ac:dyDescent="0.35">
      <c r="A262" s="53">
        <v>42730</v>
      </c>
      <c r="B262" s="35">
        <v>134.38</v>
      </c>
      <c r="C262" s="35">
        <v>1493430</v>
      </c>
    </row>
    <row r="263" spans="1:3" x14ac:dyDescent="0.35">
      <c r="A263" s="53">
        <v>42727</v>
      </c>
      <c r="B263" s="35">
        <v>136.97999999999999</v>
      </c>
      <c r="C263" s="35">
        <v>2589512</v>
      </c>
    </row>
    <row r="264" spans="1:3" x14ac:dyDescent="0.35">
      <c r="A264" s="53">
        <v>42726</v>
      </c>
      <c r="B264" s="35">
        <v>136.68</v>
      </c>
      <c r="C264" s="35">
        <v>2685574</v>
      </c>
    </row>
    <row r="265" spans="1:3" x14ac:dyDescent="0.35">
      <c r="A265" s="53">
        <v>42725</v>
      </c>
      <c r="B265" s="35">
        <v>137.4</v>
      </c>
      <c r="C265" s="35">
        <v>5791734</v>
      </c>
    </row>
    <row r="266" spans="1:3" x14ac:dyDescent="0.35">
      <c r="A266" s="53">
        <v>42724</v>
      </c>
      <c r="B266" s="35">
        <v>134.6</v>
      </c>
      <c r="C266" s="35">
        <v>3173596</v>
      </c>
    </row>
    <row r="267" spans="1:3" x14ac:dyDescent="0.35">
      <c r="A267" s="53">
        <v>42723</v>
      </c>
      <c r="B267" s="35">
        <v>137.15</v>
      </c>
      <c r="C267" s="35">
        <v>3824492</v>
      </c>
    </row>
    <row r="268" spans="1:3" x14ac:dyDescent="0.35">
      <c r="A268" s="53">
        <v>42720</v>
      </c>
      <c r="B268" s="35">
        <v>135.80000000000001</v>
      </c>
      <c r="C268" s="35">
        <v>3086334</v>
      </c>
    </row>
    <row r="269" spans="1:3" x14ac:dyDescent="0.35">
      <c r="A269" s="53">
        <v>42719</v>
      </c>
      <c r="B269" s="35">
        <v>137.15</v>
      </c>
      <c r="C269" s="35">
        <v>3220454</v>
      </c>
    </row>
    <row r="270" spans="1:3" x14ac:dyDescent="0.35">
      <c r="A270" s="53">
        <v>42718</v>
      </c>
      <c r="B270" s="35">
        <v>135.47999999999999</v>
      </c>
      <c r="C270" s="35">
        <v>6086908</v>
      </c>
    </row>
    <row r="271" spans="1:3" x14ac:dyDescent="0.35">
      <c r="A271" s="53">
        <v>42717</v>
      </c>
      <c r="B271" s="35">
        <v>133.65</v>
      </c>
      <c r="C271" s="35">
        <v>44756942</v>
      </c>
    </row>
    <row r="272" spans="1:3" x14ac:dyDescent="0.35">
      <c r="A272" s="53">
        <v>42716</v>
      </c>
      <c r="B272" s="35">
        <v>142.13</v>
      </c>
      <c r="C272" s="35">
        <v>1882360</v>
      </c>
    </row>
    <row r="273" spans="1:3" x14ac:dyDescent="0.35">
      <c r="A273" s="53">
        <v>42713</v>
      </c>
      <c r="B273" s="35">
        <v>142</v>
      </c>
      <c r="C273" s="35">
        <v>2191212</v>
      </c>
    </row>
    <row r="274" spans="1:3" x14ac:dyDescent="0.35">
      <c r="A274" s="53">
        <v>42712</v>
      </c>
      <c r="B274" s="35">
        <v>142.07</v>
      </c>
      <c r="C274" s="35">
        <v>779806</v>
      </c>
    </row>
    <row r="275" spans="1:3" x14ac:dyDescent="0.35">
      <c r="A275" s="53">
        <v>42711</v>
      </c>
      <c r="B275" s="35">
        <v>141.97999999999999</v>
      </c>
      <c r="C275" s="35">
        <v>1451794</v>
      </c>
    </row>
    <row r="276" spans="1:3" x14ac:dyDescent="0.35">
      <c r="A276" s="53">
        <v>42710</v>
      </c>
      <c r="B276" s="35">
        <v>141.32</v>
      </c>
      <c r="C276" s="35">
        <v>2320978</v>
      </c>
    </row>
    <row r="277" spans="1:3" x14ac:dyDescent="0.35">
      <c r="A277" s="53">
        <v>42709</v>
      </c>
      <c r="B277" s="35">
        <v>140.94999999999999</v>
      </c>
      <c r="C277" s="35">
        <v>5707000</v>
      </c>
    </row>
    <row r="278" spans="1:3" x14ac:dyDescent="0.35">
      <c r="A278" s="53">
        <v>42706</v>
      </c>
      <c r="B278" s="35">
        <v>138.9</v>
      </c>
      <c r="C278" s="35">
        <v>2632656</v>
      </c>
    </row>
    <row r="279" spans="1:3" x14ac:dyDescent="0.35">
      <c r="A279" s="53">
        <v>42705</v>
      </c>
      <c r="B279" s="35">
        <v>137.88</v>
      </c>
      <c r="C279" s="35">
        <v>5274564</v>
      </c>
    </row>
    <row r="280" spans="1:3" x14ac:dyDescent="0.35">
      <c r="A280" s="53">
        <v>42704</v>
      </c>
      <c r="B280" s="35">
        <v>138.18</v>
      </c>
      <c r="C280" s="35">
        <v>3357022</v>
      </c>
    </row>
    <row r="281" spans="1:3" x14ac:dyDescent="0.35">
      <c r="A281" s="53">
        <v>42703</v>
      </c>
      <c r="B281" s="35">
        <v>135.80000000000001</v>
      </c>
      <c r="C281" s="35">
        <v>3830754</v>
      </c>
    </row>
    <row r="282" spans="1:3" x14ac:dyDescent="0.35">
      <c r="A282" s="53">
        <v>42702</v>
      </c>
      <c r="B282" s="35">
        <v>134.6</v>
      </c>
      <c r="C282" s="35">
        <v>3892590</v>
      </c>
    </row>
    <row r="283" spans="1:3" x14ac:dyDescent="0.35">
      <c r="A283" s="53">
        <v>42699</v>
      </c>
      <c r="B283" s="35">
        <v>134.78</v>
      </c>
      <c r="C283" s="35">
        <v>2890466</v>
      </c>
    </row>
    <row r="284" spans="1:3" x14ac:dyDescent="0.35">
      <c r="A284" s="53">
        <v>42698</v>
      </c>
      <c r="B284" s="35">
        <v>134.75</v>
      </c>
      <c r="C284" s="35">
        <v>2716854</v>
      </c>
    </row>
    <row r="285" spans="1:3" x14ac:dyDescent="0.35">
      <c r="A285" s="53">
        <v>42697</v>
      </c>
      <c r="B285" s="35">
        <v>137.03</v>
      </c>
      <c r="C285" s="35">
        <v>4602224</v>
      </c>
    </row>
    <row r="286" spans="1:3" x14ac:dyDescent="0.35">
      <c r="A286" s="53">
        <v>42696</v>
      </c>
      <c r="B286" s="35">
        <v>134.94999999999999</v>
      </c>
      <c r="C286" s="35">
        <v>4925580</v>
      </c>
    </row>
    <row r="287" spans="1:3" x14ac:dyDescent="0.35">
      <c r="A287" s="53">
        <v>42695</v>
      </c>
      <c r="B287" s="35">
        <v>130.82</v>
      </c>
      <c r="C287" s="35">
        <v>4850364</v>
      </c>
    </row>
    <row r="288" spans="1:3" x14ac:dyDescent="0.35">
      <c r="A288" s="53">
        <v>42692</v>
      </c>
      <c r="B288" s="35">
        <v>131.94999999999999</v>
      </c>
      <c r="C288" s="35">
        <v>5530160</v>
      </c>
    </row>
    <row r="289" spans="1:3" x14ac:dyDescent="0.35">
      <c r="A289" s="53">
        <v>42691</v>
      </c>
      <c r="B289" s="35">
        <v>124.3</v>
      </c>
      <c r="C289" s="35">
        <v>4077640</v>
      </c>
    </row>
    <row r="290" spans="1:3" x14ac:dyDescent="0.35">
      <c r="A290" s="53">
        <v>42690</v>
      </c>
      <c r="B290" s="35">
        <v>126.15</v>
      </c>
      <c r="C290" s="35">
        <v>4442154</v>
      </c>
    </row>
    <row r="291" spans="1:3" x14ac:dyDescent="0.35">
      <c r="A291" s="53">
        <v>42689</v>
      </c>
      <c r="B291" s="35">
        <v>127.48</v>
      </c>
      <c r="C291" s="35">
        <v>3482728</v>
      </c>
    </row>
    <row r="292" spans="1:3" x14ac:dyDescent="0.35">
      <c r="A292" s="53">
        <v>42685</v>
      </c>
      <c r="B292" s="35">
        <v>130.57</v>
      </c>
      <c r="C292" s="35">
        <v>4130714</v>
      </c>
    </row>
    <row r="293" spans="1:3" x14ac:dyDescent="0.35">
      <c r="A293" s="53">
        <v>42684</v>
      </c>
      <c r="B293" s="35">
        <v>131.78</v>
      </c>
      <c r="C293" s="35">
        <v>19166288</v>
      </c>
    </row>
    <row r="294" spans="1:3" x14ac:dyDescent="0.35">
      <c r="A294" s="53">
        <v>42683</v>
      </c>
      <c r="B294" s="35">
        <v>130.30000000000001</v>
      </c>
      <c r="C294" s="35">
        <v>6646064</v>
      </c>
    </row>
    <row r="295" spans="1:3" x14ac:dyDescent="0.35">
      <c r="A295" s="53">
        <v>42682</v>
      </c>
      <c r="B295" s="35">
        <v>130.38</v>
      </c>
      <c r="C295" s="35">
        <v>5711168</v>
      </c>
    </row>
    <row r="296" spans="1:3" x14ac:dyDescent="0.35">
      <c r="A296" s="53">
        <v>42681</v>
      </c>
      <c r="B296" s="35">
        <v>127.63</v>
      </c>
      <c r="C296" s="35">
        <v>8699314</v>
      </c>
    </row>
    <row r="297" spans="1:3" x14ac:dyDescent="0.35">
      <c r="A297" s="53">
        <v>42678</v>
      </c>
      <c r="B297" s="35">
        <v>124.53</v>
      </c>
      <c r="C297" s="35">
        <v>2648936</v>
      </c>
    </row>
    <row r="298" spans="1:3" x14ac:dyDescent="0.35">
      <c r="A298" s="53">
        <v>42677</v>
      </c>
      <c r="B298" s="35">
        <v>125.6</v>
      </c>
      <c r="C298" s="35">
        <v>5395178</v>
      </c>
    </row>
    <row r="299" spans="1:3" x14ac:dyDescent="0.35">
      <c r="A299" s="53">
        <v>42676</v>
      </c>
      <c r="B299" s="35">
        <v>123.75</v>
      </c>
      <c r="C299" s="35">
        <v>4954936</v>
      </c>
    </row>
    <row r="300" spans="1:3" x14ac:dyDescent="0.35">
      <c r="A300" s="53">
        <v>42675</v>
      </c>
      <c r="B300" s="35">
        <v>127.23</v>
      </c>
      <c r="C300" s="35">
        <v>4434604</v>
      </c>
    </row>
    <row r="301" spans="1:3" x14ac:dyDescent="0.35">
      <c r="A301" s="53">
        <v>42673</v>
      </c>
      <c r="B301" s="35">
        <v>126.43</v>
      </c>
      <c r="C301" s="35">
        <v>778906</v>
      </c>
    </row>
    <row r="302" spans="1:3" x14ac:dyDescent="0.35">
      <c r="A302" s="53">
        <v>42671</v>
      </c>
      <c r="B302" s="35">
        <v>126.08</v>
      </c>
      <c r="C302" s="35">
        <v>4543642</v>
      </c>
    </row>
    <row r="303" spans="1:3" x14ac:dyDescent="0.35">
      <c r="A303" s="53">
        <v>42670</v>
      </c>
      <c r="B303" s="35">
        <v>122.45</v>
      </c>
      <c r="C303" s="35">
        <v>3473170</v>
      </c>
    </row>
    <row r="304" spans="1:3" x14ac:dyDescent="0.35">
      <c r="A304" s="53">
        <v>42669</v>
      </c>
      <c r="B304" s="35">
        <v>119.93</v>
      </c>
      <c r="C304" s="35">
        <v>4345610</v>
      </c>
    </row>
    <row r="305" spans="1:3" x14ac:dyDescent="0.35">
      <c r="A305" s="53">
        <v>42668</v>
      </c>
      <c r="B305" s="35">
        <v>118.55</v>
      </c>
      <c r="C305" s="35">
        <v>2730488</v>
      </c>
    </row>
    <row r="306" spans="1:3" x14ac:dyDescent="0.35">
      <c r="A306" s="53">
        <v>42667</v>
      </c>
      <c r="B306" s="35">
        <v>118</v>
      </c>
      <c r="C306" s="35">
        <v>3848632</v>
      </c>
    </row>
    <row r="307" spans="1:3" x14ac:dyDescent="0.35">
      <c r="A307" s="53">
        <v>42664</v>
      </c>
      <c r="B307" s="35">
        <v>118.43</v>
      </c>
      <c r="C307" s="35">
        <v>4839190</v>
      </c>
    </row>
    <row r="308" spans="1:3" x14ac:dyDescent="0.35">
      <c r="A308" s="53">
        <v>42663</v>
      </c>
      <c r="B308" s="35">
        <v>118.28</v>
      </c>
      <c r="C308" s="35">
        <v>5787114</v>
      </c>
    </row>
    <row r="309" spans="1:3" x14ac:dyDescent="0.35">
      <c r="A309" s="53">
        <v>42662</v>
      </c>
      <c r="B309" s="35">
        <v>117.8</v>
      </c>
      <c r="C309" s="35">
        <v>3387112</v>
      </c>
    </row>
    <row r="310" spans="1:3" x14ac:dyDescent="0.35">
      <c r="A310" s="53">
        <v>42661</v>
      </c>
      <c r="B310" s="35">
        <v>119.05</v>
      </c>
      <c r="C310" s="35">
        <v>5446158</v>
      </c>
    </row>
    <row r="311" spans="1:3" x14ac:dyDescent="0.35">
      <c r="A311" s="53">
        <v>42660</v>
      </c>
      <c r="B311" s="35">
        <v>117.75</v>
      </c>
      <c r="C311" s="35">
        <v>3344038</v>
      </c>
    </row>
    <row r="312" spans="1:3" x14ac:dyDescent="0.35">
      <c r="A312" s="53">
        <v>42657</v>
      </c>
      <c r="B312" s="35">
        <v>117.48</v>
      </c>
      <c r="C312" s="35">
        <v>4671722</v>
      </c>
    </row>
    <row r="313" spans="1:3" x14ac:dyDescent="0.35">
      <c r="A313" s="53">
        <v>42656</v>
      </c>
      <c r="B313" s="35">
        <v>118.8</v>
      </c>
      <c r="C313" s="35">
        <v>4113352</v>
      </c>
    </row>
    <row r="314" spans="1:3" x14ac:dyDescent="0.35">
      <c r="A314" s="53">
        <v>42653</v>
      </c>
      <c r="B314" s="35">
        <v>118.68</v>
      </c>
      <c r="C314" s="35">
        <v>2970156</v>
      </c>
    </row>
    <row r="315" spans="1:3" x14ac:dyDescent="0.35">
      <c r="A315" s="53">
        <v>42650</v>
      </c>
      <c r="B315" s="35">
        <v>117.9</v>
      </c>
      <c r="C315" s="35">
        <v>2763526</v>
      </c>
    </row>
    <row r="316" spans="1:3" x14ac:dyDescent="0.35">
      <c r="A316" s="53">
        <v>42649</v>
      </c>
      <c r="B316" s="35">
        <v>119.28</v>
      </c>
      <c r="C316" s="35">
        <v>3612916</v>
      </c>
    </row>
    <row r="317" spans="1:3" x14ac:dyDescent="0.35">
      <c r="A317" s="53">
        <v>42648</v>
      </c>
      <c r="B317" s="35">
        <v>119.5</v>
      </c>
      <c r="C317" s="35">
        <v>7587282</v>
      </c>
    </row>
    <row r="318" spans="1:3" x14ac:dyDescent="0.35">
      <c r="A318" s="53">
        <v>42647</v>
      </c>
      <c r="B318" s="35">
        <v>117.03</v>
      </c>
      <c r="C318" s="35">
        <v>3924786</v>
      </c>
    </row>
    <row r="319" spans="1:3" x14ac:dyDescent="0.35">
      <c r="A319" s="53">
        <v>42646</v>
      </c>
      <c r="B319" s="35">
        <v>118.75</v>
      </c>
      <c r="C319" s="35">
        <v>4228012</v>
      </c>
    </row>
    <row r="320" spans="1:3" x14ac:dyDescent="0.35">
      <c r="A320" s="53">
        <v>42643</v>
      </c>
      <c r="B320" s="35">
        <v>119.83</v>
      </c>
      <c r="C320" s="35">
        <v>2689852</v>
      </c>
    </row>
    <row r="321" spans="1:3" x14ac:dyDescent="0.35">
      <c r="A321" s="53">
        <v>42642</v>
      </c>
      <c r="B321" s="35">
        <v>118.93</v>
      </c>
      <c r="C321" s="35">
        <v>5368762</v>
      </c>
    </row>
    <row r="322" spans="1:3" x14ac:dyDescent="0.35">
      <c r="A322" s="53">
        <v>42641</v>
      </c>
      <c r="B322" s="35">
        <v>118.25</v>
      </c>
      <c r="C322" s="35">
        <v>3720644</v>
      </c>
    </row>
    <row r="323" spans="1:3" x14ac:dyDescent="0.35">
      <c r="A323" s="53">
        <v>42640</v>
      </c>
      <c r="B323" s="35">
        <v>117.55</v>
      </c>
      <c r="C323" s="35">
        <v>5406468</v>
      </c>
    </row>
    <row r="324" spans="1:3" x14ac:dyDescent="0.35">
      <c r="A324" s="53">
        <v>42639</v>
      </c>
      <c r="B324" s="35">
        <v>115.3</v>
      </c>
      <c r="C324" s="35">
        <v>3491726</v>
      </c>
    </row>
    <row r="325" spans="1:3" x14ac:dyDescent="0.35">
      <c r="A325" s="53">
        <v>42636</v>
      </c>
      <c r="B325" s="35">
        <v>114.88</v>
      </c>
      <c r="C325" s="35">
        <v>2028900</v>
      </c>
    </row>
    <row r="326" spans="1:3" x14ac:dyDescent="0.35">
      <c r="A326" s="53">
        <v>42635</v>
      </c>
      <c r="B326" s="35">
        <v>114.55</v>
      </c>
      <c r="C326" s="35">
        <v>2208100</v>
      </c>
    </row>
    <row r="327" spans="1:3" x14ac:dyDescent="0.35">
      <c r="A327" s="53">
        <v>42634</v>
      </c>
      <c r="B327" s="35">
        <v>114.4</v>
      </c>
      <c r="C327" s="35">
        <v>2966276</v>
      </c>
    </row>
    <row r="328" spans="1:3" x14ac:dyDescent="0.35">
      <c r="A328" s="53">
        <v>42633</v>
      </c>
      <c r="B328" s="35">
        <v>114.2</v>
      </c>
      <c r="C328" s="35">
        <v>4056166</v>
      </c>
    </row>
    <row r="329" spans="1:3" x14ac:dyDescent="0.35">
      <c r="A329" s="53">
        <v>42632</v>
      </c>
      <c r="B329" s="35">
        <v>113.55</v>
      </c>
      <c r="C329" s="35">
        <v>4924294</v>
      </c>
    </row>
    <row r="330" spans="1:3" x14ac:dyDescent="0.35">
      <c r="A330" s="53">
        <v>42629</v>
      </c>
      <c r="B330" s="35">
        <v>112.03</v>
      </c>
      <c r="C330" s="35">
        <v>7272306</v>
      </c>
    </row>
    <row r="331" spans="1:3" x14ac:dyDescent="0.35">
      <c r="A331" s="53">
        <v>42628</v>
      </c>
      <c r="B331" s="35">
        <v>111.65</v>
      </c>
      <c r="C331" s="35">
        <v>13410162</v>
      </c>
    </row>
    <row r="332" spans="1:3" x14ac:dyDescent="0.35">
      <c r="A332" s="53">
        <v>42627</v>
      </c>
      <c r="B332" s="35">
        <v>109.5</v>
      </c>
      <c r="C332" s="35">
        <v>8194696</v>
      </c>
    </row>
    <row r="333" spans="1:3" x14ac:dyDescent="0.35">
      <c r="A333" s="53">
        <v>42625</v>
      </c>
      <c r="B333" s="35">
        <v>103.78</v>
      </c>
      <c r="C333" s="35">
        <v>6641770</v>
      </c>
    </row>
    <row r="334" spans="1:3" x14ac:dyDescent="0.35">
      <c r="A334" s="53">
        <v>42622</v>
      </c>
      <c r="B334" s="35">
        <v>103.35</v>
      </c>
      <c r="C334" s="35">
        <v>5967446</v>
      </c>
    </row>
    <row r="335" spans="1:3" x14ac:dyDescent="0.35">
      <c r="A335" s="53">
        <v>42621</v>
      </c>
      <c r="B335" s="35">
        <v>101.85</v>
      </c>
      <c r="C335" s="35">
        <v>6399334</v>
      </c>
    </row>
    <row r="336" spans="1:3" x14ac:dyDescent="0.35">
      <c r="A336" s="53">
        <v>42620</v>
      </c>
      <c r="B336" s="35">
        <v>100.83</v>
      </c>
      <c r="C336" s="35">
        <v>7192842</v>
      </c>
    </row>
    <row r="337" spans="1:3" x14ac:dyDescent="0.35">
      <c r="A337" s="53">
        <v>42619</v>
      </c>
      <c r="B337" s="35">
        <v>101.3</v>
      </c>
      <c r="C337" s="35">
        <v>7027976</v>
      </c>
    </row>
    <row r="338" spans="1:3" x14ac:dyDescent="0.35">
      <c r="A338" s="53">
        <v>42615</v>
      </c>
      <c r="B338" s="35">
        <v>95.28</v>
      </c>
      <c r="C338" s="35">
        <v>3271494</v>
      </c>
    </row>
    <row r="339" spans="1:3" x14ac:dyDescent="0.35">
      <c r="A339" s="53">
        <v>42614</v>
      </c>
      <c r="B339" s="35">
        <v>97.3</v>
      </c>
      <c r="C339" s="35">
        <v>6337032</v>
      </c>
    </row>
    <row r="340" spans="1:3" x14ac:dyDescent="0.35">
      <c r="A340" s="53">
        <v>42613</v>
      </c>
      <c r="B340" s="35">
        <v>97.85</v>
      </c>
      <c r="C340" s="35">
        <v>3328226</v>
      </c>
    </row>
    <row r="341" spans="1:3" x14ac:dyDescent="0.35">
      <c r="A341" s="53">
        <v>42612</v>
      </c>
      <c r="B341" s="35">
        <v>97.75</v>
      </c>
      <c r="C341" s="35">
        <v>6896954</v>
      </c>
    </row>
    <row r="342" spans="1:3" x14ac:dyDescent="0.35">
      <c r="A342" s="53">
        <v>42611</v>
      </c>
      <c r="B342" s="35">
        <v>99.33</v>
      </c>
      <c r="C342" s="35">
        <v>6816128</v>
      </c>
    </row>
    <row r="343" spans="1:3" x14ac:dyDescent="0.35">
      <c r="A343" s="53">
        <v>42608</v>
      </c>
      <c r="B343" s="35">
        <v>97.38</v>
      </c>
      <c r="C343" s="35">
        <v>5557562</v>
      </c>
    </row>
    <row r="344" spans="1:3" x14ac:dyDescent="0.35">
      <c r="A344" s="53">
        <v>42607</v>
      </c>
      <c r="B344" s="35">
        <v>98.6</v>
      </c>
      <c r="C344" s="35">
        <v>4869194</v>
      </c>
    </row>
    <row r="345" spans="1:3" x14ac:dyDescent="0.35">
      <c r="A345" s="53">
        <v>42606</v>
      </c>
      <c r="B345" s="35">
        <v>97.68</v>
      </c>
      <c r="C345" s="35">
        <v>5320296</v>
      </c>
    </row>
    <row r="346" spans="1:3" x14ac:dyDescent="0.35">
      <c r="A346" s="53">
        <v>42605</v>
      </c>
      <c r="B346" s="35">
        <v>97.63</v>
      </c>
      <c r="C346" s="35">
        <v>3689416</v>
      </c>
    </row>
    <row r="347" spans="1:3" x14ac:dyDescent="0.35">
      <c r="A347" s="53">
        <v>42604</v>
      </c>
      <c r="B347" s="35">
        <v>97.13</v>
      </c>
      <c r="C347" s="35">
        <v>5855180</v>
      </c>
    </row>
    <row r="348" spans="1:3" x14ac:dyDescent="0.35">
      <c r="A348" s="53">
        <v>42601</v>
      </c>
      <c r="B348" s="35">
        <v>94.95</v>
      </c>
      <c r="C348" s="35">
        <v>3811122</v>
      </c>
    </row>
    <row r="349" spans="1:3" x14ac:dyDescent="0.35">
      <c r="A349" s="53">
        <v>42600</v>
      </c>
      <c r="B349" s="35">
        <v>93.58</v>
      </c>
      <c r="C349" s="35">
        <v>9729394</v>
      </c>
    </row>
    <row r="350" spans="1:3" x14ac:dyDescent="0.35">
      <c r="A350" s="53">
        <v>42599</v>
      </c>
      <c r="B350" s="35">
        <v>88.93</v>
      </c>
      <c r="C350" s="35">
        <v>3935180</v>
      </c>
    </row>
    <row r="351" spans="1:3" x14ac:dyDescent="0.35">
      <c r="A351" s="53">
        <v>42598</v>
      </c>
      <c r="B351" s="35">
        <v>88.53</v>
      </c>
      <c r="C351" s="35">
        <v>22138656</v>
      </c>
    </row>
    <row r="352" spans="1:3" x14ac:dyDescent="0.35">
      <c r="A352" s="53">
        <v>42594</v>
      </c>
      <c r="B352" s="35">
        <v>91.48</v>
      </c>
      <c r="C352" s="35">
        <v>6150906</v>
      </c>
    </row>
    <row r="353" spans="1:3" x14ac:dyDescent="0.35">
      <c r="A353" s="53">
        <v>42593</v>
      </c>
      <c r="B353" s="35">
        <v>92.28</v>
      </c>
      <c r="C353" s="35">
        <v>8882648</v>
      </c>
    </row>
    <row r="354" spans="1:3" x14ac:dyDescent="0.35">
      <c r="A354" s="53">
        <v>42592</v>
      </c>
      <c r="B354" s="35">
        <v>92.7</v>
      </c>
      <c r="C354" s="35">
        <v>5488624</v>
      </c>
    </row>
    <row r="355" spans="1:3" x14ac:dyDescent="0.35">
      <c r="A355" s="53">
        <v>42591</v>
      </c>
      <c r="B355" s="35">
        <v>92.83</v>
      </c>
      <c r="C355" s="35">
        <v>6729360</v>
      </c>
    </row>
    <row r="356" spans="1:3" x14ac:dyDescent="0.35">
      <c r="A356" s="53">
        <v>42590</v>
      </c>
      <c r="B356" s="35">
        <v>92.75</v>
      </c>
      <c r="C356" s="35">
        <v>7551020</v>
      </c>
    </row>
    <row r="357" spans="1:3" x14ac:dyDescent="0.35">
      <c r="A357" s="53">
        <v>42587</v>
      </c>
      <c r="B357" s="35">
        <v>92.58</v>
      </c>
      <c r="C357" s="35">
        <v>5627272</v>
      </c>
    </row>
    <row r="358" spans="1:3" x14ac:dyDescent="0.35">
      <c r="A358" s="53">
        <v>42586</v>
      </c>
      <c r="B358" s="35">
        <v>92.25</v>
      </c>
      <c r="C358" s="35">
        <v>7536584</v>
      </c>
    </row>
    <row r="359" spans="1:3" x14ac:dyDescent="0.35">
      <c r="A359" s="53">
        <v>42585</v>
      </c>
      <c r="B359" s="35">
        <v>92.78</v>
      </c>
      <c r="C359" s="35">
        <v>6476326</v>
      </c>
    </row>
    <row r="360" spans="1:3" x14ac:dyDescent="0.35">
      <c r="A360" s="53">
        <v>42584</v>
      </c>
      <c r="B360" s="35">
        <v>92.9</v>
      </c>
      <c r="C360" s="35">
        <v>6026322</v>
      </c>
    </row>
    <row r="361" spans="1:3" x14ac:dyDescent="0.35">
      <c r="A361" s="53">
        <v>42583</v>
      </c>
      <c r="B361" s="35">
        <v>93.53</v>
      </c>
      <c r="C361" s="35">
        <v>7457664</v>
      </c>
    </row>
    <row r="362" spans="1:3" x14ac:dyDescent="0.35">
      <c r="A362" s="53">
        <v>42580</v>
      </c>
      <c r="B362" s="35">
        <v>93.18</v>
      </c>
      <c r="C362" s="35">
        <v>5803462</v>
      </c>
    </row>
    <row r="363" spans="1:3" x14ac:dyDescent="0.35">
      <c r="A363" s="53">
        <v>42579</v>
      </c>
      <c r="B363" s="35">
        <v>92.78</v>
      </c>
      <c r="C363" s="35">
        <v>5006312</v>
      </c>
    </row>
    <row r="364" spans="1:3" x14ac:dyDescent="0.35">
      <c r="A364" s="53">
        <v>42578</v>
      </c>
      <c r="B364" s="35">
        <v>94.65</v>
      </c>
      <c r="C364" s="35">
        <v>4495808</v>
      </c>
    </row>
    <row r="365" spans="1:3" x14ac:dyDescent="0.35">
      <c r="A365" s="53">
        <v>42577</v>
      </c>
      <c r="B365" s="35">
        <v>95.58</v>
      </c>
      <c r="C365" s="35">
        <v>5582946</v>
      </c>
    </row>
    <row r="366" spans="1:3" x14ac:dyDescent="0.35">
      <c r="A366" s="53">
        <v>42576</v>
      </c>
      <c r="B366" s="35">
        <v>95.68</v>
      </c>
      <c r="C366" s="35">
        <v>4754146</v>
      </c>
    </row>
    <row r="367" spans="1:3" x14ac:dyDescent="0.35">
      <c r="A367" s="53">
        <v>42573</v>
      </c>
      <c r="B367" s="35">
        <v>95.9</v>
      </c>
      <c r="C367" s="35">
        <v>4581306</v>
      </c>
    </row>
    <row r="368" spans="1:3" x14ac:dyDescent="0.35">
      <c r="A368" s="53">
        <v>42572</v>
      </c>
      <c r="B368" s="35">
        <v>96.73</v>
      </c>
      <c r="C368" s="35">
        <v>4190044</v>
      </c>
    </row>
    <row r="369" spans="1:3" x14ac:dyDescent="0.35">
      <c r="A369" s="53">
        <v>42571</v>
      </c>
      <c r="B369" s="35">
        <v>98.18</v>
      </c>
      <c r="C369" s="35">
        <v>7423090</v>
      </c>
    </row>
    <row r="370" spans="1:3" x14ac:dyDescent="0.35">
      <c r="A370" s="53">
        <v>42570</v>
      </c>
      <c r="B370" s="35">
        <v>98.75</v>
      </c>
      <c r="C370" s="35">
        <v>6018026</v>
      </c>
    </row>
    <row r="371" spans="1:3" x14ac:dyDescent="0.35">
      <c r="A371" s="53">
        <v>42569</v>
      </c>
      <c r="B371" s="35">
        <v>98</v>
      </c>
      <c r="C371" s="35">
        <v>5766672</v>
      </c>
    </row>
    <row r="372" spans="1:3" x14ac:dyDescent="0.35">
      <c r="A372" s="53">
        <v>42566</v>
      </c>
      <c r="B372" s="35">
        <v>98.8</v>
      </c>
      <c r="C372" s="35">
        <v>6579164</v>
      </c>
    </row>
    <row r="373" spans="1:3" x14ac:dyDescent="0.35">
      <c r="A373" s="53">
        <v>42565</v>
      </c>
      <c r="B373" s="35">
        <v>102.4</v>
      </c>
      <c r="C373" s="35">
        <v>6066938</v>
      </c>
    </row>
    <row r="374" spans="1:3" x14ac:dyDescent="0.35">
      <c r="A374" s="53">
        <v>42564</v>
      </c>
      <c r="B374" s="35">
        <v>102.35</v>
      </c>
      <c r="C374" s="35">
        <v>5783210</v>
      </c>
    </row>
    <row r="375" spans="1:3" x14ac:dyDescent="0.35">
      <c r="A375" s="53">
        <v>42563</v>
      </c>
      <c r="B375" s="35">
        <v>103.3</v>
      </c>
      <c r="C375" s="35">
        <v>8027390</v>
      </c>
    </row>
    <row r="376" spans="1:3" x14ac:dyDescent="0.35">
      <c r="A376" s="53">
        <v>42562</v>
      </c>
      <c r="B376" s="35">
        <v>102.45</v>
      </c>
      <c r="C376" s="35">
        <v>5916428</v>
      </c>
    </row>
    <row r="377" spans="1:3" x14ac:dyDescent="0.35">
      <c r="A377" s="53">
        <v>42559</v>
      </c>
      <c r="B377" s="35">
        <v>102.93</v>
      </c>
      <c r="C377" s="35">
        <v>10250014</v>
      </c>
    </row>
    <row r="378" spans="1:3" x14ac:dyDescent="0.35">
      <c r="A378" s="53">
        <v>42558</v>
      </c>
      <c r="B378" s="35">
        <v>102.23</v>
      </c>
      <c r="C378" s="35">
        <v>11292208</v>
      </c>
    </row>
    <row r="379" spans="1:3" x14ac:dyDescent="0.35">
      <c r="A379" s="53">
        <v>42556</v>
      </c>
      <c r="B379" s="35">
        <v>98.7</v>
      </c>
      <c r="C379" s="35">
        <v>9784596</v>
      </c>
    </row>
    <row r="380" spans="1:3" x14ac:dyDescent="0.35">
      <c r="A380" s="53">
        <v>42555</v>
      </c>
      <c r="B380" s="35">
        <v>96.93</v>
      </c>
      <c r="C380" s="35">
        <v>8916014</v>
      </c>
    </row>
    <row r="381" spans="1:3" x14ac:dyDescent="0.35">
      <c r="A381" s="53">
        <v>42552</v>
      </c>
      <c r="B381" s="35">
        <v>94.48</v>
      </c>
      <c r="C381" s="35">
        <v>5047838</v>
      </c>
    </row>
    <row r="382" spans="1:3" x14ac:dyDescent="0.35">
      <c r="A382" s="53">
        <v>42551</v>
      </c>
      <c r="B382" s="35">
        <v>94.13</v>
      </c>
      <c r="C382" s="35">
        <v>5060838</v>
      </c>
    </row>
    <row r="383" spans="1:3" x14ac:dyDescent="0.35">
      <c r="A383" s="53">
        <v>42550</v>
      </c>
      <c r="B383" s="35">
        <v>94.28</v>
      </c>
      <c r="C383" s="35">
        <v>3865856</v>
      </c>
    </row>
    <row r="384" spans="1:3" x14ac:dyDescent="0.35">
      <c r="A384" s="53">
        <v>42549</v>
      </c>
      <c r="B384" s="35">
        <v>95.25</v>
      </c>
      <c r="C384" s="35">
        <v>10655468</v>
      </c>
    </row>
    <row r="385" spans="1:3" x14ac:dyDescent="0.35">
      <c r="A385" s="53">
        <v>42548</v>
      </c>
      <c r="B385" s="35">
        <v>93.4</v>
      </c>
      <c r="C385" s="35">
        <v>5560214</v>
      </c>
    </row>
    <row r="386" spans="1:3" x14ac:dyDescent="0.35">
      <c r="A386" s="53">
        <v>42545</v>
      </c>
      <c r="B386" s="35">
        <v>93.18</v>
      </c>
      <c r="C386" s="35">
        <v>3979938</v>
      </c>
    </row>
    <row r="387" spans="1:3" x14ac:dyDescent="0.35">
      <c r="A387" s="53">
        <v>42544</v>
      </c>
      <c r="B387" s="35">
        <v>95.13</v>
      </c>
      <c r="C387" s="35">
        <v>8091634</v>
      </c>
    </row>
    <row r="388" spans="1:3" x14ac:dyDescent="0.35">
      <c r="A388" s="53">
        <v>42543</v>
      </c>
      <c r="B388" s="35">
        <v>94.08</v>
      </c>
      <c r="C388" s="35">
        <v>12112344</v>
      </c>
    </row>
    <row r="389" spans="1:3" x14ac:dyDescent="0.35">
      <c r="A389" s="53">
        <v>42542</v>
      </c>
      <c r="B389" s="35">
        <v>89.55</v>
      </c>
      <c r="C389" s="35">
        <v>8013508</v>
      </c>
    </row>
    <row r="390" spans="1:3" x14ac:dyDescent="0.35">
      <c r="A390" s="53">
        <v>42541</v>
      </c>
      <c r="B390" s="35">
        <v>87.43</v>
      </c>
      <c r="C390" s="35">
        <v>6382646</v>
      </c>
    </row>
    <row r="391" spans="1:3" x14ac:dyDescent="0.35">
      <c r="A391" s="53">
        <v>42538</v>
      </c>
      <c r="B391" s="35">
        <v>85.98</v>
      </c>
      <c r="C391" s="35">
        <v>4755824</v>
      </c>
    </row>
    <row r="392" spans="1:3" x14ac:dyDescent="0.35">
      <c r="A392" s="53">
        <v>42537</v>
      </c>
      <c r="B392" s="35">
        <v>85.13</v>
      </c>
      <c r="C392" s="35">
        <v>3473360</v>
      </c>
    </row>
    <row r="393" spans="1:3" x14ac:dyDescent="0.35">
      <c r="A393" s="53">
        <v>42536</v>
      </c>
      <c r="B393" s="35">
        <v>84.58</v>
      </c>
      <c r="C393" s="35">
        <v>7411060</v>
      </c>
    </row>
    <row r="394" spans="1:3" x14ac:dyDescent="0.35">
      <c r="A394" s="53">
        <v>42535</v>
      </c>
      <c r="B394" s="35">
        <v>84.6</v>
      </c>
      <c r="C394" s="35">
        <v>13391692</v>
      </c>
    </row>
    <row r="395" spans="1:3" x14ac:dyDescent="0.35">
      <c r="A395" s="53">
        <v>42534</v>
      </c>
      <c r="B395" s="35">
        <v>84.28</v>
      </c>
      <c r="C395" s="35">
        <v>10012306</v>
      </c>
    </row>
    <row r="396" spans="1:3" x14ac:dyDescent="0.35">
      <c r="A396" s="53">
        <v>42531</v>
      </c>
      <c r="B396" s="35">
        <v>83.28</v>
      </c>
      <c r="C396" s="35">
        <v>7519700</v>
      </c>
    </row>
    <row r="397" spans="1:3" x14ac:dyDescent="0.35">
      <c r="A397" s="53">
        <v>42530</v>
      </c>
      <c r="B397" s="35">
        <v>81.45</v>
      </c>
      <c r="C397" s="35">
        <v>6676862</v>
      </c>
    </row>
    <row r="398" spans="1:3" x14ac:dyDescent="0.35">
      <c r="A398" s="53">
        <v>42529</v>
      </c>
      <c r="B398" s="35">
        <v>84.43</v>
      </c>
      <c r="C398" s="35">
        <v>6460486</v>
      </c>
    </row>
    <row r="399" spans="1:3" x14ac:dyDescent="0.35">
      <c r="A399" s="53">
        <v>42528</v>
      </c>
      <c r="B399" s="35">
        <v>85.98</v>
      </c>
      <c r="C399" s="35">
        <v>10388362</v>
      </c>
    </row>
    <row r="400" spans="1:3" x14ac:dyDescent="0.35">
      <c r="A400" s="53">
        <v>42527</v>
      </c>
      <c r="B400" s="35">
        <v>85.6</v>
      </c>
      <c r="C400" s="35">
        <v>15083086</v>
      </c>
    </row>
    <row r="401" spans="1:3" x14ac:dyDescent="0.35">
      <c r="A401" s="53">
        <v>42524</v>
      </c>
      <c r="B401" s="35">
        <v>86.18</v>
      </c>
      <c r="C401" s="35">
        <v>19624906</v>
      </c>
    </row>
    <row r="402" spans="1:3" x14ac:dyDescent="0.35">
      <c r="A402" s="53">
        <v>42523</v>
      </c>
      <c r="B402" s="35">
        <v>92</v>
      </c>
      <c r="C402" s="35">
        <v>27529278</v>
      </c>
    </row>
    <row r="403" spans="1:3" x14ac:dyDescent="0.35">
      <c r="A403" s="53">
        <v>42522</v>
      </c>
      <c r="B403" s="35">
        <v>91.45</v>
      </c>
      <c r="C403" s="35">
        <v>7064700</v>
      </c>
    </row>
    <row r="404" spans="1:3" x14ac:dyDescent="0.35">
      <c r="A404" s="53">
        <v>42521</v>
      </c>
      <c r="B404" s="35">
        <v>89.6</v>
      </c>
      <c r="C404" s="35">
        <v>5630144</v>
      </c>
    </row>
    <row r="405" spans="1:3" x14ac:dyDescent="0.35">
      <c r="A405" s="53">
        <v>42520</v>
      </c>
      <c r="B405" s="35">
        <v>90.45</v>
      </c>
      <c r="C405" s="35">
        <v>7149818</v>
      </c>
    </row>
    <row r="406" spans="1:3" x14ac:dyDescent="0.35">
      <c r="A406" s="53">
        <v>42517</v>
      </c>
      <c r="B406" s="35">
        <v>88.93</v>
      </c>
      <c r="C406" s="35">
        <v>5026640</v>
      </c>
    </row>
    <row r="407" spans="1:3" x14ac:dyDescent="0.35">
      <c r="A407" s="53">
        <v>42516</v>
      </c>
      <c r="B407" s="35">
        <v>88.73</v>
      </c>
      <c r="C407" s="35">
        <v>5061176</v>
      </c>
    </row>
    <row r="408" spans="1:3" x14ac:dyDescent="0.35">
      <c r="A408" s="53">
        <v>42515</v>
      </c>
      <c r="B408" s="35">
        <v>87.28</v>
      </c>
      <c r="C408" s="35">
        <v>6514828</v>
      </c>
    </row>
    <row r="409" spans="1:3" x14ac:dyDescent="0.35">
      <c r="A409" s="53">
        <v>42514</v>
      </c>
      <c r="B409" s="35">
        <v>89</v>
      </c>
      <c r="C409" s="35">
        <v>6407158</v>
      </c>
    </row>
    <row r="410" spans="1:3" x14ac:dyDescent="0.35">
      <c r="A410" s="53">
        <v>42513</v>
      </c>
      <c r="B410" s="35">
        <v>89.35</v>
      </c>
      <c r="C410" s="35">
        <v>5629182</v>
      </c>
    </row>
    <row r="411" spans="1:3" x14ac:dyDescent="0.35">
      <c r="A411" s="53">
        <v>42510</v>
      </c>
      <c r="B411" s="35">
        <v>86.9</v>
      </c>
      <c r="C411" s="35">
        <v>5233034</v>
      </c>
    </row>
    <row r="412" spans="1:3" x14ac:dyDescent="0.35">
      <c r="A412" s="53">
        <v>42509</v>
      </c>
      <c r="B412" s="35">
        <v>86.35</v>
      </c>
      <c r="C412" s="35">
        <v>3836294</v>
      </c>
    </row>
    <row r="413" spans="1:3" x14ac:dyDescent="0.35">
      <c r="A413" s="53">
        <v>42508</v>
      </c>
      <c r="B413" s="35">
        <v>87.25</v>
      </c>
      <c r="C413" s="35">
        <v>6434208</v>
      </c>
    </row>
    <row r="414" spans="1:3" x14ac:dyDescent="0.35">
      <c r="A414" s="53">
        <v>42507</v>
      </c>
      <c r="B414" s="35">
        <v>87.95</v>
      </c>
      <c r="C414" s="35">
        <v>8600078</v>
      </c>
    </row>
    <row r="415" spans="1:3" x14ac:dyDescent="0.35">
      <c r="A415" s="53">
        <v>42506</v>
      </c>
      <c r="B415" s="35">
        <v>90.88</v>
      </c>
      <c r="C415" s="35">
        <v>5870902</v>
      </c>
    </row>
    <row r="416" spans="1:3" x14ac:dyDescent="0.35">
      <c r="A416" s="53">
        <v>42503</v>
      </c>
      <c r="B416" s="35">
        <v>90.7</v>
      </c>
      <c r="C416" s="35">
        <v>5295810</v>
      </c>
    </row>
    <row r="417" spans="1:3" x14ac:dyDescent="0.35">
      <c r="A417" s="53">
        <v>42502</v>
      </c>
      <c r="B417" s="35">
        <v>93.15</v>
      </c>
      <c r="C417" s="35">
        <v>3806464</v>
      </c>
    </row>
    <row r="418" spans="1:3" x14ac:dyDescent="0.35">
      <c r="A418" s="53">
        <v>42501</v>
      </c>
      <c r="B418" s="35">
        <v>92</v>
      </c>
      <c r="C418" s="35">
        <v>8378650</v>
      </c>
    </row>
    <row r="419" spans="1:3" x14ac:dyDescent="0.35">
      <c r="A419" s="53">
        <v>42500</v>
      </c>
      <c r="B419" s="35">
        <v>95.3</v>
      </c>
      <c r="C419" s="35">
        <v>4098932</v>
      </c>
    </row>
    <row r="420" spans="1:3" x14ac:dyDescent="0.35">
      <c r="A420" s="53">
        <v>42499</v>
      </c>
      <c r="B420" s="35">
        <v>95.63</v>
      </c>
      <c r="C420" s="35">
        <v>3268142</v>
      </c>
    </row>
    <row r="421" spans="1:3" x14ac:dyDescent="0.35">
      <c r="A421" s="53">
        <v>42496</v>
      </c>
      <c r="B421" s="35">
        <v>96.35</v>
      </c>
      <c r="C421" s="35">
        <v>3908090</v>
      </c>
    </row>
    <row r="422" spans="1:3" x14ac:dyDescent="0.35">
      <c r="A422" s="53">
        <v>42495</v>
      </c>
      <c r="B422" s="35">
        <v>96.4</v>
      </c>
      <c r="C422" s="35">
        <v>3414238</v>
      </c>
    </row>
    <row r="423" spans="1:3" x14ac:dyDescent="0.35">
      <c r="A423" s="53">
        <v>42494</v>
      </c>
      <c r="B423" s="35">
        <v>97.4</v>
      </c>
      <c r="C423" s="35">
        <v>2829816</v>
      </c>
    </row>
    <row r="424" spans="1:3" x14ac:dyDescent="0.35">
      <c r="A424" s="53">
        <v>42493</v>
      </c>
      <c r="B424" s="35">
        <v>98.15</v>
      </c>
      <c r="C424" s="35">
        <v>4133798</v>
      </c>
    </row>
    <row r="425" spans="1:3" x14ac:dyDescent="0.35">
      <c r="A425" s="53">
        <v>42492</v>
      </c>
      <c r="B425" s="35">
        <v>99</v>
      </c>
      <c r="C425" s="35">
        <v>2743584</v>
      </c>
    </row>
    <row r="426" spans="1:3" x14ac:dyDescent="0.35">
      <c r="A426" s="53">
        <v>42489</v>
      </c>
      <c r="B426" s="35">
        <v>98.75</v>
      </c>
      <c r="C426" s="35">
        <v>4692966</v>
      </c>
    </row>
    <row r="427" spans="1:3" x14ac:dyDescent="0.35">
      <c r="A427" s="53">
        <v>42488</v>
      </c>
      <c r="B427" s="35">
        <v>97.95</v>
      </c>
      <c r="C427" s="35">
        <v>2553438</v>
      </c>
    </row>
    <row r="428" spans="1:3" x14ac:dyDescent="0.35">
      <c r="A428" s="53">
        <v>42487</v>
      </c>
      <c r="B428" s="35">
        <v>98.43</v>
      </c>
      <c r="C428" s="35">
        <v>3419436</v>
      </c>
    </row>
    <row r="429" spans="1:3" x14ac:dyDescent="0.35">
      <c r="A429" s="53">
        <v>42486</v>
      </c>
      <c r="B429" s="35">
        <v>98</v>
      </c>
      <c r="C429" s="35">
        <v>1906322</v>
      </c>
    </row>
    <row r="430" spans="1:3" x14ac:dyDescent="0.35">
      <c r="A430" s="53">
        <v>42485</v>
      </c>
      <c r="B430" s="35">
        <v>99.1</v>
      </c>
      <c r="C430" s="35">
        <v>3074932</v>
      </c>
    </row>
    <row r="431" spans="1:3" x14ac:dyDescent="0.35">
      <c r="A431" s="53">
        <v>42482</v>
      </c>
      <c r="B431" s="35">
        <v>99.23</v>
      </c>
      <c r="C431" s="35">
        <v>3060686</v>
      </c>
    </row>
    <row r="432" spans="1:3" x14ac:dyDescent="0.35">
      <c r="A432" s="53">
        <v>42481</v>
      </c>
      <c r="B432" s="35">
        <v>100.28</v>
      </c>
      <c r="C432" s="35">
        <v>6411174</v>
      </c>
    </row>
    <row r="433" spans="1:3" x14ac:dyDescent="0.35">
      <c r="A433" s="53">
        <v>42480</v>
      </c>
      <c r="B433" s="35">
        <v>102.23</v>
      </c>
      <c r="C433" s="35">
        <v>3018988</v>
      </c>
    </row>
    <row r="434" spans="1:3" x14ac:dyDescent="0.35">
      <c r="A434" s="53">
        <v>42478</v>
      </c>
      <c r="B434" s="35">
        <v>102.25</v>
      </c>
      <c r="C434" s="35">
        <v>2001980</v>
      </c>
    </row>
    <row r="435" spans="1:3" x14ac:dyDescent="0.35">
      <c r="A435" s="53">
        <v>42473</v>
      </c>
      <c r="B435" s="35">
        <v>103.18</v>
      </c>
      <c r="C435" s="35">
        <v>3051342</v>
      </c>
    </row>
    <row r="436" spans="1:3" x14ac:dyDescent="0.35">
      <c r="A436" s="53">
        <v>42472</v>
      </c>
      <c r="B436" s="35">
        <v>103.13</v>
      </c>
      <c r="C436" s="35">
        <v>3036396</v>
      </c>
    </row>
    <row r="437" spans="1:3" x14ac:dyDescent="0.35">
      <c r="A437" s="53">
        <v>42471</v>
      </c>
      <c r="B437" s="35">
        <v>102.93</v>
      </c>
      <c r="C437" s="35">
        <v>2308312</v>
      </c>
    </row>
    <row r="438" spans="1:3" x14ac:dyDescent="0.35">
      <c r="A438" s="53">
        <v>42468</v>
      </c>
      <c r="B438" s="35">
        <v>102.63</v>
      </c>
      <c r="C438" s="35">
        <v>2796590</v>
      </c>
    </row>
    <row r="439" spans="1:3" x14ac:dyDescent="0.35">
      <c r="A439" s="53">
        <v>42467</v>
      </c>
      <c r="B439" s="35">
        <v>99.63</v>
      </c>
      <c r="C439" s="35">
        <v>2095678</v>
      </c>
    </row>
    <row r="440" spans="1:3" x14ac:dyDescent="0.35">
      <c r="A440" s="53">
        <v>42466</v>
      </c>
      <c r="B440" s="35">
        <v>98.15</v>
      </c>
      <c r="C440" s="35">
        <v>1566366</v>
      </c>
    </row>
    <row r="441" spans="1:3" x14ac:dyDescent="0.35">
      <c r="A441" s="53">
        <v>42465</v>
      </c>
      <c r="B441" s="35">
        <v>97.9</v>
      </c>
      <c r="C441" s="35">
        <v>1661246</v>
      </c>
    </row>
    <row r="442" spans="1:3" x14ac:dyDescent="0.35">
      <c r="A442" s="53">
        <v>42464</v>
      </c>
      <c r="B442" s="35">
        <v>99.63</v>
      </c>
      <c r="C442" s="35">
        <v>2612474</v>
      </c>
    </row>
    <row r="443" spans="1:3" x14ac:dyDescent="0.35">
      <c r="A443" s="53">
        <v>42461</v>
      </c>
      <c r="B443" s="35">
        <v>99.53</v>
      </c>
      <c r="C443" s="35">
        <v>3873296</v>
      </c>
    </row>
    <row r="444" spans="1:3" x14ac:dyDescent="0.35">
      <c r="A444" s="53">
        <v>42460</v>
      </c>
      <c r="B444" s="35">
        <v>99.08</v>
      </c>
      <c r="C444" s="35">
        <v>5749754</v>
      </c>
    </row>
    <row r="445" spans="1:3" x14ac:dyDescent="0.35">
      <c r="A445" s="53">
        <v>42459</v>
      </c>
      <c r="B445" s="35">
        <v>97.5</v>
      </c>
      <c r="C445" s="35">
        <v>2462638</v>
      </c>
    </row>
    <row r="446" spans="1:3" x14ac:dyDescent="0.35">
      <c r="A446" s="53">
        <v>42458</v>
      </c>
      <c r="B446" s="35">
        <v>96</v>
      </c>
      <c r="C446" s="35">
        <v>13670948</v>
      </c>
    </row>
    <row r="447" spans="1:3" x14ac:dyDescent="0.35">
      <c r="A447" s="53">
        <v>42457</v>
      </c>
      <c r="B447" s="35">
        <v>95.03</v>
      </c>
      <c r="C447" s="35">
        <v>4064836</v>
      </c>
    </row>
    <row r="448" spans="1:3" x14ac:dyDescent="0.35">
      <c r="A448" s="53">
        <v>42452</v>
      </c>
      <c r="B448" s="35">
        <v>96.88</v>
      </c>
      <c r="C448" s="35">
        <v>6894472</v>
      </c>
    </row>
    <row r="449" spans="1:3" x14ac:dyDescent="0.35">
      <c r="A449" s="53">
        <v>42451</v>
      </c>
      <c r="B449" s="35">
        <v>96.13</v>
      </c>
      <c r="C449" s="35">
        <v>8069434</v>
      </c>
    </row>
    <row r="450" spans="1:3" x14ac:dyDescent="0.35">
      <c r="A450" s="53">
        <v>42450</v>
      </c>
      <c r="B450" s="35">
        <v>102.75</v>
      </c>
      <c r="C450" s="35">
        <v>7704292</v>
      </c>
    </row>
    <row r="451" spans="1:3" x14ac:dyDescent="0.35">
      <c r="A451" s="53">
        <v>42447</v>
      </c>
      <c r="B451" s="35">
        <v>107.43</v>
      </c>
      <c r="C451" s="35">
        <v>4002136</v>
      </c>
    </row>
    <row r="452" spans="1:3" x14ac:dyDescent="0.35">
      <c r="A452" s="53">
        <v>42446</v>
      </c>
      <c r="B452" s="35">
        <v>110.6</v>
      </c>
      <c r="C452" s="35">
        <v>4099900</v>
      </c>
    </row>
    <row r="453" spans="1:3" x14ac:dyDescent="0.35">
      <c r="A453" s="53">
        <v>42445</v>
      </c>
      <c r="B453" s="35">
        <v>110.5</v>
      </c>
      <c r="C453" s="35">
        <v>4478110</v>
      </c>
    </row>
    <row r="454" spans="1:3" x14ac:dyDescent="0.35">
      <c r="A454" s="53">
        <v>42444</v>
      </c>
      <c r="B454" s="35">
        <v>110.23</v>
      </c>
      <c r="C454" s="35">
        <v>5046662</v>
      </c>
    </row>
    <row r="455" spans="1:3" x14ac:dyDescent="0.35">
      <c r="A455" s="53">
        <v>42443</v>
      </c>
      <c r="B455" s="35">
        <v>111.65</v>
      </c>
      <c r="C455" s="35">
        <v>3645456</v>
      </c>
    </row>
    <row r="456" spans="1:3" x14ac:dyDescent="0.35">
      <c r="A456" s="53">
        <v>42440</v>
      </c>
      <c r="B456" s="35">
        <v>112.5</v>
      </c>
      <c r="C456" s="35">
        <v>3082480</v>
      </c>
    </row>
    <row r="457" spans="1:3" x14ac:dyDescent="0.35">
      <c r="A457" s="53">
        <v>42439</v>
      </c>
      <c r="B457" s="35">
        <v>113.08</v>
      </c>
      <c r="C457" s="35">
        <v>3913692</v>
      </c>
    </row>
    <row r="458" spans="1:3" x14ac:dyDescent="0.35">
      <c r="A458" s="53">
        <v>42438</v>
      </c>
      <c r="B458" s="35">
        <v>113.78</v>
      </c>
      <c r="C458" s="35">
        <v>3248156</v>
      </c>
    </row>
    <row r="459" spans="1:3" x14ac:dyDescent="0.35">
      <c r="A459" s="53">
        <v>42437</v>
      </c>
      <c r="B459" s="35">
        <v>112.7</v>
      </c>
      <c r="C459" s="35">
        <v>1724972</v>
      </c>
    </row>
    <row r="460" spans="1:3" x14ac:dyDescent="0.35">
      <c r="A460" s="53">
        <v>42433</v>
      </c>
      <c r="B460" s="35">
        <v>112.25</v>
      </c>
      <c r="C460" s="35">
        <v>5711664</v>
      </c>
    </row>
    <row r="461" spans="1:3" x14ac:dyDescent="0.35">
      <c r="A461" s="53">
        <v>42432</v>
      </c>
      <c r="B461" s="35">
        <v>111.85</v>
      </c>
      <c r="C461" s="35">
        <v>4525126</v>
      </c>
    </row>
    <row r="462" spans="1:3" x14ac:dyDescent="0.35">
      <c r="A462" s="53">
        <v>42431</v>
      </c>
      <c r="B462" s="35">
        <v>110.55</v>
      </c>
      <c r="C462" s="35">
        <v>6868688</v>
      </c>
    </row>
    <row r="463" spans="1:3" x14ac:dyDescent="0.35">
      <c r="A463" s="53">
        <v>42430</v>
      </c>
      <c r="B463" s="35">
        <v>106.83</v>
      </c>
      <c r="C463" s="35">
        <v>3600460</v>
      </c>
    </row>
    <row r="464" spans="1:3" x14ac:dyDescent="0.35">
      <c r="A464" s="53">
        <v>42429</v>
      </c>
      <c r="B464" s="35">
        <v>106.8</v>
      </c>
      <c r="C464" s="35">
        <v>5125292</v>
      </c>
    </row>
    <row r="465" spans="1:3" x14ac:dyDescent="0.35">
      <c r="A465" s="53">
        <v>42426</v>
      </c>
      <c r="B465" s="35">
        <v>106.55</v>
      </c>
      <c r="C465" s="35">
        <v>3765980</v>
      </c>
    </row>
    <row r="466" spans="1:3" x14ac:dyDescent="0.35">
      <c r="A466" s="53">
        <v>42425</v>
      </c>
      <c r="B466" s="35">
        <v>106.9</v>
      </c>
      <c r="C466" s="35">
        <v>4539810</v>
      </c>
    </row>
    <row r="467" spans="1:3" x14ac:dyDescent="0.35">
      <c r="A467" s="53">
        <v>42424</v>
      </c>
      <c r="B467" s="35">
        <v>104.6</v>
      </c>
      <c r="C467" s="35">
        <v>4159924</v>
      </c>
    </row>
    <row r="468" spans="1:3" x14ac:dyDescent="0.35">
      <c r="A468" s="53">
        <v>42423</v>
      </c>
      <c r="B468" s="35">
        <v>100.48</v>
      </c>
      <c r="C468" s="35">
        <v>2954596</v>
      </c>
    </row>
    <row r="469" spans="1:3" x14ac:dyDescent="0.35">
      <c r="A469" s="53">
        <v>42422</v>
      </c>
      <c r="B469" s="35">
        <v>102.45</v>
      </c>
      <c r="C469" s="35">
        <v>3714784</v>
      </c>
    </row>
    <row r="470" spans="1:3" x14ac:dyDescent="0.35">
      <c r="A470" s="53">
        <v>42419</v>
      </c>
      <c r="B470" s="35">
        <v>102.03</v>
      </c>
      <c r="C470" s="35">
        <v>2079066</v>
      </c>
    </row>
    <row r="471" spans="1:3" x14ac:dyDescent="0.35">
      <c r="A471" s="53">
        <v>42418</v>
      </c>
      <c r="B471" s="35">
        <v>101.78</v>
      </c>
      <c r="C471" s="35">
        <v>3890268</v>
      </c>
    </row>
    <row r="472" spans="1:3" x14ac:dyDescent="0.35">
      <c r="A472" s="53">
        <v>42417</v>
      </c>
      <c r="B472" s="35">
        <v>99.28</v>
      </c>
      <c r="C472" s="35">
        <v>5950728</v>
      </c>
    </row>
    <row r="473" spans="1:3" x14ac:dyDescent="0.35">
      <c r="A473" s="53">
        <v>42416</v>
      </c>
      <c r="B473" s="35">
        <v>99.5</v>
      </c>
      <c r="C473" s="35">
        <v>4597354</v>
      </c>
    </row>
    <row r="474" spans="1:3" x14ac:dyDescent="0.35">
      <c r="A474" s="53">
        <v>42415</v>
      </c>
      <c r="B474" s="35">
        <v>101.45</v>
      </c>
      <c r="C474" s="35">
        <v>6561288</v>
      </c>
    </row>
    <row r="475" spans="1:3" x14ac:dyDescent="0.35">
      <c r="A475" s="53">
        <v>42412</v>
      </c>
      <c r="B475" s="35">
        <v>94.75</v>
      </c>
      <c r="C475" s="35">
        <v>7438786</v>
      </c>
    </row>
    <row r="476" spans="1:3" x14ac:dyDescent="0.35">
      <c r="A476" s="53">
        <v>42411</v>
      </c>
      <c r="B476" s="35">
        <v>88.6</v>
      </c>
      <c r="C476" s="35">
        <v>5444340</v>
      </c>
    </row>
    <row r="477" spans="1:3" x14ac:dyDescent="0.35">
      <c r="A477" s="53">
        <v>42410</v>
      </c>
      <c r="B477" s="35">
        <v>101.45</v>
      </c>
      <c r="C477" s="35">
        <v>4265822</v>
      </c>
    </row>
    <row r="478" spans="1:3" x14ac:dyDescent="0.35">
      <c r="A478" s="53">
        <v>42409</v>
      </c>
      <c r="B478" s="35">
        <v>102.65</v>
      </c>
      <c r="C478" s="35">
        <v>4254566</v>
      </c>
    </row>
    <row r="479" spans="1:3" x14ac:dyDescent="0.35">
      <c r="A479" s="53">
        <v>42408</v>
      </c>
      <c r="B479" s="35">
        <v>102.18</v>
      </c>
      <c r="C479" s="35">
        <v>5430760</v>
      </c>
    </row>
    <row r="480" spans="1:3" x14ac:dyDescent="0.35">
      <c r="A480" s="53">
        <v>42405</v>
      </c>
      <c r="B480" s="35">
        <v>104.15</v>
      </c>
      <c r="C480" s="35">
        <v>5419130</v>
      </c>
    </row>
    <row r="481" spans="1:3" x14ac:dyDescent="0.35">
      <c r="A481" s="53">
        <v>42404</v>
      </c>
      <c r="B481" s="35">
        <v>103.85</v>
      </c>
      <c r="C481" s="35">
        <v>6505076</v>
      </c>
    </row>
    <row r="482" spans="1:3" x14ac:dyDescent="0.35">
      <c r="A482" s="53">
        <v>42403</v>
      </c>
      <c r="B482" s="35">
        <v>101.5</v>
      </c>
      <c r="C482" s="35">
        <v>11089894</v>
      </c>
    </row>
    <row r="483" spans="1:3" x14ac:dyDescent="0.35">
      <c r="A483" s="53">
        <v>42402</v>
      </c>
      <c r="B483" s="35">
        <v>98.8</v>
      </c>
      <c r="C483" s="35">
        <v>8213988</v>
      </c>
    </row>
    <row r="484" spans="1:3" x14ac:dyDescent="0.35">
      <c r="A484" s="53">
        <v>42401</v>
      </c>
      <c r="B484" s="35">
        <v>95.43</v>
      </c>
      <c r="C484" s="35">
        <v>6728356</v>
      </c>
    </row>
    <row r="485" spans="1:3" x14ac:dyDescent="0.35">
      <c r="A485" s="53">
        <v>42398</v>
      </c>
      <c r="B485" s="35">
        <v>91.3</v>
      </c>
      <c r="C485" s="35">
        <v>5844830</v>
      </c>
    </row>
    <row r="486" spans="1:3" x14ac:dyDescent="0.35">
      <c r="A486" s="53">
        <v>42397</v>
      </c>
      <c r="B486" s="35">
        <v>91.3</v>
      </c>
      <c r="C486" s="35">
        <v>4422372</v>
      </c>
    </row>
    <row r="487" spans="1:3" x14ac:dyDescent="0.35">
      <c r="A487" s="53">
        <v>42396</v>
      </c>
      <c r="B487" s="35">
        <v>89.83</v>
      </c>
      <c r="C487" s="35">
        <v>4512658</v>
      </c>
    </row>
    <row r="488" spans="1:3" x14ac:dyDescent="0.35">
      <c r="A488" s="53">
        <v>42394</v>
      </c>
      <c r="B488" s="35">
        <v>85.2</v>
      </c>
      <c r="C488" s="35">
        <v>4156270</v>
      </c>
    </row>
    <row r="489" spans="1:3" x14ac:dyDescent="0.35">
      <c r="A489" s="53">
        <v>42391</v>
      </c>
      <c r="B489" s="35">
        <v>84.25</v>
      </c>
      <c r="C489" s="35">
        <v>3816374</v>
      </c>
    </row>
    <row r="490" spans="1:3" x14ac:dyDescent="0.35">
      <c r="A490" s="53">
        <v>42390</v>
      </c>
      <c r="B490" s="35">
        <v>81.180000000000007</v>
      </c>
      <c r="C490" s="35">
        <v>6333476</v>
      </c>
    </row>
    <row r="491" spans="1:3" x14ac:dyDescent="0.35">
      <c r="A491" s="53">
        <v>42389</v>
      </c>
      <c r="B491" s="35">
        <v>82.88</v>
      </c>
      <c r="C491" s="35">
        <v>4598408</v>
      </c>
    </row>
    <row r="492" spans="1:3" x14ac:dyDescent="0.35">
      <c r="A492" s="53">
        <v>42388</v>
      </c>
      <c r="B492" s="35">
        <v>85.58</v>
      </c>
      <c r="C492" s="35">
        <v>5442036</v>
      </c>
    </row>
    <row r="493" spans="1:3" x14ac:dyDescent="0.35">
      <c r="A493" s="53">
        <v>42387</v>
      </c>
      <c r="B493" s="35">
        <v>81.7</v>
      </c>
      <c r="C493" s="35">
        <v>4677358</v>
      </c>
    </row>
    <row r="494" spans="1:3" x14ac:dyDescent="0.35">
      <c r="A494" s="53">
        <v>42384</v>
      </c>
      <c r="B494" s="35">
        <v>82.78</v>
      </c>
      <c r="C494" s="35">
        <v>3842410</v>
      </c>
    </row>
    <row r="495" spans="1:3" x14ac:dyDescent="0.35">
      <c r="A495" s="53">
        <v>42383</v>
      </c>
      <c r="B495" s="35">
        <v>85.98</v>
      </c>
      <c r="C495" s="35">
        <v>7697616</v>
      </c>
    </row>
    <row r="496" spans="1:3" x14ac:dyDescent="0.35">
      <c r="A496" s="53">
        <v>42382</v>
      </c>
      <c r="B496" s="35">
        <v>89.73</v>
      </c>
      <c r="C496" s="35">
        <v>5736750</v>
      </c>
    </row>
    <row r="497" spans="1:3" x14ac:dyDescent="0.35">
      <c r="A497" s="53">
        <v>42381</v>
      </c>
      <c r="B497" s="35">
        <v>89.3</v>
      </c>
      <c r="C497" s="35">
        <v>4720598</v>
      </c>
    </row>
    <row r="498" spans="1:3" x14ac:dyDescent="0.35">
      <c r="A498" s="53">
        <v>42380</v>
      </c>
      <c r="B498" s="35">
        <v>90.4</v>
      </c>
      <c r="C498" s="35">
        <v>3353264</v>
      </c>
    </row>
    <row r="499" spans="1:3" x14ac:dyDescent="0.35">
      <c r="A499" s="53">
        <v>42377</v>
      </c>
      <c r="B499" s="35">
        <v>89.08</v>
      </c>
      <c r="C499" s="35">
        <v>3783388</v>
      </c>
    </row>
    <row r="500" spans="1:3" x14ac:dyDescent="0.35">
      <c r="A500" s="53">
        <v>42376</v>
      </c>
      <c r="B500" s="35">
        <v>88.38</v>
      </c>
      <c r="C500" s="35">
        <v>5393948</v>
      </c>
    </row>
    <row r="501" spans="1:3" x14ac:dyDescent="0.35">
      <c r="A501" s="53">
        <v>42375</v>
      </c>
      <c r="B501" s="35">
        <v>88.35</v>
      </c>
      <c r="C501" s="35">
        <v>2431140</v>
      </c>
    </row>
    <row r="502" spans="1:3" x14ac:dyDescent="0.35">
      <c r="A502" s="53">
        <v>42374</v>
      </c>
      <c r="B502" s="35">
        <v>88.88</v>
      </c>
      <c r="C502" s="35">
        <v>5091696</v>
      </c>
    </row>
    <row r="503" spans="1:3" x14ac:dyDescent="0.35">
      <c r="A503" s="53">
        <v>42373</v>
      </c>
      <c r="B503" s="35">
        <v>88.85</v>
      </c>
      <c r="C503" s="35">
        <v>4920884</v>
      </c>
    </row>
    <row r="504" spans="1:3" x14ac:dyDescent="0.35">
      <c r="A504" s="53">
        <v>42370</v>
      </c>
      <c r="B504" s="35">
        <v>87.48</v>
      </c>
      <c r="C504" s="35">
        <v>1203048</v>
      </c>
    </row>
    <row r="505" spans="1:3" x14ac:dyDescent="0.35">
      <c r="A505" s="53">
        <v>42369</v>
      </c>
      <c r="B505" s="35">
        <v>87.25</v>
      </c>
      <c r="C505" s="35">
        <v>1608636</v>
      </c>
    </row>
    <row r="506" spans="1:3" x14ac:dyDescent="0.35">
      <c r="A506" s="53">
        <v>42368</v>
      </c>
      <c r="B506" s="35">
        <v>87.23</v>
      </c>
      <c r="C506" s="35">
        <v>1616316</v>
      </c>
    </row>
    <row r="507" spans="1:3" x14ac:dyDescent="0.35">
      <c r="A507" s="53">
        <v>42367</v>
      </c>
      <c r="B507" s="35">
        <v>88.03</v>
      </c>
      <c r="C507" s="35">
        <v>2707408</v>
      </c>
    </row>
    <row r="508" spans="1:3" x14ac:dyDescent="0.35">
      <c r="A508" s="53">
        <v>42366</v>
      </c>
      <c r="B508" s="35">
        <v>87.98</v>
      </c>
      <c r="C508" s="35">
        <v>3880676</v>
      </c>
    </row>
    <row r="509" spans="1:3" x14ac:dyDescent="0.35">
      <c r="A509" s="53">
        <v>42362</v>
      </c>
      <c r="B509" s="35">
        <v>88.15</v>
      </c>
      <c r="C509" s="35">
        <v>2156646</v>
      </c>
    </row>
    <row r="510" spans="1:3" x14ac:dyDescent="0.35">
      <c r="A510" s="53">
        <v>42361</v>
      </c>
      <c r="B510" s="35">
        <v>88.13</v>
      </c>
      <c r="C510" s="35">
        <v>2638054</v>
      </c>
    </row>
    <row r="511" spans="1:3" x14ac:dyDescent="0.35">
      <c r="A511" s="53">
        <v>42360</v>
      </c>
      <c r="B511" s="35">
        <v>88.4</v>
      </c>
      <c r="C511" s="35">
        <v>3488516</v>
      </c>
    </row>
    <row r="512" spans="1:3" x14ac:dyDescent="0.35">
      <c r="A512" s="53">
        <v>42359</v>
      </c>
      <c r="B512" s="35">
        <v>88.65</v>
      </c>
      <c r="C512" s="35">
        <v>4101918</v>
      </c>
    </row>
    <row r="513" spans="1:3" x14ac:dyDescent="0.35">
      <c r="A513" s="53">
        <v>42356</v>
      </c>
      <c r="B513" s="35">
        <v>90.3</v>
      </c>
      <c r="C513" s="35">
        <v>13916846</v>
      </c>
    </row>
    <row r="514" spans="1:3" x14ac:dyDescent="0.35">
      <c r="A514" s="53">
        <v>42355</v>
      </c>
      <c r="B514" s="35">
        <v>93.5</v>
      </c>
      <c r="C514" s="35">
        <v>8324078</v>
      </c>
    </row>
    <row r="515" spans="1:3" x14ac:dyDescent="0.35">
      <c r="A515" s="53">
        <v>42354</v>
      </c>
      <c r="B515" s="35">
        <v>84.83</v>
      </c>
      <c r="C515" s="35">
        <v>5764592</v>
      </c>
    </row>
    <row r="516" spans="1:3" x14ac:dyDescent="0.35">
      <c r="A516" s="53">
        <v>42353</v>
      </c>
      <c r="B516" s="35">
        <v>82.48</v>
      </c>
      <c r="C516" s="35">
        <v>4500850</v>
      </c>
    </row>
    <row r="517" spans="1:3" x14ac:dyDescent="0.35">
      <c r="A517" s="53">
        <v>42352</v>
      </c>
      <c r="B517" s="35">
        <v>82.58</v>
      </c>
      <c r="C517" s="35">
        <v>6095680</v>
      </c>
    </row>
    <row r="518" spans="1:3" x14ac:dyDescent="0.35">
      <c r="A518" s="53">
        <v>42349</v>
      </c>
      <c r="B518" s="35">
        <v>80.400000000000006</v>
      </c>
      <c r="C518" s="35">
        <v>2389292</v>
      </c>
    </row>
    <row r="519" spans="1:3" x14ac:dyDescent="0.35">
      <c r="A519" s="53">
        <v>42348</v>
      </c>
      <c r="B519" s="35">
        <v>81.88</v>
      </c>
      <c r="C519" s="35">
        <v>2844464</v>
      </c>
    </row>
    <row r="520" spans="1:3" x14ac:dyDescent="0.35">
      <c r="A520" s="53">
        <v>42347</v>
      </c>
      <c r="B520" s="35">
        <v>81.45</v>
      </c>
      <c r="C520" s="35">
        <v>2800772</v>
      </c>
    </row>
    <row r="521" spans="1:3" x14ac:dyDescent="0.35">
      <c r="A521" s="53">
        <v>42346</v>
      </c>
      <c r="B521" s="35">
        <v>81.98</v>
      </c>
      <c r="C521" s="35">
        <v>2289260</v>
      </c>
    </row>
    <row r="522" spans="1:3" x14ac:dyDescent="0.35">
      <c r="A522" s="53">
        <v>42345</v>
      </c>
      <c r="B522" s="35">
        <v>82.45</v>
      </c>
      <c r="C522" s="35">
        <v>3059868</v>
      </c>
    </row>
    <row r="523" spans="1:3" x14ac:dyDescent="0.35">
      <c r="A523" s="53">
        <v>42342</v>
      </c>
      <c r="B523" s="35">
        <v>82.35</v>
      </c>
      <c r="C523" s="35">
        <v>3296976</v>
      </c>
    </row>
    <row r="524" spans="1:3" x14ac:dyDescent="0.35">
      <c r="A524" s="53">
        <v>42341</v>
      </c>
      <c r="B524" s="35">
        <v>83.3</v>
      </c>
      <c r="C524" s="35">
        <v>1964192</v>
      </c>
    </row>
    <row r="525" spans="1:3" x14ac:dyDescent="0.35">
      <c r="A525" s="53">
        <v>42340</v>
      </c>
      <c r="B525" s="35">
        <v>83.48</v>
      </c>
      <c r="C525" s="35">
        <v>2305996</v>
      </c>
    </row>
    <row r="526" spans="1:3" x14ac:dyDescent="0.35">
      <c r="A526" s="53">
        <v>42339</v>
      </c>
      <c r="B526" s="35">
        <v>84.35</v>
      </c>
      <c r="C526" s="35">
        <v>4796576</v>
      </c>
    </row>
    <row r="527" spans="1:3" x14ac:dyDescent="0.35">
      <c r="A527" s="53">
        <v>42338</v>
      </c>
      <c r="B527" s="35">
        <v>84.2</v>
      </c>
      <c r="C527" s="35">
        <v>3696748</v>
      </c>
    </row>
    <row r="528" spans="1:3" x14ac:dyDescent="0.35">
      <c r="A528" s="53">
        <v>42335</v>
      </c>
      <c r="B528" s="35">
        <v>84.1</v>
      </c>
      <c r="C528" s="35">
        <v>5059136</v>
      </c>
    </row>
    <row r="529" spans="1:3" x14ac:dyDescent="0.35">
      <c r="A529" s="53">
        <v>42334</v>
      </c>
      <c r="B529" s="35">
        <v>85.13</v>
      </c>
      <c r="C529" s="35">
        <v>5743784</v>
      </c>
    </row>
    <row r="530" spans="1:3" x14ac:dyDescent="0.35">
      <c r="A530" s="53">
        <v>42332</v>
      </c>
      <c r="B530" s="35">
        <v>84.9</v>
      </c>
      <c r="C530" s="35">
        <v>9848158</v>
      </c>
    </row>
    <row r="531" spans="1:3" x14ac:dyDescent="0.35">
      <c r="A531" s="53">
        <v>42331</v>
      </c>
      <c r="B531" s="35">
        <v>82.65</v>
      </c>
      <c r="C531" s="35">
        <v>20613130</v>
      </c>
    </row>
    <row r="532" spans="1:3" x14ac:dyDescent="0.35">
      <c r="A532" s="53">
        <v>42328</v>
      </c>
      <c r="B532" s="35">
        <v>75.53</v>
      </c>
      <c r="C532" s="35">
        <v>53162984</v>
      </c>
    </row>
    <row r="533" spans="1:3" x14ac:dyDescent="0.35">
      <c r="A533" s="53">
        <v>42327</v>
      </c>
      <c r="B533" s="35">
        <v>75.83</v>
      </c>
      <c r="C533" s="35">
        <v>6246778</v>
      </c>
    </row>
    <row r="534" spans="1:3" x14ac:dyDescent="0.35">
      <c r="A534" s="53">
        <v>42326</v>
      </c>
      <c r="B534" s="35">
        <v>76.05</v>
      </c>
      <c r="C534" s="35">
        <v>8088496</v>
      </c>
    </row>
    <row r="535" spans="1:3" x14ac:dyDescent="0.35">
      <c r="A535" s="53">
        <v>42325</v>
      </c>
      <c r="B535" s="35">
        <v>74.650000000000006</v>
      </c>
      <c r="C535" s="35">
        <v>7568438</v>
      </c>
    </row>
    <row r="536" spans="1:3" x14ac:dyDescent="0.35">
      <c r="A536" s="53">
        <v>42324</v>
      </c>
      <c r="B536" s="35">
        <v>71.58</v>
      </c>
      <c r="C536" s="35">
        <v>10241690</v>
      </c>
    </row>
    <row r="537" spans="1:3" x14ac:dyDescent="0.35">
      <c r="A537" s="53">
        <v>42321</v>
      </c>
      <c r="B537" s="35">
        <v>61.75</v>
      </c>
      <c r="C537" s="35">
        <v>4483822</v>
      </c>
    </row>
    <row r="538" spans="1:3" x14ac:dyDescent="0.35">
      <c r="A538" s="53">
        <v>42319</v>
      </c>
      <c r="B538" s="35">
        <v>61.55</v>
      </c>
      <c r="C538" s="35">
        <v>2044206</v>
      </c>
    </row>
    <row r="539" spans="1:3" x14ac:dyDescent="0.35">
      <c r="A539" s="53">
        <v>42318</v>
      </c>
      <c r="B539" s="35">
        <v>58.35</v>
      </c>
      <c r="C539" s="35">
        <v>3289108</v>
      </c>
    </row>
    <row r="540" spans="1:3" x14ac:dyDescent="0.35">
      <c r="A540" s="53">
        <v>42317</v>
      </c>
      <c r="B540" s="35">
        <v>58.65</v>
      </c>
      <c r="C540" s="35">
        <v>6736238</v>
      </c>
    </row>
    <row r="541" spans="1:3" x14ac:dyDescent="0.35">
      <c r="A541" s="53">
        <v>42314</v>
      </c>
      <c r="B541" s="35">
        <v>58.78</v>
      </c>
      <c r="C541" s="35">
        <v>4578894</v>
      </c>
    </row>
    <row r="542" spans="1:3" x14ac:dyDescent="0.35">
      <c r="A542" s="53">
        <v>42313</v>
      </c>
      <c r="B542" s="35">
        <v>60.23</v>
      </c>
      <c r="C542" s="35">
        <v>2778886</v>
      </c>
    </row>
    <row r="543" spans="1:3" x14ac:dyDescent="0.35">
      <c r="A543" s="53">
        <v>42312</v>
      </c>
      <c r="B543" s="35">
        <v>60.9</v>
      </c>
      <c r="C543" s="35">
        <v>7497674</v>
      </c>
    </row>
    <row r="544" spans="1:3" x14ac:dyDescent="0.35">
      <c r="A544" s="53">
        <v>42311</v>
      </c>
      <c r="B544" s="35">
        <v>62.73</v>
      </c>
      <c r="C544" s="35">
        <v>7533566</v>
      </c>
    </row>
    <row r="545" spans="1:3" x14ac:dyDescent="0.35">
      <c r="A545" s="53">
        <v>42310</v>
      </c>
      <c r="B545" s="35">
        <v>63.05</v>
      </c>
      <c r="C545" s="35">
        <v>9134636</v>
      </c>
    </row>
    <row r="546" spans="1:3" x14ac:dyDescent="0.35">
      <c r="A546" s="53">
        <v>42307</v>
      </c>
      <c r="B546" s="35">
        <v>65.45</v>
      </c>
      <c r="C546" s="35">
        <v>2697646</v>
      </c>
    </row>
    <row r="547" spans="1:3" x14ac:dyDescent="0.35">
      <c r="A547" s="53">
        <v>42306</v>
      </c>
      <c r="B547" s="35">
        <v>65.83</v>
      </c>
      <c r="C547" s="35">
        <v>4336124</v>
      </c>
    </row>
    <row r="548" spans="1:3" x14ac:dyDescent="0.35">
      <c r="A548" s="53">
        <v>42305</v>
      </c>
      <c r="B548" s="35">
        <v>65.900000000000006</v>
      </c>
      <c r="C548" s="35">
        <v>1732990</v>
      </c>
    </row>
    <row r="549" spans="1:3" x14ac:dyDescent="0.35">
      <c r="A549" s="53">
        <v>42304</v>
      </c>
      <c r="B549" s="35">
        <v>65.8</v>
      </c>
      <c r="C549" s="35">
        <v>4151286</v>
      </c>
    </row>
    <row r="550" spans="1:3" x14ac:dyDescent="0.35">
      <c r="A550" s="53">
        <v>42303</v>
      </c>
      <c r="B550" s="35">
        <v>65.95</v>
      </c>
      <c r="C550" s="35">
        <v>4857532</v>
      </c>
    </row>
    <row r="551" spans="1:3" x14ac:dyDescent="0.35">
      <c r="A551" s="53">
        <v>42300</v>
      </c>
      <c r="B551" s="35">
        <v>66.03</v>
      </c>
      <c r="C551" s="35">
        <v>1242058</v>
      </c>
    </row>
    <row r="552" spans="1:3" x14ac:dyDescent="0.35">
      <c r="A552" s="53">
        <v>42298</v>
      </c>
      <c r="B552" s="35">
        <v>66.03</v>
      </c>
      <c r="C552" s="35">
        <v>2250046</v>
      </c>
    </row>
    <row r="553" spans="1:3" x14ac:dyDescent="0.35">
      <c r="A553" s="53">
        <v>42297</v>
      </c>
      <c r="B553" s="35">
        <v>65.900000000000006</v>
      </c>
      <c r="C553" s="35">
        <v>1604984</v>
      </c>
    </row>
    <row r="554" spans="1:3" x14ac:dyDescent="0.35">
      <c r="A554" s="53">
        <v>42296</v>
      </c>
      <c r="B554" s="35">
        <v>66.08</v>
      </c>
      <c r="C554" s="35">
        <v>2182794</v>
      </c>
    </row>
    <row r="555" spans="1:3" x14ac:dyDescent="0.35">
      <c r="A555" s="53">
        <v>42293</v>
      </c>
      <c r="B555" s="35">
        <v>66</v>
      </c>
      <c r="C555" s="35">
        <v>2044292</v>
      </c>
    </row>
    <row r="556" spans="1:3" x14ac:dyDescent="0.35">
      <c r="A556" s="53">
        <v>42292</v>
      </c>
      <c r="B556" s="35">
        <v>65.98</v>
      </c>
      <c r="C556" s="35">
        <v>3006252</v>
      </c>
    </row>
    <row r="557" spans="1:3" x14ac:dyDescent="0.35">
      <c r="A557" s="53">
        <v>42291</v>
      </c>
      <c r="B557" s="35">
        <v>65.98</v>
      </c>
      <c r="C557" s="35">
        <v>7730004</v>
      </c>
    </row>
    <row r="558" spans="1:3" x14ac:dyDescent="0.35">
      <c r="A558" s="53">
        <v>42290</v>
      </c>
      <c r="B558" s="35">
        <v>65.430000000000007</v>
      </c>
      <c r="C558" s="35">
        <v>2711078</v>
      </c>
    </row>
    <row r="559" spans="1:3" x14ac:dyDescent="0.35">
      <c r="A559" s="53">
        <v>42289</v>
      </c>
      <c r="B559" s="35">
        <v>66.849999999999994</v>
      </c>
      <c r="C559" s="35">
        <v>3510130</v>
      </c>
    </row>
    <row r="560" spans="1:3" x14ac:dyDescent="0.35">
      <c r="A560" s="53">
        <v>42286</v>
      </c>
      <c r="B560" s="35">
        <v>67.05</v>
      </c>
      <c r="C560" s="35">
        <v>1286820</v>
      </c>
    </row>
    <row r="561" spans="1:3" x14ac:dyDescent="0.35">
      <c r="A561" s="53">
        <v>42285</v>
      </c>
      <c r="B561" s="35">
        <v>67.05</v>
      </c>
      <c r="C561" s="35">
        <v>2025974</v>
      </c>
    </row>
    <row r="562" spans="1:3" x14ac:dyDescent="0.35">
      <c r="A562" s="53">
        <v>42284</v>
      </c>
      <c r="B562" s="35">
        <v>67.08</v>
      </c>
      <c r="C562" s="35">
        <v>2147200</v>
      </c>
    </row>
    <row r="563" spans="1:3" x14ac:dyDescent="0.35">
      <c r="A563" s="53">
        <v>42283</v>
      </c>
      <c r="B563" s="35">
        <v>67.23</v>
      </c>
      <c r="C563" s="35">
        <v>2307424</v>
      </c>
    </row>
    <row r="564" spans="1:3" x14ac:dyDescent="0.35">
      <c r="A564" s="53">
        <v>42282</v>
      </c>
      <c r="B564" s="35">
        <v>67.099999999999994</v>
      </c>
      <c r="C564" s="35">
        <v>2951920</v>
      </c>
    </row>
    <row r="565" spans="1:3" x14ac:dyDescent="0.35">
      <c r="A565" s="53">
        <v>42278</v>
      </c>
      <c r="B565" s="35">
        <v>66.8</v>
      </c>
      <c r="C565" s="35">
        <v>3345456</v>
      </c>
    </row>
    <row r="566" spans="1:3" x14ac:dyDescent="0.35">
      <c r="A566" s="53">
        <v>42277</v>
      </c>
      <c r="B566" s="35">
        <v>64.03</v>
      </c>
      <c r="C566" s="35">
        <v>2023118</v>
      </c>
    </row>
    <row r="567" spans="1:3" x14ac:dyDescent="0.35">
      <c r="A567" s="53">
        <v>42276</v>
      </c>
      <c r="B567" s="35">
        <v>63.95</v>
      </c>
      <c r="C567" s="35">
        <v>2999908</v>
      </c>
    </row>
    <row r="568" spans="1:3" x14ac:dyDescent="0.35">
      <c r="A568" s="53">
        <v>42275</v>
      </c>
      <c r="B568" s="35">
        <v>63.83</v>
      </c>
      <c r="C568" s="35">
        <v>3363854</v>
      </c>
    </row>
    <row r="569" spans="1:3" x14ac:dyDescent="0.35">
      <c r="A569" s="53">
        <v>42271</v>
      </c>
      <c r="B569" s="35">
        <v>64</v>
      </c>
      <c r="C569" s="35">
        <v>5237798</v>
      </c>
    </row>
    <row r="570" spans="1:3" x14ac:dyDescent="0.35">
      <c r="A570" s="53">
        <v>42270</v>
      </c>
      <c r="B570" s="35">
        <v>63.88</v>
      </c>
      <c r="C570" s="35">
        <v>3658730</v>
      </c>
    </row>
    <row r="571" spans="1:3" x14ac:dyDescent="0.35">
      <c r="A571" s="53">
        <v>42269</v>
      </c>
      <c r="B571" s="35">
        <v>63.7</v>
      </c>
      <c r="C571" s="35">
        <v>2589164</v>
      </c>
    </row>
    <row r="572" spans="1:3" x14ac:dyDescent="0.35">
      <c r="A572" s="53">
        <v>42268</v>
      </c>
      <c r="B572" s="35">
        <v>62.9</v>
      </c>
      <c r="C572" s="35">
        <v>2144046</v>
      </c>
    </row>
    <row r="573" spans="1:3" x14ac:dyDescent="0.35">
      <c r="A573" s="53">
        <v>42265</v>
      </c>
      <c r="B573" s="35">
        <v>61.08</v>
      </c>
      <c r="C573" s="35">
        <v>4861232</v>
      </c>
    </row>
    <row r="574" spans="1:3" x14ac:dyDescent="0.35">
      <c r="A574" s="53">
        <v>42263</v>
      </c>
      <c r="B574" s="35">
        <v>58.33</v>
      </c>
      <c r="C574" s="35">
        <v>4734700</v>
      </c>
    </row>
    <row r="575" spans="1:3" x14ac:dyDescent="0.35">
      <c r="A575" s="53">
        <v>42262</v>
      </c>
      <c r="B575" s="35">
        <v>54.6</v>
      </c>
      <c r="C575" s="35">
        <v>2167318</v>
      </c>
    </row>
    <row r="576" spans="1:3" x14ac:dyDescent="0.35">
      <c r="A576" s="53">
        <v>42261</v>
      </c>
      <c r="B576" s="35">
        <v>55.4</v>
      </c>
      <c r="C576" s="35">
        <v>2634654</v>
      </c>
    </row>
    <row r="577" spans="1:3" x14ac:dyDescent="0.35">
      <c r="A577" s="53">
        <v>42258</v>
      </c>
      <c r="B577" s="35">
        <v>55.15</v>
      </c>
      <c r="C577" s="35">
        <v>1745236</v>
      </c>
    </row>
    <row r="578" spans="1:3" x14ac:dyDescent="0.35">
      <c r="A578" s="53">
        <v>42257</v>
      </c>
      <c r="B578" s="35">
        <v>54.63</v>
      </c>
      <c r="C578" s="35">
        <v>2593186</v>
      </c>
    </row>
    <row r="579" spans="1:3" x14ac:dyDescent="0.35">
      <c r="A579" s="53">
        <v>42256</v>
      </c>
      <c r="B579" s="35">
        <v>55.2</v>
      </c>
      <c r="C579" s="35">
        <v>2722172</v>
      </c>
    </row>
    <row r="580" spans="1:3" x14ac:dyDescent="0.35">
      <c r="A580" s="53">
        <v>42255</v>
      </c>
      <c r="B580" s="35">
        <v>53.95</v>
      </c>
      <c r="C580" s="35">
        <v>2944392</v>
      </c>
    </row>
    <row r="581" spans="1:3" x14ac:dyDescent="0.35">
      <c r="A581" s="53">
        <v>42254</v>
      </c>
      <c r="B581" s="35">
        <v>53.8</v>
      </c>
      <c r="C581" s="35">
        <v>3789156</v>
      </c>
    </row>
    <row r="582" spans="1:3" x14ac:dyDescent="0.35">
      <c r="A582" s="53">
        <v>42251</v>
      </c>
      <c r="B582" s="35">
        <v>53.8</v>
      </c>
      <c r="C582" s="35">
        <v>7800762</v>
      </c>
    </row>
    <row r="583" spans="1:3" x14ac:dyDescent="0.35">
      <c r="A583" s="53">
        <v>42250</v>
      </c>
      <c r="B583" s="35">
        <v>53</v>
      </c>
      <c r="C583" s="35">
        <v>6201996</v>
      </c>
    </row>
    <row r="584" spans="1:3" x14ac:dyDescent="0.35">
      <c r="A584" s="53">
        <v>42249</v>
      </c>
      <c r="B584" s="35">
        <v>53.88</v>
      </c>
      <c r="C584" s="35">
        <v>8171232</v>
      </c>
    </row>
    <row r="585" spans="1:3" x14ac:dyDescent="0.35">
      <c r="A585" s="53">
        <v>42248</v>
      </c>
      <c r="B585" s="35">
        <v>55.23</v>
      </c>
      <c r="C585" s="35">
        <v>5326382</v>
      </c>
    </row>
    <row r="586" spans="1:3" x14ac:dyDescent="0.35">
      <c r="A586" s="53">
        <v>42247</v>
      </c>
      <c r="B586" s="35">
        <v>59.2</v>
      </c>
      <c r="C586" s="35">
        <v>4222486</v>
      </c>
    </row>
    <row r="587" spans="1:3" x14ac:dyDescent="0.35">
      <c r="A587" s="53">
        <v>42244</v>
      </c>
      <c r="B587" s="35">
        <v>59.18</v>
      </c>
      <c r="C587" s="35">
        <v>5859110</v>
      </c>
    </row>
    <row r="588" spans="1:3" x14ac:dyDescent="0.35">
      <c r="A588" s="53">
        <v>42243</v>
      </c>
      <c r="B588" s="35">
        <v>53.85</v>
      </c>
      <c r="C588" s="35">
        <v>6326036</v>
      </c>
    </row>
    <row r="589" spans="1:3" x14ac:dyDescent="0.35">
      <c r="A589" s="53">
        <v>42242</v>
      </c>
      <c r="B589" s="35">
        <v>49.13</v>
      </c>
      <c r="C589" s="35">
        <v>11587654</v>
      </c>
    </row>
    <row r="590" spans="1:3" x14ac:dyDescent="0.35">
      <c r="A590" s="53">
        <v>42241</v>
      </c>
      <c r="B590" s="35">
        <v>44.93</v>
      </c>
      <c r="C590" s="35">
        <v>8466086</v>
      </c>
    </row>
    <row r="591" spans="1:3" x14ac:dyDescent="0.35">
      <c r="A591" s="53">
        <v>42240</v>
      </c>
      <c r="B591" s="35">
        <v>49.9</v>
      </c>
      <c r="C591" s="35">
        <v>12226616</v>
      </c>
    </row>
    <row r="592" spans="1:3" x14ac:dyDescent="0.35">
      <c r="A592" s="53">
        <v>42237</v>
      </c>
      <c r="B592" s="35">
        <v>62.38</v>
      </c>
      <c r="C592" s="35">
        <v>11305014</v>
      </c>
    </row>
    <row r="593" spans="1:3" x14ac:dyDescent="0.35">
      <c r="A593" s="53">
        <v>42236</v>
      </c>
      <c r="B593" s="35">
        <v>63.9</v>
      </c>
      <c r="C593" s="35">
        <v>10773288</v>
      </c>
    </row>
    <row r="594" spans="1:3" x14ac:dyDescent="0.35">
      <c r="A594" s="53">
        <v>42235</v>
      </c>
      <c r="B594" s="35">
        <v>75.849999999999994</v>
      </c>
      <c r="C594" s="35">
        <v>2167818</v>
      </c>
    </row>
    <row r="595" spans="1:3" x14ac:dyDescent="0.35">
      <c r="A595" s="53">
        <v>42234</v>
      </c>
      <c r="B595" s="35">
        <v>77.150000000000006</v>
      </c>
      <c r="C595" s="35">
        <v>1519522</v>
      </c>
    </row>
    <row r="596" spans="1:3" x14ac:dyDescent="0.35">
      <c r="A596" s="53">
        <v>42233</v>
      </c>
      <c r="B596" s="35">
        <v>76.900000000000006</v>
      </c>
      <c r="C596" s="35">
        <v>2318840</v>
      </c>
    </row>
    <row r="597" spans="1:3" x14ac:dyDescent="0.35">
      <c r="A597" s="53">
        <v>42230</v>
      </c>
      <c r="B597" s="35">
        <v>76.98</v>
      </c>
      <c r="C597" s="35">
        <v>4996492</v>
      </c>
    </row>
    <row r="598" spans="1:3" x14ac:dyDescent="0.35">
      <c r="A598" s="53">
        <v>42229</v>
      </c>
      <c r="B598" s="35">
        <v>77.930000000000007</v>
      </c>
      <c r="C598" s="35">
        <v>3919748</v>
      </c>
    </row>
    <row r="599" spans="1:3" x14ac:dyDescent="0.35">
      <c r="A599" s="53">
        <v>42228</v>
      </c>
      <c r="B599" s="35">
        <v>79.680000000000007</v>
      </c>
      <c r="C599" s="35">
        <v>3585816</v>
      </c>
    </row>
    <row r="600" spans="1:3" x14ac:dyDescent="0.35">
      <c r="A600" s="53">
        <v>42227</v>
      </c>
      <c r="B600" s="35">
        <v>83.33</v>
      </c>
      <c r="C600" s="35">
        <v>2168214</v>
      </c>
    </row>
    <row r="601" spans="1:3" x14ac:dyDescent="0.35">
      <c r="A601" s="53">
        <v>42226</v>
      </c>
      <c r="B601" s="35">
        <v>83.48</v>
      </c>
      <c r="C601" s="35">
        <v>3987548</v>
      </c>
    </row>
    <row r="602" spans="1:3" x14ac:dyDescent="0.35">
      <c r="A602" s="53">
        <v>42223</v>
      </c>
      <c r="B602" s="35">
        <v>83.3</v>
      </c>
      <c r="C602" s="35">
        <v>2990036</v>
      </c>
    </row>
    <row r="603" spans="1:3" x14ac:dyDescent="0.35">
      <c r="A603" s="53">
        <v>42222</v>
      </c>
      <c r="B603" s="35">
        <v>82.15</v>
      </c>
      <c r="C603" s="35">
        <v>2316696</v>
      </c>
    </row>
    <row r="604" spans="1:3" x14ac:dyDescent="0.35">
      <c r="A604" s="53">
        <v>42221</v>
      </c>
      <c r="B604" s="35">
        <v>82.85</v>
      </c>
      <c r="C604" s="35">
        <v>1887156</v>
      </c>
    </row>
    <row r="605" spans="1:3" x14ac:dyDescent="0.35">
      <c r="A605" s="53">
        <v>42220</v>
      </c>
      <c r="B605" s="35">
        <v>83.5</v>
      </c>
      <c r="C605" s="35">
        <v>1974680</v>
      </c>
    </row>
    <row r="606" spans="1:3" x14ac:dyDescent="0.35">
      <c r="A606" s="53">
        <v>42219</v>
      </c>
      <c r="B606" s="35">
        <v>84.13</v>
      </c>
      <c r="C606" s="35">
        <v>3351194</v>
      </c>
    </row>
    <row r="607" spans="1:3" x14ac:dyDescent="0.35">
      <c r="A607" s="53">
        <v>42216</v>
      </c>
      <c r="B607" s="35">
        <v>83.25</v>
      </c>
      <c r="C607" s="35">
        <v>11281012</v>
      </c>
    </row>
    <row r="608" spans="1:3" x14ac:dyDescent="0.35">
      <c r="A608" s="53">
        <v>42215</v>
      </c>
      <c r="B608" s="35">
        <v>79.05</v>
      </c>
      <c r="C608" s="35">
        <v>7792850</v>
      </c>
    </row>
    <row r="609" spans="1:3" x14ac:dyDescent="0.35">
      <c r="A609" s="53">
        <v>42214</v>
      </c>
      <c r="B609" s="35">
        <v>81.48</v>
      </c>
      <c r="C609" s="35">
        <v>3802622</v>
      </c>
    </row>
    <row r="610" spans="1:3" x14ac:dyDescent="0.35">
      <c r="A610" s="53">
        <v>42213</v>
      </c>
      <c r="B610" s="35">
        <v>81.430000000000007</v>
      </c>
      <c r="C610" s="35">
        <v>4440062</v>
      </c>
    </row>
    <row r="611" spans="1:3" x14ac:dyDescent="0.35">
      <c r="A611" s="53">
        <v>42212</v>
      </c>
      <c r="B611" s="35">
        <v>81.599999999999994</v>
      </c>
      <c r="C611" s="35">
        <v>7602558</v>
      </c>
    </row>
    <row r="612" spans="1:3" x14ac:dyDescent="0.35">
      <c r="A612" s="53">
        <v>42209</v>
      </c>
      <c r="B612" s="35">
        <v>81.38</v>
      </c>
      <c r="C612" s="35">
        <v>5028988</v>
      </c>
    </row>
    <row r="613" spans="1:3" x14ac:dyDescent="0.35">
      <c r="A613" s="53">
        <v>42208</v>
      </c>
      <c r="B613" s="35">
        <v>81.099999999999994</v>
      </c>
      <c r="C613" s="35">
        <v>7300294</v>
      </c>
    </row>
    <row r="614" spans="1:3" x14ac:dyDescent="0.35">
      <c r="A614" s="53">
        <v>42207</v>
      </c>
      <c r="B614" s="35">
        <v>82.08</v>
      </c>
      <c r="C614" s="35">
        <v>5536864</v>
      </c>
    </row>
    <row r="615" spans="1:3" x14ac:dyDescent="0.35">
      <c r="A615" s="53">
        <v>42206</v>
      </c>
      <c r="B615" s="35">
        <v>79.48</v>
      </c>
      <c r="C615" s="35">
        <v>2896130</v>
      </c>
    </row>
    <row r="616" spans="1:3" x14ac:dyDescent="0.35">
      <c r="A616" s="53">
        <v>42205</v>
      </c>
      <c r="B616" s="35">
        <v>80.23</v>
      </c>
      <c r="C616" s="35">
        <v>4459860</v>
      </c>
    </row>
    <row r="617" spans="1:3" x14ac:dyDescent="0.35">
      <c r="A617" s="53">
        <v>42202</v>
      </c>
      <c r="B617" s="35">
        <v>79.88</v>
      </c>
      <c r="C617" s="35">
        <v>9374912</v>
      </c>
    </row>
    <row r="618" spans="1:3" x14ac:dyDescent="0.35">
      <c r="A618" s="53">
        <v>42201</v>
      </c>
      <c r="B618" s="35">
        <v>77.03</v>
      </c>
      <c r="C618" s="35">
        <v>9563938</v>
      </c>
    </row>
    <row r="619" spans="1:3" x14ac:dyDescent="0.35">
      <c r="A619" s="53">
        <v>42200</v>
      </c>
      <c r="B619" s="35">
        <v>74.7</v>
      </c>
      <c r="C619" s="35">
        <v>2995992</v>
      </c>
    </row>
    <row r="620" spans="1:3" x14ac:dyDescent="0.35">
      <c r="A620" s="53">
        <v>42199</v>
      </c>
      <c r="B620" s="35">
        <v>72.78</v>
      </c>
      <c r="C620" s="35">
        <v>2844344</v>
      </c>
    </row>
    <row r="621" spans="1:3" x14ac:dyDescent="0.35">
      <c r="A621" s="53">
        <v>42198</v>
      </c>
      <c r="B621" s="35">
        <v>74.48</v>
      </c>
      <c r="C621" s="35">
        <v>5104130</v>
      </c>
    </row>
    <row r="622" spans="1:3" x14ac:dyDescent="0.35">
      <c r="A622" s="53">
        <v>42195</v>
      </c>
      <c r="B622" s="35">
        <v>72.900000000000006</v>
      </c>
      <c r="C622" s="35">
        <v>25442624</v>
      </c>
    </row>
    <row r="623" spans="1:3" x14ac:dyDescent="0.35">
      <c r="A623" s="53">
        <v>42194</v>
      </c>
      <c r="B623" s="35">
        <v>73.83</v>
      </c>
      <c r="C623" s="35">
        <v>5974994</v>
      </c>
    </row>
    <row r="624" spans="1:3" x14ac:dyDescent="0.35">
      <c r="A624" s="53">
        <v>42193</v>
      </c>
      <c r="B624" s="35">
        <v>73.88</v>
      </c>
      <c r="C624" s="35">
        <v>8938532</v>
      </c>
    </row>
    <row r="625" spans="1:3" x14ac:dyDescent="0.35">
      <c r="A625" s="53">
        <v>42192</v>
      </c>
      <c r="B625" s="35">
        <v>76.349999999999994</v>
      </c>
      <c r="C625" s="35">
        <v>12467758</v>
      </c>
    </row>
    <row r="626" spans="1:3" x14ac:dyDescent="0.35">
      <c r="A626" s="53">
        <v>42191</v>
      </c>
      <c r="B626" s="35">
        <v>71.25</v>
      </c>
      <c r="C626" s="35">
        <v>17441900</v>
      </c>
    </row>
    <row r="627" spans="1:3" x14ac:dyDescent="0.35">
      <c r="A627" s="53">
        <v>42188</v>
      </c>
      <c r="B627" s="35">
        <v>66</v>
      </c>
      <c r="C627" s="35">
        <v>6641426</v>
      </c>
    </row>
    <row r="628" spans="1:3" x14ac:dyDescent="0.35">
      <c r="A628" s="53">
        <v>42187</v>
      </c>
      <c r="B628" s="35">
        <v>65.98</v>
      </c>
      <c r="C628" s="35">
        <v>17080138</v>
      </c>
    </row>
    <row r="629" spans="1:3" x14ac:dyDescent="0.35">
      <c r="A629" s="53">
        <v>42186</v>
      </c>
      <c r="B629" s="35">
        <v>59.48</v>
      </c>
      <c r="C629" s="35">
        <v>3527396</v>
      </c>
    </row>
    <row r="630" spans="1:3" x14ac:dyDescent="0.35">
      <c r="A630" s="53">
        <v>42185</v>
      </c>
      <c r="B630" s="35">
        <v>57.9</v>
      </c>
      <c r="C630" s="35">
        <v>2981796</v>
      </c>
    </row>
    <row r="631" spans="1:3" x14ac:dyDescent="0.35">
      <c r="A631" s="53">
        <v>42184</v>
      </c>
      <c r="B631" s="35">
        <v>56.73</v>
      </c>
      <c r="C631" s="35">
        <v>3642796</v>
      </c>
    </row>
    <row r="632" spans="1:3" x14ac:dyDescent="0.35">
      <c r="A632" s="53">
        <v>42181</v>
      </c>
      <c r="B632" s="35">
        <v>57.2</v>
      </c>
      <c r="C632" s="35">
        <v>3324126</v>
      </c>
    </row>
    <row r="633" spans="1:3" x14ac:dyDescent="0.35">
      <c r="A633" s="53">
        <v>42180</v>
      </c>
      <c r="B633" s="35">
        <v>56.63</v>
      </c>
      <c r="C633" s="35">
        <v>2173726</v>
      </c>
    </row>
    <row r="634" spans="1:3" x14ac:dyDescent="0.35">
      <c r="A634" s="53">
        <v>42179</v>
      </c>
      <c r="B634" s="35">
        <v>56.43</v>
      </c>
      <c r="C634" s="35">
        <v>3156730</v>
      </c>
    </row>
    <row r="635" spans="1:3" x14ac:dyDescent="0.35">
      <c r="A635" s="53">
        <v>42178</v>
      </c>
      <c r="B635" s="35">
        <v>56.23</v>
      </c>
      <c r="C635" s="35">
        <v>2288226</v>
      </c>
    </row>
    <row r="636" spans="1:3" x14ac:dyDescent="0.35">
      <c r="A636" s="53">
        <v>42177</v>
      </c>
      <c r="B636" s="35">
        <v>56.95</v>
      </c>
      <c r="C636" s="35">
        <v>1770970</v>
      </c>
    </row>
    <row r="637" spans="1:3" x14ac:dyDescent="0.35">
      <c r="A637" s="53">
        <v>42174</v>
      </c>
      <c r="B637" s="35">
        <v>55.95</v>
      </c>
      <c r="C637" s="35">
        <v>3658300</v>
      </c>
    </row>
    <row r="638" spans="1:3" x14ac:dyDescent="0.35">
      <c r="A638" s="53">
        <v>42173</v>
      </c>
      <c r="B638" s="35">
        <v>54.93</v>
      </c>
      <c r="C638" s="35">
        <v>1717022</v>
      </c>
    </row>
    <row r="639" spans="1:3" x14ac:dyDescent="0.35">
      <c r="A639" s="53">
        <v>42172</v>
      </c>
      <c r="B639" s="35">
        <v>53.93</v>
      </c>
      <c r="C639" s="35">
        <v>1874664</v>
      </c>
    </row>
    <row r="640" spans="1:3" x14ac:dyDescent="0.35">
      <c r="A640" s="53">
        <v>42171</v>
      </c>
      <c r="B640" s="35">
        <v>53.25</v>
      </c>
      <c r="C640" s="35">
        <v>1610774</v>
      </c>
    </row>
    <row r="641" spans="1:3" x14ac:dyDescent="0.35">
      <c r="A641" s="53">
        <v>42170</v>
      </c>
      <c r="B641" s="35">
        <v>52.68</v>
      </c>
      <c r="C641" s="35">
        <v>1877416</v>
      </c>
    </row>
    <row r="642" spans="1:3" x14ac:dyDescent="0.35">
      <c r="A642" s="53">
        <v>42167</v>
      </c>
      <c r="B642" s="35">
        <v>52.08</v>
      </c>
      <c r="C642" s="35">
        <v>3223076</v>
      </c>
    </row>
    <row r="643" spans="1:3" x14ac:dyDescent="0.35">
      <c r="A643" s="53">
        <v>42166</v>
      </c>
      <c r="B643" s="35">
        <v>51.75</v>
      </c>
      <c r="C643" s="35">
        <v>1864058</v>
      </c>
    </row>
    <row r="644" spans="1:3" x14ac:dyDescent="0.35">
      <c r="A644" s="53">
        <v>42165</v>
      </c>
      <c r="B644" s="35">
        <v>51.9</v>
      </c>
      <c r="C644" s="35">
        <v>2591808</v>
      </c>
    </row>
    <row r="645" spans="1:3" x14ac:dyDescent="0.35">
      <c r="A645" s="53">
        <v>42164</v>
      </c>
      <c r="B645" s="35">
        <v>51.9</v>
      </c>
      <c r="C645" s="35">
        <v>8717080</v>
      </c>
    </row>
    <row r="646" spans="1:3" x14ac:dyDescent="0.35">
      <c r="A646" s="53">
        <v>42163</v>
      </c>
      <c r="B646" s="35">
        <v>51.35</v>
      </c>
      <c r="C646" s="35">
        <v>2440664</v>
      </c>
    </row>
    <row r="647" spans="1:3" x14ac:dyDescent="0.35">
      <c r="A647" s="53">
        <v>42160</v>
      </c>
      <c r="B647" s="35">
        <v>51.88</v>
      </c>
      <c r="C647" s="35">
        <v>3297632</v>
      </c>
    </row>
    <row r="648" spans="1:3" x14ac:dyDescent="0.35">
      <c r="A648" s="53">
        <v>42159</v>
      </c>
      <c r="B648" s="35">
        <v>52.4</v>
      </c>
      <c r="C648" s="35">
        <v>2417824</v>
      </c>
    </row>
    <row r="649" spans="1:3" x14ac:dyDescent="0.35">
      <c r="A649" s="53">
        <v>42158</v>
      </c>
      <c r="B649" s="35">
        <v>51.3</v>
      </c>
      <c r="C649" s="35">
        <v>5207420</v>
      </c>
    </row>
    <row r="650" spans="1:3" x14ac:dyDescent="0.35">
      <c r="A650" s="53">
        <v>42157</v>
      </c>
      <c r="B650" s="35">
        <v>53.98</v>
      </c>
      <c r="C650" s="35">
        <v>1957900</v>
      </c>
    </row>
    <row r="651" spans="1:3" x14ac:dyDescent="0.35">
      <c r="A651" s="53">
        <v>42156</v>
      </c>
      <c r="B651" s="35">
        <v>55.2</v>
      </c>
      <c r="C651" s="35">
        <v>2739156</v>
      </c>
    </row>
    <row r="652" spans="1:3" x14ac:dyDescent="0.35">
      <c r="A652" s="53">
        <v>42153</v>
      </c>
      <c r="B652" s="35">
        <v>54.73</v>
      </c>
      <c r="C652" s="35">
        <v>3891042</v>
      </c>
    </row>
    <row r="653" spans="1:3" x14ac:dyDescent="0.35">
      <c r="A653" s="53">
        <v>42152</v>
      </c>
      <c r="B653" s="35">
        <v>54.03</v>
      </c>
      <c r="C653" s="35">
        <v>1354070</v>
      </c>
    </row>
    <row r="654" spans="1:3" x14ac:dyDescent="0.35">
      <c r="A654" s="53">
        <v>42151</v>
      </c>
      <c r="B654" s="35">
        <v>54.65</v>
      </c>
      <c r="C654" s="35">
        <v>1178542</v>
      </c>
    </row>
    <row r="655" spans="1:3" x14ac:dyDescent="0.35">
      <c r="A655" s="53">
        <v>42150</v>
      </c>
      <c r="B655" s="35">
        <v>54.53</v>
      </c>
      <c r="C655" s="35">
        <v>1330162</v>
      </c>
    </row>
    <row r="656" spans="1:3" x14ac:dyDescent="0.35">
      <c r="A656" s="53">
        <v>42149</v>
      </c>
      <c r="B656" s="35">
        <v>54.9</v>
      </c>
      <c r="C656" s="35">
        <v>2933614</v>
      </c>
    </row>
    <row r="657" spans="1:3" x14ac:dyDescent="0.35">
      <c r="A657" s="53">
        <v>42146</v>
      </c>
      <c r="B657" s="35">
        <v>54.65</v>
      </c>
      <c r="C657" s="35">
        <v>8691908</v>
      </c>
    </row>
    <row r="658" spans="1:3" x14ac:dyDescent="0.35">
      <c r="A658" s="53">
        <v>42145</v>
      </c>
      <c r="B658" s="35">
        <v>54.58</v>
      </c>
      <c r="C658" s="35">
        <v>606268</v>
      </c>
    </row>
    <row r="659" spans="1:3" x14ac:dyDescent="0.35">
      <c r="A659" s="53">
        <v>42144</v>
      </c>
      <c r="B659" s="35">
        <v>54.43</v>
      </c>
      <c r="C659" s="35">
        <v>1698428</v>
      </c>
    </row>
    <row r="660" spans="1:3" x14ac:dyDescent="0.35">
      <c r="A660" s="53">
        <v>42143</v>
      </c>
      <c r="B660" s="35">
        <v>54.35</v>
      </c>
      <c r="C660" s="35">
        <v>1737792</v>
      </c>
    </row>
    <row r="661" spans="1:3" x14ac:dyDescent="0.35">
      <c r="A661" s="53">
        <v>42142</v>
      </c>
      <c r="B661" s="35">
        <v>54.33</v>
      </c>
      <c r="C661" s="35">
        <v>2153260</v>
      </c>
    </row>
    <row r="662" spans="1:3" x14ac:dyDescent="0.35">
      <c r="A662" s="53">
        <v>42139</v>
      </c>
      <c r="B662" s="35">
        <v>54.25</v>
      </c>
      <c r="C662" s="35">
        <v>2976176</v>
      </c>
    </row>
    <row r="663" spans="1:3" x14ac:dyDescent="0.35">
      <c r="A663" s="53">
        <v>42138</v>
      </c>
      <c r="B663" s="35">
        <v>55.48</v>
      </c>
      <c r="C663" s="35">
        <v>3537706</v>
      </c>
    </row>
    <row r="664" spans="1:3" x14ac:dyDescent="0.35">
      <c r="A664" s="53">
        <v>42137</v>
      </c>
      <c r="B664" s="35">
        <v>52.68</v>
      </c>
      <c r="C664" s="35">
        <v>2315212</v>
      </c>
    </row>
    <row r="665" spans="1:3" x14ac:dyDescent="0.35">
      <c r="A665" s="53">
        <v>42136</v>
      </c>
      <c r="B665" s="35">
        <v>53.33</v>
      </c>
      <c r="C665" s="35">
        <v>2083214</v>
      </c>
    </row>
    <row r="666" spans="1:3" x14ac:dyDescent="0.35">
      <c r="A666" s="53">
        <v>42135</v>
      </c>
      <c r="B666" s="35">
        <v>54.55</v>
      </c>
      <c r="C666" s="35">
        <v>1150240</v>
      </c>
    </row>
    <row r="667" spans="1:3" x14ac:dyDescent="0.35">
      <c r="A667" s="53">
        <v>42132</v>
      </c>
      <c r="B667" s="35">
        <v>54.73</v>
      </c>
      <c r="C667" s="35">
        <v>1545650</v>
      </c>
    </row>
    <row r="668" spans="1:3" x14ac:dyDescent="0.35">
      <c r="A668" s="53">
        <v>42131</v>
      </c>
      <c r="B668" s="35">
        <v>54.5</v>
      </c>
      <c r="C668" s="35">
        <v>2120830</v>
      </c>
    </row>
    <row r="669" spans="1:3" x14ac:dyDescent="0.35">
      <c r="A669" s="53">
        <v>42130</v>
      </c>
      <c r="B669" s="35">
        <v>56.45</v>
      </c>
      <c r="C669" s="35">
        <v>3913048</v>
      </c>
    </row>
    <row r="670" spans="1:3" x14ac:dyDescent="0.35">
      <c r="A670" s="53">
        <v>42129</v>
      </c>
      <c r="B670" s="35">
        <v>57.83</v>
      </c>
      <c r="C670" s="35">
        <v>3325348</v>
      </c>
    </row>
    <row r="671" spans="1:3" x14ac:dyDescent="0.35">
      <c r="A671" s="53">
        <v>42128</v>
      </c>
      <c r="B671" s="35">
        <v>57.68</v>
      </c>
      <c r="C671" s="35">
        <v>14148532</v>
      </c>
    </row>
    <row r="672" spans="1:3" x14ac:dyDescent="0.35">
      <c r="A672" s="53">
        <v>42124</v>
      </c>
      <c r="B672" s="35">
        <v>53.2</v>
      </c>
      <c r="C672" s="35">
        <v>1851184</v>
      </c>
    </row>
    <row r="673" spans="1:3" x14ac:dyDescent="0.35">
      <c r="A673" s="53">
        <v>42123</v>
      </c>
      <c r="B673" s="35">
        <v>53.48</v>
      </c>
      <c r="C673" s="35">
        <v>1936100</v>
      </c>
    </row>
    <row r="674" spans="1:3" x14ac:dyDescent="0.35">
      <c r="A674" s="53">
        <v>42122</v>
      </c>
      <c r="B674" s="35">
        <v>51.2</v>
      </c>
      <c r="C674" s="35">
        <v>3092264</v>
      </c>
    </row>
    <row r="675" spans="1:3" x14ac:dyDescent="0.35">
      <c r="A675" s="53">
        <v>42121</v>
      </c>
      <c r="B675" s="35">
        <v>51.28</v>
      </c>
      <c r="C675" s="35">
        <v>7691180</v>
      </c>
    </row>
    <row r="676" spans="1:3" x14ac:dyDescent="0.35">
      <c r="A676" s="53">
        <v>42118</v>
      </c>
      <c r="B676" s="35">
        <v>56.88</v>
      </c>
      <c r="C676" s="35">
        <v>3057146</v>
      </c>
    </row>
    <row r="677" spans="1:3" x14ac:dyDescent="0.35">
      <c r="A677" s="53">
        <v>42117</v>
      </c>
      <c r="B677" s="35">
        <v>57.85</v>
      </c>
      <c r="C677" s="35">
        <v>1160762</v>
      </c>
    </row>
    <row r="678" spans="1:3" x14ac:dyDescent="0.35">
      <c r="A678" s="53">
        <v>42116</v>
      </c>
      <c r="B678" s="35">
        <v>58.48</v>
      </c>
      <c r="C678" s="35">
        <v>2052512</v>
      </c>
    </row>
    <row r="679" spans="1:3" x14ac:dyDescent="0.35">
      <c r="A679" s="53">
        <v>42115</v>
      </c>
      <c r="B679" s="35">
        <v>58.08</v>
      </c>
      <c r="C679" s="35">
        <v>2450424</v>
      </c>
    </row>
    <row r="680" spans="1:3" x14ac:dyDescent="0.35">
      <c r="A680" s="53">
        <v>42114</v>
      </c>
      <c r="B680" s="35">
        <v>58.15</v>
      </c>
      <c r="C680" s="35">
        <v>3822426</v>
      </c>
    </row>
    <row r="681" spans="1:3" x14ac:dyDescent="0.35">
      <c r="A681" s="53">
        <v>42111</v>
      </c>
      <c r="B681" s="35">
        <v>63</v>
      </c>
      <c r="C681" s="35">
        <v>1672438</v>
      </c>
    </row>
    <row r="682" spans="1:3" x14ac:dyDescent="0.35">
      <c r="A682" s="53">
        <v>42110</v>
      </c>
      <c r="B682" s="35">
        <v>64.13</v>
      </c>
      <c r="C682" s="35">
        <v>4081396</v>
      </c>
    </row>
    <row r="683" spans="1:3" x14ac:dyDescent="0.35">
      <c r="A683" s="53">
        <v>42109</v>
      </c>
      <c r="B683" s="35">
        <v>63.55</v>
      </c>
      <c r="C683" s="35">
        <v>3317510</v>
      </c>
    </row>
    <row r="684" spans="1:3" x14ac:dyDescent="0.35">
      <c r="A684" s="53">
        <v>42107</v>
      </c>
      <c r="B684" s="35">
        <v>65.23</v>
      </c>
      <c r="C684" s="35">
        <v>3429112</v>
      </c>
    </row>
    <row r="685" spans="1:3" x14ac:dyDescent="0.35">
      <c r="A685" s="53">
        <v>42104</v>
      </c>
      <c r="B685" s="35">
        <v>66.88</v>
      </c>
      <c r="C685" s="35">
        <v>4238258</v>
      </c>
    </row>
    <row r="686" spans="1:3" x14ac:dyDescent="0.35">
      <c r="A686" s="53">
        <v>42103</v>
      </c>
      <c r="B686" s="35">
        <v>65</v>
      </c>
      <c r="C686" s="35">
        <v>3266754</v>
      </c>
    </row>
    <row r="687" spans="1:3" x14ac:dyDescent="0.35">
      <c r="A687" s="53">
        <v>42102</v>
      </c>
      <c r="B687" s="35">
        <v>62.8</v>
      </c>
      <c r="C687" s="35">
        <v>3322274</v>
      </c>
    </row>
    <row r="688" spans="1:3" x14ac:dyDescent="0.35">
      <c r="A688" s="53">
        <v>42101</v>
      </c>
      <c r="B688" s="35">
        <v>60.3</v>
      </c>
      <c r="C688" s="35">
        <v>5018542</v>
      </c>
    </row>
    <row r="689" spans="1:3" x14ac:dyDescent="0.35">
      <c r="A689" s="53">
        <v>42100</v>
      </c>
      <c r="B689" s="35">
        <v>57.78</v>
      </c>
      <c r="C689" s="35">
        <v>4757388</v>
      </c>
    </row>
    <row r="690" spans="1:3" x14ac:dyDescent="0.35">
      <c r="A690" s="53">
        <v>42095</v>
      </c>
      <c r="B690" s="35">
        <v>54.1</v>
      </c>
      <c r="C690" s="35">
        <v>1500056</v>
      </c>
    </row>
    <row r="691" spans="1:3" x14ac:dyDescent="0.35">
      <c r="A691" s="53">
        <v>42094</v>
      </c>
      <c r="B691" s="35">
        <v>51.38</v>
      </c>
      <c r="C691" s="35">
        <v>4050578</v>
      </c>
    </row>
    <row r="692" spans="1:3" x14ac:dyDescent="0.35">
      <c r="A692" s="53">
        <v>42093</v>
      </c>
      <c r="B692" s="35">
        <v>48.15</v>
      </c>
      <c r="C692" s="35">
        <v>2113100</v>
      </c>
    </row>
    <row r="693" spans="1:3" x14ac:dyDescent="0.35">
      <c r="A693" s="53">
        <v>42090</v>
      </c>
      <c r="B693" s="35">
        <v>47.6</v>
      </c>
      <c r="C693" s="35">
        <v>4280206</v>
      </c>
    </row>
    <row r="694" spans="1:3" x14ac:dyDescent="0.35">
      <c r="A694" s="53">
        <v>42089</v>
      </c>
      <c r="B694" s="35">
        <v>48.68</v>
      </c>
      <c r="C694" s="35">
        <v>4580620</v>
      </c>
    </row>
    <row r="695" spans="1:3" x14ac:dyDescent="0.35">
      <c r="A695" s="53">
        <v>42088</v>
      </c>
      <c r="B695" s="35">
        <v>53.58</v>
      </c>
      <c r="C695" s="35">
        <v>1383648</v>
      </c>
    </row>
    <row r="696" spans="1:3" x14ac:dyDescent="0.35">
      <c r="A696" s="53">
        <v>42087</v>
      </c>
      <c r="B696" s="35">
        <v>55.53</v>
      </c>
      <c r="C696" s="35">
        <v>2700598</v>
      </c>
    </row>
    <row r="697" spans="1:3" x14ac:dyDescent="0.35">
      <c r="A697" s="53">
        <v>42086</v>
      </c>
      <c r="B697" s="35">
        <v>55.98</v>
      </c>
      <c r="C697" s="35">
        <v>1416006</v>
      </c>
    </row>
    <row r="698" spans="1:3" x14ac:dyDescent="0.35">
      <c r="A698" s="53">
        <v>42083</v>
      </c>
      <c r="B698" s="35">
        <v>57.05</v>
      </c>
      <c r="C698" s="35">
        <v>5608536</v>
      </c>
    </row>
    <row r="699" spans="1:3" x14ac:dyDescent="0.35">
      <c r="A699" s="53">
        <v>42082</v>
      </c>
      <c r="B699" s="35">
        <v>58.48</v>
      </c>
      <c r="C699" s="35">
        <v>1186056</v>
      </c>
    </row>
    <row r="700" spans="1:3" x14ac:dyDescent="0.35">
      <c r="A700" s="53">
        <v>42081</v>
      </c>
      <c r="B700" s="35">
        <v>57.75</v>
      </c>
      <c r="C700" s="35">
        <v>2258570</v>
      </c>
    </row>
    <row r="701" spans="1:3" x14ac:dyDescent="0.35">
      <c r="A701" s="53">
        <v>42080</v>
      </c>
      <c r="B701" s="35">
        <v>57.83</v>
      </c>
      <c r="C701" s="35">
        <v>1356580</v>
      </c>
    </row>
    <row r="702" spans="1:3" x14ac:dyDescent="0.35">
      <c r="A702" s="53">
        <v>42079</v>
      </c>
      <c r="B702" s="35">
        <v>58.1</v>
      </c>
      <c r="C702" s="35">
        <v>2117856</v>
      </c>
    </row>
    <row r="703" spans="1:3" x14ac:dyDescent="0.35">
      <c r="A703" s="53">
        <v>42076</v>
      </c>
      <c r="B703" s="35">
        <v>59.83</v>
      </c>
      <c r="C703" s="35">
        <v>1594936</v>
      </c>
    </row>
    <row r="704" spans="1:3" x14ac:dyDescent="0.35">
      <c r="A704" s="53">
        <v>42075</v>
      </c>
      <c r="B704" s="35">
        <v>60.8</v>
      </c>
      <c r="C704" s="35">
        <v>2094892</v>
      </c>
    </row>
    <row r="705" spans="1:3" x14ac:dyDescent="0.35">
      <c r="A705" s="53">
        <v>42074</v>
      </c>
      <c r="B705" s="35">
        <v>59.03</v>
      </c>
      <c r="C705" s="35">
        <v>2443668</v>
      </c>
    </row>
    <row r="706" spans="1:3" x14ac:dyDescent="0.35">
      <c r="A706" s="53">
        <v>42073</v>
      </c>
      <c r="B706" s="35">
        <v>58.6</v>
      </c>
      <c r="C706" s="35">
        <v>1513492</v>
      </c>
    </row>
    <row r="707" spans="1:3" x14ac:dyDescent="0.35">
      <c r="A707" s="53">
        <v>42072</v>
      </c>
      <c r="B707" s="35">
        <v>58.75</v>
      </c>
      <c r="C707" s="35">
        <v>1870994</v>
      </c>
    </row>
    <row r="708" spans="1:3" x14ac:dyDescent="0.35">
      <c r="A708" s="53">
        <v>42068</v>
      </c>
      <c r="B708" s="35">
        <v>60.95</v>
      </c>
      <c r="C708" s="35">
        <v>3131016</v>
      </c>
    </row>
    <row r="709" spans="1:3" x14ac:dyDescent="0.35">
      <c r="A709" s="53">
        <v>42067</v>
      </c>
      <c r="B709" s="35">
        <v>61.2</v>
      </c>
      <c r="C709" s="35">
        <v>2009574</v>
      </c>
    </row>
    <row r="710" spans="1:3" x14ac:dyDescent="0.35">
      <c r="A710" s="53">
        <v>42066</v>
      </c>
      <c r="B710" s="35">
        <v>62</v>
      </c>
      <c r="C710" s="35">
        <v>2263804</v>
      </c>
    </row>
    <row r="711" spans="1:3" x14ac:dyDescent="0.35">
      <c r="A711" s="53">
        <v>42065</v>
      </c>
      <c r="B711" s="35">
        <v>61.98</v>
      </c>
      <c r="C711" s="35">
        <v>878216</v>
      </c>
    </row>
    <row r="712" spans="1:3" x14ac:dyDescent="0.35">
      <c r="A712" s="53">
        <v>42063</v>
      </c>
      <c r="B712" s="35">
        <v>61.38</v>
      </c>
      <c r="C712" s="35">
        <v>1430042</v>
      </c>
    </row>
    <row r="713" spans="1:3" x14ac:dyDescent="0.35">
      <c r="A713" s="53">
        <v>42062</v>
      </c>
      <c r="B713" s="35">
        <v>61.85</v>
      </c>
      <c r="C713" s="35">
        <v>919688</v>
      </c>
    </row>
    <row r="714" spans="1:3" x14ac:dyDescent="0.35">
      <c r="A714" s="53">
        <v>42061</v>
      </c>
      <c r="B714" s="35">
        <v>61.85</v>
      </c>
      <c r="C714" s="35">
        <v>1970606</v>
      </c>
    </row>
    <row r="715" spans="1:3" x14ac:dyDescent="0.35">
      <c r="A715" s="53">
        <v>42060</v>
      </c>
      <c r="B715" s="35">
        <v>63.38</v>
      </c>
      <c r="C715" s="35">
        <v>773218</v>
      </c>
    </row>
    <row r="716" spans="1:3" x14ac:dyDescent="0.35">
      <c r="A716" s="53">
        <v>42059</v>
      </c>
      <c r="B716" s="35">
        <v>63.78</v>
      </c>
      <c r="C716" s="35">
        <v>2081706</v>
      </c>
    </row>
    <row r="717" spans="1:3" x14ac:dyDescent="0.35">
      <c r="A717" s="53">
        <v>42058</v>
      </c>
      <c r="B717" s="35">
        <v>65</v>
      </c>
      <c r="C717" s="35">
        <v>2428528</v>
      </c>
    </row>
    <row r="718" spans="1:3" x14ac:dyDescent="0.35">
      <c r="A718" s="53">
        <v>42055</v>
      </c>
      <c r="B718" s="35">
        <v>64.930000000000007</v>
      </c>
      <c r="C718" s="35">
        <v>3624412</v>
      </c>
    </row>
    <row r="719" spans="1:3" x14ac:dyDescent="0.35">
      <c r="A719" s="53">
        <v>42054</v>
      </c>
      <c r="B719" s="35">
        <v>60.95</v>
      </c>
      <c r="C719" s="35">
        <v>4962524</v>
      </c>
    </row>
    <row r="720" spans="1:3" x14ac:dyDescent="0.35">
      <c r="A720" s="53">
        <v>42053</v>
      </c>
      <c r="B720" s="35">
        <v>62.1</v>
      </c>
      <c r="C720" s="35">
        <v>1615672</v>
      </c>
    </row>
    <row r="721" spans="1:3" x14ac:dyDescent="0.35">
      <c r="A721" s="53">
        <v>42051</v>
      </c>
      <c r="B721" s="35">
        <v>63.03</v>
      </c>
      <c r="C721" s="35">
        <v>1759124</v>
      </c>
    </row>
    <row r="722" spans="1:3" x14ac:dyDescent="0.35">
      <c r="A722" s="53">
        <v>42048</v>
      </c>
      <c r="B722" s="35">
        <v>62.05</v>
      </c>
      <c r="C722" s="35">
        <v>428190</v>
      </c>
    </row>
    <row r="723" spans="1:3" x14ac:dyDescent="0.35">
      <c r="A723" s="53">
        <v>42047</v>
      </c>
      <c r="B723" s="35">
        <v>62.13</v>
      </c>
      <c r="C723" s="35">
        <v>1076992</v>
      </c>
    </row>
    <row r="724" spans="1:3" x14ac:dyDescent="0.35">
      <c r="A724" s="53">
        <v>42046</v>
      </c>
      <c r="B724" s="35">
        <v>62.08</v>
      </c>
      <c r="C724" s="35">
        <v>554940</v>
      </c>
    </row>
    <row r="725" spans="1:3" x14ac:dyDescent="0.35">
      <c r="A725" s="53">
        <v>42045</v>
      </c>
      <c r="B725" s="35">
        <v>62.8</v>
      </c>
      <c r="C725" s="35">
        <v>1959070</v>
      </c>
    </row>
    <row r="726" spans="1:3" x14ac:dyDescent="0.35">
      <c r="A726" s="53">
        <v>42044</v>
      </c>
      <c r="B726" s="35">
        <v>62.68</v>
      </c>
      <c r="C726" s="35">
        <v>696870</v>
      </c>
    </row>
    <row r="727" spans="1:3" x14ac:dyDescent="0.35">
      <c r="A727" s="53">
        <v>42041</v>
      </c>
      <c r="B727" s="35">
        <v>62.18</v>
      </c>
      <c r="C727" s="35">
        <v>919454</v>
      </c>
    </row>
    <row r="728" spans="1:3" x14ac:dyDescent="0.35">
      <c r="A728" s="53">
        <v>42040</v>
      </c>
      <c r="B728" s="35">
        <v>61.95</v>
      </c>
      <c r="C728" s="35">
        <v>716452</v>
      </c>
    </row>
    <row r="729" spans="1:3" x14ac:dyDescent="0.35">
      <c r="A729" s="53">
        <v>42039</v>
      </c>
      <c r="B729" s="35">
        <v>62.55</v>
      </c>
      <c r="C729" s="35">
        <v>482638</v>
      </c>
    </row>
    <row r="730" spans="1:3" x14ac:dyDescent="0.35">
      <c r="A730" s="53">
        <v>42038</v>
      </c>
      <c r="B730" s="35">
        <v>62.85</v>
      </c>
      <c r="C730" s="35">
        <v>296186</v>
      </c>
    </row>
    <row r="731" spans="1:3" x14ac:dyDescent="0.35">
      <c r="A731" s="53">
        <v>42037</v>
      </c>
      <c r="B731" s="35">
        <v>63.1</v>
      </c>
      <c r="C731" s="35">
        <v>1460364</v>
      </c>
    </row>
    <row r="732" spans="1:3" x14ac:dyDescent="0.35">
      <c r="A732" s="53">
        <v>42034</v>
      </c>
      <c r="B732" s="35">
        <v>64.25</v>
      </c>
      <c r="C732" s="35">
        <v>1290872</v>
      </c>
    </row>
    <row r="733" spans="1:3" x14ac:dyDescent="0.35">
      <c r="A733" s="53">
        <v>42033</v>
      </c>
      <c r="B733" s="35">
        <v>64.349999999999994</v>
      </c>
      <c r="C733" s="35">
        <v>3153474</v>
      </c>
    </row>
    <row r="734" spans="1:3" x14ac:dyDescent="0.35">
      <c r="A734" s="53">
        <v>42032</v>
      </c>
      <c r="B734" s="35">
        <v>64.180000000000007</v>
      </c>
      <c r="C734" s="35">
        <v>1216524</v>
      </c>
    </row>
    <row r="735" spans="1:3" x14ac:dyDescent="0.35">
      <c r="A735" s="53">
        <v>42031</v>
      </c>
      <c r="B735" s="35">
        <v>63.38</v>
      </c>
      <c r="C735" s="35">
        <v>2641072</v>
      </c>
    </row>
    <row r="736" spans="1:3" x14ac:dyDescent="0.35">
      <c r="A736" s="53">
        <v>42027</v>
      </c>
      <c r="B736" s="35">
        <v>64.900000000000006</v>
      </c>
      <c r="C736" s="35">
        <v>2004928</v>
      </c>
    </row>
    <row r="737" spans="1:3" x14ac:dyDescent="0.35">
      <c r="A737" s="53">
        <v>42026</v>
      </c>
      <c r="B737" s="35">
        <v>64.400000000000006</v>
      </c>
      <c r="C737" s="35">
        <v>2020280</v>
      </c>
    </row>
    <row r="738" spans="1:3" x14ac:dyDescent="0.35">
      <c r="A738" s="53">
        <v>42025</v>
      </c>
      <c r="B738" s="35">
        <v>63.83</v>
      </c>
      <c r="C738" s="35">
        <v>1943720</v>
      </c>
    </row>
    <row r="739" spans="1:3" x14ac:dyDescent="0.35">
      <c r="A739" s="53">
        <v>42024</v>
      </c>
      <c r="B739" s="35">
        <v>63.58</v>
      </c>
      <c r="C739" s="35">
        <v>1310166</v>
      </c>
    </row>
    <row r="740" spans="1:3" x14ac:dyDescent="0.35">
      <c r="A740" s="53">
        <v>42023</v>
      </c>
      <c r="B740" s="35">
        <v>63.93</v>
      </c>
      <c r="C740" s="35">
        <v>1184914</v>
      </c>
    </row>
    <row r="741" spans="1:3" x14ac:dyDescent="0.35">
      <c r="A741" s="53">
        <v>42020</v>
      </c>
      <c r="B741" s="35">
        <v>63.83</v>
      </c>
      <c r="C741" s="35">
        <v>1157502</v>
      </c>
    </row>
    <row r="742" spans="1:3" x14ac:dyDescent="0.35">
      <c r="A742" s="53">
        <v>42019</v>
      </c>
      <c r="B742" s="35">
        <v>63.18</v>
      </c>
      <c r="C742" s="35">
        <v>1312146</v>
      </c>
    </row>
    <row r="743" spans="1:3" x14ac:dyDescent="0.35">
      <c r="A743" s="53">
        <v>42018</v>
      </c>
      <c r="B743" s="35">
        <v>62.4</v>
      </c>
      <c r="C743" s="35">
        <v>1081270</v>
      </c>
    </row>
    <row r="744" spans="1:3" x14ac:dyDescent="0.35">
      <c r="A744" s="53">
        <v>42017</v>
      </c>
      <c r="B744" s="35">
        <v>62.7</v>
      </c>
      <c r="C744" s="35">
        <v>1463912</v>
      </c>
    </row>
    <row r="745" spans="1:3" x14ac:dyDescent="0.35">
      <c r="A745" s="53">
        <v>42016</v>
      </c>
      <c r="B745" s="35">
        <v>62.48</v>
      </c>
      <c r="C745" s="35">
        <v>1250068</v>
      </c>
    </row>
    <row r="746" spans="1:3" x14ac:dyDescent="0.35">
      <c r="A746" s="53">
        <v>42013</v>
      </c>
      <c r="B746" s="35">
        <v>62.68</v>
      </c>
      <c r="C746" s="35">
        <v>765314</v>
      </c>
    </row>
    <row r="747" spans="1:3" x14ac:dyDescent="0.35">
      <c r="A747" s="53">
        <v>42012</v>
      </c>
      <c r="B747" s="35">
        <v>62.4</v>
      </c>
      <c r="C747" s="35">
        <v>613178</v>
      </c>
    </row>
    <row r="748" spans="1:3" x14ac:dyDescent="0.35">
      <c r="A748" s="53">
        <v>42011</v>
      </c>
      <c r="B748" s="35">
        <v>62.3</v>
      </c>
      <c r="C748" s="35">
        <v>1214934</v>
      </c>
    </row>
    <row r="749" spans="1:3" x14ac:dyDescent="0.35">
      <c r="A749" s="53">
        <v>42010</v>
      </c>
      <c r="B749" s="35">
        <v>62.45</v>
      </c>
      <c r="C749" s="35">
        <v>2001170</v>
      </c>
    </row>
    <row r="750" spans="1:3" x14ac:dyDescent="0.35">
      <c r="A750" s="53">
        <v>42009</v>
      </c>
      <c r="B750" s="35">
        <v>64.349999999999994</v>
      </c>
      <c r="C750" s="35">
        <v>1065256</v>
      </c>
    </row>
    <row r="751" spans="1:3" x14ac:dyDescent="0.35">
      <c r="A751" s="53">
        <v>42006</v>
      </c>
      <c r="B751" s="35">
        <v>62.85</v>
      </c>
      <c r="C751" s="35">
        <v>855218</v>
      </c>
    </row>
    <row r="752" spans="1:3" x14ac:dyDescent="0.35">
      <c r="A752" s="53">
        <v>42005</v>
      </c>
      <c r="B752" s="35">
        <v>62.35</v>
      </c>
      <c r="C752" s="35">
        <v>399852</v>
      </c>
    </row>
    <row r="753" spans="1:3" x14ac:dyDescent="0.35">
      <c r="A753" s="53">
        <v>42004</v>
      </c>
      <c r="B753" s="35">
        <v>62.35</v>
      </c>
      <c r="C753" s="35">
        <v>2140266</v>
      </c>
    </row>
    <row r="754" spans="1:3" x14ac:dyDescent="0.35">
      <c r="A754" s="53">
        <v>42003</v>
      </c>
      <c r="B754" s="35">
        <v>61.58</v>
      </c>
      <c r="C754" s="35">
        <v>2415558</v>
      </c>
    </row>
    <row r="755" spans="1:3" x14ac:dyDescent="0.35">
      <c r="A755" s="53">
        <v>42002</v>
      </c>
      <c r="B755" s="35">
        <v>61.5</v>
      </c>
      <c r="C755" s="35">
        <v>4063230</v>
      </c>
    </row>
    <row r="756" spans="1:3" x14ac:dyDescent="0.35">
      <c r="A756" s="53">
        <v>41999</v>
      </c>
      <c r="B756" s="35">
        <v>59.43</v>
      </c>
      <c r="C756" s="35">
        <v>1370786</v>
      </c>
    </row>
    <row r="757" spans="1:3" x14ac:dyDescent="0.35">
      <c r="A757" s="53">
        <v>41997</v>
      </c>
      <c r="B757" s="35">
        <v>60.18</v>
      </c>
      <c r="C757" s="35">
        <v>1612694</v>
      </c>
    </row>
    <row r="758" spans="1:3" x14ac:dyDescent="0.35">
      <c r="A758" s="53">
        <v>41996</v>
      </c>
      <c r="B758" s="35">
        <v>60</v>
      </c>
      <c r="C758" s="35">
        <v>2007162</v>
      </c>
    </row>
    <row r="759" spans="1:3" x14ac:dyDescent="0.35">
      <c r="A759" s="53">
        <v>41995</v>
      </c>
      <c r="B759" s="35">
        <v>60.48</v>
      </c>
      <c r="C759" s="35">
        <v>4177756</v>
      </c>
    </row>
    <row r="760" spans="1:3" x14ac:dyDescent="0.35">
      <c r="A760" s="53">
        <v>41992</v>
      </c>
      <c r="B760" s="35">
        <v>56.58</v>
      </c>
      <c r="C760" s="35">
        <v>3370942</v>
      </c>
    </row>
    <row r="761" spans="1:3" x14ac:dyDescent="0.35">
      <c r="A761" s="53">
        <v>41991</v>
      </c>
      <c r="B761" s="35">
        <v>67.150000000000006</v>
      </c>
      <c r="C761" s="35">
        <v>763774</v>
      </c>
    </row>
    <row r="762" spans="1:3" x14ac:dyDescent="0.35">
      <c r="A762" s="53">
        <v>41990</v>
      </c>
      <c r="B762" s="35">
        <v>67.58</v>
      </c>
      <c r="C762" s="35">
        <v>2557376</v>
      </c>
    </row>
    <row r="763" spans="1:3" x14ac:dyDescent="0.35">
      <c r="A763" s="53">
        <v>41989</v>
      </c>
      <c r="B763" s="35">
        <v>69.73</v>
      </c>
      <c r="C763" s="35">
        <v>2285762</v>
      </c>
    </row>
    <row r="764" spans="1:3" x14ac:dyDescent="0.35">
      <c r="A764" s="53">
        <v>41988</v>
      </c>
      <c r="B764" s="35">
        <v>69.53</v>
      </c>
      <c r="C764" s="35">
        <v>2336306</v>
      </c>
    </row>
    <row r="765" spans="1:3" x14ac:dyDescent="0.35">
      <c r="A765" s="53">
        <v>41985</v>
      </c>
      <c r="B765" s="35">
        <v>69.05</v>
      </c>
      <c r="C765" s="35">
        <v>1838688</v>
      </c>
    </row>
    <row r="766" spans="1:3" x14ac:dyDescent="0.35">
      <c r="A766" s="53">
        <v>41984</v>
      </c>
      <c r="B766" s="35">
        <v>69.5</v>
      </c>
      <c r="C766" s="35">
        <v>1572062</v>
      </c>
    </row>
    <row r="767" spans="1:3" x14ac:dyDescent="0.35">
      <c r="A767" s="53">
        <v>41983</v>
      </c>
      <c r="B767" s="35">
        <v>69.180000000000007</v>
      </c>
      <c r="C767" s="35">
        <v>1151468</v>
      </c>
    </row>
    <row r="768" spans="1:3" x14ac:dyDescent="0.35">
      <c r="A768" s="53">
        <v>41982</v>
      </c>
      <c r="B768" s="35">
        <v>71.430000000000007</v>
      </c>
      <c r="C768" s="35">
        <v>1902304</v>
      </c>
    </row>
    <row r="769" spans="1:3" x14ac:dyDescent="0.35">
      <c r="A769" s="53">
        <v>41981</v>
      </c>
      <c r="B769" s="35">
        <v>71.180000000000007</v>
      </c>
      <c r="C769" s="35">
        <v>1335062</v>
      </c>
    </row>
    <row r="770" spans="1:3" x14ac:dyDescent="0.35">
      <c r="A770" s="53">
        <v>41978</v>
      </c>
      <c r="B770" s="35">
        <v>70.5</v>
      </c>
      <c r="C770" s="35">
        <v>1251850</v>
      </c>
    </row>
    <row r="771" spans="1:3" x14ac:dyDescent="0.35">
      <c r="A771" s="53">
        <v>41977</v>
      </c>
      <c r="B771" s="35">
        <v>71.75</v>
      </c>
      <c r="C771" s="35">
        <v>1207118</v>
      </c>
    </row>
    <row r="772" spans="1:3" x14ac:dyDescent="0.35">
      <c r="A772" s="53">
        <v>41976</v>
      </c>
      <c r="B772" s="35">
        <v>72.13</v>
      </c>
      <c r="C772" s="35">
        <v>1057548</v>
      </c>
    </row>
    <row r="773" spans="1:3" x14ac:dyDescent="0.35">
      <c r="A773" s="53">
        <v>41975</v>
      </c>
      <c r="B773" s="35">
        <v>71.2</v>
      </c>
      <c r="C773" s="35">
        <v>862190</v>
      </c>
    </row>
    <row r="774" spans="1:3" x14ac:dyDescent="0.35">
      <c r="A774" s="53">
        <v>41974</v>
      </c>
      <c r="B774" s="35">
        <v>72.45</v>
      </c>
      <c r="C774" s="35">
        <v>4607784</v>
      </c>
    </row>
    <row r="775" spans="1:3" x14ac:dyDescent="0.35">
      <c r="A775" s="53">
        <v>41971</v>
      </c>
      <c r="B775" s="35">
        <v>69.75</v>
      </c>
      <c r="C775" s="35">
        <v>2317490</v>
      </c>
    </row>
    <row r="776" spans="1:3" x14ac:dyDescent="0.35">
      <c r="A776" s="53">
        <v>41970</v>
      </c>
      <c r="B776" s="35">
        <v>66.930000000000007</v>
      </c>
      <c r="C776" s="35">
        <v>2940964</v>
      </c>
    </row>
    <row r="777" spans="1:3" x14ac:dyDescent="0.35">
      <c r="A777" s="53">
        <v>41969</v>
      </c>
      <c r="B777" s="35">
        <v>64.7</v>
      </c>
      <c r="C777" s="35">
        <v>331850</v>
      </c>
    </row>
    <row r="778" spans="1:3" x14ac:dyDescent="0.35">
      <c r="A778" s="53">
        <v>41968</v>
      </c>
      <c r="B778" s="35">
        <v>65.3</v>
      </c>
      <c r="C778" s="35">
        <v>3010726</v>
      </c>
    </row>
    <row r="779" spans="1:3" x14ac:dyDescent="0.35">
      <c r="A779" s="53">
        <v>41967</v>
      </c>
      <c r="B779" s="35">
        <v>66.650000000000006</v>
      </c>
      <c r="C779" s="35">
        <v>968368</v>
      </c>
    </row>
    <row r="780" spans="1:3" x14ac:dyDescent="0.35">
      <c r="A780" s="53">
        <v>41964</v>
      </c>
      <c r="B780" s="35">
        <v>66.849999999999994</v>
      </c>
      <c r="C780" s="35">
        <v>758374</v>
      </c>
    </row>
    <row r="781" spans="1:3" x14ac:dyDescent="0.35">
      <c r="A781" s="53">
        <v>41963</v>
      </c>
      <c r="B781" s="35">
        <v>66.25</v>
      </c>
      <c r="C781" s="35">
        <v>695992</v>
      </c>
    </row>
    <row r="782" spans="1:3" x14ac:dyDescent="0.35">
      <c r="A782" s="53">
        <v>41962</v>
      </c>
      <c r="B782" s="35">
        <v>66.58</v>
      </c>
      <c r="C782" s="35">
        <v>576662</v>
      </c>
    </row>
    <row r="783" spans="1:3" x14ac:dyDescent="0.35">
      <c r="A783" s="53">
        <v>41961</v>
      </c>
      <c r="B783" s="35">
        <v>67.599999999999994</v>
      </c>
      <c r="C783" s="35">
        <v>1908258</v>
      </c>
    </row>
    <row r="784" spans="1:3" x14ac:dyDescent="0.35">
      <c r="A784" s="53">
        <v>41960</v>
      </c>
      <c r="B784" s="35">
        <v>67.78</v>
      </c>
      <c r="C784" s="35">
        <v>725352</v>
      </c>
    </row>
    <row r="785" spans="1:3" x14ac:dyDescent="0.35">
      <c r="A785" s="53">
        <v>41957</v>
      </c>
      <c r="B785" s="35">
        <v>67.650000000000006</v>
      </c>
      <c r="C785" s="35">
        <v>4120128</v>
      </c>
    </row>
    <row r="786" spans="1:3" x14ac:dyDescent="0.35">
      <c r="A786" s="53">
        <v>41956</v>
      </c>
      <c r="B786" s="35">
        <v>66.13</v>
      </c>
      <c r="C786" s="35">
        <v>1053602</v>
      </c>
    </row>
    <row r="787" spans="1:3" x14ac:dyDescent="0.35">
      <c r="A787" s="53">
        <v>41955</v>
      </c>
      <c r="B787" s="35">
        <v>66.63</v>
      </c>
      <c r="C787" s="35">
        <v>1916462</v>
      </c>
    </row>
    <row r="788" spans="1:3" x14ac:dyDescent="0.35">
      <c r="A788" s="53">
        <v>41954</v>
      </c>
      <c r="B788" s="35">
        <v>63.03</v>
      </c>
      <c r="C788" s="35">
        <v>2192502</v>
      </c>
    </row>
    <row r="789" spans="1:3" x14ac:dyDescent="0.35">
      <c r="A789" s="53">
        <v>41953</v>
      </c>
      <c r="B789" s="35">
        <v>62.5</v>
      </c>
      <c r="C789" s="35">
        <v>841688</v>
      </c>
    </row>
    <row r="790" spans="1:3" x14ac:dyDescent="0.35">
      <c r="A790" s="53">
        <v>41950</v>
      </c>
      <c r="B790" s="35">
        <v>62.1</v>
      </c>
      <c r="C790" s="35">
        <v>588952</v>
      </c>
    </row>
    <row r="791" spans="1:3" x14ac:dyDescent="0.35">
      <c r="A791" s="53">
        <v>41948</v>
      </c>
      <c r="B791" s="35">
        <v>62.03</v>
      </c>
      <c r="C791" s="35">
        <v>1382010</v>
      </c>
    </row>
    <row r="792" spans="1:3" x14ac:dyDescent="0.35">
      <c r="A792" s="53">
        <v>41946</v>
      </c>
      <c r="B792" s="35">
        <v>62.73</v>
      </c>
      <c r="C792" s="35">
        <v>295202</v>
      </c>
    </row>
    <row r="793" spans="1:3" x14ac:dyDescent="0.35">
      <c r="A793" s="53">
        <v>41943</v>
      </c>
      <c r="B793" s="35">
        <v>63.7</v>
      </c>
      <c r="C793" s="35">
        <v>376206</v>
      </c>
    </row>
    <row r="794" spans="1:3" x14ac:dyDescent="0.35">
      <c r="A794" s="53">
        <v>41942</v>
      </c>
      <c r="B794" s="35">
        <v>63.83</v>
      </c>
      <c r="C794" s="35">
        <v>1240812</v>
      </c>
    </row>
    <row r="795" spans="1:3" x14ac:dyDescent="0.35">
      <c r="A795" s="53">
        <v>41941</v>
      </c>
      <c r="B795" s="35">
        <v>64.03</v>
      </c>
      <c r="C795" s="35">
        <v>738776</v>
      </c>
    </row>
    <row r="796" spans="1:3" x14ac:dyDescent="0.35">
      <c r="A796" s="53">
        <v>41940</v>
      </c>
      <c r="B796" s="35">
        <v>63.75</v>
      </c>
      <c r="C796" s="35">
        <v>425858</v>
      </c>
    </row>
    <row r="797" spans="1:3" x14ac:dyDescent="0.35">
      <c r="A797" s="53">
        <v>41939</v>
      </c>
      <c r="B797" s="35">
        <v>64.55</v>
      </c>
      <c r="C797" s="35">
        <v>252456</v>
      </c>
    </row>
    <row r="798" spans="1:3" x14ac:dyDescent="0.35">
      <c r="A798" s="53">
        <v>41935</v>
      </c>
      <c r="B798" s="35">
        <v>64.48</v>
      </c>
      <c r="C798" s="35">
        <v>174566</v>
      </c>
    </row>
    <row r="799" spans="1:3" x14ac:dyDescent="0.35">
      <c r="A799" s="53">
        <v>41934</v>
      </c>
      <c r="B799" s="35">
        <v>64.650000000000006</v>
      </c>
      <c r="C799" s="35">
        <v>494286</v>
      </c>
    </row>
    <row r="800" spans="1:3" x14ac:dyDescent="0.35">
      <c r="A800" s="53">
        <v>41933</v>
      </c>
      <c r="B800" s="35">
        <v>64.599999999999994</v>
      </c>
      <c r="C800" s="35">
        <v>1716510</v>
      </c>
    </row>
    <row r="801" spans="1:3" x14ac:dyDescent="0.35">
      <c r="A801" s="53">
        <v>41932</v>
      </c>
      <c r="B801" s="35">
        <v>63.68</v>
      </c>
      <c r="C801" s="35">
        <v>1531234</v>
      </c>
    </row>
    <row r="802" spans="1:3" x14ac:dyDescent="0.35">
      <c r="A802" s="53">
        <v>41929</v>
      </c>
      <c r="B802" s="35">
        <v>61.53</v>
      </c>
      <c r="C802" s="35">
        <v>1295666</v>
      </c>
    </row>
    <row r="803" spans="1:3" x14ac:dyDescent="0.35">
      <c r="A803" s="53">
        <v>41928</v>
      </c>
      <c r="B803" s="35">
        <v>62.05</v>
      </c>
      <c r="C803" s="35">
        <v>1875266</v>
      </c>
    </row>
    <row r="804" spans="1:3" x14ac:dyDescent="0.35">
      <c r="A804" s="53">
        <v>41926</v>
      </c>
      <c r="B804" s="35">
        <v>62.83</v>
      </c>
      <c r="C804" s="35">
        <v>4389748</v>
      </c>
    </row>
    <row r="805" spans="1:3" x14ac:dyDescent="0.35">
      <c r="A805" s="53">
        <v>41925</v>
      </c>
      <c r="B805" s="35">
        <v>62.6</v>
      </c>
      <c r="C805" s="35">
        <v>2667664</v>
      </c>
    </row>
    <row r="806" spans="1:3" x14ac:dyDescent="0.35">
      <c r="A806" s="53">
        <v>41922</v>
      </c>
      <c r="B806" s="35">
        <v>62.2</v>
      </c>
      <c r="C806" s="35">
        <v>2940506</v>
      </c>
    </row>
    <row r="807" spans="1:3" x14ac:dyDescent="0.35">
      <c r="A807" s="53">
        <v>41921</v>
      </c>
      <c r="B807" s="35">
        <v>62.48</v>
      </c>
      <c r="C807" s="35">
        <v>1354630</v>
      </c>
    </row>
    <row r="808" spans="1:3" x14ac:dyDescent="0.35">
      <c r="A808" s="53">
        <v>41920</v>
      </c>
      <c r="B808" s="35">
        <v>61.98</v>
      </c>
      <c r="C808" s="35">
        <v>1727840</v>
      </c>
    </row>
    <row r="809" spans="1:3" x14ac:dyDescent="0.35">
      <c r="A809" s="53">
        <v>41919</v>
      </c>
      <c r="B809" s="35">
        <v>62.4</v>
      </c>
      <c r="C809" s="35">
        <v>3037406</v>
      </c>
    </row>
    <row r="810" spans="1:3" x14ac:dyDescent="0.35">
      <c r="A810" s="53">
        <v>41913</v>
      </c>
      <c r="B810" s="35">
        <v>62.68</v>
      </c>
      <c r="C810" s="35">
        <v>3864388</v>
      </c>
    </row>
    <row r="811" spans="1:3" x14ac:dyDescent="0.35">
      <c r="A811" s="53">
        <v>41912</v>
      </c>
      <c r="B811" s="35">
        <v>62.9</v>
      </c>
      <c r="C811" s="35">
        <v>1303896</v>
      </c>
    </row>
    <row r="812" spans="1:3" x14ac:dyDescent="0.35">
      <c r="A812" s="53">
        <v>41911</v>
      </c>
      <c r="B812" s="35">
        <v>62.78</v>
      </c>
      <c r="C812" s="35">
        <v>1600868</v>
      </c>
    </row>
    <row r="813" spans="1:3" x14ac:dyDescent="0.35">
      <c r="A813" s="53">
        <v>41908</v>
      </c>
      <c r="B813" s="35">
        <v>62.8</v>
      </c>
      <c r="C813" s="35">
        <v>4897524</v>
      </c>
    </row>
    <row r="814" spans="1:3" x14ac:dyDescent="0.35">
      <c r="A814" s="53">
        <v>41907</v>
      </c>
      <c r="B814" s="35">
        <v>62.93</v>
      </c>
      <c r="C814" s="35">
        <v>5245682</v>
      </c>
    </row>
    <row r="815" spans="1:3" x14ac:dyDescent="0.35">
      <c r="A815" s="53">
        <v>41906</v>
      </c>
      <c r="B815" s="35">
        <v>62.53</v>
      </c>
      <c r="C815" s="35">
        <v>2194878</v>
      </c>
    </row>
    <row r="816" spans="1:3" x14ac:dyDescent="0.35">
      <c r="A816" s="53">
        <v>41905</v>
      </c>
      <c r="B816" s="35">
        <v>64.150000000000006</v>
      </c>
      <c r="C816" s="35">
        <v>2098838</v>
      </c>
    </row>
    <row r="817" spans="1:3" x14ac:dyDescent="0.35">
      <c r="A817" s="53">
        <v>41904</v>
      </c>
      <c r="B817" s="35">
        <v>64.8</v>
      </c>
      <c r="C817" s="35">
        <v>1931272</v>
      </c>
    </row>
    <row r="818" spans="1:3" x14ac:dyDescent="0.35">
      <c r="A818" s="53">
        <v>41901</v>
      </c>
      <c r="B818" s="35">
        <v>64.099999999999994</v>
      </c>
      <c r="C818" s="35">
        <v>5478804</v>
      </c>
    </row>
    <row r="819" spans="1:3" x14ac:dyDescent="0.35">
      <c r="A819" s="53">
        <v>41900</v>
      </c>
      <c r="B819" s="35">
        <v>61.68</v>
      </c>
      <c r="C819" s="35">
        <v>1703872</v>
      </c>
    </row>
    <row r="820" spans="1:3" x14ac:dyDescent="0.35">
      <c r="A820" s="53">
        <v>41899</v>
      </c>
      <c r="B820" s="35">
        <v>61.75</v>
      </c>
      <c r="C820" s="35">
        <v>1624546</v>
      </c>
    </row>
    <row r="821" spans="1:3" x14ac:dyDescent="0.35">
      <c r="A821" s="53">
        <v>41898</v>
      </c>
      <c r="B821" s="35">
        <v>61.75</v>
      </c>
      <c r="C821" s="35">
        <v>2689146</v>
      </c>
    </row>
    <row r="822" spans="1:3" x14ac:dyDescent="0.35">
      <c r="A822" s="53">
        <v>41897</v>
      </c>
      <c r="B822" s="35">
        <v>62.58</v>
      </c>
      <c r="C822" s="35">
        <v>1483724</v>
      </c>
    </row>
    <row r="823" spans="1:3" x14ac:dyDescent="0.35">
      <c r="A823" s="53">
        <v>41894</v>
      </c>
      <c r="B823" s="35">
        <v>62.73</v>
      </c>
      <c r="C823" s="35">
        <v>2122198</v>
      </c>
    </row>
    <row r="824" spans="1:3" x14ac:dyDescent="0.35">
      <c r="A824" s="53">
        <v>41893</v>
      </c>
      <c r="B824" s="35">
        <v>64.349999999999994</v>
      </c>
      <c r="C824" s="35">
        <v>1871394</v>
      </c>
    </row>
    <row r="825" spans="1:3" x14ac:dyDescent="0.35">
      <c r="A825" s="53">
        <v>41892</v>
      </c>
      <c r="B825" s="35">
        <v>62.55</v>
      </c>
      <c r="C825" s="35">
        <v>1498060</v>
      </c>
    </row>
    <row r="826" spans="1:3" x14ac:dyDescent="0.35">
      <c r="A826" s="53">
        <v>41891</v>
      </c>
      <c r="B826" s="35">
        <v>62.68</v>
      </c>
      <c r="C826" s="35">
        <v>2105860</v>
      </c>
    </row>
    <row r="827" spans="1:3" x14ac:dyDescent="0.35">
      <c r="A827" s="53">
        <v>41890</v>
      </c>
      <c r="B827" s="35">
        <v>63.35</v>
      </c>
      <c r="C827" s="35">
        <v>2260330</v>
      </c>
    </row>
    <row r="828" spans="1:3" x14ac:dyDescent="0.35">
      <c r="A828" s="53">
        <v>41887</v>
      </c>
      <c r="B828" s="35">
        <v>63.85</v>
      </c>
      <c r="C828" s="35">
        <v>2427918</v>
      </c>
    </row>
    <row r="829" spans="1:3" x14ac:dyDescent="0.35">
      <c r="A829" s="53">
        <v>41886</v>
      </c>
      <c r="B829" s="35">
        <v>63.65</v>
      </c>
      <c r="C829" s="35">
        <v>1834022</v>
      </c>
    </row>
    <row r="830" spans="1:3" x14ac:dyDescent="0.35">
      <c r="A830" s="53">
        <v>41885</v>
      </c>
      <c r="B830" s="35">
        <v>62.5</v>
      </c>
      <c r="C830" s="35">
        <v>3877864</v>
      </c>
    </row>
    <row r="831" spans="1:3" x14ac:dyDescent="0.35">
      <c r="A831" s="53">
        <v>41884</v>
      </c>
      <c r="B831" s="35">
        <v>62.08</v>
      </c>
      <c r="C831" s="35">
        <v>1882988</v>
      </c>
    </row>
    <row r="832" spans="1:3" x14ac:dyDescent="0.35">
      <c r="A832" s="53">
        <v>41883</v>
      </c>
      <c r="B832" s="35">
        <v>62.43</v>
      </c>
      <c r="C832" s="35">
        <v>3006228</v>
      </c>
    </row>
    <row r="833" spans="1:3" x14ac:dyDescent="0.35">
      <c r="A833" s="53">
        <v>41879</v>
      </c>
      <c r="B833" s="35">
        <v>64.53</v>
      </c>
      <c r="C833" s="35">
        <v>2727016</v>
      </c>
    </row>
    <row r="834" spans="1:3" x14ac:dyDescent="0.35">
      <c r="A834" s="53">
        <v>41878</v>
      </c>
      <c r="B834" s="35">
        <v>62.73</v>
      </c>
      <c r="C834" s="35">
        <v>1440278</v>
      </c>
    </row>
    <row r="835" spans="1:3" x14ac:dyDescent="0.35">
      <c r="A835" s="53">
        <v>41877</v>
      </c>
      <c r="B835" s="35">
        <v>63.03</v>
      </c>
      <c r="C835" s="35">
        <v>2258760</v>
      </c>
    </row>
    <row r="836" spans="1:3" x14ac:dyDescent="0.35">
      <c r="A836" s="53">
        <v>41876</v>
      </c>
      <c r="B836" s="35">
        <v>63.93</v>
      </c>
      <c r="C836" s="35">
        <v>1532622</v>
      </c>
    </row>
    <row r="837" spans="1:3" x14ac:dyDescent="0.35">
      <c r="A837" s="53">
        <v>41873</v>
      </c>
      <c r="B837" s="35">
        <v>64.180000000000007</v>
      </c>
      <c r="C837" s="35">
        <v>1885424</v>
      </c>
    </row>
    <row r="838" spans="1:3" x14ac:dyDescent="0.35">
      <c r="A838" s="53">
        <v>41872</v>
      </c>
      <c r="B838" s="35">
        <v>66.38</v>
      </c>
      <c r="C838" s="35">
        <v>1685118</v>
      </c>
    </row>
    <row r="839" spans="1:3" x14ac:dyDescent="0.35">
      <c r="A839" s="53">
        <v>41871</v>
      </c>
      <c r="B839" s="35">
        <v>65.150000000000006</v>
      </c>
      <c r="C839" s="35">
        <v>1853208</v>
      </c>
    </row>
    <row r="840" spans="1:3" x14ac:dyDescent="0.35">
      <c r="A840" s="53">
        <v>41870</v>
      </c>
      <c r="B840" s="35">
        <v>64.33</v>
      </c>
      <c r="C840" s="35">
        <v>1090770</v>
      </c>
    </row>
    <row r="841" spans="1:3" x14ac:dyDescent="0.35">
      <c r="A841" s="53">
        <v>41869</v>
      </c>
      <c r="B841" s="35">
        <v>65.430000000000007</v>
      </c>
      <c r="C841" s="35">
        <v>2979856</v>
      </c>
    </row>
    <row r="842" spans="1:3" x14ac:dyDescent="0.35">
      <c r="A842" s="53">
        <v>41865</v>
      </c>
      <c r="B842" s="35">
        <v>65.75</v>
      </c>
      <c r="C842" s="35">
        <v>1688766</v>
      </c>
    </row>
    <row r="843" spans="1:3" x14ac:dyDescent="0.35">
      <c r="A843" s="53">
        <v>41864</v>
      </c>
      <c r="B843" s="35">
        <v>65.03</v>
      </c>
      <c r="C843" s="35">
        <v>1912890</v>
      </c>
    </row>
    <row r="844" spans="1:3" x14ac:dyDescent="0.35">
      <c r="A844" s="53">
        <v>41863</v>
      </c>
      <c r="B844" s="35">
        <v>67.2</v>
      </c>
      <c r="C844" s="35">
        <v>2069306</v>
      </c>
    </row>
    <row r="845" spans="1:3" x14ac:dyDescent="0.35">
      <c r="A845" s="53">
        <v>41862</v>
      </c>
      <c r="B845" s="35">
        <v>66.930000000000007</v>
      </c>
      <c r="C845" s="35">
        <v>2229324</v>
      </c>
    </row>
    <row r="846" spans="1:3" x14ac:dyDescent="0.35">
      <c r="A846" s="53">
        <v>41859</v>
      </c>
      <c r="B846" s="35">
        <v>66.430000000000007</v>
      </c>
      <c r="C846" s="35">
        <v>2277302</v>
      </c>
    </row>
    <row r="847" spans="1:3" x14ac:dyDescent="0.35">
      <c r="A847" s="53">
        <v>41858</v>
      </c>
      <c r="B847" s="35">
        <v>68.48</v>
      </c>
      <c r="C847" s="35">
        <v>1744796</v>
      </c>
    </row>
    <row r="848" spans="1:3" x14ac:dyDescent="0.35">
      <c r="A848" s="53">
        <v>41857</v>
      </c>
      <c r="B848" s="35">
        <v>68.28</v>
      </c>
      <c r="C848" s="35">
        <v>2100186</v>
      </c>
    </row>
    <row r="849" spans="1:3" x14ac:dyDescent="0.35">
      <c r="A849" s="53">
        <v>41856</v>
      </c>
      <c r="B849" s="35">
        <v>69.400000000000006</v>
      </c>
      <c r="C849" s="35">
        <v>1194330</v>
      </c>
    </row>
    <row r="850" spans="1:3" x14ac:dyDescent="0.35">
      <c r="A850" s="53">
        <v>41855</v>
      </c>
      <c r="B850" s="35">
        <v>69.05</v>
      </c>
      <c r="C850" s="35">
        <v>1403774</v>
      </c>
    </row>
    <row r="851" spans="1:3" x14ac:dyDescent="0.35">
      <c r="A851" s="53">
        <v>41852</v>
      </c>
      <c r="B851" s="35">
        <v>69.180000000000007</v>
      </c>
      <c r="C851" s="35">
        <v>1203764</v>
      </c>
    </row>
    <row r="852" spans="1:3" x14ac:dyDescent="0.35">
      <c r="A852" s="53">
        <v>41851</v>
      </c>
      <c r="B852" s="35">
        <v>69.28</v>
      </c>
      <c r="C852" s="35">
        <v>1721610</v>
      </c>
    </row>
    <row r="853" spans="1:3" x14ac:dyDescent="0.35">
      <c r="A853" s="53">
        <v>41850</v>
      </c>
      <c r="B853" s="35">
        <v>68.78</v>
      </c>
      <c r="C853" s="35">
        <v>3401392</v>
      </c>
    </row>
    <row r="854" spans="1:3" x14ac:dyDescent="0.35">
      <c r="A854" s="53">
        <v>41848</v>
      </c>
      <c r="B854" s="35">
        <v>68.8</v>
      </c>
      <c r="C854" s="35">
        <v>3689606</v>
      </c>
    </row>
    <row r="855" spans="1:3" x14ac:dyDescent="0.35">
      <c r="A855" s="53">
        <v>41845</v>
      </c>
      <c r="B855" s="35">
        <v>69</v>
      </c>
      <c r="C855" s="35">
        <v>1814856</v>
      </c>
    </row>
    <row r="856" spans="1:3" x14ac:dyDescent="0.35">
      <c r="A856" s="53">
        <v>41844</v>
      </c>
      <c r="B856" s="35">
        <v>70.58</v>
      </c>
      <c r="C856" s="35">
        <v>1085070</v>
      </c>
    </row>
    <row r="857" spans="1:3" x14ac:dyDescent="0.35">
      <c r="A857" s="53">
        <v>41843</v>
      </c>
      <c r="B857" s="35">
        <v>71.430000000000007</v>
      </c>
      <c r="C857" s="35">
        <v>2058218</v>
      </c>
    </row>
    <row r="858" spans="1:3" x14ac:dyDescent="0.35">
      <c r="A858" s="53">
        <v>41842</v>
      </c>
      <c r="B858" s="35">
        <v>70.53</v>
      </c>
      <c r="C858" s="35">
        <v>2365852</v>
      </c>
    </row>
    <row r="859" spans="1:3" x14ac:dyDescent="0.35">
      <c r="A859" s="53">
        <v>41841</v>
      </c>
      <c r="B859" s="35">
        <v>69.95</v>
      </c>
      <c r="C859" s="35">
        <v>1150746</v>
      </c>
    </row>
    <row r="860" spans="1:3" x14ac:dyDescent="0.35">
      <c r="A860" s="53">
        <v>41838</v>
      </c>
      <c r="B860" s="35">
        <v>69.180000000000007</v>
      </c>
      <c r="C860" s="35">
        <v>1421580</v>
      </c>
    </row>
    <row r="861" spans="1:3" x14ac:dyDescent="0.35">
      <c r="A861" s="53">
        <v>41837</v>
      </c>
      <c r="B861" s="35">
        <v>70.48</v>
      </c>
      <c r="C861" s="35">
        <v>3890664</v>
      </c>
    </row>
    <row r="862" spans="1:3" x14ac:dyDescent="0.35">
      <c r="A862" s="53">
        <v>41836</v>
      </c>
      <c r="B862" s="35">
        <v>65.2</v>
      </c>
      <c r="C862" s="35">
        <v>2014708</v>
      </c>
    </row>
    <row r="863" spans="1:3" x14ac:dyDescent="0.35">
      <c r="A863" s="53">
        <v>41835</v>
      </c>
      <c r="B863" s="35">
        <v>65.099999999999994</v>
      </c>
      <c r="C863" s="35">
        <v>2027842</v>
      </c>
    </row>
    <row r="864" spans="1:3" x14ac:dyDescent="0.35">
      <c r="A864" s="53">
        <v>41834</v>
      </c>
      <c r="B864" s="35">
        <v>65.2</v>
      </c>
      <c r="C864" s="35">
        <v>1271434</v>
      </c>
    </row>
    <row r="865" spans="1:3" x14ac:dyDescent="0.35">
      <c r="A865" s="53">
        <v>41831</v>
      </c>
      <c r="B865" s="35">
        <v>67.08</v>
      </c>
      <c r="C865" s="35">
        <v>864236</v>
      </c>
    </row>
    <row r="866" spans="1:3" x14ac:dyDescent="0.35">
      <c r="A866" s="53">
        <v>41830</v>
      </c>
      <c r="B866" s="35">
        <v>64.8</v>
      </c>
      <c r="C866" s="35">
        <v>1047970</v>
      </c>
    </row>
    <row r="867" spans="1:3" x14ac:dyDescent="0.35">
      <c r="A867" s="53">
        <v>41829</v>
      </c>
      <c r="B867" s="35">
        <v>64.73</v>
      </c>
      <c r="C867" s="35">
        <v>2109004</v>
      </c>
    </row>
    <row r="868" spans="1:3" x14ac:dyDescent="0.35">
      <c r="A868" s="53">
        <v>41828</v>
      </c>
      <c r="B868" s="35">
        <v>63.08</v>
      </c>
      <c r="C868" s="35">
        <v>4133854</v>
      </c>
    </row>
    <row r="869" spans="1:3" x14ac:dyDescent="0.35">
      <c r="A869" s="53">
        <v>41827</v>
      </c>
      <c r="B869" s="35">
        <v>64.5</v>
      </c>
      <c r="C869" s="35">
        <v>4383756</v>
      </c>
    </row>
    <row r="870" spans="1:3" x14ac:dyDescent="0.35">
      <c r="A870" s="53">
        <v>41824</v>
      </c>
      <c r="B870" s="35">
        <v>63.98</v>
      </c>
      <c r="C870" s="35">
        <v>2956626</v>
      </c>
    </row>
    <row r="871" spans="1:3" x14ac:dyDescent="0.35">
      <c r="A871" s="53">
        <v>41823</v>
      </c>
      <c r="B871" s="35">
        <v>63.48</v>
      </c>
      <c r="C871" s="35">
        <v>3588862</v>
      </c>
    </row>
    <row r="872" spans="1:3" x14ac:dyDescent="0.35">
      <c r="A872" s="53">
        <v>41822</v>
      </c>
      <c r="B872" s="35">
        <v>64.33</v>
      </c>
      <c r="C872" s="35">
        <v>1573182</v>
      </c>
    </row>
    <row r="873" spans="1:3" x14ac:dyDescent="0.35">
      <c r="A873" s="53">
        <v>41821</v>
      </c>
      <c r="B873" s="35">
        <v>64.73</v>
      </c>
      <c r="C873" s="35">
        <v>601320</v>
      </c>
    </row>
    <row r="874" spans="1:3" x14ac:dyDescent="0.35">
      <c r="A874" s="53">
        <v>41820</v>
      </c>
      <c r="B874" s="35">
        <v>64.680000000000007</v>
      </c>
      <c r="C874" s="35">
        <v>1994660</v>
      </c>
    </row>
    <row r="875" spans="1:3" x14ac:dyDescent="0.35">
      <c r="A875" s="53">
        <v>41817</v>
      </c>
      <c r="B875" s="35">
        <v>64.349999999999994</v>
      </c>
      <c r="C875" s="35">
        <v>1200622</v>
      </c>
    </row>
    <row r="876" spans="1:3" x14ac:dyDescent="0.35">
      <c r="A876" s="53">
        <v>41816</v>
      </c>
      <c r="B876" s="35">
        <v>64.38</v>
      </c>
      <c r="C876" s="35">
        <v>2525440</v>
      </c>
    </row>
    <row r="877" spans="1:3" x14ac:dyDescent="0.35">
      <c r="A877" s="53">
        <v>41815</v>
      </c>
      <c r="B877" s="35">
        <v>64.430000000000007</v>
      </c>
      <c r="C877" s="35">
        <v>1684664</v>
      </c>
    </row>
    <row r="878" spans="1:3" x14ac:dyDescent="0.35">
      <c r="A878" s="53">
        <v>41814</v>
      </c>
      <c r="B878" s="35">
        <v>63.6</v>
      </c>
      <c r="C878" s="35">
        <v>666924</v>
      </c>
    </row>
    <row r="879" spans="1:3" x14ac:dyDescent="0.35">
      <c r="A879" s="53">
        <v>41813</v>
      </c>
      <c r="B879" s="35">
        <v>62.68</v>
      </c>
      <c r="C879" s="35">
        <v>2269090</v>
      </c>
    </row>
    <row r="880" spans="1:3" x14ac:dyDescent="0.35">
      <c r="A880" s="53">
        <v>41810</v>
      </c>
      <c r="B880" s="35">
        <v>62.83</v>
      </c>
      <c r="C880" s="35">
        <v>1532734</v>
      </c>
    </row>
    <row r="881" spans="1:3" x14ac:dyDescent="0.35">
      <c r="A881" s="53">
        <v>41809</v>
      </c>
      <c r="B881" s="35">
        <v>65.08</v>
      </c>
      <c r="C881" s="35">
        <v>802832</v>
      </c>
    </row>
    <row r="882" spans="1:3" x14ac:dyDescent="0.35">
      <c r="A882" s="53">
        <v>41808</v>
      </c>
      <c r="B882" s="35">
        <v>66.349999999999994</v>
      </c>
      <c r="C882" s="35">
        <v>642628</v>
      </c>
    </row>
    <row r="883" spans="1:3" x14ac:dyDescent="0.35">
      <c r="A883" s="53">
        <v>41807</v>
      </c>
      <c r="B883" s="35">
        <v>66.599999999999994</v>
      </c>
      <c r="C883" s="35">
        <v>567326</v>
      </c>
    </row>
    <row r="884" spans="1:3" x14ac:dyDescent="0.35">
      <c r="A884" s="53">
        <v>41806</v>
      </c>
      <c r="B884" s="35">
        <v>67.28</v>
      </c>
      <c r="C884" s="35">
        <v>1189058</v>
      </c>
    </row>
    <row r="885" spans="1:3" x14ac:dyDescent="0.35">
      <c r="A885" s="53">
        <v>41803</v>
      </c>
      <c r="B885" s="35">
        <v>67.78</v>
      </c>
      <c r="C885" s="35">
        <v>390604</v>
      </c>
    </row>
    <row r="886" spans="1:3" x14ac:dyDescent="0.35">
      <c r="A886" s="53">
        <v>41802</v>
      </c>
      <c r="B886" s="35">
        <v>67.900000000000006</v>
      </c>
      <c r="C886" s="35">
        <v>2151134</v>
      </c>
    </row>
    <row r="887" spans="1:3" x14ac:dyDescent="0.35">
      <c r="A887" s="53">
        <v>41801</v>
      </c>
      <c r="B887" s="35">
        <v>67.95</v>
      </c>
      <c r="C887" s="35">
        <v>3138822</v>
      </c>
    </row>
    <row r="888" spans="1:3" x14ac:dyDescent="0.35">
      <c r="A888" s="53">
        <v>41800</v>
      </c>
      <c r="B888" s="35">
        <v>66.900000000000006</v>
      </c>
      <c r="C888" s="35">
        <v>1037830</v>
      </c>
    </row>
    <row r="889" spans="1:3" x14ac:dyDescent="0.35">
      <c r="A889" s="53">
        <v>41799</v>
      </c>
      <c r="B889" s="35">
        <v>66.430000000000007</v>
      </c>
      <c r="C889" s="35">
        <v>3010036</v>
      </c>
    </row>
    <row r="890" spans="1:3" x14ac:dyDescent="0.35">
      <c r="A890" s="53">
        <v>41796</v>
      </c>
      <c r="B890" s="35">
        <v>64.13</v>
      </c>
      <c r="C890" s="35">
        <v>2495772</v>
      </c>
    </row>
    <row r="891" spans="1:3" x14ac:dyDescent="0.35">
      <c r="A891" s="53">
        <v>41795</v>
      </c>
      <c r="B891" s="35">
        <v>64.349999999999994</v>
      </c>
      <c r="C891" s="35">
        <v>925008</v>
      </c>
    </row>
    <row r="892" spans="1:3" x14ac:dyDescent="0.35">
      <c r="A892" s="53">
        <v>41794</v>
      </c>
      <c r="B892" s="35">
        <v>64.680000000000007</v>
      </c>
      <c r="C892" s="35">
        <v>1178360</v>
      </c>
    </row>
    <row r="893" spans="1:3" x14ac:dyDescent="0.35">
      <c r="A893" s="53">
        <v>41793</v>
      </c>
      <c r="B893" s="35">
        <v>64.95</v>
      </c>
      <c r="C893" s="35">
        <v>1366842</v>
      </c>
    </row>
    <row r="894" spans="1:3" x14ac:dyDescent="0.35">
      <c r="A894" s="53">
        <v>41792</v>
      </c>
      <c r="B894" s="35">
        <v>64.48</v>
      </c>
      <c r="C894" s="35">
        <v>1014020</v>
      </c>
    </row>
    <row r="895" spans="1:3" x14ac:dyDescent="0.35">
      <c r="A895" s="53">
        <v>41789</v>
      </c>
      <c r="B895" s="35">
        <v>62.88</v>
      </c>
      <c r="C895" s="35">
        <v>2050126</v>
      </c>
    </row>
    <row r="896" spans="1:3" x14ac:dyDescent="0.35">
      <c r="A896" s="53">
        <v>41788</v>
      </c>
      <c r="B896" s="35">
        <v>60.53</v>
      </c>
      <c r="C896" s="35">
        <v>1628402</v>
      </c>
    </row>
    <row r="897" spans="1:3" x14ac:dyDescent="0.35">
      <c r="A897" s="53">
        <v>41787</v>
      </c>
      <c r="B897" s="35">
        <v>59.43</v>
      </c>
      <c r="C897" s="35">
        <v>3251990</v>
      </c>
    </row>
    <row r="898" spans="1:3" x14ac:dyDescent="0.35">
      <c r="A898" s="53">
        <v>41786</v>
      </c>
      <c r="B898" s="35">
        <v>60.78</v>
      </c>
      <c r="C898" s="35">
        <v>1625702</v>
      </c>
    </row>
    <row r="899" spans="1:3" x14ac:dyDescent="0.35">
      <c r="A899" s="53">
        <v>41785</v>
      </c>
      <c r="B899" s="35">
        <v>60.88</v>
      </c>
      <c r="C899" s="35">
        <v>1682514</v>
      </c>
    </row>
    <row r="900" spans="1:3" x14ac:dyDescent="0.35">
      <c r="A900" s="53">
        <v>41782</v>
      </c>
      <c r="B900" s="35">
        <v>60.08</v>
      </c>
      <c r="C900" s="35">
        <v>2519996</v>
      </c>
    </row>
    <row r="901" spans="1:3" x14ac:dyDescent="0.35">
      <c r="A901" s="53">
        <v>41781</v>
      </c>
      <c r="B901" s="35">
        <v>57.2</v>
      </c>
      <c r="C901" s="35">
        <v>2087126</v>
      </c>
    </row>
    <row r="902" spans="1:3" x14ac:dyDescent="0.35">
      <c r="A902" s="53">
        <v>41780</v>
      </c>
      <c r="B902" s="35">
        <v>55.48</v>
      </c>
      <c r="C902" s="35">
        <v>1163990</v>
      </c>
    </row>
    <row r="903" spans="1:3" x14ac:dyDescent="0.35">
      <c r="A903" s="53">
        <v>41779</v>
      </c>
      <c r="B903" s="35">
        <v>55.45</v>
      </c>
      <c r="C903" s="35">
        <v>972872</v>
      </c>
    </row>
    <row r="904" spans="1:3" x14ac:dyDescent="0.35">
      <c r="A904" s="53">
        <v>41778</v>
      </c>
      <c r="B904" s="35">
        <v>54.63</v>
      </c>
      <c r="C904" s="35">
        <v>1770310</v>
      </c>
    </row>
    <row r="905" spans="1:3" x14ac:dyDescent="0.35">
      <c r="A905" s="53">
        <v>41775</v>
      </c>
      <c r="B905" s="35">
        <v>54.25</v>
      </c>
      <c r="C905" s="35">
        <v>1664766</v>
      </c>
    </row>
    <row r="906" spans="1:3" x14ac:dyDescent="0.35">
      <c r="A906" s="53">
        <v>41774</v>
      </c>
      <c r="B906" s="35">
        <v>54.45</v>
      </c>
      <c r="C906" s="35">
        <v>2007348</v>
      </c>
    </row>
    <row r="907" spans="1:3" x14ac:dyDescent="0.35">
      <c r="A907" s="53">
        <v>41773</v>
      </c>
      <c r="B907" s="35">
        <v>53</v>
      </c>
      <c r="C907" s="35">
        <v>1821880</v>
      </c>
    </row>
    <row r="908" spans="1:3" x14ac:dyDescent="0.35">
      <c r="A908" s="53">
        <v>41772</v>
      </c>
      <c r="B908" s="35">
        <v>51.3</v>
      </c>
      <c r="C908" s="35">
        <v>1639322</v>
      </c>
    </row>
    <row r="909" spans="1:3" x14ac:dyDescent="0.35">
      <c r="A909" s="53">
        <v>41771</v>
      </c>
      <c r="B909" s="35">
        <v>49.45</v>
      </c>
      <c r="C909" s="35">
        <v>1934988</v>
      </c>
    </row>
    <row r="910" spans="1:3" x14ac:dyDescent="0.35">
      <c r="A910" s="53">
        <v>41768</v>
      </c>
      <c r="B910" s="35">
        <v>48.53</v>
      </c>
      <c r="C910" s="35">
        <v>892480</v>
      </c>
    </row>
    <row r="911" spans="1:3" x14ac:dyDescent="0.35">
      <c r="A911" s="53">
        <v>41767</v>
      </c>
      <c r="B911" s="35">
        <v>49.4</v>
      </c>
      <c r="C911" s="35">
        <v>1141456</v>
      </c>
    </row>
    <row r="912" spans="1:3" x14ac:dyDescent="0.35">
      <c r="A912" s="53">
        <v>41766</v>
      </c>
      <c r="B912" s="35">
        <v>49.43</v>
      </c>
      <c r="C912" s="35">
        <v>868804</v>
      </c>
    </row>
    <row r="913" spans="1:3" x14ac:dyDescent="0.35">
      <c r="A913" s="53">
        <v>41765</v>
      </c>
      <c r="B913" s="35">
        <v>49.5</v>
      </c>
      <c r="C913" s="35">
        <v>1107386</v>
      </c>
    </row>
    <row r="914" spans="1:3" x14ac:dyDescent="0.35">
      <c r="A914" s="53">
        <v>41764</v>
      </c>
      <c r="B914" s="35">
        <v>49.38</v>
      </c>
      <c r="C914" s="35">
        <v>2323328</v>
      </c>
    </row>
    <row r="915" spans="1:3" x14ac:dyDescent="0.35">
      <c r="A915" s="53">
        <v>41761</v>
      </c>
      <c r="B915" s="35">
        <v>49.65</v>
      </c>
      <c r="C915" s="35">
        <v>1461518</v>
      </c>
    </row>
    <row r="916" spans="1:3" x14ac:dyDescent="0.35">
      <c r="A916" s="53">
        <v>41759</v>
      </c>
      <c r="B916" s="35">
        <v>49.2</v>
      </c>
      <c r="C916" s="35">
        <v>3423866</v>
      </c>
    </row>
    <row r="917" spans="1:3" x14ac:dyDescent="0.35">
      <c r="A917" s="53">
        <v>41758</v>
      </c>
      <c r="B917" s="35">
        <v>49.03</v>
      </c>
      <c r="C917" s="35">
        <v>1266536</v>
      </c>
    </row>
    <row r="918" spans="1:3" x14ac:dyDescent="0.35">
      <c r="A918" s="53">
        <v>41757</v>
      </c>
      <c r="B918" s="35">
        <v>48.93</v>
      </c>
      <c r="C918" s="35">
        <v>1290950</v>
      </c>
    </row>
    <row r="919" spans="1:3" x14ac:dyDescent="0.35">
      <c r="A919" s="53">
        <v>41754</v>
      </c>
      <c r="B919" s="35">
        <v>49.23</v>
      </c>
      <c r="C919" s="35">
        <v>925786</v>
      </c>
    </row>
    <row r="920" spans="1:3" x14ac:dyDescent="0.35">
      <c r="A920" s="53">
        <v>41752</v>
      </c>
      <c r="B920" s="35">
        <v>48.85</v>
      </c>
      <c r="C920" s="35">
        <v>691618</v>
      </c>
    </row>
    <row r="921" spans="1:3" x14ac:dyDescent="0.35">
      <c r="A921" s="53">
        <v>41751</v>
      </c>
      <c r="B921" s="35">
        <v>49.23</v>
      </c>
      <c r="C921" s="35">
        <v>1127006</v>
      </c>
    </row>
    <row r="922" spans="1:3" x14ac:dyDescent="0.35">
      <c r="A922" s="53">
        <v>41750</v>
      </c>
      <c r="B922" s="35">
        <v>48.93</v>
      </c>
      <c r="C922" s="35">
        <v>1743790</v>
      </c>
    </row>
    <row r="923" spans="1:3" x14ac:dyDescent="0.35">
      <c r="A923" s="53">
        <v>41746</v>
      </c>
      <c r="B923" s="35">
        <v>48.95</v>
      </c>
      <c r="C923" s="35">
        <v>720292</v>
      </c>
    </row>
    <row r="924" spans="1:3" x14ac:dyDescent="0.35">
      <c r="A924" s="53">
        <v>41745</v>
      </c>
      <c r="B924" s="35">
        <v>48.98</v>
      </c>
      <c r="C924" s="35">
        <v>673112</v>
      </c>
    </row>
    <row r="925" spans="1:3" x14ac:dyDescent="0.35">
      <c r="A925" s="53">
        <v>41744</v>
      </c>
      <c r="B925" s="35">
        <v>49.13</v>
      </c>
      <c r="C925" s="35">
        <v>353930</v>
      </c>
    </row>
    <row r="926" spans="1:3" x14ac:dyDescent="0.35">
      <c r="A926" s="53">
        <v>41740</v>
      </c>
      <c r="B926" s="35">
        <v>48.98</v>
      </c>
      <c r="C926" s="35">
        <v>546360</v>
      </c>
    </row>
    <row r="927" spans="1:3" x14ac:dyDescent="0.35">
      <c r="A927" s="53">
        <v>41739</v>
      </c>
      <c r="B927" s="35">
        <v>49.58</v>
      </c>
      <c r="C927" s="35">
        <v>640614</v>
      </c>
    </row>
    <row r="928" spans="1:3" x14ac:dyDescent="0.35">
      <c r="A928" s="53">
        <v>41738</v>
      </c>
      <c r="B928" s="35">
        <v>50</v>
      </c>
      <c r="C928" s="35">
        <v>959712</v>
      </c>
    </row>
    <row r="929" spans="1:3" x14ac:dyDescent="0.35">
      <c r="A929" s="53">
        <v>41736</v>
      </c>
      <c r="B929" s="35">
        <v>49</v>
      </c>
      <c r="C929" s="35">
        <v>531442</v>
      </c>
    </row>
    <row r="930" spans="1:3" x14ac:dyDescent="0.35">
      <c r="A930" s="53">
        <v>41733</v>
      </c>
      <c r="B930" s="35">
        <v>48.6</v>
      </c>
      <c r="C930" s="35">
        <v>607468</v>
      </c>
    </row>
    <row r="931" spans="1:3" x14ac:dyDescent="0.35">
      <c r="A931" s="53">
        <v>41732</v>
      </c>
      <c r="B931" s="35">
        <v>48.98</v>
      </c>
      <c r="C931" s="35">
        <v>802020</v>
      </c>
    </row>
    <row r="932" spans="1:3" x14ac:dyDescent="0.35">
      <c r="A932" s="53">
        <v>41731</v>
      </c>
      <c r="B932" s="35">
        <v>50.05</v>
      </c>
      <c r="C932" s="35">
        <v>1196298</v>
      </c>
    </row>
    <row r="933" spans="1:3" x14ac:dyDescent="0.35">
      <c r="A933" s="53">
        <v>41730</v>
      </c>
      <c r="B933" s="35">
        <v>48.05</v>
      </c>
      <c r="C933" s="35">
        <v>1074152</v>
      </c>
    </row>
    <row r="934" spans="1:3" x14ac:dyDescent="0.35">
      <c r="A934" s="53">
        <v>41729</v>
      </c>
      <c r="B934" s="35">
        <v>49.88</v>
      </c>
      <c r="C934" s="35">
        <v>1963796</v>
      </c>
    </row>
    <row r="935" spans="1:3" x14ac:dyDescent="0.35">
      <c r="A935" s="53">
        <v>41726</v>
      </c>
      <c r="B935" s="35">
        <v>46.8</v>
      </c>
      <c r="C935" s="35">
        <v>1986200</v>
      </c>
    </row>
    <row r="936" spans="1:3" x14ac:dyDescent="0.35">
      <c r="A936" s="53">
        <v>41725</v>
      </c>
      <c r="B936" s="35">
        <v>45.8</v>
      </c>
      <c r="C936" s="35">
        <v>1428448</v>
      </c>
    </row>
    <row r="937" spans="1:3" x14ac:dyDescent="0.35">
      <c r="A937" s="53">
        <v>41724</v>
      </c>
      <c r="B937" s="35">
        <v>47.25</v>
      </c>
      <c r="C937" s="35">
        <v>1597288</v>
      </c>
    </row>
    <row r="938" spans="1:3" x14ac:dyDescent="0.35">
      <c r="A938" s="53">
        <v>41723</v>
      </c>
      <c r="B938" s="35">
        <v>47.03</v>
      </c>
      <c r="C938" s="35">
        <v>1080712</v>
      </c>
    </row>
    <row r="939" spans="1:3" x14ac:dyDescent="0.35">
      <c r="A939" s="53">
        <v>41722</v>
      </c>
      <c r="B939" s="35">
        <v>46.38</v>
      </c>
      <c r="C939" s="35">
        <v>317804</v>
      </c>
    </row>
    <row r="940" spans="1:3" x14ac:dyDescent="0.35">
      <c r="A940" s="53">
        <v>41720</v>
      </c>
      <c r="B940" s="35">
        <v>46.68</v>
      </c>
      <c r="C940" s="35">
        <v>232906</v>
      </c>
    </row>
    <row r="941" spans="1:3" x14ac:dyDescent="0.35">
      <c r="A941" s="53">
        <v>41719</v>
      </c>
      <c r="B941" s="35">
        <v>46.48</v>
      </c>
      <c r="C941" s="35">
        <v>847392</v>
      </c>
    </row>
    <row r="942" spans="1:3" x14ac:dyDescent="0.35">
      <c r="A942" s="53">
        <v>41718</v>
      </c>
      <c r="B942" s="35">
        <v>45.73</v>
      </c>
      <c r="C942" s="35">
        <v>376234</v>
      </c>
    </row>
    <row r="943" spans="1:3" x14ac:dyDescent="0.35">
      <c r="A943" s="53">
        <v>41717</v>
      </c>
      <c r="B943" s="35">
        <v>46.25</v>
      </c>
      <c r="C943" s="35">
        <v>557564</v>
      </c>
    </row>
    <row r="944" spans="1:3" x14ac:dyDescent="0.35">
      <c r="A944" s="53">
        <v>41716</v>
      </c>
      <c r="B944" s="35">
        <v>47.05</v>
      </c>
      <c r="C944" s="35">
        <v>395144</v>
      </c>
    </row>
    <row r="945" spans="1:3" x14ac:dyDescent="0.35">
      <c r="A945" s="53">
        <v>41712</v>
      </c>
      <c r="B945" s="35">
        <v>45.93</v>
      </c>
      <c r="C945" s="35">
        <v>855302</v>
      </c>
    </row>
    <row r="946" spans="1:3" x14ac:dyDescent="0.35">
      <c r="A946" s="53">
        <v>41711</v>
      </c>
      <c r="B946" s="35">
        <v>45.33</v>
      </c>
      <c r="C946" s="35">
        <v>311322</v>
      </c>
    </row>
    <row r="947" spans="1:3" x14ac:dyDescent="0.35">
      <c r="A947" s="53">
        <v>41710</v>
      </c>
      <c r="B947" s="35">
        <v>46.25</v>
      </c>
      <c r="C947" s="35">
        <v>427286</v>
      </c>
    </row>
    <row r="948" spans="1:3" x14ac:dyDescent="0.35">
      <c r="A948" s="53">
        <v>41709</v>
      </c>
      <c r="B948" s="35">
        <v>46.05</v>
      </c>
      <c r="C948" s="35">
        <v>355756</v>
      </c>
    </row>
    <row r="949" spans="1:3" x14ac:dyDescent="0.35">
      <c r="A949" s="53">
        <v>41708</v>
      </c>
      <c r="B949" s="35">
        <v>46.58</v>
      </c>
      <c r="C949" s="35">
        <v>318116</v>
      </c>
    </row>
    <row r="950" spans="1:3" x14ac:dyDescent="0.35">
      <c r="A950" s="53">
        <v>41705</v>
      </c>
      <c r="B950" s="35">
        <v>47.45</v>
      </c>
      <c r="C950" s="35">
        <v>1846856</v>
      </c>
    </row>
    <row r="951" spans="1:3" x14ac:dyDescent="0.35">
      <c r="A951" s="53">
        <v>41704</v>
      </c>
      <c r="B951" s="35">
        <v>47.23</v>
      </c>
      <c r="C951" s="35">
        <v>491382</v>
      </c>
    </row>
    <row r="952" spans="1:3" x14ac:dyDescent="0.35">
      <c r="A952" s="53">
        <v>41703</v>
      </c>
      <c r="B952" s="35">
        <v>47.45</v>
      </c>
      <c r="C952" s="35">
        <v>357168</v>
      </c>
    </row>
    <row r="953" spans="1:3" x14ac:dyDescent="0.35">
      <c r="A953" s="53">
        <v>41702</v>
      </c>
      <c r="B953" s="35">
        <v>47.48</v>
      </c>
      <c r="C953" s="35">
        <v>948558</v>
      </c>
    </row>
    <row r="954" spans="1:3" x14ac:dyDescent="0.35">
      <c r="A954" s="53">
        <v>41701</v>
      </c>
      <c r="B954" s="35">
        <v>46.9</v>
      </c>
      <c r="C954" s="35">
        <v>829356</v>
      </c>
    </row>
    <row r="955" spans="1:3" x14ac:dyDescent="0.35">
      <c r="A955" s="53">
        <v>41698</v>
      </c>
      <c r="B955" s="35">
        <v>46.65</v>
      </c>
      <c r="C955" s="35">
        <v>552144</v>
      </c>
    </row>
    <row r="956" spans="1:3" x14ac:dyDescent="0.35">
      <c r="A956" s="53">
        <v>41696</v>
      </c>
      <c r="B956" s="35">
        <v>46.83</v>
      </c>
      <c r="C956" s="35">
        <v>1539944</v>
      </c>
    </row>
    <row r="957" spans="1:3" x14ac:dyDescent="0.35">
      <c r="A957" s="53">
        <v>41695</v>
      </c>
      <c r="B957" s="35">
        <v>45.9</v>
      </c>
      <c r="C957" s="35">
        <v>348028</v>
      </c>
    </row>
    <row r="958" spans="1:3" x14ac:dyDescent="0.35">
      <c r="A958" s="53">
        <v>41694</v>
      </c>
      <c r="B958" s="35">
        <v>45.5</v>
      </c>
      <c r="C958" s="35">
        <v>302868</v>
      </c>
    </row>
    <row r="959" spans="1:3" x14ac:dyDescent="0.35">
      <c r="A959" s="53">
        <v>41691</v>
      </c>
      <c r="B959" s="35">
        <v>45.03</v>
      </c>
      <c r="C959" s="35">
        <v>563880</v>
      </c>
    </row>
    <row r="960" spans="1:3" x14ac:dyDescent="0.35">
      <c r="A960" s="53">
        <v>41690</v>
      </c>
      <c r="B960" s="35">
        <v>44.95</v>
      </c>
      <c r="C960" s="35">
        <v>1283534</v>
      </c>
    </row>
    <row r="961" spans="1:3" x14ac:dyDescent="0.35">
      <c r="A961" s="53">
        <v>41689</v>
      </c>
      <c r="B961" s="35">
        <v>44.53</v>
      </c>
      <c r="C961" s="35">
        <v>388444</v>
      </c>
    </row>
    <row r="962" spans="1:3" x14ac:dyDescent="0.35">
      <c r="A962" s="53">
        <v>41688</v>
      </c>
      <c r="B962" s="35">
        <v>44.8</v>
      </c>
      <c r="C962" s="35">
        <v>500938</v>
      </c>
    </row>
    <row r="963" spans="1:3" x14ac:dyDescent="0.35">
      <c r="A963" s="53">
        <v>41687</v>
      </c>
      <c r="B963" s="35">
        <v>44.3</v>
      </c>
      <c r="C963" s="35">
        <v>797932</v>
      </c>
    </row>
    <row r="964" spans="1:3" x14ac:dyDescent="0.35">
      <c r="A964" s="53">
        <v>41684</v>
      </c>
      <c r="B964" s="35">
        <v>43.8</v>
      </c>
      <c r="C964" s="35">
        <v>572636</v>
      </c>
    </row>
    <row r="965" spans="1:3" x14ac:dyDescent="0.35">
      <c r="A965" s="53">
        <v>41683</v>
      </c>
      <c r="B965" s="35">
        <v>43.93</v>
      </c>
      <c r="C965" s="35">
        <v>611392</v>
      </c>
    </row>
    <row r="966" spans="1:3" x14ac:dyDescent="0.35">
      <c r="A966" s="53">
        <v>41682</v>
      </c>
      <c r="B966" s="35">
        <v>43.3</v>
      </c>
      <c r="C966" s="35">
        <v>66756</v>
      </c>
    </row>
    <row r="967" spans="1:3" x14ac:dyDescent="0.35">
      <c r="A967" s="53">
        <v>41681</v>
      </c>
      <c r="B967" s="35">
        <v>43.4</v>
      </c>
      <c r="C967" s="35">
        <v>114590</v>
      </c>
    </row>
    <row r="968" spans="1:3" x14ac:dyDescent="0.35">
      <c r="A968" s="53">
        <v>41680</v>
      </c>
      <c r="B968" s="35">
        <v>43.93</v>
      </c>
      <c r="C968" s="35">
        <v>252292</v>
      </c>
    </row>
    <row r="969" spans="1:3" x14ac:dyDescent="0.35">
      <c r="A969" s="53">
        <v>41677</v>
      </c>
      <c r="B969" s="35">
        <v>44.35</v>
      </c>
      <c r="C969" s="35">
        <v>1086284</v>
      </c>
    </row>
    <row r="970" spans="1:3" x14ac:dyDescent="0.35">
      <c r="A970" s="53">
        <v>41676</v>
      </c>
      <c r="B970" s="35">
        <v>43.78</v>
      </c>
      <c r="C970" s="35">
        <v>1332716</v>
      </c>
    </row>
    <row r="971" spans="1:3" x14ac:dyDescent="0.35">
      <c r="A971" s="53">
        <v>41675</v>
      </c>
      <c r="B971" s="35">
        <v>43.68</v>
      </c>
      <c r="C971" s="35">
        <v>214816</v>
      </c>
    </row>
    <row r="972" spans="1:3" x14ac:dyDescent="0.35">
      <c r="A972" s="53">
        <v>41674</v>
      </c>
      <c r="B972" s="35">
        <v>44.38</v>
      </c>
      <c r="C972" s="35">
        <v>551484</v>
      </c>
    </row>
    <row r="973" spans="1:3" x14ac:dyDescent="0.35">
      <c r="A973" s="53">
        <v>41673</v>
      </c>
      <c r="B973" s="35">
        <v>44.18</v>
      </c>
      <c r="C973" s="35">
        <v>464128</v>
      </c>
    </row>
    <row r="974" spans="1:3" x14ac:dyDescent="0.35">
      <c r="A974" s="53">
        <v>41670</v>
      </c>
      <c r="B974" s="35">
        <v>44.2</v>
      </c>
      <c r="C974" s="35">
        <v>578230</v>
      </c>
    </row>
    <row r="975" spans="1:3" x14ac:dyDescent="0.35">
      <c r="A975" s="53">
        <v>41669</v>
      </c>
      <c r="B975" s="35">
        <v>44.55</v>
      </c>
      <c r="C975" s="35">
        <v>1006732</v>
      </c>
    </row>
    <row r="976" spans="1:3" x14ac:dyDescent="0.35">
      <c r="A976" s="53">
        <v>41668</v>
      </c>
      <c r="B976" s="35">
        <v>44.73</v>
      </c>
      <c r="C976" s="35">
        <v>684110</v>
      </c>
    </row>
    <row r="977" spans="1:3" x14ac:dyDescent="0.35">
      <c r="A977" s="53">
        <v>41667</v>
      </c>
      <c r="B977" s="35">
        <v>45.2</v>
      </c>
      <c r="C977" s="35">
        <v>713612</v>
      </c>
    </row>
    <row r="978" spans="1:3" x14ac:dyDescent="0.35">
      <c r="A978" s="53">
        <v>41666</v>
      </c>
      <c r="B978" s="35">
        <v>44.33</v>
      </c>
      <c r="C978" s="35">
        <v>613050</v>
      </c>
    </row>
    <row r="979" spans="1:3" x14ac:dyDescent="0.35">
      <c r="A979" s="53">
        <v>41663</v>
      </c>
      <c r="B979" s="35">
        <v>46.48</v>
      </c>
      <c r="C979" s="35">
        <v>2045370</v>
      </c>
    </row>
    <row r="980" spans="1:3" x14ac:dyDescent="0.35">
      <c r="A980" s="53">
        <v>41662</v>
      </c>
      <c r="B980" s="35">
        <v>46.23</v>
      </c>
      <c r="C980" s="35">
        <v>288876</v>
      </c>
    </row>
    <row r="981" spans="1:3" x14ac:dyDescent="0.35">
      <c r="A981" s="53">
        <v>41661</v>
      </c>
      <c r="B981" s="35">
        <v>45.98</v>
      </c>
      <c r="C981" s="35">
        <v>1063198</v>
      </c>
    </row>
    <row r="982" spans="1:3" x14ac:dyDescent="0.35">
      <c r="A982" s="53">
        <v>41660</v>
      </c>
      <c r="B982" s="35">
        <v>45.6</v>
      </c>
      <c r="C982" s="35">
        <v>583668</v>
      </c>
    </row>
    <row r="983" spans="1:3" x14ac:dyDescent="0.35">
      <c r="A983" s="53">
        <v>41659</v>
      </c>
      <c r="B983" s="35">
        <v>45.78</v>
      </c>
      <c r="C983" s="35">
        <v>889376</v>
      </c>
    </row>
    <row r="984" spans="1:3" x14ac:dyDescent="0.35">
      <c r="A984" s="53">
        <v>41656</v>
      </c>
      <c r="B984" s="35">
        <v>45.48</v>
      </c>
      <c r="C984" s="35">
        <v>376706</v>
      </c>
    </row>
    <row r="985" spans="1:3" x14ac:dyDescent="0.35">
      <c r="A985" s="53">
        <v>41655</v>
      </c>
      <c r="B985" s="35">
        <v>46.43</v>
      </c>
      <c r="C985" s="35">
        <v>389044</v>
      </c>
    </row>
    <row r="986" spans="1:3" x14ac:dyDescent="0.35">
      <c r="A986" s="53">
        <v>41654</v>
      </c>
      <c r="B986" s="35">
        <v>46.75</v>
      </c>
      <c r="C986" s="35">
        <v>1854150</v>
      </c>
    </row>
    <row r="987" spans="1:3" x14ac:dyDescent="0.35">
      <c r="A987" s="53">
        <v>41653</v>
      </c>
      <c r="B987" s="35">
        <v>46.58</v>
      </c>
      <c r="C987" s="35">
        <v>920864</v>
      </c>
    </row>
    <row r="988" spans="1:3" x14ac:dyDescent="0.35">
      <c r="A988" s="53">
        <v>41652</v>
      </c>
      <c r="B988" s="35">
        <v>45.95</v>
      </c>
      <c r="C988" s="35">
        <v>1201206</v>
      </c>
    </row>
    <row r="989" spans="1:3" x14ac:dyDescent="0.35">
      <c r="A989" s="53">
        <v>41649</v>
      </c>
      <c r="B989" s="35">
        <v>44.65</v>
      </c>
      <c r="C989" s="35">
        <v>1970236</v>
      </c>
    </row>
    <row r="990" spans="1:3" x14ac:dyDescent="0.35">
      <c r="A990" s="53">
        <v>41648</v>
      </c>
      <c r="B990" s="35">
        <v>44.65</v>
      </c>
      <c r="C990" s="35">
        <v>1436808</v>
      </c>
    </row>
    <row r="991" spans="1:3" x14ac:dyDescent="0.35">
      <c r="A991" s="53">
        <v>41647</v>
      </c>
      <c r="B991" s="35">
        <v>43.3</v>
      </c>
      <c r="C991" s="35">
        <v>804622</v>
      </c>
    </row>
    <row r="992" spans="1:3" x14ac:dyDescent="0.35">
      <c r="A992" s="53">
        <v>41646</v>
      </c>
      <c r="B992" s="35">
        <v>42.33</v>
      </c>
      <c r="C992" s="35">
        <v>554498</v>
      </c>
    </row>
    <row r="993" spans="1:3" x14ac:dyDescent="0.35">
      <c r="A993" s="53">
        <v>41645</v>
      </c>
      <c r="B993" s="35">
        <v>41.93</v>
      </c>
      <c r="C993" s="35">
        <v>310284</v>
      </c>
    </row>
    <row r="994" spans="1:3" x14ac:dyDescent="0.35">
      <c r="A994" s="53">
        <v>41642</v>
      </c>
      <c r="B994" s="35">
        <v>41.25</v>
      </c>
      <c r="C994" s="35">
        <v>606960</v>
      </c>
    </row>
    <row r="995" spans="1:3" x14ac:dyDescent="0.35">
      <c r="A995" s="53">
        <v>41641</v>
      </c>
      <c r="B995" s="35">
        <v>41.13</v>
      </c>
      <c r="C995" s="35">
        <v>797192</v>
      </c>
    </row>
    <row r="996" spans="1:3" x14ac:dyDescent="0.35">
      <c r="A996" s="53">
        <v>41640</v>
      </c>
      <c r="B996" s="35">
        <v>41.3</v>
      </c>
      <c r="C996" s="35">
        <v>247654</v>
      </c>
    </row>
    <row r="997" spans="1:3" x14ac:dyDescent="0.35">
      <c r="A997" s="53">
        <v>41639</v>
      </c>
      <c r="B997" s="35">
        <v>41.58</v>
      </c>
      <c r="C997" s="35">
        <v>1212654</v>
      </c>
    </row>
    <row r="998" spans="1:3" x14ac:dyDescent="0.35">
      <c r="A998" s="53">
        <v>41638</v>
      </c>
      <c r="B998" s="35">
        <v>41.6</v>
      </c>
      <c r="C998" s="35">
        <v>1707410</v>
      </c>
    </row>
    <row r="999" spans="1:3" x14ac:dyDescent="0.35">
      <c r="A999" s="53">
        <v>41635</v>
      </c>
      <c r="B999" s="35">
        <v>41.83</v>
      </c>
      <c r="C999" s="35">
        <v>549922</v>
      </c>
    </row>
    <row r="1000" spans="1:3" x14ac:dyDescent="0.35">
      <c r="A1000" s="53">
        <v>41634</v>
      </c>
      <c r="B1000" s="35">
        <v>41.83</v>
      </c>
      <c r="C1000" s="35">
        <v>2231016</v>
      </c>
    </row>
    <row r="1001" spans="1:3" x14ac:dyDescent="0.35">
      <c r="A1001" s="53">
        <v>41632</v>
      </c>
      <c r="B1001" s="35">
        <v>41.78</v>
      </c>
      <c r="C1001" s="35">
        <v>1753532</v>
      </c>
    </row>
    <row r="1002" spans="1:3" x14ac:dyDescent="0.35">
      <c r="A1002" s="53">
        <v>41631</v>
      </c>
      <c r="B1002" s="35">
        <v>41.63</v>
      </c>
      <c r="C1002" s="35">
        <v>1348544</v>
      </c>
    </row>
    <row r="1003" spans="1:3" x14ac:dyDescent="0.35">
      <c r="A1003" s="53">
        <v>41628</v>
      </c>
      <c r="B1003" s="35">
        <v>41.53</v>
      </c>
      <c r="C1003" s="35">
        <v>1945722</v>
      </c>
    </row>
    <row r="1004" spans="1:3" x14ac:dyDescent="0.35">
      <c r="A1004" s="53">
        <v>41627</v>
      </c>
      <c r="B1004" s="35">
        <v>41.9</v>
      </c>
      <c r="C1004" s="35">
        <v>1298292</v>
      </c>
    </row>
    <row r="1005" spans="1:3" x14ac:dyDescent="0.35">
      <c r="A1005" s="53">
        <v>41626</v>
      </c>
      <c r="B1005" s="35">
        <v>41.83</v>
      </c>
      <c r="C1005" s="35">
        <v>590520</v>
      </c>
    </row>
    <row r="1006" spans="1:3" x14ac:dyDescent="0.35">
      <c r="A1006" s="53">
        <v>41625</v>
      </c>
      <c r="B1006" s="35">
        <v>42.03</v>
      </c>
      <c r="C1006" s="35">
        <v>1237016</v>
      </c>
    </row>
    <row r="1007" spans="1:3" x14ac:dyDescent="0.35">
      <c r="A1007" s="53">
        <v>41624</v>
      </c>
      <c r="B1007" s="35">
        <v>42.48</v>
      </c>
      <c r="C1007" s="35">
        <v>1517110</v>
      </c>
    </row>
    <row r="1008" spans="1:3" x14ac:dyDescent="0.35">
      <c r="A1008" s="53">
        <v>41621</v>
      </c>
      <c r="B1008" s="35">
        <v>41.9</v>
      </c>
      <c r="C1008" s="35">
        <v>614326</v>
      </c>
    </row>
    <row r="1009" spans="1:3" x14ac:dyDescent="0.35">
      <c r="A1009" s="53">
        <v>41620</v>
      </c>
      <c r="B1009" s="35">
        <v>42.78</v>
      </c>
      <c r="C1009" s="35">
        <v>1207122</v>
      </c>
    </row>
    <row r="1010" spans="1:3" x14ac:dyDescent="0.35">
      <c r="A1010" s="53">
        <v>41619</v>
      </c>
      <c r="B1010" s="35">
        <v>42.5</v>
      </c>
      <c r="C1010" s="35">
        <v>841898</v>
      </c>
    </row>
    <row r="1011" spans="1:3" x14ac:dyDescent="0.35">
      <c r="A1011" s="53">
        <v>41618</v>
      </c>
      <c r="B1011" s="35">
        <v>43.45</v>
      </c>
      <c r="C1011" s="35">
        <v>1018778</v>
      </c>
    </row>
    <row r="1012" spans="1:3" x14ac:dyDescent="0.35">
      <c r="A1012" s="53">
        <v>41617</v>
      </c>
      <c r="B1012" s="35">
        <v>43.68</v>
      </c>
      <c r="C1012" s="35">
        <v>801954</v>
      </c>
    </row>
    <row r="1013" spans="1:3" x14ac:dyDescent="0.35">
      <c r="A1013" s="53">
        <v>41614</v>
      </c>
      <c r="B1013" s="35">
        <v>44</v>
      </c>
      <c r="C1013" s="35">
        <v>492948</v>
      </c>
    </row>
    <row r="1014" spans="1:3" x14ac:dyDescent="0.35">
      <c r="A1014" s="53">
        <v>41613</v>
      </c>
      <c r="B1014" s="35">
        <v>44.88</v>
      </c>
      <c r="C1014" s="35">
        <v>592764</v>
      </c>
    </row>
    <row r="1015" spans="1:3" x14ac:dyDescent="0.35">
      <c r="A1015" s="53">
        <v>41612</v>
      </c>
      <c r="B1015" s="35">
        <v>44.28</v>
      </c>
      <c r="C1015" s="35">
        <v>1071008</v>
      </c>
    </row>
    <row r="1016" spans="1:3" x14ac:dyDescent="0.35">
      <c r="A1016" s="53">
        <v>41611</v>
      </c>
      <c r="B1016" s="35">
        <v>43.55</v>
      </c>
      <c r="C1016" s="35">
        <v>1160986</v>
      </c>
    </row>
    <row r="1017" spans="1:3" x14ac:dyDescent="0.35">
      <c r="A1017" s="53">
        <v>41610</v>
      </c>
      <c r="B1017" s="35">
        <v>42.88</v>
      </c>
      <c r="C1017" s="35">
        <v>1564644</v>
      </c>
    </row>
    <row r="1018" spans="1:3" x14ac:dyDescent="0.35">
      <c r="A1018" s="53">
        <v>41607</v>
      </c>
      <c r="B1018" s="35">
        <v>42.5</v>
      </c>
      <c r="C1018" s="35">
        <v>10451336</v>
      </c>
    </row>
    <row r="1019" spans="1:3" x14ac:dyDescent="0.35">
      <c r="A1019" s="53">
        <v>41606</v>
      </c>
      <c r="B1019" s="35">
        <v>42.05</v>
      </c>
      <c r="C1019" s="35">
        <v>967254</v>
      </c>
    </row>
    <row r="1020" spans="1:3" x14ac:dyDescent="0.35">
      <c r="A1020" s="53">
        <v>41605</v>
      </c>
      <c r="B1020" s="35">
        <v>42.23</v>
      </c>
      <c r="C1020" s="35">
        <v>1915838</v>
      </c>
    </row>
    <row r="1021" spans="1:3" x14ac:dyDescent="0.35">
      <c r="A1021" s="53">
        <v>41604</v>
      </c>
      <c r="B1021" s="35">
        <v>41.73</v>
      </c>
      <c r="C1021" s="35">
        <v>911716</v>
      </c>
    </row>
    <row r="1022" spans="1:3" x14ac:dyDescent="0.35">
      <c r="A1022" s="53">
        <v>41603</v>
      </c>
      <c r="B1022" s="35">
        <v>40.98</v>
      </c>
      <c r="C1022" s="35">
        <v>1263756</v>
      </c>
    </row>
    <row r="1023" spans="1:3" x14ac:dyDescent="0.35">
      <c r="A1023" s="53">
        <v>41600</v>
      </c>
      <c r="B1023" s="35">
        <v>41.45</v>
      </c>
      <c r="C1023" s="35">
        <v>329984</v>
      </c>
    </row>
    <row r="1024" spans="1:3" x14ac:dyDescent="0.35">
      <c r="A1024" s="53">
        <v>41599</v>
      </c>
      <c r="B1024" s="35">
        <v>41</v>
      </c>
      <c r="C1024" s="35">
        <v>129822</v>
      </c>
    </row>
    <row r="1025" spans="1:3" x14ac:dyDescent="0.35">
      <c r="A1025" s="53">
        <v>41598</v>
      </c>
      <c r="B1025" s="35">
        <v>41.8</v>
      </c>
      <c r="C1025" s="35">
        <v>394700</v>
      </c>
    </row>
    <row r="1026" spans="1:3" x14ac:dyDescent="0.35">
      <c r="A1026" s="53">
        <v>41597</v>
      </c>
      <c r="B1026" s="35">
        <v>41.43</v>
      </c>
      <c r="C1026" s="35">
        <v>1026068</v>
      </c>
    </row>
    <row r="1027" spans="1:3" x14ac:dyDescent="0.35">
      <c r="A1027" s="53">
        <v>41596</v>
      </c>
      <c r="B1027" s="35">
        <v>40.83</v>
      </c>
      <c r="C1027" s="35">
        <v>1060556</v>
      </c>
    </row>
    <row r="1028" spans="1:3" x14ac:dyDescent="0.35">
      <c r="A1028" s="53">
        <v>41592</v>
      </c>
      <c r="B1028" s="35">
        <v>39.700000000000003</v>
      </c>
      <c r="C1028" s="35">
        <v>829872</v>
      </c>
    </row>
    <row r="1029" spans="1:3" x14ac:dyDescent="0.35">
      <c r="A1029" s="53">
        <v>41591</v>
      </c>
      <c r="B1029" s="35">
        <v>39.880000000000003</v>
      </c>
      <c r="C1029" s="35">
        <v>490778</v>
      </c>
    </row>
    <row r="1030" spans="1:3" x14ac:dyDescent="0.35">
      <c r="A1030" s="53">
        <v>41590</v>
      </c>
      <c r="B1030" s="35">
        <v>39.979999999999997</v>
      </c>
      <c r="C1030" s="35">
        <v>1619802</v>
      </c>
    </row>
    <row r="1031" spans="1:3" x14ac:dyDescent="0.35">
      <c r="A1031" s="53">
        <v>41589</v>
      </c>
      <c r="B1031" s="35">
        <v>39.799999999999997</v>
      </c>
      <c r="C1031" s="35">
        <v>2806502</v>
      </c>
    </row>
    <row r="1032" spans="1:3" x14ac:dyDescent="0.35">
      <c r="A1032" s="53">
        <v>41586</v>
      </c>
      <c r="B1032" s="35">
        <v>36.950000000000003</v>
      </c>
      <c r="C1032" s="35">
        <v>1041674</v>
      </c>
    </row>
    <row r="1033" spans="1:3" x14ac:dyDescent="0.35">
      <c r="A1033" s="53">
        <v>41585</v>
      </c>
      <c r="B1033" s="35">
        <v>37.35</v>
      </c>
      <c r="C1033" s="35">
        <v>1189890</v>
      </c>
    </row>
    <row r="1034" spans="1:3" x14ac:dyDescent="0.35">
      <c r="A1034" s="53">
        <v>41584</v>
      </c>
      <c r="B1034" s="35">
        <v>37.33</v>
      </c>
      <c r="C1034" s="35">
        <v>1248616</v>
      </c>
    </row>
    <row r="1035" spans="1:3" x14ac:dyDescent="0.35">
      <c r="A1035" s="53">
        <v>41583</v>
      </c>
      <c r="B1035" s="35">
        <v>36.6</v>
      </c>
      <c r="C1035" s="35">
        <v>970598</v>
      </c>
    </row>
    <row r="1036" spans="1:3" x14ac:dyDescent="0.35">
      <c r="A1036" s="53">
        <v>41581</v>
      </c>
      <c r="B1036" s="35">
        <v>34.200000000000003</v>
      </c>
      <c r="C1036" s="35">
        <v>73804</v>
      </c>
    </row>
    <row r="1037" spans="1:3" x14ac:dyDescent="0.35">
      <c r="A1037" s="53">
        <v>41579</v>
      </c>
      <c r="B1037" s="35">
        <v>33.5</v>
      </c>
      <c r="C1037" s="35">
        <v>891882</v>
      </c>
    </row>
    <row r="1038" spans="1:3" x14ac:dyDescent="0.35">
      <c r="A1038" s="53">
        <v>41578</v>
      </c>
      <c r="B1038" s="35">
        <v>33.83</v>
      </c>
      <c r="C1038" s="35">
        <v>147542</v>
      </c>
    </row>
    <row r="1039" spans="1:3" x14ac:dyDescent="0.35">
      <c r="A1039" s="53">
        <v>41577</v>
      </c>
      <c r="B1039" s="35">
        <v>33.950000000000003</v>
      </c>
      <c r="C1039" s="35">
        <v>878076</v>
      </c>
    </row>
    <row r="1040" spans="1:3" x14ac:dyDescent="0.35">
      <c r="A1040" s="53">
        <v>41576</v>
      </c>
      <c r="B1040" s="35">
        <v>33.85</v>
      </c>
      <c r="C1040" s="35">
        <v>1778376</v>
      </c>
    </row>
    <row r="1041" spans="1:3" x14ac:dyDescent="0.35">
      <c r="A1041" s="53">
        <v>41575</v>
      </c>
      <c r="B1041" s="35">
        <v>34.380000000000003</v>
      </c>
      <c r="C1041" s="35">
        <v>407630</v>
      </c>
    </row>
    <row r="1042" spans="1:3" x14ac:dyDescent="0.35">
      <c r="A1042" s="53">
        <v>41572</v>
      </c>
      <c r="B1042" s="35">
        <v>34.58</v>
      </c>
      <c r="C1042" s="35">
        <v>1867990</v>
      </c>
    </row>
    <row r="1043" spans="1:3" x14ac:dyDescent="0.35">
      <c r="A1043" s="53">
        <v>41571</v>
      </c>
      <c r="B1043" s="35">
        <v>35.1</v>
      </c>
      <c r="C1043" s="35">
        <v>562448</v>
      </c>
    </row>
    <row r="1044" spans="1:3" x14ac:dyDescent="0.35">
      <c r="A1044" s="53">
        <v>41570</v>
      </c>
      <c r="B1044" s="35">
        <v>34.979999999999997</v>
      </c>
      <c r="C1044" s="35">
        <v>1331550</v>
      </c>
    </row>
    <row r="1045" spans="1:3" x14ac:dyDescent="0.35">
      <c r="A1045" s="53">
        <v>41569</v>
      </c>
      <c r="B1045" s="35">
        <v>34.450000000000003</v>
      </c>
      <c r="C1045" s="35">
        <v>1418214</v>
      </c>
    </row>
    <row r="1046" spans="1:3" x14ac:dyDescent="0.35">
      <c r="A1046" s="53">
        <v>41568</v>
      </c>
      <c r="B1046" s="35">
        <v>33.5</v>
      </c>
      <c r="C1046" s="35">
        <v>1673380</v>
      </c>
    </row>
    <row r="1047" spans="1:3" x14ac:dyDescent="0.35">
      <c r="A1047" s="53">
        <v>41565</v>
      </c>
      <c r="B1047" s="35">
        <v>33.450000000000003</v>
      </c>
      <c r="C1047" s="35">
        <v>267466</v>
      </c>
    </row>
    <row r="1048" spans="1:3" x14ac:dyDescent="0.35">
      <c r="A1048" s="53">
        <v>41564</v>
      </c>
      <c r="B1048" s="35">
        <v>33.65</v>
      </c>
      <c r="C1048" s="35">
        <v>626896</v>
      </c>
    </row>
    <row r="1049" spans="1:3" x14ac:dyDescent="0.35">
      <c r="A1049" s="53">
        <v>41562</v>
      </c>
      <c r="B1049" s="35">
        <v>33.43</v>
      </c>
      <c r="C1049" s="35">
        <v>1632644</v>
      </c>
    </row>
    <row r="1050" spans="1:3" x14ac:dyDescent="0.35">
      <c r="A1050" s="53">
        <v>41561</v>
      </c>
      <c r="B1050" s="35">
        <v>33.630000000000003</v>
      </c>
      <c r="C1050" s="35">
        <v>2485614</v>
      </c>
    </row>
    <row r="1051" spans="1:3" x14ac:dyDescent="0.35">
      <c r="A1051" s="53">
        <v>41558</v>
      </c>
      <c r="B1051" s="35">
        <v>34.5</v>
      </c>
      <c r="C1051" s="35">
        <v>206690</v>
      </c>
    </row>
    <row r="1052" spans="1:3" x14ac:dyDescent="0.35">
      <c r="A1052" s="53">
        <v>41557</v>
      </c>
      <c r="B1052" s="35">
        <v>34.549999999999997</v>
      </c>
      <c r="C1052" s="35">
        <v>107754</v>
      </c>
    </row>
    <row r="1053" spans="1:3" x14ac:dyDescent="0.35">
      <c r="A1053" s="53">
        <v>41556</v>
      </c>
      <c r="B1053" s="35">
        <v>34.9</v>
      </c>
      <c r="C1053" s="35">
        <v>958022</v>
      </c>
    </row>
    <row r="1054" spans="1:3" x14ac:dyDescent="0.35">
      <c r="A1054" s="53">
        <v>41555</v>
      </c>
      <c r="B1054" s="35">
        <v>35.1</v>
      </c>
      <c r="C1054" s="35">
        <v>1325140</v>
      </c>
    </row>
    <row r="1055" spans="1:3" x14ac:dyDescent="0.35">
      <c r="A1055" s="53">
        <v>41554</v>
      </c>
      <c r="B1055" s="35">
        <v>35.299999999999997</v>
      </c>
      <c r="C1055" s="35">
        <v>1288748</v>
      </c>
    </row>
    <row r="1056" spans="1:3" x14ac:dyDescent="0.35">
      <c r="A1056" s="53">
        <v>41551</v>
      </c>
      <c r="B1056" s="35">
        <v>35.25</v>
      </c>
      <c r="C1056" s="35">
        <v>920032</v>
      </c>
    </row>
    <row r="1057" spans="1:3" x14ac:dyDescent="0.35">
      <c r="A1057" s="53">
        <v>41550</v>
      </c>
      <c r="B1057" s="35">
        <v>35.75</v>
      </c>
      <c r="C1057" s="35">
        <v>679234</v>
      </c>
    </row>
    <row r="1058" spans="1:3" x14ac:dyDescent="0.35">
      <c r="A1058" s="53">
        <v>41548</v>
      </c>
      <c r="B1058" s="35">
        <v>36.03</v>
      </c>
      <c r="C1058" s="35">
        <v>877776</v>
      </c>
    </row>
    <row r="1059" spans="1:3" x14ac:dyDescent="0.35">
      <c r="A1059" s="53">
        <v>41547</v>
      </c>
      <c r="B1059" s="35">
        <v>35.6</v>
      </c>
      <c r="C1059" s="35">
        <v>2451742</v>
      </c>
    </row>
    <row r="1060" spans="1:3" x14ac:dyDescent="0.35">
      <c r="A1060" s="53">
        <v>41544</v>
      </c>
      <c r="B1060" s="35">
        <v>36.18</v>
      </c>
      <c r="C1060" s="35">
        <v>1835626</v>
      </c>
    </row>
    <row r="1061" spans="1:3" x14ac:dyDescent="0.35">
      <c r="A1061" s="53">
        <v>41543</v>
      </c>
      <c r="B1061" s="35">
        <v>35.43</v>
      </c>
      <c r="C1061" s="35">
        <v>1877170</v>
      </c>
    </row>
    <row r="1062" spans="1:3" x14ac:dyDescent="0.35">
      <c r="A1062" s="53">
        <v>41542</v>
      </c>
      <c r="B1062" s="35">
        <v>33.9</v>
      </c>
      <c r="C1062" s="35">
        <v>1666754</v>
      </c>
    </row>
    <row r="1063" spans="1:3" x14ac:dyDescent="0.35">
      <c r="A1063" s="53">
        <v>41541</v>
      </c>
      <c r="B1063" s="35">
        <v>33.6</v>
      </c>
      <c r="C1063" s="35">
        <v>688580</v>
      </c>
    </row>
    <row r="1064" spans="1:3" x14ac:dyDescent="0.35">
      <c r="A1064" s="53">
        <v>41540</v>
      </c>
      <c r="B1064" s="35">
        <v>35.200000000000003</v>
      </c>
      <c r="C1064" s="35">
        <v>869578</v>
      </c>
    </row>
    <row r="1065" spans="1:3" x14ac:dyDescent="0.35">
      <c r="A1065" s="53">
        <v>41537</v>
      </c>
      <c r="B1065" s="35">
        <v>35.9</v>
      </c>
      <c r="C1065" s="35">
        <v>1319260</v>
      </c>
    </row>
    <row r="1066" spans="1:3" x14ac:dyDescent="0.35">
      <c r="A1066" s="53">
        <v>41536</v>
      </c>
      <c r="B1066" s="35">
        <v>35.549999999999997</v>
      </c>
      <c r="C1066" s="35">
        <v>1047882</v>
      </c>
    </row>
    <row r="1067" spans="1:3" x14ac:dyDescent="0.35">
      <c r="A1067" s="53">
        <v>41535</v>
      </c>
      <c r="B1067" s="35">
        <v>36.5</v>
      </c>
      <c r="C1067" s="35">
        <v>644932</v>
      </c>
    </row>
    <row r="1068" spans="1:3" x14ac:dyDescent="0.35">
      <c r="A1068" s="53">
        <v>41534</v>
      </c>
      <c r="B1068" s="35">
        <v>36.65</v>
      </c>
      <c r="C1068" s="35">
        <v>2770758</v>
      </c>
    </row>
    <row r="1069" spans="1:3" x14ac:dyDescent="0.35">
      <c r="A1069" s="53">
        <v>41533</v>
      </c>
      <c r="B1069" s="35">
        <v>36.880000000000003</v>
      </c>
      <c r="C1069" s="35">
        <v>1240500</v>
      </c>
    </row>
    <row r="1070" spans="1:3" x14ac:dyDescent="0.35">
      <c r="A1070" s="53">
        <v>41530</v>
      </c>
      <c r="B1070" s="35">
        <v>36.799999999999997</v>
      </c>
      <c r="C1070" s="35">
        <v>437906</v>
      </c>
    </row>
    <row r="1071" spans="1:3" x14ac:dyDescent="0.35">
      <c r="A1071" s="53">
        <v>41529</v>
      </c>
      <c r="B1071" s="35">
        <v>36.6</v>
      </c>
      <c r="C1071" s="35">
        <v>1544394</v>
      </c>
    </row>
    <row r="1072" spans="1:3" x14ac:dyDescent="0.35">
      <c r="A1072" s="53">
        <v>41528</v>
      </c>
      <c r="B1072" s="35">
        <v>38.28</v>
      </c>
      <c r="C1072" s="35">
        <v>2029474</v>
      </c>
    </row>
    <row r="1073" spans="1:3" x14ac:dyDescent="0.35">
      <c r="A1073" s="53">
        <v>41527</v>
      </c>
      <c r="B1073" s="35">
        <v>39</v>
      </c>
      <c r="C1073" s="35">
        <v>2164122</v>
      </c>
    </row>
    <row r="1074" spans="1:3" x14ac:dyDescent="0.35">
      <c r="A1074" s="53">
        <v>41523</v>
      </c>
      <c r="B1074" s="35">
        <v>40.08</v>
      </c>
      <c r="C1074" s="35">
        <v>1160560</v>
      </c>
    </row>
    <row r="1075" spans="1:3" x14ac:dyDescent="0.35">
      <c r="A1075" s="53">
        <v>41522</v>
      </c>
      <c r="B1075" s="35">
        <v>39.950000000000003</v>
      </c>
      <c r="C1075" s="35">
        <v>1110580</v>
      </c>
    </row>
    <row r="1076" spans="1:3" x14ac:dyDescent="0.35">
      <c r="A1076" s="53">
        <v>41521</v>
      </c>
      <c r="B1076" s="35">
        <v>39.130000000000003</v>
      </c>
      <c r="C1076" s="35">
        <v>1505638</v>
      </c>
    </row>
    <row r="1077" spans="1:3" x14ac:dyDescent="0.35">
      <c r="A1077" s="53">
        <v>41520</v>
      </c>
      <c r="B1077" s="35">
        <v>39</v>
      </c>
      <c r="C1077" s="35">
        <v>1169602</v>
      </c>
    </row>
    <row r="1078" spans="1:3" x14ac:dyDescent="0.35">
      <c r="A1078" s="53">
        <v>41519</v>
      </c>
      <c r="B1078" s="35">
        <v>38.28</v>
      </c>
      <c r="C1078" s="35">
        <v>2270602</v>
      </c>
    </row>
    <row r="1079" spans="1:3" x14ac:dyDescent="0.35">
      <c r="A1079" s="53">
        <v>41516</v>
      </c>
      <c r="B1079" s="35">
        <v>37.4</v>
      </c>
      <c r="C1079" s="35">
        <v>10983574</v>
      </c>
    </row>
    <row r="1080" spans="1:3" x14ac:dyDescent="0.35">
      <c r="A1080" s="53">
        <v>41515</v>
      </c>
      <c r="B1080" s="35">
        <v>36.380000000000003</v>
      </c>
      <c r="C1080" s="35">
        <v>2236608</v>
      </c>
    </row>
    <row r="1081" spans="1:3" x14ac:dyDescent="0.35">
      <c r="A1081" s="53">
        <v>41514</v>
      </c>
      <c r="B1081" s="35">
        <v>35.68</v>
      </c>
      <c r="C1081" s="35">
        <v>3442836</v>
      </c>
    </row>
    <row r="1082" spans="1:3" x14ac:dyDescent="0.35">
      <c r="A1082" s="53">
        <v>41513</v>
      </c>
      <c r="B1082" s="35">
        <v>34.880000000000003</v>
      </c>
      <c r="C1082" s="35">
        <v>3005406</v>
      </c>
    </row>
    <row r="1083" spans="1:3" x14ac:dyDescent="0.35">
      <c r="A1083" s="53">
        <v>41512</v>
      </c>
      <c r="B1083" s="35">
        <v>34.18</v>
      </c>
      <c r="C1083" s="35">
        <v>736710</v>
      </c>
    </row>
    <row r="1084" spans="1:3" x14ac:dyDescent="0.35">
      <c r="A1084" s="53">
        <v>41509</v>
      </c>
      <c r="B1084" s="35">
        <v>33.950000000000003</v>
      </c>
      <c r="C1084" s="35">
        <v>1700944</v>
      </c>
    </row>
    <row r="1085" spans="1:3" x14ac:dyDescent="0.35">
      <c r="A1085" s="53">
        <v>41508</v>
      </c>
      <c r="B1085" s="35">
        <v>33.6</v>
      </c>
      <c r="C1085" s="35">
        <v>2681540</v>
      </c>
    </row>
    <row r="1086" spans="1:3" x14ac:dyDescent="0.35">
      <c r="A1086" s="53">
        <v>41507</v>
      </c>
      <c r="B1086" s="35">
        <v>33.299999999999997</v>
      </c>
      <c r="C1086" s="35">
        <v>1548412</v>
      </c>
    </row>
    <row r="1087" spans="1:3" x14ac:dyDescent="0.35">
      <c r="A1087" s="53">
        <v>41506</v>
      </c>
      <c r="B1087" s="35">
        <v>32.78</v>
      </c>
      <c r="C1087" s="35">
        <v>1746722</v>
      </c>
    </row>
    <row r="1088" spans="1:3" x14ac:dyDescent="0.35">
      <c r="A1088" s="53">
        <v>41505</v>
      </c>
      <c r="B1088" s="35">
        <v>32.479999999999997</v>
      </c>
      <c r="C1088" s="35">
        <v>1644944</v>
      </c>
    </row>
    <row r="1089" spans="1:3" x14ac:dyDescent="0.35">
      <c r="A1089" s="53">
        <v>41502</v>
      </c>
      <c r="B1089" s="35">
        <v>32.049999999999997</v>
      </c>
      <c r="C1089" s="35">
        <v>821356</v>
      </c>
    </row>
    <row r="1090" spans="1:3" x14ac:dyDescent="0.35">
      <c r="A1090" s="53">
        <v>41500</v>
      </c>
      <c r="B1090" s="35">
        <v>32.58</v>
      </c>
      <c r="C1090" s="35">
        <v>747020</v>
      </c>
    </row>
    <row r="1091" spans="1:3" x14ac:dyDescent="0.35">
      <c r="A1091" s="53">
        <v>41499</v>
      </c>
      <c r="B1091" s="35">
        <v>32.85</v>
      </c>
      <c r="C1091" s="35">
        <v>869108</v>
      </c>
    </row>
    <row r="1092" spans="1:3" x14ac:dyDescent="0.35">
      <c r="A1092" s="53">
        <v>41498</v>
      </c>
      <c r="B1092" s="35">
        <v>32.83</v>
      </c>
      <c r="C1092" s="35">
        <v>1154330</v>
      </c>
    </row>
    <row r="1093" spans="1:3" x14ac:dyDescent="0.35">
      <c r="A1093" s="53">
        <v>41494</v>
      </c>
      <c r="B1093" s="35">
        <v>32.729999999999997</v>
      </c>
      <c r="C1093" s="35">
        <v>1347066</v>
      </c>
    </row>
    <row r="1094" spans="1:3" x14ac:dyDescent="0.35">
      <c r="A1094" s="53">
        <v>41493</v>
      </c>
      <c r="B1094" s="35">
        <v>33.93</v>
      </c>
      <c r="C1094" s="35">
        <v>1029254</v>
      </c>
    </row>
    <row r="1095" spans="1:3" x14ac:dyDescent="0.35">
      <c r="A1095" s="53">
        <v>41492</v>
      </c>
      <c r="B1095" s="35">
        <v>32.93</v>
      </c>
      <c r="C1095" s="35">
        <v>2296980</v>
      </c>
    </row>
    <row r="1096" spans="1:3" x14ac:dyDescent="0.35">
      <c r="A1096" s="53">
        <v>41491</v>
      </c>
      <c r="B1096" s="35">
        <v>31.35</v>
      </c>
      <c r="C1096" s="35">
        <v>2359936</v>
      </c>
    </row>
    <row r="1097" spans="1:3" x14ac:dyDescent="0.35">
      <c r="A1097" s="53">
        <v>41488</v>
      </c>
      <c r="B1097" s="35">
        <v>28.83</v>
      </c>
      <c r="C1097" s="35">
        <v>3054232</v>
      </c>
    </row>
    <row r="1098" spans="1:3" x14ac:dyDescent="0.35">
      <c r="A1098" s="53">
        <v>41487</v>
      </c>
      <c r="B1098" s="35">
        <v>26.25</v>
      </c>
      <c r="C1098" s="35">
        <v>3348508</v>
      </c>
    </row>
    <row r="1099" spans="1:3" x14ac:dyDescent="0.35">
      <c r="A1099" s="53">
        <v>41486</v>
      </c>
      <c r="B1099" s="35">
        <v>23.9</v>
      </c>
      <c r="C1099" s="35">
        <v>5140970</v>
      </c>
    </row>
    <row r="1100" spans="1:3" x14ac:dyDescent="0.35">
      <c r="A1100" s="53">
        <v>41485</v>
      </c>
      <c r="B1100" s="35">
        <v>26.55</v>
      </c>
      <c r="C1100" s="35">
        <v>3769198</v>
      </c>
    </row>
    <row r="1101" spans="1:3" x14ac:dyDescent="0.35">
      <c r="A1101" s="53">
        <v>41484</v>
      </c>
      <c r="B1101" s="35">
        <v>33.18</v>
      </c>
      <c r="C1101" s="35">
        <v>5487544</v>
      </c>
    </row>
    <row r="1102" spans="1:3" x14ac:dyDescent="0.35">
      <c r="A1102" s="53">
        <v>41481</v>
      </c>
      <c r="B1102" s="35">
        <v>38.5</v>
      </c>
      <c r="C1102" s="35">
        <v>1792950</v>
      </c>
    </row>
    <row r="1103" spans="1:3" x14ac:dyDescent="0.35">
      <c r="A1103" s="53">
        <v>41480</v>
      </c>
      <c r="B1103" s="35">
        <v>39.03</v>
      </c>
      <c r="C1103" s="35">
        <v>427686</v>
      </c>
    </row>
    <row r="1104" spans="1:3" x14ac:dyDescent="0.35">
      <c r="A1104" s="53">
        <v>41479</v>
      </c>
      <c r="B1104" s="35">
        <v>39.450000000000003</v>
      </c>
      <c r="C1104" s="35">
        <v>1435106</v>
      </c>
    </row>
    <row r="1105" spans="1:3" x14ac:dyDescent="0.35">
      <c r="A1105" s="53">
        <v>41478</v>
      </c>
      <c r="B1105" s="35">
        <v>39.9</v>
      </c>
      <c r="C1105" s="35">
        <v>1626326</v>
      </c>
    </row>
    <row r="1106" spans="1:3" x14ac:dyDescent="0.35">
      <c r="A1106" s="53">
        <v>41477</v>
      </c>
      <c r="B1106" s="35">
        <v>39.6</v>
      </c>
      <c r="C1106" s="35">
        <v>1466898</v>
      </c>
    </row>
    <row r="1107" spans="1:3" x14ac:dyDescent="0.35">
      <c r="A1107" s="53">
        <v>41474</v>
      </c>
      <c r="B1107" s="35">
        <v>40.35</v>
      </c>
      <c r="C1107" s="35">
        <v>502438</v>
      </c>
    </row>
    <row r="1108" spans="1:3" x14ac:dyDescent="0.35">
      <c r="A1108" s="53">
        <v>41473</v>
      </c>
      <c r="B1108" s="35">
        <v>40.75</v>
      </c>
      <c r="C1108" s="35">
        <v>1021604</v>
      </c>
    </row>
    <row r="1109" spans="1:3" x14ac:dyDescent="0.35">
      <c r="A1109" s="53">
        <v>41472</v>
      </c>
      <c r="B1109" s="35">
        <v>40.950000000000003</v>
      </c>
      <c r="C1109" s="35">
        <v>1947178</v>
      </c>
    </row>
    <row r="1110" spans="1:3" x14ac:dyDescent="0.35">
      <c r="A1110" s="53">
        <v>41471</v>
      </c>
      <c r="B1110" s="35">
        <v>41.73</v>
      </c>
      <c r="C1110" s="35">
        <v>2183206</v>
      </c>
    </row>
    <row r="1111" spans="1:3" x14ac:dyDescent="0.35">
      <c r="A1111" s="53">
        <v>41470</v>
      </c>
      <c r="B1111" s="35">
        <v>42.38</v>
      </c>
      <c r="C1111" s="35">
        <v>459518</v>
      </c>
    </row>
    <row r="1112" spans="1:3" x14ac:dyDescent="0.35">
      <c r="A1112" s="53">
        <v>41467</v>
      </c>
      <c r="B1112" s="35">
        <v>42.38</v>
      </c>
      <c r="C1112" s="35">
        <v>900648</v>
      </c>
    </row>
    <row r="1113" spans="1:3" x14ac:dyDescent="0.35">
      <c r="A1113" s="53">
        <v>41466</v>
      </c>
      <c r="B1113" s="35">
        <v>41.53</v>
      </c>
      <c r="C1113" s="35">
        <v>1397354</v>
      </c>
    </row>
    <row r="1114" spans="1:3" x14ac:dyDescent="0.35">
      <c r="A1114" s="53">
        <v>41465</v>
      </c>
      <c r="B1114" s="35">
        <v>40.6</v>
      </c>
      <c r="C1114" s="35">
        <v>1396466</v>
      </c>
    </row>
    <row r="1115" spans="1:3" x14ac:dyDescent="0.35">
      <c r="A1115" s="53">
        <v>41464</v>
      </c>
      <c r="B1115" s="35">
        <v>40.03</v>
      </c>
      <c r="C1115" s="35">
        <v>2140366</v>
      </c>
    </row>
    <row r="1116" spans="1:3" x14ac:dyDescent="0.35">
      <c r="A1116" s="53">
        <v>41463</v>
      </c>
      <c r="B1116" s="35">
        <v>39.75</v>
      </c>
      <c r="C1116" s="35">
        <v>1201430</v>
      </c>
    </row>
    <row r="1117" spans="1:3" x14ac:dyDescent="0.35">
      <c r="A1117" s="53">
        <v>41460</v>
      </c>
      <c r="B1117" s="35">
        <v>39.729999999999997</v>
      </c>
      <c r="C1117" s="35">
        <v>1904166</v>
      </c>
    </row>
    <row r="1118" spans="1:3" x14ac:dyDescent="0.35">
      <c r="A1118" s="53">
        <v>41459</v>
      </c>
      <c r="B1118" s="35">
        <v>39.729999999999997</v>
      </c>
      <c r="C1118" s="35">
        <v>1743714</v>
      </c>
    </row>
    <row r="1119" spans="1:3" x14ac:dyDescent="0.35">
      <c r="A1119" s="53">
        <v>41458</v>
      </c>
      <c r="B1119" s="35">
        <v>39.75</v>
      </c>
      <c r="C1119" s="35">
        <v>671388</v>
      </c>
    </row>
    <row r="1120" spans="1:3" x14ac:dyDescent="0.35">
      <c r="A1120" s="53">
        <v>41457</v>
      </c>
      <c r="B1120" s="35">
        <v>39.83</v>
      </c>
      <c r="C1120" s="35">
        <v>616646</v>
      </c>
    </row>
    <row r="1121" spans="1:3" x14ac:dyDescent="0.35">
      <c r="A1121" s="53">
        <v>41456</v>
      </c>
      <c r="B1121" s="35">
        <v>40.03</v>
      </c>
      <c r="C1121" s="35">
        <v>1245596</v>
      </c>
    </row>
    <row r="1122" spans="1:3" x14ac:dyDescent="0.35">
      <c r="A1122" s="53">
        <v>41453</v>
      </c>
      <c r="B1122" s="35">
        <v>39.78</v>
      </c>
      <c r="C1122" s="35">
        <v>1418434</v>
      </c>
    </row>
    <row r="1123" spans="1:3" x14ac:dyDescent="0.35">
      <c r="A1123" s="53">
        <v>41452</v>
      </c>
      <c r="B1123" s="35">
        <v>39.799999999999997</v>
      </c>
      <c r="C1123" s="35">
        <v>407958</v>
      </c>
    </row>
    <row r="1124" spans="1:3" x14ac:dyDescent="0.35">
      <c r="A1124" s="53">
        <v>41451</v>
      </c>
      <c r="B1124" s="35">
        <v>39.979999999999997</v>
      </c>
      <c r="C1124" s="35">
        <v>254052</v>
      </c>
    </row>
    <row r="1125" spans="1:3" x14ac:dyDescent="0.35">
      <c r="A1125" s="53">
        <v>41450</v>
      </c>
      <c r="B1125" s="35">
        <v>40.03</v>
      </c>
      <c r="C1125" s="35">
        <v>644626</v>
      </c>
    </row>
    <row r="1126" spans="1:3" x14ac:dyDescent="0.35">
      <c r="A1126" s="53">
        <v>41449</v>
      </c>
      <c r="B1126" s="35">
        <v>39.950000000000003</v>
      </c>
      <c r="C1126" s="35">
        <v>730104</v>
      </c>
    </row>
    <row r="1127" spans="1:3" x14ac:dyDescent="0.35">
      <c r="A1127" s="53">
        <v>41446</v>
      </c>
      <c r="B1127" s="35">
        <v>40.65</v>
      </c>
      <c r="C1127" s="35">
        <v>4089044</v>
      </c>
    </row>
    <row r="1128" spans="1:3" x14ac:dyDescent="0.35">
      <c r="A1128" s="53">
        <v>41445</v>
      </c>
      <c r="B1128" s="35">
        <v>40.35</v>
      </c>
      <c r="C1128" s="35">
        <v>3125320</v>
      </c>
    </row>
    <row r="1129" spans="1:3" x14ac:dyDescent="0.35">
      <c r="A1129" s="53">
        <v>41444</v>
      </c>
      <c r="B1129" s="35">
        <v>39.43</v>
      </c>
      <c r="C1129" s="35">
        <v>2065836</v>
      </c>
    </row>
    <row r="1130" spans="1:3" x14ac:dyDescent="0.35">
      <c r="A1130" s="53">
        <v>41443</v>
      </c>
      <c r="B1130" s="35">
        <v>37.43</v>
      </c>
      <c r="C1130" s="35">
        <v>1346482</v>
      </c>
    </row>
    <row r="1131" spans="1:3" x14ac:dyDescent="0.35">
      <c r="A1131" s="53">
        <v>41442</v>
      </c>
      <c r="B1131" s="35">
        <v>37.700000000000003</v>
      </c>
      <c r="C1131" s="35">
        <v>1395520</v>
      </c>
    </row>
    <row r="1132" spans="1:3" x14ac:dyDescent="0.35">
      <c r="A1132" s="53">
        <v>41439</v>
      </c>
      <c r="B1132" s="35">
        <v>37.380000000000003</v>
      </c>
      <c r="C1132" s="35">
        <v>200504</v>
      </c>
    </row>
    <row r="1133" spans="1:3" x14ac:dyDescent="0.35">
      <c r="A1133" s="53">
        <v>41438</v>
      </c>
      <c r="B1133" s="35">
        <v>37.380000000000003</v>
      </c>
      <c r="C1133" s="35">
        <v>6005438</v>
      </c>
    </row>
    <row r="1134" spans="1:3" x14ac:dyDescent="0.35">
      <c r="A1134" s="53">
        <v>41437</v>
      </c>
      <c r="B1134" s="35">
        <v>37.380000000000003</v>
      </c>
      <c r="C1134" s="35">
        <v>1728938</v>
      </c>
    </row>
    <row r="1135" spans="1:3" x14ac:dyDescent="0.35">
      <c r="A1135" s="53">
        <v>41436</v>
      </c>
      <c r="B1135" s="35">
        <v>37.380000000000003</v>
      </c>
      <c r="C1135" s="35">
        <v>5566362</v>
      </c>
    </row>
    <row r="1136" spans="1:3" x14ac:dyDescent="0.35">
      <c r="A1136" s="53">
        <v>41435</v>
      </c>
      <c r="B1136" s="35">
        <v>37.4</v>
      </c>
      <c r="C1136" s="35">
        <v>228006</v>
      </c>
    </row>
    <row r="1137" spans="1:3" x14ac:dyDescent="0.35">
      <c r="A1137" s="53">
        <v>41432</v>
      </c>
      <c r="B1137" s="35">
        <v>37.380000000000003</v>
      </c>
      <c r="C1137" s="35">
        <v>6496898</v>
      </c>
    </row>
    <row r="1138" spans="1:3" x14ac:dyDescent="0.35">
      <c r="A1138" s="53">
        <v>41431</v>
      </c>
      <c r="B1138" s="35">
        <v>37.4</v>
      </c>
      <c r="C1138" s="35">
        <v>2615462</v>
      </c>
    </row>
    <row r="1139" spans="1:3" x14ac:dyDescent="0.35">
      <c r="A1139" s="53">
        <v>41430</v>
      </c>
      <c r="B1139" s="35">
        <v>37.479999999999997</v>
      </c>
      <c r="C1139" s="35">
        <v>579032</v>
      </c>
    </row>
    <row r="1140" spans="1:3" x14ac:dyDescent="0.35">
      <c r="A1140" s="53">
        <v>41429</v>
      </c>
      <c r="B1140" s="35">
        <v>37.450000000000003</v>
      </c>
      <c r="C1140" s="35">
        <v>2210022</v>
      </c>
    </row>
    <row r="1141" spans="1:3" x14ac:dyDescent="0.35">
      <c r="A1141" s="53">
        <v>41428</v>
      </c>
      <c r="B1141" s="35">
        <v>37.5</v>
      </c>
      <c r="C1141" s="35">
        <v>1431338</v>
      </c>
    </row>
    <row r="1142" spans="1:3" x14ac:dyDescent="0.35">
      <c r="A1142" s="53">
        <v>41425</v>
      </c>
      <c r="B1142" s="35">
        <v>37.450000000000003</v>
      </c>
      <c r="C1142" s="35">
        <v>5807930</v>
      </c>
    </row>
    <row r="1143" spans="1:3" x14ac:dyDescent="0.35">
      <c r="A1143" s="53">
        <v>41424</v>
      </c>
      <c r="B1143" s="35">
        <v>37.53</v>
      </c>
      <c r="C1143" s="35">
        <v>5641196</v>
      </c>
    </row>
    <row r="1144" spans="1:3" x14ac:dyDescent="0.35">
      <c r="A1144" s="53">
        <v>41423</v>
      </c>
      <c r="B1144" s="35">
        <v>37</v>
      </c>
      <c r="C1144" s="35">
        <v>5457644</v>
      </c>
    </row>
    <row r="1145" spans="1:3" x14ac:dyDescent="0.35">
      <c r="A1145" s="53">
        <v>41422</v>
      </c>
      <c r="B1145" s="35">
        <v>37</v>
      </c>
      <c r="C1145" s="35">
        <v>5489262</v>
      </c>
    </row>
    <row r="1146" spans="1:3" x14ac:dyDescent="0.35">
      <c r="A1146" s="53">
        <v>41421</v>
      </c>
      <c r="B1146" s="35">
        <v>37.08</v>
      </c>
      <c r="C1146" s="35">
        <v>8399198</v>
      </c>
    </row>
    <row r="1147" spans="1:3" x14ac:dyDescent="0.35">
      <c r="A1147" s="53">
        <v>41418</v>
      </c>
      <c r="B1147" s="35">
        <v>37.08</v>
      </c>
      <c r="C1147" s="35">
        <v>5768566</v>
      </c>
    </row>
    <row r="1148" spans="1:3" x14ac:dyDescent="0.35">
      <c r="A1148" s="53">
        <v>41417</v>
      </c>
      <c r="B1148" s="35">
        <v>36.880000000000003</v>
      </c>
      <c r="C1148" s="35">
        <v>5234266</v>
      </c>
    </row>
    <row r="1149" spans="1:3" x14ac:dyDescent="0.35">
      <c r="A1149" s="53">
        <v>41416</v>
      </c>
      <c r="B1149" s="35">
        <v>36.979999999999997</v>
      </c>
      <c r="C1149" s="35">
        <v>1621084</v>
      </c>
    </row>
    <row r="1150" spans="1:3" x14ac:dyDescent="0.35">
      <c r="A1150" s="53">
        <v>41415</v>
      </c>
      <c r="B1150" s="35">
        <v>37</v>
      </c>
      <c r="C1150" s="35">
        <v>82182</v>
      </c>
    </row>
    <row r="1151" spans="1:3" x14ac:dyDescent="0.35">
      <c r="A1151" s="53">
        <v>41414</v>
      </c>
      <c r="B1151" s="35">
        <v>37.03</v>
      </c>
      <c r="C1151" s="35">
        <v>1065246</v>
      </c>
    </row>
    <row r="1152" spans="1:3" x14ac:dyDescent="0.35">
      <c r="A1152" s="53">
        <v>41411</v>
      </c>
      <c r="B1152" s="35">
        <v>36.950000000000003</v>
      </c>
      <c r="C1152" s="35">
        <v>1491890</v>
      </c>
    </row>
    <row r="1153" spans="1:3" x14ac:dyDescent="0.35">
      <c r="A1153" s="53">
        <v>41410</v>
      </c>
      <c r="B1153" s="35">
        <v>36.979999999999997</v>
      </c>
      <c r="C1153" s="35">
        <v>1251608</v>
      </c>
    </row>
    <row r="1154" spans="1:3" x14ac:dyDescent="0.35">
      <c r="A1154" s="53">
        <v>41409</v>
      </c>
      <c r="B1154" s="35">
        <v>37.049999999999997</v>
      </c>
      <c r="C1154" s="35">
        <v>3024176</v>
      </c>
    </row>
    <row r="1155" spans="1:3" x14ac:dyDescent="0.35">
      <c r="A1155" s="53">
        <v>41408</v>
      </c>
      <c r="B1155" s="35">
        <v>37</v>
      </c>
      <c r="C1155" s="35">
        <v>5758394</v>
      </c>
    </row>
    <row r="1156" spans="1:3" x14ac:dyDescent="0.35">
      <c r="A1156" s="53">
        <v>41407</v>
      </c>
      <c r="B1156" s="35">
        <v>37.03</v>
      </c>
      <c r="C1156" s="35">
        <v>6424470</v>
      </c>
    </row>
    <row r="1157" spans="1:3" x14ac:dyDescent="0.35">
      <c r="A1157" s="53">
        <v>41405</v>
      </c>
      <c r="B1157" s="35">
        <v>37.03</v>
      </c>
      <c r="C1157" s="35">
        <v>7246</v>
      </c>
    </row>
    <row r="1158" spans="1:3" x14ac:dyDescent="0.35">
      <c r="A1158" s="53">
        <v>41404</v>
      </c>
      <c r="B1158" s="35">
        <v>37.03</v>
      </c>
      <c r="C1158" s="35">
        <v>389028</v>
      </c>
    </row>
    <row r="1159" spans="1:3" x14ac:dyDescent="0.35">
      <c r="A1159" s="53">
        <v>41403</v>
      </c>
      <c r="B1159" s="35">
        <v>37.08</v>
      </c>
      <c r="C1159" s="35">
        <v>298192</v>
      </c>
    </row>
    <row r="1160" spans="1:3" x14ac:dyDescent="0.35">
      <c r="A1160" s="53">
        <v>41402</v>
      </c>
      <c r="B1160" s="35">
        <v>37.08</v>
      </c>
      <c r="C1160" s="35">
        <v>539534</v>
      </c>
    </row>
    <row r="1161" spans="1:3" x14ac:dyDescent="0.35">
      <c r="A1161" s="53">
        <v>41401</v>
      </c>
      <c r="B1161" s="35">
        <v>37.049999999999997</v>
      </c>
      <c r="C1161" s="35">
        <v>3999708</v>
      </c>
    </row>
    <row r="1162" spans="1:3" x14ac:dyDescent="0.35">
      <c r="A1162" s="53">
        <v>41400</v>
      </c>
      <c r="B1162" s="35">
        <v>36.799999999999997</v>
      </c>
      <c r="C1162" s="35">
        <v>3058860</v>
      </c>
    </row>
    <row r="1163" spans="1:3" x14ac:dyDescent="0.35">
      <c r="A1163" s="53">
        <v>41397</v>
      </c>
      <c r="B1163" s="35">
        <v>36.9</v>
      </c>
      <c r="C1163" s="35">
        <v>1499214</v>
      </c>
    </row>
    <row r="1164" spans="1:3" x14ac:dyDescent="0.35">
      <c r="A1164" s="53">
        <v>41396</v>
      </c>
      <c r="B1164" s="35">
        <v>37.03</v>
      </c>
      <c r="C1164" s="35">
        <v>682244</v>
      </c>
    </row>
    <row r="1165" spans="1:3" x14ac:dyDescent="0.35">
      <c r="A1165" s="53">
        <v>41394</v>
      </c>
      <c r="B1165" s="35">
        <v>37.15</v>
      </c>
      <c r="C1165" s="35">
        <v>252100</v>
      </c>
    </row>
    <row r="1166" spans="1:3" x14ac:dyDescent="0.35">
      <c r="A1166" s="53">
        <v>41393</v>
      </c>
      <c r="B1166" s="35">
        <v>37.25</v>
      </c>
      <c r="C1166" s="35">
        <v>2162694</v>
      </c>
    </row>
    <row r="1167" spans="1:3" x14ac:dyDescent="0.35">
      <c r="A1167" s="53">
        <v>41390</v>
      </c>
      <c r="B1167" s="35">
        <v>37.380000000000003</v>
      </c>
      <c r="C1167" s="35">
        <v>1787428</v>
      </c>
    </row>
    <row r="1168" spans="1:3" x14ac:dyDescent="0.35">
      <c r="A1168" s="53">
        <v>41389</v>
      </c>
      <c r="B1168" s="35">
        <v>38.229999999999997</v>
      </c>
      <c r="C1168" s="35">
        <v>1491054</v>
      </c>
    </row>
    <row r="1169" spans="1:3" x14ac:dyDescent="0.35">
      <c r="A1169" s="53">
        <v>41387</v>
      </c>
      <c r="B1169" s="35">
        <v>38.450000000000003</v>
      </c>
      <c r="C1169" s="35">
        <v>634824</v>
      </c>
    </row>
    <row r="1170" spans="1:3" x14ac:dyDescent="0.35">
      <c r="A1170" s="53">
        <v>41386</v>
      </c>
      <c r="B1170" s="35">
        <v>38.479999999999997</v>
      </c>
      <c r="C1170" s="35">
        <v>1266778</v>
      </c>
    </row>
    <row r="1171" spans="1:3" x14ac:dyDescent="0.35">
      <c r="A1171" s="53">
        <v>41382</v>
      </c>
      <c r="B1171" s="35">
        <v>37</v>
      </c>
      <c r="C1171" s="35">
        <v>203924</v>
      </c>
    </row>
    <row r="1172" spans="1:3" x14ac:dyDescent="0.35">
      <c r="A1172" s="53">
        <v>41381</v>
      </c>
      <c r="B1172" s="35">
        <v>37</v>
      </c>
      <c r="C1172" s="35">
        <v>215120</v>
      </c>
    </row>
    <row r="1173" spans="1:3" x14ac:dyDescent="0.35">
      <c r="A1173" s="53">
        <v>41380</v>
      </c>
      <c r="B1173" s="35">
        <v>37</v>
      </c>
      <c r="C1173" s="35">
        <v>282246</v>
      </c>
    </row>
    <row r="1174" spans="1:3" x14ac:dyDescent="0.35">
      <c r="A1174" s="53">
        <v>41379</v>
      </c>
      <c r="B1174" s="35">
        <v>37</v>
      </c>
      <c r="C1174" s="35">
        <v>473610</v>
      </c>
    </row>
    <row r="1175" spans="1:3" x14ac:dyDescent="0.35">
      <c r="A1175" s="53">
        <v>41376</v>
      </c>
      <c r="B1175" s="35">
        <v>37.15</v>
      </c>
      <c r="C1175" s="35">
        <v>1553292</v>
      </c>
    </row>
    <row r="1176" spans="1:3" x14ac:dyDescent="0.35">
      <c r="A1176" s="53">
        <v>41375</v>
      </c>
      <c r="B1176" s="35">
        <v>37.200000000000003</v>
      </c>
      <c r="C1176" s="35">
        <v>677168</v>
      </c>
    </row>
    <row r="1177" spans="1:3" x14ac:dyDescent="0.35">
      <c r="A1177" s="53">
        <v>41374</v>
      </c>
      <c r="B1177" s="35">
        <v>35.950000000000003</v>
      </c>
      <c r="C1177" s="35">
        <v>1603350</v>
      </c>
    </row>
    <row r="1178" spans="1:3" x14ac:dyDescent="0.35">
      <c r="A1178" s="53">
        <v>41373</v>
      </c>
      <c r="B1178" s="35">
        <v>35.15</v>
      </c>
      <c r="C1178" s="35">
        <v>1743222</v>
      </c>
    </row>
    <row r="1179" spans="1:3" x14ac:dyDescent="0.35">
      <c r="A1179" s="53">
        <v>41372</v>
      </c>
      <c r="B1179" s="35">
        <v>33.5</v>
      </c>
      <c r="C1179" s="35">
        <v>1690228</v>
      </c>
    </row>
    <row r="1180" spans="1:3" x14ac:dyDescent="0.35">
      <c r="A1180" s="53">
        <v>41369</v>
      </c>
      <c r="B1180" s="35">
        <v>33.479999999999997</v>
      </c>
      <c r="C1180" s="35">
        <v>1635386</v>
      </c>
    </row>
    <row r="1181" spans="1:3" x14ac:dyDescent="0.35">
      <c r="A1181" s="53">
        <v>41368</v>
      </c>
      <c r="B1181" s="35">
        <v>33.380000000000003</v>
      </c>
      <c r="C1181" s="35">
        <v>2886772</v>
      </c>
    </row>
    <row r="1182" spans="1:3" x14ac:dyDescent="0.35">
      <c r="A1182" s="53">
        <v>41367</v>
      </c>
      <c r="B1182" s="35">
        <v>33.4</v>
      </c>
      <c r="C1182" s="35">
        <v>1315240</v>
      </c>
    </row>
    <row r="1183" spans="1:3" x14ac:dyDescent="0.35">
      <c r="A1183" s="53">
        <v>41366</v>
      </c>
      <c r="B1183" s="35">
        <v>33.43</v>
      </c>
      <c r="C1183" s="35">
        <v>2343206</v>
      </c>
    </row>
    <row r="1184" spans="1:3" x14ac:dyDescent="0.35">
      <c r="A1184" s="53">
        <v>41365</v>
      </c>
      <c r="B1184" s="35">
        <v>33.479999999999997</v>
      </c>
      <c r="C1184" s="35">
        <v>2275388</v>
      </c>
    </row>
    <row r="1185" spans="1:3" x14ac:dyDescent="0.35">
      <c r="A1185" s="53">
        <v>41361</v>
      </c>
      <c r="B1185" s="35">
        <v>33.5</v>
      </c>
      <c r="C1185" s="35">
        <v>6459396</v>
      </c>
    </row>
    <row r="1186" spans="1:3" x14ac:dyDescent="0.35">
      <c r="A1186" s="53">
        <v>41359</v>
      </c>
      <c r="B1186" s="35">
        <v>33.43</v>
      </c>
      <c r="C1186" s="35">
        <v>1700820</v>
      </c>
    </row>
    <row r="1187" spans="1:3" x14ac:dyDescent="0.35">
      <c r="A1187" s="53">
        <v>41358</v>
      </c>
      <c r="B1187" s="35">
        <v>33.4</v>
      </c>
      <c r="C1187" s="35">
        <v>3779204</v>
      </c>
    </row>
    <row r="1188" spans="1:3" x14ac:dyDescent="0.35">
      <c r="A1188" s="53">
        <v>41355</v>
      </c>
      <c r="B1188" s="35">
        <v>33.380000000000003</v>
      </c>
      <c r="C1188" s="35">
        <v>2242640</v>
      </c>
    </row>
    <row r="1189" spans="1:3" x14ac:dyDescent="0.35">
      <c r="A1189" s="53">
        <v>41354</v>
      </c>
      <c r="B1189" s="35">
        <v>33.4</v>
      </c>
      <c r="C1189" s="35">
        <v>654912</v>
      </c>
    </row>
    <row r="1190" spans="1:3" x14ac:dyDescent="0.35">
      <c r="A1190" s="53">
        <v>41353</v>
      </c>
      <c r="B1190" s="35">
        <v>33.35</v>
      </c>
      <c r="C1190" s="35">
        <v>962792</v>
      </c>
    </row>
    <row r="1191" spans="1:3" x14ac:dyDescent="0.35">
      <c r="A1191" s="53">
        <v>41352</v>
      </c>
      <c r="B1191" s="35">
        <v>33.53</v>
      </c>
      <c r="C1191" s="35">
        <v>279136</v>
      </c>
    </row>
    <row r="1192" spans="1:3" x14ac:dyDescent="0.35">
      <c r="A1192" s="53">
        <v>41351</v>
      </c>
      <c r="B1192" s="35">
        <v>33.53</v>
      </c>
      <c r="C1192" s="35">
        <v>576388</v>
      </c>
    </row>
    <row r="1193" spans="1:3" x14ac:dyDescent="0.35">
      <c r="A1193" s="53">
        <v>41348</v>
      </c>
      <c r="B1193" s="35">
        <v>33.6</v>
      </c>
      <c r="C1193" s="35">
        <v>1221402</v>
      </c>
    </row>
    <row r="1194" spans="1:3" x14ac:dyDescent="0.35">
      <c r="A1194" s="53">
        <v>41347</v>
      </c>
      <c r="B1194" s="35">
        <v>33.6</v>
      </c>
      <c r="C1194" s="35">
        <v>1154408</v>
      </c>
    </row>
    <row r="1195" spans="1:3" x14ac:dyDescent="0.35">
      <c r="A1195" s="53">
        <v>41346</v>
      </c>
      <c r="B1195" s="35">
        <v>33.5</v>
      </c>
      <c r="C1195" s="35">
        <v>421100</v>
      </c>
    </row>
    <row r="1196" spans="1:3" x14ac:dyDescent="0.35">
      <c r="A1196" s="53">
        <v>41345</v>
      </c>
      <c r="B1196" s="35">
        <v>33.78</v>
      </c>
      <c r="C1196" s="35">
        <v>1140146</v>
      </c>
    </row>
    <row r="1197" spans="1:3" x14ac:dyDescent="0.35">
      <c r="A1197" s="53">
        <v>41344</v>
      </c>
      <c r="B1197" s="35">
        <v>33.799999999999997</v>
      </c>
      <c r="C1197" s="35">
        <v>649614</v>
      </c>
    </row>
    <row r="1198" spans="1:3" x14ac:dyDescent="0.35">
      <c r="A1198" s="53">
        <v>41341</v>
      </c>
      <c r="B1198" s="35">
        <v>32.979999999999997</v>
      </c>
      <c r="C1198" s="35">
        <v>279354</v>
      </c>
    </row>
    <row r="1199" spans="1:3" x14ac:dyDescent="0.35">
      <c r="A1199" s="53">
        <v>41340</v>
      </c>
      <c r="B1199" s="35">
        <v>32.700000000000003</v>
      </c>
      <c r="C1199" s="35">
        <v>621322</v>
      </c>
    </row>
    <row r="1200" spans="1:3" x14ac:dyDescent="0.35">
      <c r="A1200" s="53">
        <v>41339</v>
      </c>
      <c r="B1200" s="35">
        <v>32.75</v>
      </c>
      <c r="C1200" s="35">
        <v>363638</v>
      </c>
    </row>
    <row r="1201" spans="1:3" x14ac:dyDescent="0.35">
      <c r="A1201" s="53">
        <v>41338</v>
      </c>
      <c r="B1201" s="35">
        <v>32.6</v>
      </c>
      <c r="C1201" s="35">
        <v>440284</v>
      </c>
    </row>
    <row r="1202" spans="1:3" x14ac:dyDescent="0.35">
      <c r="A1202" s="53">
        <v>41337</v>
      </c>
      <c r="B1202" s="35">
        <v>32.549999999999997</v>
      </c>
      <c r="C1202" s="35">
        <v>794606</v>
      </c>
    </row>
    <row r="1203" spans="1:3" x14ac:dyDescent="0.35">
      <c r="A1203" s="53">
        <v>41334</v>
      </c>
      <c r="B1203" s="35">
        <v>32.58</v>
      </c>
      <c r="C1203" s="35">
        <v>129848</v>
      </c>
    </row>
    <row r="1204" spans="1:3" x14ac:dyDescent="0.35">
      <c r="A1204" s="53">
        <v>41333</v>
      </c>
      <c r="B1204" s="35">
        <v>32.65</v>
      </c>
      <c r="C1204" s="35">
        <v>1676070</v>
      </c>
    </row>
    <row r="1205" spans="1:3" x14ac:dyDescent="0.35">
      <c r="A1205" s="53">
        <v>41332</v>
      </c>
      <c r="B1205" s="35">
        <v>32.68</v>
      </c>
      <c r="C1205" s="35">
        <v>858208</v>
      </c>
    </row>
    <row r="1206" spans="1:3" x14ac:dyDescent="0.35">
      <c r="A1206" s="53">
        <v>41331</v>
      </c>
      <c r="B1206" s="35">
        <v>32.6</v>
      </c>
      <c r="C1206" s="35">
        <v>836320</v>
      </c>
    </row>
    <row r="1207" spans="1:3" x14ac:dyDescent="0.35">
      <c r="A1207" s="53">
        <v>41330</v>
      </c>
      <c r="B1207" s="35">
        <v>32.950000000000003</v>
      </c>
      <c r="C1207" s="35">
        <v>302726</v>
      </c>
    </row>
    <row r="1208" spans="1:3" x14ac:dyDescent="0.35">
      <c r="A1208" s="53">
        <v>41327</v>
      </c>
      <c r="B1208" s="35">
        <v>33</v>
      </c>
      <c r="C1208" s="35">
        <v>1834236</v>
      </c>
    </row>
    <row r="1209" spans="1:3" x14ac:dyDescent="0.35">
      <c r="A1209" s="53">
        <v>41326</v>
      </c>
      <c r="B1209" s="35">
        <v>32.950000000000003</v>
      </c>
      <c r="C1209" s="35">
        <v>970916</v>
      </c>
    </row>
    <row r="1210" spans="1:3" x14ac:dyDescent="0.35">
      <c r="A1210" s="53">
        <v>41325</v>
      </c>
      <c r="B1210" s="35">
        <v>33</v>
      </c>
      <c r="C1210" s="35">
        <v>410608</v>
      </c>
    </row>
    <row r="1211" spans="1:3" x14ac:dyDescent="0.35">
      <c r="A1211" s="53">
        <v>41324</v>
      </c>
      <c r="B1211" s="35">
        <v>33</v>
      </c>
      <c r="C1211" s="35">
        <v>491652</v>
      </c>
    </row>
    <row r="1212" spans="1:3" x14ac:dyDescent="0.35">
      <c r="A1212" s="53">
        <v>41323</v>
      </c>
      <c r="B1212" s="35">
        <v>33</v>
      </c>
      <c r="C1212" s="35">
        <v>522236</v>
      </c>
    </row>
    <row r="1213" spans="1:3" x14ac:dyDescent="0.35">
      <c r="A1213" s="53">
        <v>41320</v>
      </c>
      <c r="B1213" s="35">
        <v>33.03</v>
      </c>
      <c r="C1213" s="35">
        <v>763824</v>
      </c>
    </row>
    <row r="1214" spans="1:3" x14ac:dyDescent="0.35">
      <c r="A1214" s="53">
        <v>41319</v>
      </c>
      <c r="B1214" s="35">
        <v>33.049999999999997</v>
      </c>
      <c r="C1214" s="35">
        <v>438532</v>
      </c>
    </row>
    <row r="1215" spans="1:3" x14ac:dyDescent="0.35">
      <c r="A1215" s="53">
        <v>41318</v>
      </c>
      <c r="B1215" s="35">
        <v>33.03</v>
      </c>
      <c r="C1215" s="35">
        <v>4275746</v>
      </c>
    </row>
    <row r="1216" spans="1:3" x14ac:dyDescent="0.35">
      <c r="A1216" s="53">
        <v>41317</v>
      </c>
      <c r="B1216" s="35">
        <v>33.03</v>
      </c>
      <c r="C1216" s="35">
        <v>683554</v>
      </c>
    </row>
    <row r="1217" spans="1:3" x14ac:dyDescent="0.35">
      <c r="A1217" s="53">
        <v>41316</v>
      </c>
      <c r="B1217" s="35">
        <v>33.1</v>
      </c>
      <c r="C1217" s="35">
        <v>257728</v>
      </c>
    </row>
    <row r="1218" spans="1:3" x14ac:dyDescent="0.35">
      <c r="A1218" s="53">
        <v>41313</v>
      </c>
      <c r="B1218" s="35">
        <v>33.18</v>
      </c>
      <c r="C1218" s="35">
        <v>570850</v>
      </c>
    </row>
    <row r="1219" spans="1:3" x14ac:dyDescent="0.35">
      <c r="A1219" s="53">
        <v>41312</v>
      </c>
      <c r="B1219" s="35">
        <v>33.25</v>
      </c>
      <c r="C1219" s="35">
        <v>540636</v>
      </c>
    </row>
    <row r="1220" spans="1:3" x14ac:dyDescent="0.35">
      <c r="A1220" s="53">
        <v>41311</v>
      </c>
      <c r="B1220" s="35">
        <v>33.380000000000003</v>
      </c>
      <c r="C1220" s="35">
        <v>206894</v>
      </c>
    </row>
    <row r="1221" spans="1:3" x14ac:dyDescent="0.35">
      <c r="A1221" s="53">
        <v>41310</v>
      </c>
      <c r="B1221" s="35">
        <v>33.33</v>
      </c>
      <c r="C1221" s="35">
        <v>426108</v>
      </c>
    </row>
    <row r="1222" spans="1:3" x14ac:dyDescent="0.35">
      <c r="A1222" s="53">
        <v>41309</v>
      </c>
      <c r="B1222" s="35">
        <v>33.479999999999997</v>
      </c>
      <c r="C1222" s="35">
        <v>1999710</v>
      </c>
    </row>
    <row r="1223" spans="1:3" x14ac:dyDescent="0.35">
      <c r="A1223" s="53">
        <v>41306</v>
      </c>
      <c r="B1223" s="35">
        <v>33.5</v>
      </c>
      <c r="C1223" s="35">
        <v>237064</v>
      </c>
    </row>
    <row r="1224" spans="1:3" x14ac:dyDescent="0.35">
      <c r="A1224" s="53">
        <v>41305</v>
      </c>
      <c r="B1224" s="35">
        <v>33.5</v>
      </c>
      <c r="C1224" s="35">
        <v>939278</v>
      </c>
    </row>
    <row r="1225" spans="1:3" x14ac:dyDescent="0.35">
      <c r="A1225" s="53">
        <v>41304</v>
      </c>
      <c r="B1225" s="35">
        <v>33.5</v>
      </c>
      <c r="C1225" s="35">
        <v>497136</v>
      </c>
    </row>
    <row r="1226" spans="1:3" x14ac:dyDescent="0.35">
      <c r="A1226" s="53">
        <v>41303</v>
      </c>
      <c r="B1226" s="35">
        <v>33.5</v>
      </c>
      <c r="C1226" s="35">
        <v>137890</v>
      </c>
    </row>
    <row r="1227" spans="1:3" x14ac:dyDescent="0.35">
      <c r="A1227" s="53">
        <v>41302</v>
      </c>
      <c r="B1227" s="35">
        <v>33.5</v>
      </c>
      <c r="C1227" s="35">
        <v>278528</v>
      </c>
    </row>
    <row r="1228" spans="1:3" x14ac:dyDescent="0.35">
      <c r="A1228" s="53">
        <v>41299</v>
      </c>
      <c r="B1228" s="35">
        <v>33.479999999999997</v>
      </c>
      <c r="C1228" s="35">
        <v>1532542</v>
      </c>
    </row>
    <row r="1229" spans="1:3" x14ac:dyDescent="0.35">
      <c r="A1229" s="53">
        <v>41298</v>
      </c>
      <c r="B1229" s="35">
        <v>33.68</v>
      </c>
      <c r="C1229" s="35">
        <v>1593872</v>
      </c>
    </row>
    <row r="1230" spans="1:3" x14ac:dyDescent="0.35">
      <c r="A1230" s="53">
        <v>41297</v>
      </c>
      <c r="B1230" s="35">
        <v>33.5</v>
      </c>
      <c r="C1230" s="35">
        <v>609622</v>
      </c>
    </row>
    <row r="1231" spans="1:3" x14ac:dyDescent="0.35">
      <c r="A1231" s="53">
        <v>41296</v>
      </c>
      <c r="B1231" s="35">
        <v>33.53</v>
      </c>
      <c r="C1231" s="35">
        <v>1515060</v>
      </c>
    </row>
    <row r="1232" spans="1:3" x14ac:dyDescent="0.35">
      <c r="A1232" s="53">
        <v>41295</v>
      </c>
      <c r="B1232" s="35">
        <v>33.479999999999997</v>
      </c>
      <c r="C1232" s="35">
        <v>1444658</v>
      </c>
    </row>
    <row r="1233" spans="1:3" x14ac:dyDescent="0.35">
      <c r="A1233" s="53">
        <v>41292</v>
      </c>
      <c r="B1233" s="35">
        <v>33.549999999999997</v>
      </c>
      <c r="C1233" s="35">
        <v>2959008</v>
      </c>
    </row>
    <row r="1234" spans="1:3" x14ac:dyDescent="0.35">
      <c r="A1234" s="53">
        <v>41291</v>
      </c>
      <c r="B1234" s="35">
        <v>33.58</v>
      </c>
      <c r="C1234" s="35">
        <v>2565944</v>
      </c>
    </row>
    <row r="1235" spans="1:3" x14ac:dyDescent="0.35">
      <c r="A1235" s="53">
        <v>41290</v>
      </c>
      <c r="B1235" s="35">
        <v>33.479999999999997</v>
      </c>
      <c r="C1235" s="35">
        <v>1580720</v>
      </c>
    </row>
    <row r="1236" spans="1:3" x14ac:dyDescent="0.35">
      <c r="A1236" s="53">
        <v>41289</v>
      </c>
      <c r="B1236" s="35">
        <v>33.5</v>
      </c>
      <c r="C1236" s="35">
        <v>4061498</v>
      </c>
    </row>
    <row r="1237" spans="1:3" x14ac:dyDescent="0.35">
      <c r="A1237" s="53">
        <v>41288</v>
      </c>
      <c r="B1237" s="35">
        <v>33.5</v>
      </c>
      <c r="C1237" s="35">
        <v>4207640</v>
      </c>
    </row>
    <row r="1238" spans="1:3" x14ac:dyDescent="0.35">
      <c r="A1238" s="53">
        <v>41285</v>
      </c>
      <c r="B1238" s="35">
        <v>33.6</v>
      </c>
      <c r="C1238" s="35">
        <v>1460554</v>
      </c>
    </row>
    <row r="1239" spans="1:3" x14ac:dyDescent="0.35">
      <c r="A1239" s="53">
        <v>41284</v>
      </c>
      <c r="B1239" s="35">
        <v>33</v>
      </c>
      <c r="C1239" s="35">
        <v>795408</v>
      </c>
    </row>
    <row r="1240" spans="1:3" x14ac:dyDescent="0.35">
      <c r="A1240" s="53">
        <v>41283</v>
      </c>
      <c r="B1240" s="35">
        <v>32.979999999999997</v>
      </c>
      <c r="C1240" s="35">
        <v>2737344</v>
      </c>
    </row>
    <row r="1241" spans="1:3" x14ac:dyDescent="0.35">
      <c r="A1241" s="53">
        <v>41282</v>
      </c>
      <c r="B1241" s="35">
        <v>33.1</v>
      </c>
      <c r="C1241" s="35">
        <v>2874534</v>
      </c>
    </row>
    <row r="1242" spans="1:3" x14ac:dyDescent="0.35">
      <c r="A1242" s="53">
        <v>41281</v>
      </c>
      <c r="B1242" s="35">
        <v>33.229999999999997</v>
      </c>
      <c r="C1242" s="35">
        <v>1759802</v>
      </c>
    </row>
    <row r="1243" spans="1:3" x14ac:dyDescent="0.35">
      <c r="A1243" s="53">
        <v>41278</v>
      </c>
      <c r="B1243" s="35">
        <v>32.28</v>
      </c>
      <c r="C1243" s="35">
        <v>1110550</v>
      </c>
    </row>
    <row r="1244" spans="1:3" x14ac:dyDescent="0.35">
      <c r="A1244" s="53">
        <v>41277</v>
      </c>
      <c r="B1244" s="35">
        <v>31.43</v>
      </c>
      <c r="C1244" s="35">
        <v>627830</v>
      </c>
    </row>
    <row r="1245" spans="1:3" x14ac:dyDescent="0.35">
      <c r="A1245" s="53">
        <v>41276</v>
      </c>
      <c r="B1245" s="35">
        <v>31</v>
      </c>
      <c r="C1245" s="35">
        <v>1501512</v>
      </c>
    </row>
    <row r="1246" spans="1:3" x14ac:dyDescent="0.35">
      <c r="A1246" s="53">
        <v>41275</v>
      </c>
      <c r="B1246" s="35">
        <v>29.85</v>
      </c>
      <c r="C1246" s="35">
        <v>2486652</v>
      </c>
    </row>
    <row r="1247" spans="1:3" x14ac:dyDescent="0.35">
      <c r="A1247" s="53">
        <v>41274</v>
      </c>
      <c r="B1247" s="35">
        <v>29.75</v>
      </c>
      <c r="C1247" s="35">
        <v>2431630</v>
      </c>
    </row>
    <row r="1248" spans="1:3" x14ac:dyDescent="0.35">
      <c r="A1248" s="53">
        <v>41271</v>
      </c>
      <c r="B1248" s="35">
        <v>29.83</v>
      </c>
      <c r="C1248" s="35">
        <v>3991170</v>
      </c>
    </row>
    <row r="1249" spans="1:3" x14ac:dyDescent="0.35">
      <c r="A1249" s="53">
        <v>41270</v>
      </c>
      <c r="B1249" s="35">
        <v>29.8</v>
      </c>
      <c r="C1249" s="35">
        <v>2865578</v>
      </c>
    </row>
    <row r="1250" spans="1:3" x14ac:dyDescent="0.35">
      <c r="A1250" s="53">
        <v>41269</v>
      </c>
      <c r="B1250" s="35">
        <v>29.8</v>
      </c>
      <c r="C1250" s="35">
        <v>1664358</v>
      </c>
    </row>
    <row r="1251" spans="1:3" x14ac:dyDescent="0.35">
      <c r="A1251" s="53">
        <v>41267</v>
      </c>
      <c r="B1251" s="35">
        <v>30</v>
      </c>
      <c r="C1251" s="35">
        <v>385660</v>
      </c>
    </row>
    <row r="1252" spans="1:3" x14ac:dyDescent="0.35">
      <c r="A1252" s="53">
        <v>41264</v>
      </c>
      <c r="B1252" s="35">
        <v>29.73</v>
      </c>
      <c r="C1252" s="35">
        <v>1325180</v>
      </c>
    </row>
    <row r="1253" spans="1:3" x14ac:dyDescent="0.35">
      <c r="A1253" s="53">
        <v>41263</v>
      </c>
      <c r="B1253" s="35">
        <v>30.18</v>
      </c>
      <c r="C1253" s="35">
        <v>1749540</v>
      </c>
    </row>
    <row r="1254" spans="1:3" x14ac:dyDescent="0.35">
      <c r="A1254" s="53">
        <v>41262</v>
      </c>
      <c r="B1254" s="35">
        <v>30.05</v>
      </c>
      <c r="C1254" s="35">
        <v>9156804</v>
      </c>
    </row>
    <row r="1255" spans="1:3" x14ac:dyDescent="0.35">
      <c r="A1255" s="53">
        <v>41261</v>
      </c>
      <c r="B1255" s="35">
        <v>30.25</v>
      </c>
      <c r="C1255" s="35">
        <v>10581118</v>
      </c>
    </row>
    <row r="1256" spans="1:3" x14ac:dyDescent="0.35">
      <c r="A1256" s="53">
        <v>41260</v>
      </c>
      <c r="B1256" s="35">
        <v>29.93</v>
      </c>
      <c r="C1256" s="35">
        <v>10922322</v>
      </c>
    </row>
    <row r="1257" spans="1:3" x14ac:dyDescent="0.35">
      <c r="A1257" s="53">
        <v>41257</v>
      </c>
      <c r="B1257" s="35">
        <v>29.3</v>
      </c>
      <c r="C1257" s="35">
        <v>1573886</v>
      </c>
    </row>
    <row r="1258" spans="1:3" x14ac:dyDescent="0.35">
      <c r="A1258" s="53">
        <v>41256</v>
      </c>
      <c r="B1258" s="35">
        <v>29.73</v>
      </c>
      <c r="C1258" s="35">
        <v>2555042</v>
      </c>
    </row>
    <row r="1259" spans="1:3" x14ac:dyDescent="0.35">
      <c r="A1259" s="53">
        <v>41255</v>
      </c>
      <c r="B1259" s="35">
        <v>29.63</v>
      </c>
      <c r="C1259" s="35">
        <v>3752556</v>
      </c>
    </row>
    <row r="1260" spans="1:3" x14ac:dyDescent="0.35">
      <c r="A1260" s="53">
        <v>41254</v>
      </c>
      <c r="B1260" s="35">
        <v>27.53</v>
      </c>
      <c r="C1260" s="35">
        <v>1455924</v>
      </c>
    </row>
    <row r="1261" spans="1:3" x14ac:dyDescent="0.35">
      <c r="A1261" s="53">
        <v>41253</v>
      </c>
      <c r="B1261" s="35">
        <v>27.5</v>
      </c>
      <c r="C1261" s="35">
        <v>874382</v>
      </c>
    </row>
    <row r="1262" spans="1:3" x14ac:dyDescent="0.35">
      <c r="A1262" s="53">
        <v>41250</v>
      </c>
      <c r="B1262" s="35">
        <v>27.5</v>
      </c>
      <c r="C1262" s="35">
        <v>202424</v>
      </c>
    </row>
    <row r="1263" spans="1:3" x14ac:dyDescent="0.35">
      <c r="A1263" s="53">
        <v>41249</v>
      </c>
      <c r="B1263" s="35">
        <v>27.5</v>
      </c>
      <c r="C1263" s="35">
        <v>864300</v>
      </c>
    </row>
    <row r="1264" spans="1:3" x14ac:dyDescent="0.35">
      <c r="A1264" s="53">
        <v>41248</v>
      </c>
      <c r="B1264" s="35">
        <v>27.5</v>
      </c>
      <c r="C1264" s="35">
        <v>549726</v>
      </c>
    </row>
    <row r="1265" spans="1:3" x14ac:dyDescent="0.35">
      <c r="A1265" s="53">
        <v>41247</v>
      </c>
      <c r="B1265" s="35">
        <v>27.3</v>
      </c>
      <c r="C1265" s="35">
        <v>153406</v>
      </c>
    </row>
    <row r="1266" spans="1:3" x14ac:dyDescent="0.35">
      <c r="A1266" s="53">
        <v>41246</v>
      </c>
      <c r="B1266" s="35">
        <v>27.25</v>
      </c>
      <c r="C1266" s="35">
        <v>1450576</v>
      </c>
    </row>
    <row r="1267" spans="1:3" x14ac:dyDescent="0.35">
      <c r="A1267" s="53">
        <v>41243</v>
      </c>
      <c r="B1267" s="35">
        <v>27.25</v>
      </c>
      <c r="C1267" s="35">
        <v>301828</v>
      </c>
    </row>
    <row r="1268" spans="1:3" x14ac:dyDescent="0.35">
      <c r="A1268" s="53">
        <v>41242</v>
      </c>
      <c r="B1268" s="35">
        <v>27.28</v>
      </c>
      <c r="C1268" s="35">
        <v>1310422</v>
      </c>
    </row>
    <row r="1269" spans="1:3" x14ac:dyDescent="0.35">
      <c r="A1269" s="53">
        <v>41240</v>
      </c>
      <c r="B1269" s="35">
        <v>27.28</v>
      </c>
      <c r="C1269" s="35">
        <v>704926</v>
      </c>
    </row>
    <row r="1270" spans="1:3" x14ac:dyDescent="0.35">
      <c r="A1270" s="53">
        <v>41239</v>
      </c>
      <c r="B1270" s="35">
        <v>27.25</v>
      </c>
      <c r="C1270" s="35">
        <v>557180</v>
      </c>
    </row>
    <row r="1271" spans="1:3" x14ac:dyDescent="0.35">
      <c r="A1271" s="53">
        <v>41236</v>
      </c>
      <c r="B1271" s="35">
        <v>27.25</v>
      </c>
      <c r="C1271" s="35">
        <v>667318</v>
      </c>
    </row>
    <row r="1272" spans="1:3" x14ac:dyDescent="0.35">
      <c r="A1272" s="53">
        <v>41235</v>
      </c>
      <c r="B1272" s="35">
        <v>27.25</v>
      </c>
      <c r="C1272" s="35">
        <v>1834346</v>
      </c>
    </row>
    <row r="1273" spans="1:3" x14ac:dyDescent="0.35">
      <c r="A1273" s="53">
        <v>41234</v>
      </c>
      <c r="B1273" s="35">
        <v>27.3</v>
      </c>
      <c r="C1273" s="35">
        <v>501656</v>
      </c>
    </row>
    <row r="1274" spans="1:3" x14ac:dyDescent="0.35">
      <c r="A1274" s="53">
        <v>41233</v>
      </c>
      <c r="B1274" s="35">
        <v>27.38</v>
      </c>
      <c r="C1274" s="35">
        <v>587358</v>
      </c>
    </row>
    <row r="1275" spans="1:3" x14ac:dyDescent="0.35">
      <c r="A1275" s="53">
        <v>41232</v>
      </c>
      <c r="B1275" s="35">
        <v>27.43</v>
      </c>
      <c r="C1275" s="35">
        <v>2328438</v>
      </c>
    </row>
    <row r="1276" spans="1:3" x14ac:dyDescent="0.35">
      <c r="A1276" s="53">
        <v>41229</v>
      </c>
      <c r="B1276" s="35">
        <v>27.5</v>
      </c>
      <c r="C1276" s="35">
        <v>258628</v>
      </c>
    </row>
    <row r="1277" spans="1:3" x14ac:dyDescent="0.35">
      <c r="A1277" s="53">
        <v>41228</v>
      </c>
      <c r="B1277" s="35">
        <v>27.43</v>
      </c>
      <c r="C1277" s="35">
        <v>1023980</v>
      </c>
    </row>
    <row r="1278" spans="1:3" x14ac:dyDescent="0.35">
      <c r="A1278" s="53">
        <v>41226</v>
      </c>
      <c r="B1278" s="35">
        <v>27.93</v>
      </c>
      <c r="C1278" s="35">
        <v>369604</v>
      </c>
    </row>
    <row r="1279" spans="1:3" x14ac:dyDescent="0.35">
      <c r="A1279" s="53">
        <v>41225</v>
      </c>
      <c r="B1279" s="35">
        <v>27.53</v>
      </c>
      <c r="C1279" s="35">
        <v>1622014</v>
      </c>
    </row>
    <row r="1280" spans="1:3" x14ac:dyDescent="0.35">
      <c r="A1280" s="53">
        <v>41222</v>
      </c>
      <c r="B1280" s="35">
        <v>27.53</v>
      </c>
      <c r="C1280" s="35">
        <v>452758</v>
      </c>
    </row>
    <row r="1281" spans="1:3" x14ac:dyDescent="0.35">
      <c r="A1281" s="53">
        <v>41221</v>
      </c>
      <c r="B1281" s="35">
        <v>27.5</v>
      </c>
      <c r="C1281" s="35">
        <v>2245278</v>
      </c>
    </row>
    <row r="1282" spans="1:3" x14ac:dyDescent="0.35">
      <c r="A1282" s="53">
        <v>41220</v>
      </c>
      <c r="B1282" s="35">
        <v>27.75</v>
      </c>
      <c r="C1282" s="35">
        <v>1245364</v>
      </c>
    </row>
    <row r="1283" spans="1:3" x14ac:dyDescent="0.35">
      <c r="A1283" s="53">
        <v>41219</v>
      </c>
      <c r="B1283" s="35">
        <v>27.58</v>
      </c>
      <c r="C1283" s="35">
        <v>280914</v>
      </c>
    </row>
    <row r="1284" spans="1:3" x14ac:dyDescent="0.35">
      <c r="A1284" s="53">
        <v>41218</v>
      </c>
      <c r="B1284" s="35">
        <v>27.88</v>
      </c>
      <c r="C1284" s="35">
        <v>494504</v>
      </c>
    </row>
    <row r="1285" spans="1:3" x14ac:dyDescent="0.35">
      <c r="A1285" s="53">
        <v>41215</v>
      </c>
      <c r="B1285" s="35">
        <v>27.63</v>
      </c>
      <c r="C1285" s="35">
        <v>739352</v>
      </c>
    </row>
    <row r="1286" spans="1:3" x14ac:dyDescent="0.35">
      <c r="A1286" s="53">
        <v>41214</v>
      </c>
      <c r="B1286" s="35">
        <v>28.5</v>
      </c>
      <c r="C1286" s="35">
        <v>1441080</v>
      </c>
    </row>
    <row r="1287" spans="1:3" x14ac:dyDescent="0.35">
      <c r="A1287" s="53">
        <v>41213</v>
      </c>
      <c r="B1287" s="35">
        <v>28.88</v>
      </c>
      <c r="C1287" s="35">
        <v>2465168</v>
      </c>
    </row>
    <row r="1288" spans="1:3" x14ac:dyDescent="0.35">
      <c r="A1288" s="53">
        <v>41212</v>
      </c>
      <c r="B1288" s="35">
        <v>27.58</v>
      </c>
      <c r="C1288" s="35">
        <v>1332982</v>
      </c>
    </row>
    <row r="1289" spans="1:3" x14ac:dyDescent="0.35">
      <c r="A1289" s="53">
        <v>41211</v>
      </c>
      <c r="B1289" s="35">
        <v>26.6</v>
      </c>
      <c r="C1289" s="35">
        <v>675148</v>
      </c>
    </row>
    <row r="1290" spans="1:3" x14ac:dyDescent="0.35">
      <c r="A1290" s="53">
        <v>41208</v>
      </c>
      <c r="B1290" s="35">
        <v>26.15</v>
      </c>
      <c r="C1290" s="35">
        <v>2188820</v>
      </c>
    </row>
    <row r="1291" spans="1:3" x14ac:dyDescent="0.35">
      <c r="A1291" s="53">
        <v>41207</v>
      </c>
      <c r="B1291" s="35">
        <v>26.18</v>
      </c>
      <c r="C1291" s="35">
        <v>2699470</v>
      </c>
    </row>
    <row r="1292" spans="1:3" x14ac:dyDescent="0.35">
      <c r="A1292" s="53">
        <v>41205</v>
      </c>
      <c r="B1292" s="35">
        <v>26</v>
      </c>
      <c r="C1292" s="35">
        <v>1104462</v>
      </c>
    </row>
    <row r="1293" spans="1:3" x14ac:dyDescent="0.35">
      <c r="A1293" s="53">
        <v>41204</v>
      </c>
      <c r="B1293" s="35">
        <v>26.03</v>
      </c>
      <c r="C1293" s="35">
        <v>2314016</v>
      </c>
    </row>
    <row r="1294" spans="1:3" x14ac:dyDescent="0.35">
      <c r="A1294" s="53">
        <v>41201</v>
      </c>
      <c r="B1294" s="35">
        <v>26.08</v>
      </c>
      <c r="C1294" s="35">
        <v>749510</v>
      </c>
    </row>
    <row r="1295" spans="1:3" x14ac:dyDescent="0.35">
      <c r="A1295" s="53">
        <v>41200</v>
      </c>
      <c r="B1295" s="35">
        <v>26.15</v>
      </c>
      <c r="C1295" s="35">
        <v>561538</v>
      </c>
    </row>
    <row r="1296" spans="1:3" x14ac:dyDescent="0.35">
      <c r="A1296" s="53">
        <v>41199</v>
      </c>
      <c r="B1296" s="35">
        <v>26.18</v>
      </c>
      <c r="C1296" s="35">
        <v>2449224</v>
      </c>
    </row>
    <row r="1297" spans="1:3" x14ac:dyDescent="0.35">
      <c r="A1297" s="53">
        <v>41198</v>
      </c>
      <c r="B1297" s="35">
        <v>26.25</v>
      </c>
      <c r="C1297" s="35">
        <v>802230</v>
      </c>
    </row>
    <row r="1298" spans="1:3" x14ac:dyDescent="0.35">
      <c r="A1298" s="53">
        <v>41197</v>
      </c>
      <c r="B1298" s="35">
        <v>26.33</v>
      </c>
      <c r="C1298" s="35">
        <v>1374430</v>
      </c>
    </row>
    <row r="1299" spans="1:3" x14ac:dyDescent="0.35">
      <c r="A1299" s="53">
        <v>41194</v>
      </c>
      <c r="B1299" s="35">
        <v>26.65</v>
      </c>
      <c r="C1299" s="35">
        <v>1768788</v>
      </c>
    </row>
    <row r="1300" spans="1:3" x14ac:dyDescent="0.35">
      <c r="A1300" s="53">
        <v>41193</v>
      </c>
      <c r="B1300" s="35">
        <v>26.83</v>
      </c>
      <c r="C1300" s="35">
        <v>5247108</v>
      </c>
    </row>
    <row r="1301" spans="1:3" x14ac:dyDescent="0.35">
      <c r="A1301" s="53">
        <v>41192</v>
      </c>
      <c r="B1301" s="35">
        <v>26</v>
      </c>
      <c r="C1301" s="35">
        <v>5924984</v>
      </c>
    </row>
    <row r="1302" spans="1:3" x14ac:dyDescent="0.35">
      <c r="A1302" s="53">
        <v>41191</v>
      </c>
      <c r="B1302" s="35">
        <v>26.05</v>
      </c>
      <c r="C1302" s="35">
        <v>3915152</v>
      </c>
    </row>
    <row r="1303" spans="1:3" x14ac:dyDescent="0.35">
      <c r="A1303" s="53">
        <v>41190</v>
      </c>
      <c r="B1303" s="35">
        <v>25.85</v>
      </c>
      <c r="C1303" s="35">
        <v>4597020</v>
      </c>
    </row>
    <row r="1304" spans="1:3" x14ac:dyDescent="0.35">
      <c r="A1304" s="53">
        <v>41187</v>
      </c>
      <c r="B1304" s="35">
        <v>26</v>
      </c>
      <c r="C1304" s="35">
        <v>7827242</v>
      </c>
    </row>
    <row r="1305" spans="1:3" x14ac:dyDescent="0.35">
      <c r="A1305" s="53">
        <v>41186</v>
      </c>
      <c r="B1305" s="35">
        <v>28.25</v>
      </c>
      <c r="C1305" s="35">
        <v>3061746</v>
      </c>
    </row>
    <row r="1306" spans="1:3" x14ac:dyDescent="0.35">
      <c r="A1306" s="53">
        <v>41185</v>
      </c>
      <c r="B1306" s="35">
        <v>31.15</v>
      </c>
      <c r="C1306" s="35">
        <v>1440368</v>
      </c>
    </row>
    <row r="1307" spans="1:3" x14ac:dyDescent="0.35">
      <c r="A1307" s="53">
        <v>41183</v>
      </c>
      <c r="B1307" s="35">
        <v>31.55</v>
      </c>
      <c r="C1307" s="35">
        <v>2869202</v>
      </c>
    </row>
    <row r="1308" spans="1:3" x14ac:dyDescent="0.35">
      <c r="A1308" s="53">
        <v>41180</v>
      </c>
      <c r="B1308" s="35">
        <v>29.95</v>
      </c>
      <c r="C1308" s="35">
        <v>5288524</v>
      </c>
    </row>
    <row r="1309" spans="1:3" x14ac:dyDescent="0.35">
      <c r="A1309" s="53">
        <v>41179</v>
      </c>
      <c r="B1309" s="35">
        <v>27.83</v>
      </c>
      <c r="C1309" s="35">
        <v>1365574</v>
      </c>
    </row>
    <row r="1310" spans="1:3" x14ac:dyDescent="0.35">
      <c r="A1310" s="53">
        <v>41178</v>
      </c>
      <c r="B1310" s="35">
        <v>27.45</v>
      </c>
      <c r="C1310" s="35">
        <v>1290566</v>
      </c>
    </row>
    <row r="1311" spans="1:3" x14ac:dyDescent="0.35">
      <c r="A1311" s="53">
        <v>41177</v>
      </c>
      <c r="B1311" s="35">
        <v>26.95</v>
      </c>
      <c r="C1311" s="35">
        <v>5846886</v>
      </c>
    </row>
    <row r="1312" spans="1:3" x14ac:dyDescent="0.35">
      <c r="A1312" s="53">
        <v>41176</v>
      </c>
      <c r="B1312" s="35">
        <v>26.23</v>
      </c>
      <c r="C1312" s="35">
        <v>5454528</v>
      </c>
    </row>
    <row r="1313" spans="1:3" x14ac:dyDescent="0.35">
      <c r="A1313" s="53">
        <v>41173</v>
      </c>
      <c r="B1313" s="35">
        <v>24.7</v>
      </c>
      <c r="C1313" s="35">
        <v>3672108</v>
      </c>
    </row>
    <row r="1314" spans="1:3" x14ac:dyDescent="0.35">
      <c r="A1314" s="53">
        <v>41172</v>
      </c>
      <c r="B1314" s="35">
        <v>23</v>
      </c>
      <c r="C1314" s="35">
        <v>8024858</v>
      </c>
    </row>
    <row r="1315" spans="1:3" x14ac:dyDescent="0.35">
      <c r="A1315" s="53">
        <v>41170</v>
      </c>
      <c r="B1315" s="35">
        <v>23</v>
      </c>
      <c r="C1315" s="35">
        <v>6135712</v>
      </c>
    </row>
    <row r="1316" spans="1:3" x14ac:dyDescent="0.35">
      <c r="A1316" s="53">
        <v>41169</v>
      </c>
      <c r="B1316" s="35">
        <v>23.1</v>
      </c>
      <c r="C1316" s="35">
        <v>6226422</v>
      </c>
    </row>
    <row r="1317" spans="1:3" x14ac:dyDescent="0.35">
      <c r="A1317" s="53">
        <v>41166</v>
      </c>
      <c r="B1317" s="35">
        <v>23.13</v>
      </c>
      <c r="C1317" s="35">
        <v>6106240</v>
      </c>
    </row>
    <row r="1318" spans="1:3" x14ac:dyDescent="0.35">
      <c r="A1318" s="53">
        <v>41165</v>
      </c>
      <c r="B1318" s="35">
        <v>23.03</v>
      </c>
      <c r="C1318" s="35">
        <v>6724496</v>
      </c>
    </row>
    <row r="1319" spans="1:3" x14ac:dyDescent="0.35">
      <c r="A1319" s="53">
        <v>41164</v>
      </c>
      <c r="B1319" s="35">
        <v>22.38</v>
      </c>
      <c r="C1319" s="35">
        <v>7881552</v>
      </c>
    </row>
    <row r="1320" spans="1:3" x14ac:dyDescent="0.35">
      <c r="A1320" s="53">
        <v>41163</v>
      </c>
      <c r="B1320" s="35">
        <v>22.13</v>
      </c>
      <c r="C1320" s="35">
        <v>6282372</v>
      </c>
    </row>
    <row r="1321" spans="1:3" x14ac:dyDescent="0.35">
      <c r="A1321" s="53">
        <v>41162</v>
      </c>
      <c r="B1321" s="35">
        <v>21.6</v>
      </c>
      <c r="C1321" s="35">
        <v>8002684</v>
      </c>
    </row>
    <row r="1322" spans="1:3" x14ac:dyDescent="0.35">
      <c r="A1322" s="53">
        <v>41160</v>
      </c>
      <c r="B1322" s="35">
        <v>21.5</v>
      </c>
      <c r="C1322" s="35">
        <v>42792</v>
      </c>
    </row>
    <row r="1323" spans="1:3" x14ac:dyDescent="0.35">
      <c r="A1323" s="53">
        <v>41159</v>
      </c>
      <c r="B1323" s="35">
        <v>21.43</v>
      </c>
      <c r="C1323" s="35">
        <v>3276928</v>
      </c>
    </row>
    <row r="1324" spans="1:3" x14ac:dyDescent="0.35">
      <c r="A1324" s="53">
        <v>41158</v>
      </c>
      <c r="B1324" s="35">
        <v>21.2</v>
      </c>
      <c r="C1324" s="35">
        <v>2638978</v>
      </c>
    </row>
    <row r="1325" spans="1:3" x14ac:dyDescent="0.35">
      <c r="A1325" s="53">
        <v>41157</v>
      </c>
      <c r="B1325" s="35">
        <v>21.15</v>
      </c>
      <c r="C1325" s="35">
        <v>2859982</v>
      </c>
    </row>
    <row r="1326" spans="1:3" x14ac:dyDescent="0.35">
      <c r="A1326" s="53">
        <v>41156</v>
      </c>
      <c r="B1326" s="35">
        <v>21.23</v>
      </c>
      <c r="C1326" s="35">
        <v>3053158</v>
      </c>
    </row>
    <row r="1327" spans="1:3" x14ac:dyDescent="0.35">
      <c r="A1327" s="53">
        <v>41155</v>
      </c>
      <c r="B1327" s="35">
        <v>21.25</v>
      </c>
      <c r="C1327" s="35">
        <v>2185016</v>
      </c>
    </row>
    <row r="1328" spans="1:3" x14ac:dyDescent="0.35">
      <c r="A1328" s="53">
        <v>41152</v>
      </c>
      <c r="B1328" s="35">
        <v>21.25</v>
      </c>
      <c r="C1328" s="35">
        <v>586946</v>
      </c>
    </row>
    <row r="1329" spans="1:3" x14ac:dyDescent="0.35">
      <c r="A1329" s="53">
        <v>41151</v>
      </c>
      <c r="B1329" s="35">
        <v>21.25</v>
      </c>
      <c r="C1329" s="35">
        <v>1442296</v>
      </c>
    </row>
    <row r="1330" spans="1:3" x14ac:dyDescent="0.35">
      <c r="A1330" s="53">
        <v>41150</v>
      </c>
      <c r="B1330" s="35">
        <v>21.23</v>
      </c>
      <c r="C1330" s="35">
        <v>1359062</v>
      </c>
    </row>
    <row r="1331" spans="1:3" x14ac:dyDescent="0.35">
      <c r="A1331" s="53">
        <v>41149</v>
      </c>
      <c r="B1331" s="35">
        <v>21.3</v>
      </c>
      <c r="C1331" s="35">
        <v>1860234</v>
      </c>
    </row>
    <row r="1332" spans="1:3" x14ac:dyDescent="0.35">
      <c r="A1332" s="53">
        <v>41148</v>
      </c>
      <c r="B1332" s="35">
        <v>21.13</v>
      </c>
      <c r="C1332" s="35">
        <v>975908</v>
      </c>
    </row>
    <row r="1333" spans="1:3" x14ac:dyDescent="0.35">
      <c r="A1333" s="53">
        <v>41145</v>
      </c>
      <c r="B1333" s="35">
        <v>21.23</v>
      </c>
      <c r="C1333" s="35">
        <v>995442</v>
      </c>
    </row>
    <row r="1334" spans="1:3" x14ac:dyDescent="0.35">
      <c r="A1334" s="53">
        <v>41144</v>
      </c>
      <c r="B1334" s="35">
        <v>21.03</v>
      </c>
      <c r="C1334" s="35">
        <v>862860</v>
      </c>
    </row>
    <row r="1335" spans="1:3" x14ac:dyDescent="0.35">
      <c r="A1335" s="53">
        <v>41143</v>
      </c>
      <c r="B1335" s="35">
        <v>21.23</v>
      </c>
      <c r="C1335" s="35">
        <v>4419886</v>
      </c>
    </row>
    <row r="1336" spans="1:3" x14ac:dyDescent="0.35">
      <c r="A1336" s="53">
        <v>41142</v>
      </c>
      <c r="B1336" s="35">
        <v>20.88</v>
      </c>
      <c r="C1336" s="35">
        <v>5335020</v>
      </c>
    </row>
    <row r="1337" spans="1:3" x14ac:dyDescent="0.35">
      <c r="A1337" s="53">
        <v>41138</v>
      </c>
      <c r="B1337" s="35">
        <v>20.329999999999998</v>
      </c>
      <c r="C1337" s="35">
        <v>1511436</v>
      </c>
    </row>
    <row r="1338" spans="1:3" x14ac:dyDescent="0.35">
      <c r="A1338" s="53">
        <v>41137</v>
      </c>
      <c r="B1338" s="35">
        <v>20.3</v>
      </c>
      <c r="C1338" s="35">
        <v>3190914</v>
      </c>
    </row>
    <row r="1339" spans="1:3" x14ac:dyDescent="0.35">
      <c r="A1339" s="53">
        <v>41135</v>
      </c>
      <c r="B1339" s="35">
        <v>20</v>
      </c>
      <c r="C1339" s="35">
        <v>2711264</v>
      </c>
    </row>
    <row r="1340" spans="1:3" x14ac:dyDescent="0.35">
      <c r="A1340" s="53">
        <v>41134</v>
      </c>
      <c r="B1340" s="35">
        <v>19.75</v>
      </c>
      <c r="C1340" s="35">
        <v>509752</v>
      </c>
    </row>
    <row r="1341" spans="1:3" x14ac:dyDescent="0.35">
      <c r="A1341" s="53">
        <v>41131</v>
      </c>
      <c r="B1341" s="35">
        <v>19.88</v>
      </c>
      <c r="C1341" s="35">
        <v>83178</v>
      </c>
    </row>
    <row r="1342" spans="1:3" x14ac:dyDescent="0.35">
      <c r="A1342" s="53">
        <v>41130</v>
      </c>
      <c r="B1342" s="35">
        <v>20.03</v>
      </c>
      <c r="C1342" s="35">
        <v>133534</v>
      </c>
    </row>
    <row r="1343" spans="1:3" x14ac:dyDescent="0.35">
      <c r="A1343" s="53">
        <v>41129</v>
      </c>
      <c r="B1343" s="35">
        <v>20.2</v>
      </c>
      <c r="C1343" s="35">
        <v>1541768</v>
      </c>
    </row>
    <row r="1344" spans="1:3" x14ac:dyDescent="0.35">
      <c r="A1344" s="53">
        <v>41128</v>
      </c>
      <c r="B1344" s="35">
        <v>19.7</v>
      </c>
      <c r="C1344" s="35">
        <v>350714</v>
      </c>
    </row>
    <row r="1345" spans="1:3" x14ac:dyDescent="0.35">
      <c r="A1345" s="53">
        <v>41127</v>
      </c>
      <c r="B1345" s="35">
        <v>19.53</v>
      </c>
      <c r="C1345" s="35">
        <v>385352</v>
      </c>
    </row>
    <row r="1346" spans="1:3" x14ac:dyDescent="0.35">
      <c r="A1346" s="53">
        <v>41124</v>
      </c>
      <c r="B1346" s="35">
        <v>19.579999999999998</v>
      </c>
      <c r="C1346" s="35">
        <v>440986</v>
      </c>
    </row>
    <row r="1347" spans="1:3" x14ac:dyDescent="0.35">
      <c r="A1347" s="53">
        <v>41123</v>
      </c>
      <c r="B1347" s="35">
        <v>19.649999999999999</v>
      </c>
      <c r="C1347" s="35">
        <v>243192</v>
      </c>
    </row>
    <row r="1348" spans="1:3" x14ac:dyDescent="0.35">
      <c r="A1348" s="53">
        <v>41122</v>
      </c>
      <c r="B1348" s="35">
        <v>19.73</v>
      </c>
      <c r="C1348" s="35">
        <v>272848</v>
      </c>
    </row>
    <row r="1349" spans="1:3" x14ac:dyDescent="0.35">
      <c r="A1349" s="53">
        <v>41121</v>
      </c>
      <c r="B1349" s="35">
        <v>19.75</v>
      </c>
      <c r="C1349" s="35">
        <v>241178</v>
      </c>
    </row>
    <row r="1350" spans="1:3" x14ac:dyDescent="0.35">
      <c r="A1350" s="53">
        <v>41120</v>
      </c>
      <c r="B1350" s="35">
        <v>19.78</v>
      </c>
      <c r="C1350" s="35">
        <v>256038</v>
      </c>
    </row>
    <row r="1351" spans="1:3" x14ac:dyDescent="0.35">
      <c r="A1351" s="53">
        <v>41117</v>
      </c>
      <c r="B1351" s="35">
        <v>19.649999999999999</v>
      </c>
      <c r="C1351" s="35">
        <v>405538</v>
      </c>
    </row>
    <row r="1352" spans="1:3" x14ac:dyDescent="0.35">
      <c r="A1352" s="53">
        <v>41116</v>
      </c>
      <c r="B1352" s="35">
        <v>19.5</v>
      </c>
      <c r="C1352" s="35">
        <v>245630</v>
      </c>
    </row>
    <row r="1353" spans="1:3" x14ac:dyDescent="0.35">
      <c r="A1353" s="53">
        <v>41115</v>
      </c>
      <c r="B1353" s="35">
        <v>19.63</v>
      </c>
      <c r="C1353" s="35">
        <v>136716</v>
      </c>
    </row>
    <row r="1354" spans="1:3" x14ac:dyDescent="0.35">
      <c r="A1354" s="53">
        <v>41114</v>
      </c>
      <c r="B1354" s="35">
        <v>19.88</v>
      </c>
      <c r="C1354" s="35">
        <v>92818</v>
      </c>
    </row>
    <row r="1355" spans="1:3" x14ac:dyDescent="0.35">
      <c r="A1355" s="53">
        <v>41113</v>
      </c>
      <c r="B1355" s="35">
        <v>19.8</v>
      </c>
      <c r="C1355" s="35">
        <v>107258</v>
      </c>
    </row>
    <row r="1356" spans="1:3" x14ac:dyDescent="0.35">
      <c r="A1356" s="53">
        <v>41110</v>
      </c>
      <c r="B1356" s="35">
        <v>19.899999999999999</v>
      </c>
      <c r="C1356" s="35">
        <v>283812</v>
      </c>
    </row>
    <row r="1357" spans="1:3" x14ac:dyDescent="0.35">
      <c r="A1357" s="53">
        <v>41109</v>
      </c>
      <c r="B1357" s="35">
        <v>20.05</v>
      </c>
      <c r="C1357" s="35">
        <v>274872</v>
      </c>
    </row>
    <row r="1358" spans="1:3" x14ac:dyDescent="0.35">
      <c r="A1358" s="53">
        <v>41108</v>
      </c>
      <c r="B1358" s="35">
        <v>19.98</v>
      </c>
      <c r="C1358" s="35">
        <v>305008</v>
      </c>
    </row>
    <row r="1359" spans="1:3" x14ac:dyDescent="0.35">
      <c r="A1359" s="53">
        <v>41107</v>
      </c>
      <c r="B1359" s="35">
        <v>19.93</v>
      </c>
      <c r="C1359" s="35">
        <v>516488</v>
      </c>
    </row>
    <row r="1360" spans="1:3" x14ac:dyDescent="0.35">
      <c r="A1360" s="53">
        <v>41106</v>
      </c>
      <c r="B1360" s="35">
        <v>19.68</v>
      </c>
      <c r="C1360" s="35">
        <v>272956</v>
      </c>
    </row>
    <row r="1361" spans="1:3" x14ac:dyDescent="0.35">
      <c r="A1361" s="53">
        <v>41103</v>
      </c>
      <c r="B1361" s="35">
        <v>19.579999999999998</v>
      </c>
      <c r="C1361" s="35">
        <v>344590</v>
      </c>
    </row>
    <row r="1362" spans="1:3" x14ac:dyDescent="0.35">
      <c r="A1362" s="53">
        <v>41102</v>
      </c>
      <c r="B1362" s="35">
        <v>19.68</v>
      </c>
      <c r="C1362" s="35">
        <v>583194</v>
      </c>
    </row>
    <row r="1363" spans="1:3" x14ac:dyDescent="0.35">
      <c r="A1363" s="53">
        <v>41101</v>
      </c>
      <c r="B1363" s="35">
        <v>19.73</v>
      </c>
      <c r="C1363" s="35">
        <v>216006</v>
      </c>
    </row>
    <row r="1364" spans="1:3" x14ac:dyDescent="0.35">
      <c r="A1364" s="53">
        <v>41100</v>
      </c>
      <c r="B1364" s="35">
        <v>19.98</v>
      </c>
      <c r="C1364" s="35">
        <v>312660</v>
      </c>
    </row>
    <row r="1365" spans="1:3" x14ac:dyDescent="0.35">
      <c r="A1365" s="53">
        <v>41099</v>
      </c>
      <c r="B1365" s="35">
        <v>20.13</v>
      </c>
      <c r="C1365" s="35">
        <v>566874</v>
      </c>
    </row>
    <row r="1366" spans="1:3" x14ac:dyDescent="0.35">
      <c r="A1366" s="53">
        <v>41096</v>
      </c>
      <c r="B1366" s="35">
        <v>19.73</v>
      </c>
      <c r="C1366" s="35">
        <v>414378</v>
      </c>
    </row>
    <row r="1367" spans="1:3" x14ac:dyDescent="0.35">
      <c r="A1367" s="53">
        <v>41095</v>
      </c>
      <c r="B1367" s="35">
        <v>20</v>
      </c>
      <c r="C1367" s="35">
        <v>583714</v>
      </c>
    </row>
    <row r="1368" spans="1:3" x14ac:dyDescent="0.35">
      <c r="A1368" s="53">
        <v>41094</v>
      </c>
      <c r="B1368" s="35">
        <v>20.05</v>
      </c>
      <c r="C1368" s="35">
        <v>465612</v>
      </c>
    </row>
    <row r="1369" spans="1:3" x14ac:dyDescent="0.35">
      <c r="A1369" s="53">
        <v>41093</v>
      </c>
      <c r="B1369" s="35">
        <v>19.78</v>
      </c>
      <c r="C1369" s="35">
        <v>1819974</v>
      </c>
    </row>
    <row r="1370" spans="1:3" x14ac:dyDescent="0.35">
      <c r="A1370" s="53">
        <v>41092</v>
      </c>
      <c r="B1370" s="35">
        <v>20.100000000000001</v>
      </c>
      <c r="C1370" s="35">
        <v>2788858</v>
      </c>
    </row>
    <row r="1371" spans="1:3" x14ac:dyDescent="0.35">
      <c r="A1371" s="53">
        <v>41089</v>
      </c>
      <c r="B1371" s="35">
        <v>18.48</v>
      </c>
      <c r="C1371" s="35">
        <v>481414</v>
      </c>
    </row>
    <row r="1372" spans="1:3" x14ac:dyDescent="0.35">
      <c r="A1372" s="53">
        <v>41088</v>
      </c>
      <c r="B1372" s="35">
        <v>18.2</v>
      </c>
      <c r="C1372" s="35">
        <v>419418</v>
      </c>
    </row>
    <row r="1373" spans="1:3" x14ac:dyDescent="0.35">
      <c r="A1373" s="53">
        <v>41087</v>
      </c>
      <c r="B1373" s="35">
        <v>18.03</v>
      </c>
      <c r="C1373" s="35">
        <v>737484</v>
      </c>
    </row>
    <row r="1374" spans="1:3" x14ac:dyDescent="0.35">
      <c r="A1374" s="53">
        <v>41086</v>
      </c>
      <c r="B1374" s="35">
        <v>17.78</v>
      </c>
      <c r="C1374" s="35">
        <v>1560282</v>
      </c>
    </row>
    <row r="1375" spans="1:3" x14ac:dyDescent="0.35">
      <c r="A1375" s="53">
        <v>41085</v>
      </c>
      <c r="B1375" s="35">
        <v>17.600000000000001</v>
      </c>
      <c r="C1375" s="35">
        <v>188338</v>
      </c>
    </row>
    <row r="1376" spans="1:3" x14ac:dyDescent="0.35">
      <c r="A1376" s="53">
        <v>41082</v>
      </c>
      <c r="B1376" s="35">
        <v>17.600000000000001</v>
      </c>
      <c r="C1376" s="35">
        <v>217704</v>
      </c>
    </row>
    <row r="1377" spans="1:3" x14ac:dyDescent="0.35">
      <c r="A1377" s="53">
        <v>41081</v>
      </c>
      <c r="B1377" s="35">
        <v>17.829999999999998</v>
      </c>
      <c r="C1377" s="35">
        <v>419552</v>
      </c>
    </row>
    <row r="1378" spans="1:3" x14ac:dyDescent="0.35">
      <c r="A1378" s="53">
        <v>41080</v>
      </c>
      <c r="B1378" s="35">
        <v>17.829999999999998</v>
      </c>
      <c r="C1378" s="35">
        <v>231434</v>
      </c>
    </row>
    <row r="1379" spans="1:3" x14ac:dyDescent="0.35">
      <c r="A1379" s="53">
        <v>41079</v>
      </c>
      <c r="B1379" s="35">
        <v>17.95</v>
      </c>
      <c r="C1379" s="35">
        <v>303138</v>
      </c>
    </row>
    <row r="1380" spans="1:3" x14ac:dyDescent="0.35">
      <c r="A1380" s="53">
        <v>41078</v>
      </c>
      <c r="B1380" s="35">
        <v>17.88</v>
      </c>
      <c r="C1380" s="35">
        <v>313070</v>
      </c>
    </row>
    <row r="1381" spans="1:3" x14ac:dyDescent="0.35">
      <c r="A1381" s="53">
        <v>41075</v>
      </c>
      <c r="B1381" s="35">
        <v>17.95</v>
      </c>
      <c r="C1381" s="35">
        <v>1624064</v>
      </c>
    </row>
    <row r="1382" spans="1:3" x14ac:dyDescent="0.35">
      <c r="A1382" s="53">
        <v>41074</v>
      </c>
      <c r="B1382" s="35">
        <v>17.73</v>
      </c>
      <c r="C1382" s="35">
        <v>617712</v>
      </c>
    </row>
    <row r="1383" spans="1:3" x14ac:dyDescent="0.35">
      <c r="A1383" s="53">
        <v>41073</v>
      </c>
      <c r="B1383" s="35">
        <v>17.850000000000001</v>
      </c>
      <c r="C1383" s="35">
        <v>1444372</v>
      </c>
    </row>
    <row r="1384" spans="1:3" x14ac:dyDescent="0.35">
      <c r="A1384" s="53">
        <v>41072</v>
      </c>
      <c r="B1384" s="35">
        <v>17.579999999999998</v>
      </c>
      <c r="C1384" s="35">
        <v>7925792</v>
      </c>
    </row>
    <row r="1385" spans="1:3" x14ac:dyDescent="0.35">
      <c r="A1385" s="53">
        <v>41071</v>
      </c>
      <c r="B1385" s="35">
        <v>17.329999999999998</v>
      </c>
      <c r="C1385" s="35">
        <v>1351710</v>
      </c>
    </row>
    <row r="1386" spans="1:3" x14ac:dyDescent="0.35">
      <c r="A1386" s="53">
        <v>41068</v>
      </c>
      <c r="B1386" s="35">
        <v>17</v>
      </c>
      <c r="C1386" s="35">
        <v>1442198</v>
      </c>
    </row>
    <row r="1387" spans="1:3" x14ac:dyDescent="0.35">
      <c r="A1387" s="53">
        <v>41067</v>
      </c>
      <c r="B1387" s="35">
        <v>16.78</v>
      </c>
      <c r="C1387" s="35">
        <v>1439448</v>
      </c>
    </row>
    <row r="1388" spans="1:3" x14ac:dyDescent="0.35">
      <c r="A1388" s="53">
        <v>41066</v>
      </c>
      <c r="B1388" s="35">
        <v>16.3</v>
      </c>
      <c r="C1388" s="35">
        <v>639526</v>
      </c>
    </row>
    <row r="1389" spans="1:3" x14ac:dyDescent="0.35">
      <c r="A1389" s="53">
        <v>41065</v>
      </c>
      <c r="B1389" s="35">
        <v>15.85</v>
      </c>
      <c r="C1389" s="35">
        <v>489760</v>
      </c>
    </row>
    <row r="1390" spans="1:3" x14ac:dyDescent="0.35">
      <c r="A1390" s="53">
        <v>41064</v>
      </c>
      <c r="B1390" s="35">
        <v>15.65</v>
      </c>
      <c r="C1390" s="35">
        <v>754304</v>
      </c>
    </row>
    <row r="1391" spans="1:3" x14ac:dyDescent="0.35">
      <c r="A1391" s="53">
        <v>41061</v>
      </c>
      <c r="B1391" s="35">
        <v>15.4</v>
      </c>
      <c r="C1391" s="35">
        <v>452406</v>
      </c>
    </row>
    <row r="1392" spans="1:3" x14ac:dyDescent="0.35">
      <c r="A1392" s="53">
        <v>41060</v>
      </c>
      <c r="B1392" s="35">
        <v>15.4</v>
      </c>
      <c r="C1392" s="35">
        <v>759130</v>
      </c>
    </row>
    <row r="1393" spans="1:3" x14ac:dyDescent="0.35">
      <c r="A1393" s="53">
        <v>41059</v>
      </c>
      <c r="B1393" s="35">
        <v>15.53</v>
      </c>
      <c r="C1393" s="35">
        <v>310846</v>
      </c>
    </row>
    <row r="1394" spans="1:3" x14ac:dyDescent="0.35">
      <c r="A1394" s="53">
        <v>41058</v>
      </c>
      <c r="B1394" s="35">
        <v>15.43</v>
      </c>
      <c r="C1394" s="35">
        <v>214324</v>
      </c>
    </row>
    <row r="1395" spans="1:3" x14ac:dyDescent="0.35">
      <c r="A1395" s="53">
        <v>41057</v>
      </c>
      <c r="B1395" s="35">
        <v>15.38</v>
      </c>
      <c r="C1395" s="35">
        <v>512360</v>
      </c>
    </row>
    <row r="1396" spans="1:3" x14ac:dyDescent="0.35">
      <c r="A1396" s="53">
        <v>41054</v>
      </c>
      <c r="B1396" s="35">
        <v>15.05</v>
      </c>
      <c r="C1396" s="35">
        <v>602642</v>
      </c>
    </row>
    <row r="1397" spans="1:3" x14ac:dyDescent="0.35">
      <c r="A1397" s="53">
        <v>41053</v>
      </c>
      <c r="B1397" s="35">
        <v>15.25</v>
      </c>
      <c r="C1397" s="35">
        <v>377706</v>
      </c>
    </row>
    <row r="1398" spans="1:3" x14ac:dyDescent="0.35">
      <c r="A1398" s="53">
        <v>41052</v>
      </c>
      <c r="B1398" s="35">
        <v>15.63</v>
      </c>
      <c r="C1398" s="35">
        <v>1134694</v>
      </c>
    </row>
    <row r="1399" spans="1:3" x14ac:dyDescent="0.35">
      <c r="A1399" s="53">
        <v>41051</v>
      </c>
      <c r="B1399" s="35">
        <v>15.95</v>
      </c>
      <c r="C1399" s="35">
        <v>2318766</v>
      </c>
    </row>
    <row r="1400" spans="1:3" x14ac:dyDescent="0.35">
      <c r="A1400" s="53">
        <v>41050</v>
      </c>
      <c r="B1400" s="35">
        <v>15.98</v>
      </c>
      <c r="C1400" s="35">
        <v>491718</v>
      </c>
    </row>
    <row r="1401" spans="1:3" x14ac:dyDescent="0.35">
      <c r="A1401" s="53">
        <v>41047</v>
      </c>
      <c r="B1401" s="35">
        <v>15.98</v>
      </c>
      <c r="C1401" s="35">
        <v>5328920</v>
      </c>
    </row>
    <row r="1402" spans="1:3" x14ac:dyDescent="0.35">
      <c r="A1402" s="53">
        <v>41046</v>
      </c>
      <c r="B1402" s="35">
        <v>16.149999999999999</v>
      </c>
      <c r="C1402" s="35">
        <v>781468</v>
      </c>
    </row>
    <row r="1403" spans="1:3" x14ac:dyDescent="0.35">
      <c r="A1403" s="53">
        <v>41045</v>
      </c>
      <c r="B1403" s="35">
        <v>15.98</v>
      </c>
      <c r="C1403" s="35">
        <v>1258918</v>
      </c>
    </row>
    <row r="1404" spans="1:3" x14ac:dyDescent="0.35">
      <c r="A1404" s="53">
        <v>41044</v>
      </c>
      <c r="B1404" s="35">
        <v>16.13</v>
      </c>
      <c r="C1404" s="35">
        <v>863858</v>
      </c>
    </row>
    <row r="1405" spans="1:3" x14ac:dyDescent="0.35">
      <c r="A1405" s="53">
        <v>41043</v>
      </c>
      <c r="B1405" s="35">
        <v>16.13</v>
      </c>
      <c r="C1405" s="35">
        <v>602434</v>
      </c>
    </row>
    <row r="1406" spans="1:3" x14ac:dyDescent="0.35">
      <c r="A1406" s="53">
        <v>41040</v>
      </c>
      <c r="B1406" s="35">
        <v>16.13</v>
      </c>
      <c r="C1406" s="35">
        <v>406146</v>
      </c>
    </row>
    <row r="1407" spans="1:3" x14ac:dyDescent="0.35">
      <c r="A1407" s="53">
        <v>41039</v>
      </c>
      <c r="B1407" s="35">
        <v>16.23</v>
      </c>
      <c r="C1407" s="35">
        <v>1621586</v>
      </c>
    </row>
    <row r="1408" spans="1:3" x14ac:dyDescent="0.35">
      <c r="A1408" s="53">
        <v>41038</v>
      </c>
      <c r="B1408" s="35">
        <v>16.25</v>
      </c>
      <c r="C1408" s="35">
        <v>4214482</v>
      </c>
    </row>
    <row r="1409" spans="1:3" x14ac:dyDescent="0.35">
      <c r="A1409" s="53">
        <v>41037</v>
      </c>
      <c r="B1409" s="35">
        <v>16.329999999999998</v>
      </c>
      <c r="C1409" s="35">
        <v>3511970</v>
      </c>
    </row>
    <row r="1410" spans="1:3" x14ac:dyDescent="0.35">
      <c r="A1410" s="53">
        <v>41036</v>
      </c>
      <c r="B1410" s="35">
        <v>16.5</v>
      </c>
      <c r="C1410" s="35">
        <v>3269300</v>
      </c>
    </row>
    <row r="1411" spans="1:3" x14ac:dyDescent="0.35">
      <c r="A1411" s="53">
        <v>41033</v>
      </c>
      <c r="B1411" s="35">
        <v>16.48</v>
      </c>
      <c r="C1411" s="35">
        <v>4279984</v>
      </c>
    </row>
    <row r="1412" spans="1:3" x14ac:dyDescent="0.35">
      <c r="A1412" s="53">
        <v>41032</v>
      </c>
      <c r="B1412" s="35">
        <v>16.63</v>
      </c>
      <c r="C1412" s="35">
        <v>1333348</v>
      </c>
    </row>
    <row r="1413" spans="1:3" x14ac:dyDescent="0.35">
      <c r="A1413" s="53">
        <v>41031</v>
      </c>
      <c r="B1413" s="35">
        <v>16.98</v>
      </c>
      <c r="C1413" s="35">
        <v>1071304</v>
      </c>
    </row>
    <row r="1414" spans="1:3" x14ac:dyDescent="0.35">
      <c r="A1414" s="53">
        <v>41029</v>
      </c>
      <c r="B1414" s="35">
        <v>16.68</v>
      </c>
      <c r="C1414" s="35">
        <v>1710340</v>
      </c>
    </row>
    <row r="1415" spans="1:3" x14ac:dyDescent="0.35">
      <c r="A1415" s="53">
        <v>41027</v>
      </c>
      <c r="B1415" s="35">
        <v>16.98</v>
      </c>
      <c r="C1415" s="35">
        <v>742664</v>
      </c>
    </row>
    <row r="1416" spans="1:3" x14ac:dyDescent="0.35">
      <c r="A1416" s="53">
        <v>41026</v>
      </c>
      <c r="B1416" s="35">
        <v>17</v>
      </c>
      <c r="C1416" s="35">
        <v>1220996</v>
      </c>
    </row>
    <row r="1417" spans="1:3" x14ac:dyDescent="0.35">
      <c r="A1417" s="53">
        <v>41025</v>
      </c>
      <c r="B1417" s="35">
        <v>17.48</v>
      </c>
      <c r="C1417" s="35">
        <v>5838072</v>
      </c>
    </row>
    <row r="1418" spans="1:3" x14ac:dyDescent="0.35">
      <c r="A1418" s="53">
        <v>41024</v>
      </c>
      <c r="B1418" s="35">
        <v>16.68</v>
      </c>
      <c r="C1418" s="35">
        <v>1773236</v>
      </c>
    </row>
    <row r="1419" spans="1:3" x14ac:dyDescent="0.35">
      <c r="A1419" s="53">
        <v>41023</v>
      </c>
      <c r="B1419" s="35">
        <v>17</v>
      </c>
      <c r="C1419" s="35">
        <v>2562090</v>
      </c>
    </row>
    <row r="1420" spans="1:3" x14ac:dyDescent="0.35">
      <c r="A1420" s="53">
        <v>41022</v>
      </c>
      <c r="B1420" s="35">
        <v>16.75</v>
      </c>
      <c r="C1420" s="35">
        <v>784152</v>
      </c>
    </row>
    <row r="1421" spans="1:3" x14ac:dyDescent="0.35">
      <c r="A1421" s="53">
        <v>41019</v>
      </c>
      <c r="B1421" s="35">
        <v>17</v>
      </c>
      <c r="C1421" s="35">
        <v>866560</v>
      </c>
    </row>
    <row r="1422" spans="1:3" x14ac:dyDescent="0.35">
      <c r="A1422" s="53">
        <v>41018</v>
      </c>
      <c r="B1422" s="35">
        <v>17.05</v>
      </c>
      <c r="C1422" s="35">
        <v>2079748</v>
      </c>
    </row>
    <row r="1423" spans="1:3" x14ac:dyDescent="0.35">
      <c r="A1423" s="53">
        <v>41017</v>
      </c>
      <c r="B1423" s="35">
        <v>17.03</v>
      </c>
      <c r="C1423" s="35">
        <v>1752702</v>
      </c>
    </row>
    <row r="1424" spans="1:3" x14ac:dyDescent="0.35">
      <c r="A1424" s="53">
        <v>41016</v>
      </c>
      <c r="B1424" s="35">
        <v>17.079999999999998</v>
      </c>
      <c r="C1424" s="35">
        <v>1426644</v>
      </c>
    </row>
    <row r="1425" spans="1:3" x14ac:dyDescent="0.35">
      <c r="A1425" s="53">
        <v>41015</v>
      </c>
      <c r="B1425" s="35">
        <v>16.63</v>
      </c>
      <c r="C1425" s="35">
        <v>2256332</v>
      </c>
    </row>
    <row r="1426" spans="1:3" x14ac:dyDescent="0.35">
      <c r="A1426" s="53">
        <v>41012</v>
      </c>
      <c r="B1426" s="35">
        <v>16.95</v>
      </c>
      <c r="C1426" s="35">
        <v>5354846</v>
      </c>
    </row>
    <row r="1427" spans="1:3" x14ac:dyDescent="0.35">
      <c r="A1427" s="53">
        <v>41011</v>
      </c>
      <c r="B1427" s="35">
        <v>17.100000000000001</v>
      </c>
      <c r="C1427" s="35">
        <v>7548534</v>
      </c>
    </row>
    <row r="1428" spans="1:3" x14ac:dyDescent="0.35">
      <c r="A1428" s="53">
        <v>41010</v>
      </c>
      <c r="B1428" s="35">
        <v>14.94</v>
      </c>
      <c r="C1428" s="35">
        <v>4825960</v>
      </c>
    </row>
    <row r="1429" spans="1:3" x14ac:dyDescent="0.35">
      <c r="A1429" s="53">
        <v>41009</v>
      </c>
      <c r="B1429" s="35">
        <v>15.16</v>
      </c>
      <c r="C1429" s="35">
        <v>4053240</v>
      </c>
    </row>
    <row r="1430" spans="1:3" x14ac:dyDescent="0.35">
      <c r="A1430" s="53">
        <v>41008</v>
      </c>
      <c r="B1430" s="35">
        <v>15.39</v>
      </c>
      <c r="C1430" s="35">
        <v>6258520</v>
      </c>
    </row>
    <row r="1431" spans="1:3" x14ac:dyDescent="0.35">
      <c r="A1431" s="53">
        <v>41003</v>
      </c>
      <c r="B1431" s="35">
        <v>15.58</v>
      </c>
      <c r="C1431" s="35">
        <v>11814920</v>
      </c>
    </row>
    <row r="1432" spans="1:3" x14ac:dyDescent="0.35">
      <c r="A1432" s="53">
        <v>41002</v>
      </c>
      <c r="B1432" s="35">
        <v>14.93</v>
      </c>
      <c r="C1432" s="35">
        <v>5868960</v>
      </c>
    </row>
    <row r="1433" spans="1:3" x14ac:dyDescent="0.35">
      <c r="A1433" s="53">
        <v>41001</v>
      </c>
      <c r="B1433" s="35">
        <v>14.37</v>
      </c>
      <c r="C1433" s="35">
        <v>4656520</v>
      </c>
    </row>
    <row r="1434" spans="1:3" x14ac:dyDescent="0.35">
      <c r="A1434" s="53">
        <v>40998</v>
      </c>
      <c r="B1434" s="35">
        <v>13.81</v>
      </c>
      <c r="C1434" s="35">
        <v>3624520</v>
      </c>
    </row>
    <row r="1435" spans="1:3" x14ac:dyDescent="0.35">
      <c r="A1435" s="53">
        <v>40997</v>
      </c>
      <c r="B1435" s="35">
        <v>13.1</v>
      </c>
      <c r="C1435" s="35">
        <v>705880</v>
      </c>
    </row>
    <row r="1436" spans="1:3" x14ac:dyDescent="0.35">
      <c r="A1436" s="53">
        <v>40996</v>
      </c>
      <c r="B1436" s="35">
        <v>13.03</v>
      </c>
      <c r="C1436" s="35">
        <v>3254920</v>
      </c>
    </row>
    <row r="1437" spans="1:3" x14ac:dyDescent="0.35">
      <c r="A1437" s="53">
        <v>40995</v>
      </c>
      <c r="B1437" s="35">
        <v>13.14</v>
      </c>
      <c r="C1437" s="35">
        <v>764600</v>
      </c>
    </row>
    <row r="1438" spans="1:3" x14ac:dyDescent="0.35">
      <c r="A1438" s="53">
        <v>40994</v>
      </c>
      <c r="B1438" s="35">
        <v>13.21</v>
      </c>
      <c r="C1438" s="35">
        <v>5449200</v>
      </c>
    </row>
    <row r="1439" spans="1:3" x14ac:dyDescent="0.35">
      <c r="A1439" s="53">
        <v>40991</v>
      </c>
      <c r="B1439" s="35">
        <v>13.28</v>
      </c>
      <c r="C1439" s="35">
        <v>2824200</v>
      </c>
    </row>
    <row r="1440" spans="1:3" x14ac:dyDescent="0.35">
      <c r="A1440" s="53">
        <v>40990</v>
      </c>
      <c r="B1440" s="35">
        <v>13.18</v>
      </c>
      <c r="C1440" s="35">
        <v>3497440</v>
      </c>
    </row>
    <row r="1441" spans="1:3" x14ac:dyDescent="0.35">
      <c r="A1441" s="53">
        <v>40989</v>
      </c>
      <c r="B1441" s="35">
        <v>13.45</v>
      </c>
      <c r="C1441" s="35">
        <v>3017920</v>
      </c>
    </row>
    <row r="1442" spans="1:3" x14ac:dyDescent="0.35">
      <c r="A1442" s="53">
        <v>40988</v>
      </c>
      <c r="B1442" s="35">
        <v>13.38</v>
      </c>
      <c r="C1442" s="35">
        <v>2638000</v>
      </c>
    </row>
    <row r="1443" spans="1:3" x14ac:dyDescent="0.35">
      <c r="A1443" s="53">
        <v>40987</v>
      </c>
      <c r="B1443" s="35">
        <v>13.39</v>
      </c>
      <c r="C1443" s="35">
        <v>4091680</v>
      </c>
    </row>
    <row r="1444" spans="1:3" x14ac:dyDescent="0.35">
      <c r="A1444" s="53">
        <v>40984</v>
      </c>
      <c r="B1444" s="35">
        <v>13.32</v>
      </c>
      <c r="C1444" s="35">
        <v>12518920</v>
      </c>
    </row>
    <row r="1445" spans="1:3" x14ac:dyDescent="0.35">
      <c r="A1445" s="53">
        <v>40983</v>
      </c>
      <c r="B1445" s="35">
        <v>12.53</v>
      </c>
      <c r="C1445" s="35">
        <v>4348400</v>
      </c>
    </row>
    <row r="1446" spans="1:3" x14ac:dyDescent="0.35">
      <c r="A1446" s="53">
        <v>40982</v>
      </c>
      <c r="B1446" s="35">
        <v>12.2</v>
      </c>
      <c r="C1446" s="35">
        <v>5922640</v>
      </c>
    </row>
    <row r="1447" spans="1:3" x14ac:dyDescent="0.35">
      <c r="A1447" s="53">
        <v>40981</v>
      </c>
      <c r="B1447" s="35">
        <v>11.68</v>
      </c>
      <c r="C1447" s="35">
        <v>868760</v>
      </c>
    </row>
    <row r="1448" spans="1:3" x14ac:dyDescent="0.35">
      <c r="A1448" s="53">
        <v>40980</v>
      </c>
      <c r="B1448" s="35">
        <v>11.63</v>
      </c>
      <c r="C1448" s="35">
        <v>1272400</v>
      </c>
    </row>
    <row r="1449" spans="1:3" x14ac:dyDescent="0.35">
      <c r="A1449" s="53">
        <v>40977</v>
      </c>
      <c r="B1449" s="35">
        <v>11.48</v>
      </c>
      <c r="C1449" s="35">
        <v>2132040</v>
      </c>
    </row>
    <row r="1450" spans="1:3" x14ac:dyDescent="0.35">
      <c r="A1450" s="53">
        <v>40975</v>
      </c>
      <c r="B1450" s="35">
        <v>11.28</v>
      </c>
      <c r="C1450" s="35">
        <v>1771920</v>
      </c>
    </row>
    <row r="1451" spans="1:3" x14ac:dyDescent="0.35">
      <c r="A1451" s="53">
        <v>40974</v>
      </c>
      <c r="B1451" s="35">
        <v>11.46</v>
      </c>
      <c r="C1451" s="35">
        <v>16781240</v>
      </c>
    </row>
    <row r="1452" spans="1:3" x14ac:dyDescent="0.35">
      <c r="A1452" s="53">
        <v>40973</v>
      </c>
      <c r="B1452" s="35">
        <v>11.03</v>
      </c>
      <c r="C1452" s="35">
        <v>965320</v>
      </c>
    </row>
    <row r="1453" spans="1:3" x14ac:dyDescent="0.35">
      <c r="A1453" s="53">
        <v>40971</v>
      </c>
      <c r="B1453" s="35">
        <v>11.31</v>
      </c>
      <c r="C1453" s="35">
        <v>235600</v>
      </c>
    </row>
    <row r="1454" spans="1:3" x14ac:dyDescent="0.35">
      <c r="A1454" s="53">
        <v>40970</v>
      </c>
      <c r="B1454" s="35">
        <v>11.23</v>
      </c>
      <c r="C1454" s="35">
        <v>1286840</v>
      </c>
    </row>
    <row r="1455" spans="1:3" x14ac:dyDescent="0.35">
      <c r="A1455" s="53">
        <v>40969</v>
      </c>
      <c r="B1455" s="35">
        <v>11.39</v>
      </c>
      <c r="C1455" s="35">
        <v>1278640</v>
      </c>
    </row>
    <row r="1456" spans="1:3" x14ac:dyDescent="0.35">
      <c r="A1456" s="53">
        <v>40968</v>
      </c>
      <c r="B1456" s="35">
        <v>11.81</v>
      </c>
      <c r="C1456" s="35">
        <v>1923840</v>
      </c>
    </row>
    <row r="1457" spans="1:3" x14ac:dyDescent="0.35">
      <c r="A1457" s="53">
        <v>40967</v>
      </c>
      <c r="B1457" s="35">
        <v>12.25</v>
      </c>
      <c r="C1457" s="35">
        <v>2854520</v>
      </c>
    </row>
    <row r="1458" spans="1:3" x14ac:dyDescent="0.35">
      <c r="A1458" s="53">
        <v>40966</v>
      </c>
      <c r="B1458" s="35">
        <v>12.08</v>
      </c>
      <c r="C1458" s="35">
        <v>3246440</v>
      </c>
    </row>
    <row r="1459" spans="1:3" x14ac:dyDescent="0.35">
      <c r="A1459" s="53">
        <v>40963</v>
      </c>
      <c r="B1459" s="35">
        <v>12.79</v>
      </c>
      <c r="C1459" s="35">
        <v>9516360</v>
      </c>
    </row>
    <row r="1460" spans="1:3" x14ac:dyDescent="0.35">
      <c r="A1460" s="53">
        <v>40962</v>
      </c>
      <c r="B1460" s="35">
        <v>12.7</v>
      </c>
      <c r="C1460" s="35">
        <v>67897240</v>
      </c>
    </row>
    <row r="1461" spans="1:3" x14ac:dyDescent="0.35">
      <c r="A1461" s="53">
        <v>40961</v>
      </c>
      <c r="B1461" s="35">
        <v>13.75</v>
      </c>
      <c r="C1461" s="35">
        <v>17362720</v>
      </c>
    </row>
    <row r="1462" spans="1:3" x14ac:dyDescent="0.35">
      <c r="A1462" s="53">
        <v>40960</v>
      </c>
      <c r="B1462" s="35">
        <v>13.77</v>
      </c>
      <c r="C1462" s="35">
        <v>21378600</v>
      </c>
    </row>
    <row r="1463" spans="1:3" x14ac:dyDescent="0.35">
      <c r="A1463" s="53">
        <v>40956</v>
      </c>
      <c r="B1463" s="35">
        <v>12.66</v>
      </c>
      <c r="C1463" s="35">
        <v>5042920</v>
      </c>
    </row>
    <row r="1464" spans="1:3" x14ac:dyDescent="0.35">
      <c r="A1464" s="53">
        <v>40955</v>
      </c>
      <c r="B1464" s="35">
        <v>12.56</v>
      </c>
      <c r="C1464" s="35">
        <v>16288360</v>
      </c>
    </row>
    <row r="1465" spans="1:3" x14ac:dyDescent="0.35">
      <c r="A1465" s="53">
        <v>40954</v>
      </c>
      <c r="B1465" s="35">
        <v>11.98</v>
      </c>
      <c r="C1465" s="35">
        <v>21220280</v>
      </c>
    </row>
    <row r="1466" spans="1:3" x14ac:dyDescent="0.35">
      <c r="A1466" s="53">
        <v>40953</v>
      </c>
      <c r="B1466" s="35">
        <v>10.18</v>
      </c>
      <c r="C1466" s="35">
        <v>275880</v>
      </c>
    </row>
    <row r="1467" spans="1:3" x14ac:dyDescent="0.35">
      <c r="A1467" s="53">
        <v>40952</v>
      </c>
      <c r="B1467" s="35">
        <v>10.39</v>
      </c>
      <c r="C1467" s="35">
        <v>248320</v>
      </c>
    </row>
    <row r="1468" spans="1:3" x14ac:dyDescent="0.35">
      <c r="A1468" s="53">
        <v>40949</v>
      </c>
      <c r="B1468" s="35">
        <v>10.47</v>
      </c>
      <c r="C1468" s="35">
        <v>7083320</v>
      </c>
    </row>
    <row r="1469" spans="1:3" x14ac:dyDescent="0.35">
      <c r="A1469" s="53">
        <v>40948</v>
      </c>
      <c r="B1469" s="35">
        <v>10.66</v>
      </c>
      <c r="C1469" s="35">
        <v>9695640</v>
      </c>
    </row>
    <row r="1470" spans="1:3" x14ac:dyDescent="0.35">
      <c r="A1470" s="53">
        <v>40947</v>
      </c>
      <c r="B1470" s="35">
        <v>10.76</v>
      </c>
      <c r="C1470" s="35">
        <v>10311680</v>
      </c>
    </row>
    <row r="1471" spans="1:3" x14ac:dyDescent="0.35">
      <c r="A1471" s="53">
        <v>40946</v>
      </c>
      <c r="B1471" s="35">
        <v>10.59</v>
      </c>
      <c r="C1471" s="35">
        <v>12254640</v>
      </c>
    </row>
    <row r="1472" spans="1:3" x14ac:dyDescent="0.35">
      <c r="A1472" s="53">
        <v>40945</v>
      </c>
      <c r="B1472" s="35">
        <v>10.14</v>
      </c>
      <c r="C1472" s="35">
        <v>13632920</v>
      </c>
    </row>
    <row r="1473" spans="1:3" x14ac:dyDescent="0.35">
      <c r="A1473" s="53">
        <v>40942</v>
      </c>
      <c r="B1473" s="35">
        <v>9.75</v>
      </c>
      <c r="C1473" s="35">
        <v>576040</v>
      </c>
    </row>
    <row r="1474" spans="1:3" x14ac:dyDescent="0.35">
      <c r="A1474" s="53">
        <v>40941</v>
      </c>
      <c r="B1474" s="35">
        <v>9.85</v>
      </c>
      <c r="C1474" s="35">
        <v>4660200</v>
      </c>
    </row>
    <row r="1475" spans="1:3" x14ac:dyDescent="0.35">
      <c r="A1475" s="53">
        <v>40940</v>
      </c>
      <c r="B1475" s="35">
        <v>9.3800000000000008</v>
      </c>
      <c r="C1475" s="35">
        <v>982840</v>
      </c>
    </row>
    <row r="1476" spans="1:3" x14ac:dyDescent="0.35">
      <c r="A1476" s="53">
        <v>40939</v>
      </c>
      <c r="B1476" s="35">
        <v>9.42</v>
      </c>
      <c r="C1476" s="35">
        <v>4044720</v>
      </c>
    </row>
    <row r="1477" spans="1:3" x14ac:dyDescent="0.35">
      <c r="A1477" s="53">
        <v>40938</v>
      </c>
      <c r="B1477" s="35">
        <v>9.6300000000000008</v>
      </c>
      <c r="C1477" s="35">
        <v>28092000</v>
      </c>
    </row>
    <row r="1478" spans="1:3" x14ac:dyDescent="0.35">
      <c r="A1478" s="53">
        <v>40935</v>
      </c>
      <c r="B1478" s="35">
        <v>8.48</v>
      </c>
      <c r="C1478" s="35">
        <v>580160</v>
      </c>
    </row>
    <row r="1479" spans="1:3" x14ac:dyDescent="0.35">
      <c r="A1479" s="53">
        <v>40933</v>
      </c>
      <c r="B1479" s="35">
        <v>8.36</v>
      </c>
      <c r="C1479" s="35">
        <v>124920</v>
      </c>
    </row>
    <row r="1480" spans="1:3" x14ac:dyDescent="0.35">
      <c r="A1480" s="53">
        <v>40932</v>
      </c>
      <c r="B1480" s="35">
        <v>8.31</v>
      </c>
      <c r="C1480" s="35">
        <v>214680</v>
      </c>
    </row>
    <row r="1481" spans="1:3" x14ac:dyDescent="0.35">
      <c r="A1481" s="53">
        <v>40931</v>
      </c>
      <c r="B1481" s="35">
        <v>8.23</v>
      </c>
      <c r="C1481" s="35">
        <v>130840</v>
      </c>
    </row>
    <row r="1482" spans="1:3" x14ac:dyDescent="0.35">
      <c r="A1482" s="53">
        <v>40928</v>
      </c>
      <c r="B1482" s="35">
        <v>8.2799999999999994</v>
      </c>
      <c r="C1482" s="35">
        <v>181160</v>
      </c>
    </row>
    <row r="1483" spans="1:3" x14ac:dyDescent="0.35">
      <c r="A1483" s="53">
        <v>40927</v>
      </c>
      <c r="B1483" s="35">
        <v>8.25</v>
      </c>
      <c r="C1483" s="35">
        <v>172600</v>
      </c>
    </row>
    <row r="1484" spans="1:3" x14ac:dyDescent="0.35">
      <c r="A1484" s="53">
        <v>40926</v>
      </c>
      <c r="B1484" s="35">
        <v>8.26</v>
      </c>
      <c r="C1484" s="35">
        <v>159840</v>
      </c>
    </row>
    <row r="1485" spans="1:3" x14ac:dyDescent="0.35">
      <c r="A1485" s="53">
        <v>40925</v>
      </c>
      <c r="B1485" s="35">
        <v>8.26</v>
      </c>
      <c r="C1485" s="35">
        <v>363480</v>
      </c>
    </row>
    <row r="1486" spans="1:3" x14ac:dyDescent="0.35">
      <c r="A1486" s="53">
        <v>40924</v>
      </c>
      <c r="B1486" s="35">
        <v>8.24</v>
      </c>
      <c r="C1486" s="35">
        <v>276880</v>
      </c>
    </row>
    <row r="1487" spans="1:3" x14ac:dyDescent="0.35">
      <c r="A1487" s="53">
        <v>40921</v>
      </c>
      <c r="B1487" s="35">
        <v>8.27</v>
      </c>
      <c r="C1487" s="35">
        <v>1009200</v>
      </c>
    </row>
    <row r="1488" spans="1:3" x14ac:dyDescent="0.35">
      <c r="A1488" s="53">
        <v>40920</v>
      </c>
      <c r="B1488" s="35">
        <v>8.25</v>
      </c>
      <c r="C1488" s="35">
        <v>300040</v>
      </c>
    </row>
    <row r="1489" spans="1:3" x14ac:dyDescent="0.35">
      <c r="A1489" s="53">
        <v>40919</v>
      </c>
      <c r="B1489" s="35">
        <v>8.35</v>
      </c>
      <c r="C1489" s="35">
        <v>7734920</v>
      </c>
    </row>
    <row r="1490" spans="1:3" x14ac:dyDescent="0.35">
      <c r="A1490" s="53">
        <v>40918</v>
      </c>
      <c r="B1490" s="35">
        <v>8.39</v>
      </c>
      <c r="C1490" s="35">
        <v>1576120</v>
      </c>
    </row>
    <row r="1491" spans="1:3" x14ac:dyDescent="0.35">
      <c r="A1491" s="53">
        <v>40917</v>
      </c>
      <c r="B1491" s="35">
        <v>8.42</v>
      </c>
      <c r="C1491" s="35">
        <v>3099960</v>
      </c>
    </row>
    <row r="1492" spans="1:3" x14ac:dyDescent="0.35">
      <c r="A1492" s="53">
        <v>40915</v>
      </c>
      <c r="B1492" s="35">
        <v>8.77</v>
      </c>
      <c r="C1492" s="35">
        <v>739600</v>
      </c>
    </row>
    <row r="1493" spans="1:3" x14ac:dyDescent="0.35">
      <c r="A1493" s="53">
        <v>40914</v>
      </c>
      <c r="B1493" s="35">
        <v>8.5299999999999994</v>
      </c>
      <c r="C1493" s="35">
        <v>455960</v>
      </c>
    </row>
    <row r="1494" spans="1:3" x14ac:dyDescent="0.35">
      <c r="A1494" s="53">
        <v>40913</v>
      </c>
      <c r="B1494" s="35">
        <v>8.3699999999999992</v>
      </c>
      <c r="C1494" s="35">
        <v>263800</v>
      </c>
    </row>
    <row r="1495" spans="1:3" x14ac:dyDescent="0.35">
      <c r="A1495" s="53">
        <v>40912</v>
      </c>
      <c r="B1495" s="35">
        <v>8.35</v>
      </c>
      <c r="C1495" s="35">
        <v>1603040</v>
      </c>
    </row>
    <row r="1496" spans="1:3" x14ac:dyDescent="0.35">
      <c r="A1496" s="53">
        <v>40911</v>
      </c>
      <c r="B1496" s="35">
        <v>8.26</v>
      </c>
      <c r="C1496" s="35">
        <v>7481080</v>
      </c>
    </row>
    <row r="1497" spans="1:3" x14ac:dyDescent="0.35">
      <c r="A1497" s="53">
        <v>40910</v>
      </c>
      <c r="B1497" s="35">
        <v>8.1300000000000008</v>
      </c>
      <c r="C1497" s="35">
        <v>2807760</v>
      </c>
    </row>
    <row r="1498" spans="1:3" x14ac:dyDescent="0.35">
      <c r="A1498" s="53">
        <v>40907</v>
      </c>
      <c r="B1498" s="35">
        <v>8.1199999999999992</v>
      </c>
      <c r="C1498" s="35">
        <v>2574200</v>
      </c>
    </row>
    <row r="1499" spans="1:3" x14ac:dyDescent="0.35">
      <c r="A1499" s="53">
        <v>40906</v>
      </c>
      <c r="B1499" s="35">
        <v>8.14</v>
      </c>
      <c r="C1499" s="35">
        <v>689000</v>
      </c>
    </row>
    <row r="1500" spans="1:3" x14ac:dyDescent="0.35">
      <c r="A1500" s="53">
        <v>40905</v>
      </c>
      <c r="B1500" s="35">
        <v>8.23</v>
      </c>
      <c r="C1500" s="35">
        <v>412040</v>
      </c>
    </row>
    <row r="1501" spans="1:3" x14ac:dyDescent="0.35">
      <c r="A1501" s="53">
        <v>40904</v>
      </c>
      <c r="B1501" s="35">
        <v>8.2200000000000006</v>
      </c>
      <c r="C1501" s="35">
        <v>1562840</v>
      </c>
    </row>
    <row r="1502" spans="1:3" x14ac:dyDescent="0.35">
      <c r="A1502" s="53">
        <v>40903</v>
      </c>
      <c r="B1502" s="35">
        <v>8.19</v>
      </c>
      <c r="C1502" s="35">
        <v>955920</v>
      </c>
    </row>
    <row r="1503" spans="1:3" x14ac:dyDescent="0.35">
      <c r="A1503" s="53">
        <v>40900</v>
      </c>
      <c r="B1503" s="35">
        <v>8.09</v>
      </c>
      <c r="C1503" s="35">
        <v>590840</v>
      </c>
    </row>
    <row r="1504" spans="1:3" x14ac:dyDescent="0.35">
      <c r="A1504" s="53">
        <v>40899</v>
      </c>
      <c r="B1504" s="35">
        <v>8.0500000000000007</v>
      </c>
      <c r="C1504" s="35">
        <v>1933320</v>
      </c>
    </row>
    <row r="1505" spans="1:3" x14ac:dyDescent="0.35">
      <c r="A1505" s="53">
        <v>40898</v>
      </c>
      <c r="B1505" s="35">
        <v>8.1</v>
      </c>
      <c r="C1505" s="35">
        <v>4398680</v>
      </c>
    </row>
    <row r="1506" spans="1:3" x14ac:dyDescent="0.35">
      <c r="A1506" s="53">
        <v>40897</v>
      </c>
      <c r="B1506" s="35">
        <v>8</v>
      </c>
      <c r="C1506" s="35">
        <v>2445800</v>
      </c>
    </row>
    <row r="1507" spans="1:3" x14ac:dyDescent="0.35">
      <c r="A1507" s="53">
        <v>40896</v>
      </c>
      <c r="B1507" s="35">
        <v>8.08</v>
      </c>
      <c r="C1507" s="35">
        <v>5334840</v>
      </c>
    </row>
    <row r="1508" spans="1:3" x14ac:dyDescent="0.35">
      <c r="A1508" s="53">
        <v>40893</v>
      </c>
      <c r="B1508" s="35">
        <v>8.16</v>
      </c>
      <c r="C1508" s="35">
        <v>772040</v>
      </c>
    </row>
    <row r="1509" spans="1:3" x14ac:dyDescent="0.35">
      <c r="A1509" s="53">
        <v>40892</v>
      </c>
      <c r="B1509" s="35">
        <v>8.35</v>
      </c>
      <c r="C1509" s="35">
        <v>1986280</v>
      </c>
    </row>
    <row r="1510" spans="1:3" x14ac:dyDescent="0.35">
      <c r="A1510" s="53">
        <v>40891</v>
      </c>
      <c r="B1510" s="35">
        <v>8.3800000000000008</v>
      </c>
      <c r="C1510" s="35">
        <v>5700640</v>
      </c>
    </row>
    <row r="1511" spans="1:3" x14ac:dyDescent="0.35">
      <c r="A1511" s="53">
        <v>40890</v>
      </c>
      <c r="B1511" s="35">
        <v>8.49</v>
      </c>
      <c r="C1511" s="35">
        <v>457280</v>
      </c>
    </row>
    <row r="1512" spans="1:3" x14ac:dyDescent="0.35">
      <c r="A1512" s="53">
        <v>40889</v>
      </c>
      <c r="B1512" s="35">
        <v>8.51</v>
      </c>
      <c r="C1512" s="35">
        <v>4872360</v>
      </c>
    </row>
    <row r="1513" spans="1:3" x14ac:dyDescent="0.35">
      <c r="A1513" s="53">
        <v>40886</v>
      </c>
      <c r="B1513" s="35">
        <v>8.5399999999999991</v>
      </c>
      <c r="C1513" s="35">
        <v>10723320</v>
      </c>
    </row>
    <row r="1514" spans="1:3" x14ac:dyDescent="0.35">
      <c r="A1514" s="53">
        <v>40885</v>
      </c>
      <c r="B1514" s="35">
        <v>8.7799999999999994</v>
      </c>
      <c r="C1514" s="35">
        <v>2346480</v>
      </c>
    </row>
    <row r="1515" spans="1:3" x14ac:dyDescent="0.35">
      <c r="A1515" s="53">
        <v>40884</v>
      </c>
      <c r="B1515" s="35">
        <v>8.8699999999999992</v>
      </c>
      <c r="C1515" s="35">
        <v>3617600</v>
      </c>
    </row>
    <row r="1516" spans="1:3" x14ac:dyDescent="0.35">
      <c r="A1516" s="53">
        <v>40882</v>
      </c>
      <c r="B1516" s="35">
        <v>8.8699999999999992</v>
      </c>
      <c r="C1516" s="35">
        <v>551040</v>
      </c>
    </row>
    <row r="1517" spans="1:3" x14ac:dyDescent="0.35">
      <c r="A1517" s="53">
        <v>40879</v>
      </c>
      <c r="B1517" s="35">
        <v>8.86</v>
      </c>
      <c r="C1517" s="35">
        <v>1329720</v>
      </c>
    </row>
    <row r="1518" spans="1:3" x14ac:dyDescent="0.35">
      <c r="A1518" s="53">
        <v>40878</v>
      </c>
      <c r="B1518" s="35">
        <v>8.98</v>
      </c>
      <c r="C1518" s="35">
        <v>1845840</v>
      </c>
    </row>
    <row r="1519" spans="1:3" x14ac:dyDescent="0.35">
      <c r="A1519" s="53">
        <v>40877</v>
      </c>
      <c r="B1519" s="35">
        <v>8.84</v>
      </c>
      <c r="C1519" s="35">
        <v>366200</v>
      </c>
    </row>
    <row r="1520" spans="1:3" x14ac:dyDescent="0.35">
      <c r="A1520" s="53">
        <v>40876</v>
      </c>
      <c r="B1520" s="35">
        <v>8.74</v>
      </c>
      <c r="C1520" s="35">
        <v>671080</v>
      </c>
    </row>
    <row r="1521" spans="1:3" x14ac:dyDescent="0.35">
      <c r="A1521" s="53">
        <v>40875</v>
      </c>
      <c r="B1521" s="35">
        <v>8.42</v>
      </c>
      <c r="C1521" s="35">
        <v>1151920</v>
      </c>
    </row>
    <row r="1522" spans="1:3" x14ac:dyDescent="0.35">
      <c r="A1522" s="53">
        <v>40872</v>
      </c>
      <c r="B1522" s="35">
        <v>8.18</v>
      </c>
      <c r="C1522" s="35">
        <v>2573000</v>
      </c>
    </row>
    <row r="1523" spans="1:3" x14ac:dyDescent="0.35">
      <c r="A1523" s="53">
        <v>40871</v>
      </c>
      <c r="B1523" s="35">
        <v>8.24</v>
      </c>
      <c r="C1523" s="35">
        <v>412920</v>
      </c>
    </row>
    <row r="1524" spans="1:3" x14ac:dyDescent="0.35">
      <c r="A1524" s="53">
        <v>40870</v>
      </c>
      <c r="B1524" s="35">
        <v>8.23</v>
      </c>
      <c r="C1524" s="35">
        <v>1408240</v>
      </c>
    </row>
    <row r="1525" spans="1:3" x14ac:dyDescent="0.35">
      <c r="A1525" s="53">
        <v>40869</v>
      </c>
      <c r="B1525" s="35">
        <v>8.25</v>
      </c>
      <c r="C1525" s="35">
        <v>977920</v>
      </c>
    </row>
    <row r="1526" spans="1:3" x14ac:dyDescent="0.35">
      <c r="A1526" s="53">
        <v>40868</v>
      </c>
      <c r="B1526" s="35">
        <v>8.25</v>
      </c>
      <c r="C1526" s="35">
        <v>2954000</v>
      </c>
    </row>
    <row r="1527" spans="1:3" x14ac:dyDescent="0.35">
      <c r="A1527" s="53">
        <v>40865</v>
      </c>
      <c r="B1527" s="35">
        <v>8.25</v>
      </c>
      <c r="C1527" s="35">
        <v>1194160</v>
      </c>
    </row>
    <row r="1528" spans="1:3" x14ac:dyDescent="0.35">
      <c r="A1528" s="53">
        <v>40864</v>
      </c>
      <c r="B1528" s="35">
        <v>8.25</v>
      </c>
      <c r="C1528" s="35">
        <v>2599160</v>
      </c>
    </row>
    <row r="1529" spans="1:3" x14ac:dyDescent="0.35">
      <c r="A1529" s="53">
        <v>40863</v>
      </c>
      <c r="B1529" s="35">
        <v>8.2899999999999991</v>
      </c>
      <c r="C1529" s="35">
        <v>5971640</v>
      </c>
    </row>
    <row r="1530" spans="1:3" x14ac:dyDescent="0.35">
      <c r="A1530" s="53">
        <v>40862</v>
      </c>
      <c r="B1530" s="35">
        <v>8.6300000000000008</v>
      </c>
      <c r="C1530" s="35">
        <v>7226600</v>
      </c>
    </row>
    <row r="1531" spans="1:3" x14ac:dyDescent="0.35">
      <c r="A1531" s="53">
        <v>40861</v>
      </c>
      <c r="B1531" s="35">
        <v>8.76</v>
      </c>
      <c r="C1531" s="35">
        <v>3005480</v>
      </c>
    </row>
    <row r="1532" spans="1:3" x14ac:dyDescent="0.35">
      <c r="A1532" s="53">
        <v>40858</v>
      </c>
      <c r="B1532" s="35">
        <v>8.7799999999999994</v>
      </c>
      <c r="C1532" s="35">
        <v>997400</v>
      </c>
    </row>
    <row r="1533" spans="1:3" x14ac:dyDescent="0.35">
      <c r="A1533" s="53">
        <v>40856</v>
      </c>
      <c r="B1533" s="35">
        <v>8.76</v>
      </c>
      <c r="C1533" s="35">
        <v>1119240</v>
      </c>
    </row>
    <row r="1534" spans="1:3" x14ac:dyDescent="0.35">
      <c r="A1534" s="53">
        <v>40855</v>
      </c>
      <c r="B1534" s="35">
        <v>8.77</v>
      </c>
      <c r="C1534" s="35">
        <v>1200520</v>
      </c>
    </row>
    <row r="1535" spans="1:3" x14ac:dyDescent="0.35">
      <c r="A1535" s="53">
        <v>40851</v>
      </c>
      <c r="B1535" s="35">
        <v>8.7799999999999994</v>
      </c>
      <c r="C1535" s="35">
        <v>265640</v>
      </c>
    </row>
    <row r="1536" spans="1:3" x14ac:dyDescent="0.35">
      <c r="A1536" s="53">
        <v>40850</v>
      </c>
      <c r="B1536" s="35">
        <v>8.8000000000000007</v>
      </c>
      <c r="C1536" s="35">
        <v>2496160</v>
      </c>
    </row>
    <row r="1537" spans="1:3" x14ac:dyDescent="0.35">
      <c r="A1537" s="53">
        <v>40849</v>
      </c>
      <c r="B1537" s="35">
        <v>8.81</v>
      </c>
      <c r="C1537" s="35">
        <v>89400</v>
      </c>
    </row>
    <row r="1538" spans="1:3" x14ac:dyDescent="0.35">
      <c r="A1538" s="53">
        <v>40848</v>
      </c>
      <c r="B1538" s="35">
        <v>8.8699999999999992</v>
      </c>
      <c r="C1538" s="35">
        <v>11183120</v>
      </c>
    </row>
    <row r="1539" spans="1:3" x14ac:dyDescent="0.35">
      <c r="A1539" s="53">
        <v>40847</v>
      </c>
      <c r="B1539" s="35">
        <v>8.8699999999999992</v>
      </c>
      <c r="C1539" s="35">
        <v>145040</v>
      </c>
    </row>
    <row r="1540" spans="1:3" x14ac:dyDescent="0.35">
      <c r="A1540" s="53">
        <v>40844</v>
      </c>
      <c r="B1540" s="35">
        <v>8.93</v>
      </c>
      <c r="C1540" s="35">
        <v>144880</v>
      </c>
    </row>
    <row r="1541" spans="1:3" x14ac:dyDescent="0.35">
      <c r="A1541" s="53">
        <v>40842</v>
      </c>
      <c r="B1541" s="35">
        <v>8.92</v>
      </c>
      <c r="C1541" s="35">
        <v>502760</v>
      </c>
    </row>
    <row r="1542" spans="1:3" x14ac:dyDescent="0.35">
      <c r="A1542" s="53">
        <v>40841</v>
      </c>
      <c r="B1542" s="35">
        <v>8.75</v>
      </c>
      <c r="C1542" s="35">
        <v>188520</v>
      </c>
    </row>
    <row r="1543" spans="1:3" x14ac:dyDescent="0.35">
      <c r="A1543" s="53">
        <v>40840</v>
      </c>
      <c r="B1543" s="35">
        <v>8.84</v>
      </c>
      <c r="C1543" s="35">
        <v>6792720</v>
      </c>
    </row>
    <row r="1544" spans="1:3" x14ac:dyDescent="0.35">
      <c r="A1544" s="53">
        <v>40837</v>
      </c>
      <c r="B1544" s="35">
        <v>8.75</v>
      </c>
      <c r="C1544" s="35">
        <v>221560</v>
      </c>
    </row>
    <row r="1545" spans="1:3" x14ac:dyDescent="0.35">
      <c r="A1545" s="53">
        <v>40836</v>
      </c>
      <c r="B1545" s="35">
        <v>8.75</v>
      </c>
      <c r="C1545" s="35">
        <v>197000</v>
      </c>
    </row>
    <row r="1546" spans="1:3" x14ac:dyDescent="0.35">
      <c r="A1546" s="53">
        <v>40835</v>
      </c>
      <c r="B1546" s="35">
        <v>8.77</v>
      </c>
      <c r="C1546" s="35">
        <v>393360</v>
      </c>
    </row>
    <row r="1547" spans="1:3" x14ac:dyDescent="0.35">
      <c r="A1547" s="53">
        <v>40834</v>
      </c>
      <c r="B1547" s="35">
        <v>8.75</v>
      </c>
      <c r="C1547" s="35">
        <v>93640</v>
      </c>
    </row>
    <row r="1548" spans="1:3" x14ac:dyDescent="0.35">
      <c r="A1548" s="53">
        <v>40833</v>
      </c>
      <c r="B1548" s="35">
        <v>8.76</v>
      </c>
      <c r="C1548" s="35">
        <v>668240</v>
      </c>
    </row>
    <row r="1549" spans="1:3" x14ac:dyDescent="0.35">
      <c r="A1549" s="53">
        <v>40830</v>
      </c>
      <c r="B1549" s="35">
        <v>8.82</v>
      </c>
      <c r="C1549" s="35">
        <v>97080</v>
      </c>
    </row>
    <row r="1550" spans="1:3" x14ac:dyDescent="0.35">
      <c r="A1550" s="53">
        <v>40829</v>
      </c>
      <c r="B1550" s="35">
        <v>8.8800000000000008</v>
      </c>
      <c r="C1550" s="35">
        <v>264240</v>
      </c>
    </row>
    <row r="1551" spans="1:3" x14ac:dyDescent="0.35">
      <c r="A1551" s="53">
        <v>40828</v>
      </c>
      <c r="B1551" s="35">
        <v>8.98</v>
      </c>
      <c r="C1551" s="35">
        <v>153200</v>
      </c>
    </row>
    <row r="1552" spans="1:3" x14ac:dyDescent="0.35">
      <c r="A1552" s="53">
        <v>40827</v>
      </c>
      <c r="B1552" s="35">
        <v>8.9499999999999993</v>
      </c>
      <c r="C1552" s="35">
        <v>2145160</v>
      </c>
    </row>
    <row r="1553" spans="1:3" x14ac:dyDescent="0.35">
      <c r="A1553" s="53">
        <v>40826</v>
      </c>
      <c r="B1553" s="35">
        <v>8.8800000000000008</v>
      </c>
      <c r="C1553" s="35">
        <v>362120</v>
      </c>
    </row>
    <row r="1554" spans="1:3" x14ac:dyDescent="0.35">
      <c r="A1554" s="53">
        <v>40823</v>
      </c>
      <c r="B1554" s="35">
        <v>8.89</v>
      </c>
      <c r="C1554" s="35">
        <v>978040</v>
      </c>
    </row>
    <row r="1555" spans="1:3" x14ac:dyDescent="0.35">
      <c r="A1555" s="53">
        <v>40821</v>
      </c>
      <c r="B1555" s="35">
        <v>8.75</v>
      </c>
      <c r="C1555" s="35">
        <v>394640</v>
      </c>
    </row>
    <row r="1556" spans="1:3" x14ac:dyDescent="0.35">
      <c r="A1556" s="53">
        <v>40820</v>
      </c>
      <c r="B1556" s="35">
        <v>8.75</v>
      </c>
      <c r="C1556" s="35">
        <v>1011120</v>
      </c>
    </row>
    <row r="1557" spans="1:3" x14ac:dyDescent="0.35">
      <c r="A1557" s="53">
        <v>40819</v>
      </c>
      <c r="B1557" s="35">
        <v>8.75</v>
      </c>
      <c r="C1557" s="35">
        <v>486920</v>
      </c>
    </row>
    <row r="1558" spans="1:3" x14ac:dyDescent="0.35">
      <c r="A1558" s="53">
        <v>40816</v>
      </c>
      <c r="B1558" s="35">
        <v>8.75</v>
      </c>
      <c r="C1558" s="35">
        <v>3418160</v>
      </c>
    </row>
    <row r="1559" spans="1:3" x14ac:dyDescent="0.35">
      <c r="A1559" s="53">
        <v>40815</v>
      </c>
      <c r="B1559" s="35">
        <v>8.75</v>
      </c>
      <c r="C1559" s="35">
        <v>321320</v>
      </c>
    </row>
    <row r="1560" spans="1:3" x14ac:dyDescent="0.35">
      <c r="A1560" s="53">
        <v>40814</v>
      </c>
      <c r="B1560" s="35">
        <v>8.77</v>
      </c>
      <c r="C1560" s="35">
        <v>147800</v>
      </c>
    </row>
    <row r="1561" spans="1:3" x14ac:dyDescent="0.35">
      <c r="A1561" s="53">
        <v>40813</v>
      </c>
      <c r="B1561" s="35">
        <v>8.83</v>
      </c>
      <c r="C1561" s="35">
        <v>2941280</v>
      </c>
    </row>
    <row r="1562" spans="1:3" x14ac:dyDescent="0.35">
      <c r="A1562" s="53">
        <v>40812</v>
      </c>
      <c r="B1562" s="35">
        <v>8.75</v>
      </c>
      <c r="C1562" s="35">
        <v>2741720</v>
      </c>
    </row>
    <row r="1563" spans="1:3" x14ac:dyDescent="0.35">
      <c r="A1563" s="53">
        <v>40809</v>
      </c>
      <c r="B1563" s="35">
        <v>9.15</v>
      </c>
      <c r="C1563" s="35">
        <v>489200</v>
      </c>
    </row>
    <row r="1564" spans="1:3" x14ac:dyDescent="0.35">
      <c r="A1564" s="53">
        <v>40808</v>
      </c>
      <c r="B1564" s="35">
        <v>9.31</v>
      </c>
      <c r="C1564" s="35">
        <v>348240</v>
      </c>
    </row>
    <row r="1565" spans="1:3" x14ac:dyDescent="0.35">
      <c r="A1565" s="53">
        <v>40807</v>
      </c>
      <c r="B1565" s="35">
        <v>9.5</v>
      </c>
      <c r="C1565" s="35">
        <v>317920</v>
      </c>
    </row>
    <row r="1566" spans="1:3" x14ac:dyDescent="0.35">
      <c r="A1566" s="53">
        <v>40806</v>
      </c>
      <c r="B1566" s="35">
        <v>9.4700000000000006</v>
      </c>
      <c r="C1566" s="35">
        <v>105600</v>
      </c>
    </row>
    <row r="1567" spans="1:3" x14ac:dyDescent="0.35">
      <c r="A1567" s="53">
        <v>40805</v>
      </c>
      <c r="B1567" s="35">
        <v>9.43</v>
      </c>
      <c r="C1567" s="35">
        <v>74760</v>
      </c>
    </row>
    <row r="1568" spans="1:3" x14ac:dyDescent="0.35">
      <c r="A1568" s="53">
        <v>40802</v>
      </c>
      <c r="B1568" s="35">
        <v>9.5</v>
      </c>
      <c r="C1568" s="35">
        <v>201560</v>
      </c>
    </row>
    <row r="1569" spans="1:3" x14ac:dyDescent="0.35">
      <c r="A1569" s="53">
        <v>40801</v>
      </c>
      <c r="B1569" s="35">
        <v>9.5</v>
      </c>
      <c r="C1569" s="35">
        <v>111680</v>
      </c>
    </row>
    <row r="1570" spans="1:3" x14ac:dyDescent="0.35">
      <c r="A1570" s="53">
        <v>40800</v>
      </c>
      <c r="B1570" s="35">
        <v>9.5399999999999991</v>
      </c>
      <c r="C1570" s="35">
        <v>1061360</v>
      </c>
    </row>
    <row r="1571" spans="1:3" x14ac:dyDescent="0.35">
      <c r="A1571" s="53">
        <v>40799</v>
      </c>
      <c r="B1571" s="35">
        <v>9.48</v>
      </c>
      <c r="C1571" s="35">
        <v>363400</v>
      </c>
    </row>
    <row r="1572" spans="1:3" x14ac:dyDescent="0.35">
      <c r="A1572" s="53">
        <v>40798</v>
      </c>
      <c r="B1572" s="35">
        <v>9.4499999999999993</v>
      </c>
      <c r="C1572" s="35">
        <v>470120</v>
      </c>
    </row>
    <row r="1573" spans="1:3" x14ac:dyDescent="0.35">
      <c r="A1573" s="53">
        <v>40795</v>
      </c>
      <c r="B1573" s="35">
        <v>9.48</v>
      </c>
      <c r="C1573" s="35">
        <v>209560</v>
      </c>
    </row>
    <row r="1574" spans="1:3" x14ac:dyDescent="0.35">
      <c r="A1574" s="53">
        <v>40794</v>
      </c>
      <c r="B1574" s="35">
        <v>9.64</v>
      </c>
      <c r="C1574" s="35">
        <v>4426600</v>
      </c>
    </row>
    <row r="1575" spans="1:3" x14ac:dyDescent="0.35">
      <c r="A1575" s="53">
        <v>40793</v>
      </c>
      <c r="B1575" s="35">
        <v>9.6199999999999992</v>
      </c>
      <c r="C1575" s="35">
        <v>276200</v>
      </c>
    </row>
    <row r="1576" spans="1:3" x14ac:dyDescent="0.35">
      <c r="A1576" s="53">
        <v>40792</v>
      </c>
      <c r="B1576" s="35">
        <v>9.5399999999999991</v>
      </c>
      <c r="C1576" s="35">
        <v>518920</v>
      </c>
    </row>
    <row r="1577" spans="1:3" x14ac:dyDescent="0.35">
      <c r="A1577" s="53">
        <v>40791</v>
      </c>
      <c r="B1577" s="35">
        <v>9.4</v>
      </c>
      <c r="C1577" s="35">
        <v>202840</v>
      </c>
    </row>
    <row r="1578" spans="1:3" x14ac:dyDescent="0.35">
      <c r="A1578" s="53">
        <v>40788</v>
      </c>
      <c r="B1578" s="35">
        <v>9.5299999999999994</v>
      </c>
      <c r="C1578" s="35">
        <v>271320</v>
      </c>
    </row>
    <row r="1579" spans="1:3" x14ac:dyDescent="0.35">
      <c r="A1579" s="53">
        <v>40785</v>
      </c>
      <c r="B1579" s="35">
        <v>9.49</v>
      </c>
      <c r="C1579" s="35">
        <v>445320</v>
      </c>
    </row>
    <row r="1580" spans="1:3" x14ac:dyDescent="0.35">
      <c r="A1580" s="53">
        <v>40784</v>
      </c>
      <c r="B1580" s="35">
        <v>9.4499999999999993</v>
      </c>
      <c r="C1580" s="35">
        <v>6755960</v>
      </c>
    </row>
    <row r="1581" spans="1:3" x14ac:dyDescent="0.35">
      <c r="A1581" s="53">
        <v>40781</v>
      </c>
      <c r="B1581" s="35">
        <v>9.42</v>
      </c>
      <c r="C1581" s="35">
        <v>1014480</v>
      </c>
    </row>
    <row r="1582" spans="1:3" x14ac:dyDescent="0.35">
      <c r="A1582" s="53">
        <v>40780</v>
      </c>
      <c r="B1582" s="35">
        <v>9.82</v>
      </c>
      <c r="C1582" s="35">
        <v>1421360</v>
      </c>
    </row>
    <row r="1583" spans="1:3" x14ac:dyDescent="0.35">
      <c r="A1583" s="53">
        <v>40779</v>
      </c>
      <c r="B1583" s="35">
        <v>9.57</v>
      </c>
      <c r="C1583" s="35">
        <v>313760</v>
      </c>
    </row>
    <row r="1584" spans="1:3" x14ac:dyDescent="0.35">
      <c r="A1584" s="53">
        <v>40778</v>
      </c>
      <c r="B1584" s="35">
        <v>9.61</v>
      </c>
      <c r="C1584" s="35">
        <v>461000</v>
      </c>
    </row>
    <row r="1585" spans="1:3" x14ac:dyDescent="0.35">
      <c r="A1585" s="53">
        <v>40777</v>
      </c>
      <c r="B1585" s="35">
        <v>9.4600000000000009</v>
      </c>
      <c r="C1585" s="35">
        <v>488720</v>
      </c>
    </row>
    <row r="1586" spans="1:3" x14ac:dyDescent="0.35">
      <c r="A1586" s="53">
        <v>40774</v>
      </c>
      <c r="B1586" s="35">
        <v>9.4700000000000006</v>
      </c>
      <c r="C1586" s="35">
        <v>1297520</v>
      </c>
    </row>
    <row r="1587" spans="1:3" x14ac:dyDescent="0.35">
      <c r="A1587" s="53">
        <v>40773</v>
      </c>
      <c r="B1587" s="35">
        <v>9.64</v>
      </c>
      <c r="C1587" s="35">
        <v>1743840</v>
      </c>
    </row>
    <row r="1588" spans="1:3" x14ac:dyDescent="0.35">
      <c r="A1588" s="53">
        <v>40772</v>
      </c>
      <c r="B1588" s="35">
        <v>10</v>
      </c>
      <c r="C1588" s="35">
        <v>2229320</v>
      </c>
    </row>
    <row r="1589" spans="1:3" x14ac:dyDescent="0.35">
      <c r="A1589" s="53">
        <v>40771</v>
      </c>
      <c r="B1589" s="35">
        <v>10</v>
      </c>
      <c r="C1589" s="35">
        <v>1053200</v>
      </c>
    </row>
    <row r="1590" spans="1:3" x14ac:dyDescent="0.35">
      <c r="A1590" s="53">
        <v>40767</v>
      </c>
      <c r="B1590" s="35">
        <v>10.029999999999999</v>
      </c>
      <c r="C1590" s="35">
        <v>2157000</v>
      </c>
    </row>
    <row r="1591" spans="1:3" x14ac:dyDescent="0.35">
      <c r="A1591" s="53">
        <v>40766</v>
      </c>
      <c r="B1591" s="35">
        <v>9.99</v>
      </c>
      <c r="C1591" s="35">
        <v>769680</v>
      </c>
    </row>
    <row r="1592" spans="1:3" x14ac:dyDescent="0.35">
      <c r="A1592" s="53">
        <v>40765</v>
      </c>
      <c r="B1592" s="35">
        <v>9.98</v>
      </c>
      <c r="C1592" s="35">
        <v>3239680</v>
      </c>
    </row>
    <row r="1593" spans="1:3" x14ac:dyDescent="0.35">
      <c r="A1593" s="53">
        <v>40764</v>
      </c>
      <c r="B1593" s="35">
        <v>9.4700000000000006</v>
      </c>
      <c r="C1593" s="35">
        <v>2930840</v>
      </c>
    </row>
    <row r="1594" spans="1:3" x14ac:dyDescent="0.35">
      <c r="A1594" s="53">
        <v>40763</v>
      </c>
      <c r="B1594" s="35">
        <v>9.3000000000000007</v>
      </c>
      <c r="C1594" s="35">
        <v>2767080</v>
      </c>
    </row>
    <row r="1595" spans="1:3" x14ac:dyDescent="0.35">
      <c r="A1595" s="53">
        <v>40760</v>
      </c>
      <c r="B1595" s="35">
        <v>9.5</v>
      </c>
      <c r="C1595" s="35">
        <v>2349120</v>
      </c>
    </row>
    <row r="1596" spans="1:3" x14ac:dyDescent="0.35">
      <c r="A1596" s="53">
        <v>40759</v>
      </c>
      <c r="B1596" s="35">
        <v>9.75</v>
      </c>
      <c r="C1596" s="35">
        <v>691440</v>
      </c>
    </row>
    <row r="1597" spans="1:3" x14ac:dyDescent="0.35">
      <c r="A1597" s="53">
        <v>40758</v>
      </c>
      <c r="B1597" s="35">
        <v>9.77</v>
      </c>
      <c r="C1597" s="35">
        <v>721480</v>
      </c>
    </row>
    <row r="1598" spans="1:3" x14ac:dyDescent="0.35">
      <c r="A1598" s="53">
        <v>40757</v>
      </c>
      <c r="B1598" s="35">
        <v>9.7799999999999994</v>
      </c>
      <c r="C1598" s="35">
        <v>255200</v>
      </c>
    </row>
    <row r="1599" spans="1:3" x14ac:dyDescent="0.35">
      <c r="A1599" s="53">
        <v>40756</v>
      </c>
      <c r="B1599" s="35">
        <v>9.98</v>
      </c>
      <c r="C1599" s="35">
        <v>2259680</v>
      </c>
    </row>
    <row r="1600" spans="1:3" x14ac:dyDescent="0.35">
      <c r="A1600" s="53">
        <v>40753</v>
      </c>
      <c r="B1600" s="35">
        <v>9.8699999999999992</v>
      </c>
      <c r="C1600" s="35">
        <v>1187080</v>
      </c>
    </row>
    <row r="1601" spans="1:3" x14ac:dyDescent="0.35">
      <c r="A1601" s="53">
        <v>40752</v>
      </c>
      <c r="B1601" s="35">
        <v>9.75</v>
      </c>
      <c r="C1601" s="35">
        <v>741840</v>
      </c>
    </row>
    <row r="1602" spans="1:3" x14ac:dyDescent="0.35">
      <c r="A1602" s="53">
        <v>40751</v>
      </c>
      <c r="B1602" s="35">
        <v>9.84</v>
      </c>
      <c r="C1602" s="35">
        <v>2256880</v>
      </c>
    </row>
    <row r="1603" spans="1:3" x14ac:dyDescent="0.35">
      <c r="A1603" s="53">
        <v>40750</v>
      </c>
      <c r="B1603" s="35">
        <v>9.92</v>
      </c>
      <c r="C1603" s="35">
        <v>15686640</v>
      </c>
    </row>
    <row r="1604" spans="1:3" x14ac:dyDescent="0.35">
      <c r="A1604" s="53">
        <v>40749</v>
      </c>
      <c r="B1604" s="35">
        <v>9.9700000000000006</v>
      </c>
      <c r="C1604" s="35">
        <v>1565520</v>
      </c>
    </row>
    <row r="1605" spans="1:3" x14ac:dyDescent="0.35">
      <c r="A1605" s="53">
        <v>40746</v>
      </c>
      <c r="B1605" s="35">
        <v>9.93</v>
      </c>
      <c r="C1605" s="35">
        <v>4996760</v>
      </c>
    </row>
    <row r="1606" spans="1:3" x14ac:dyDescent="0.35">
      <c r="A1606" s="53">
        <v>40745</v>
      </c>
      <c r="B1606" s="35">
        <v>9.91</v>
      </c>
      <c r="C1606" s="35">
        <v>399440</v>
      </c>
    </row>
    <row r="1607" spans="1:3" x14ac:dyDescent="0.35">
      <c r="A1607" s="53">
        <v>40744</v>
      </c>
      <c r="B1607" s="35">
        <v>10.01</v>
      </c>
      <c r="C1607" s="35">
        <v>300520</v>
      </c>
    </row>
    <row r="1608" spans="1:3" x14ac:dyDescent="0.35">
      <c r="A1608" s="53">
        <v>40743</v>
      </c>
      <c r="B1608" s="35">
        <v>10.02</v>
      </c>
      <c r="C1608" s="35">
        <v>220480</v>
      </c>
    </row>
    <row r="1609" spans="1:3" x14ac:dyDescent="0.35">
      <c r="A1609" s="53">
        <v>40742</v>
      </c>
      <c r="B1609" s="35">
        <v>10.01</v>
      </c>
      <c r="C1609" s="35">
        <v>352240</v>
      </c>
    </row>
    <row r="1610" spans="1:3" x14ac:dyDescent="0.35">
      <c r="A1610" s="53">
        <v>40739</v>
      </c>
      <c r="B1610" s="35">
        <v>10.050000000000001</v>
      </c>
      <c r="C1610" s="35">
        <v>2771880</v>
      </c>
    </row>
    <row r="1611" spans="1:3" x14ac:dyDescent="0.35">
      <c r="A1611" s="53">
        <v>40738</v>
      </c>
      <c r="B1611" s="35">
        <v>10.08</v>
      </c>
      <c r="C1611" s="35">
        <v>3250960</v>
      </c>
    </row>
    <row r="1612" spans="1:3" x14ac:dyDescent="0.35">
      <c r="A1612" s="53">
        <v>40737</v>
      </c>
      <c r="B1612" s="35">
        <v>9.89</v>
      </c>
      <c r="C1612" s="35">
        <v>1270880</v>
      </c>
    </row>
    <row r="1613" spans="1:3" x14ac:dyDescent="0.35">
      <c r="A1613" s="53">
        <v>40736</v>
      </c>
      <c r="B1613" s="35">
        <v>9.51</v>
      </c>
      <c r="C1613" s="35">
        <v>302120</v>
      </c>
    </row>
    <row r="1614" spans="1:3" x14ac:dyDescent="0.35">
      <c r="A1614" s="53">
        <v>40735</v>
      </c>
      <c r="B1614" s="35">
        <v>9.57</v>
      </c>
      <c r="C1614" s="35">
        <v>383280</v>
      </c>
    </row>
    <row r="1615" spans="1:3" x14ac:dyDescent="0.35">
      <c r="A1615" s="53">
        <v>40732</v>
      </c>
      <c r="B1615" s="35">
        <v>9.75</v>
      </c>
      <c r="C1615" s="35">
        <v>4092560</v>
      </c>
    </row>
    <row r="1616" spans="1:3" x14ac:dyDescent="0.35">
      <c r="A1616" s="53">
        <v>40731</v>
      </c>
      <c r="B1616" s="35">
        <v>9.84</v>
      </c>
      <c r="C1616" s="35">
        <v>6211640</v>
      </c>
    </row>
    <row r="1617" spans="1:3" x14ac:dyDescent="0.35">
      <c r="A1617" s="53">
        <v>40730</v>
      </c>
      <c r="B1617" s="35">
        <v>9.35</v>
      </c>
      <c r="C1617" s="35">
        <v>197760</v>
      </c>
    </row>
    <row r="1618" spans="1:3" x14ac:dyDescent="0.35">
      <c r="A1618" s="53">
        <v>40729</v>
      </c>
      <c r="B1618" s="35">
        <v>9.4</v>
      </c>
      <c r="C1618" s="35">
        <v>364520</v>
      </c>
    </row>
    <row r="1619" spans="1:3" x14ac:dyDescent="0.35">
      <c r="A1619" s="53">
        <v>40728</v>
      </c>
      <c r="B1619" s="35">
        <v>9.5</v>
      </c>
      <c r="C1619" s="35">
        <v>1873840</v>
      </c>
    </row>
    <row r="1620" spans="1:3" x14ac:dyDescent="0.35">
      <c r="A1620" s="53">
        <v>40725</v>
      </c>
      <c r="B1620" s="35">
        <v>9.3699999999999992</v>
      </c>
      <c r="C1620" s="35">
        <v>1130640</v>
      </c>
    </row>
    <row r="1621" spans="1:3" x14ac:dyDescent="0.35">
      <c r="A1621" s="53">
        <v>40724</v>
      </c>
      <c r="B1621" s="35">
        <v>9.32</v>
      </c>
      <c r="C1621" s="35">
        <v>3373920</v>
      </c>
    </row>
    <row r="1622" spans="1:3" x14ac:dyDescent="0.35">
      <c r="A1622" s="53">
        <v>40723</v>
      </c>
      <c r="B1622" s="35">
        <v>9.27</v>
      </c>
      <c r="C1622" s="35">
        <v>3278920</v>
      </c>
    </row>
    <row r="1623" spans="1:3" x14ac:dyDescent="0.35">
      <c r="A1623" s="53">
        <v>40722</v>
      </c>
      <c r="B1623" s="35">
        <v>9.1300000000000008</v>
      </c>
      <c r="C1623" s="35">
        <v>1669080</v>
      </c>
    </row>
    <row r="1624" spans="1:3" x14ac:dyDescent="0.35">
      <c r="A1624" s="53">
        <v>40721</v>
      </c>
      <c r="B1624" s="35">
        <v>9.1300000000000008</v>
      </c>
      <c r="C1624" s="35">
        <v>1546280</v>
      </c>
    </row>
    <row r="1625" spans="1:3" x14ac:dyDescent="0.35">
      <c r="A1625" s="53">
        <v>40718</v>
      </c>
      <c r="B1625" s="35">
        <v>8.76</v>
      </c>
      <c r="C1625" s="35">
        <v>963760</v>
      </c>
    </row>
    <row r="1626" spans="1:3" x14ac:dyDescent="0.35">
      <c r="A1626" s="53">
        <v>40717</v>
      </c>
      <c r="B1626" s="35">
        <v>8.76</v>
      </c>
      <c r="C1626" s="35">
        <v>983160</v>
      </c>
    </row>
    <row r="1627" spans="1:3" x14ac:dyDescent="0.35">
      <c r="A1627" s="53">
        <v>40716</v>
      </c>
      <c r="B1627" s="35">
        <v>8.75</v>
      </c>
      <c r="C1627" s="35">
        <v>331680</v>
      </c>
    </row>
    <row r="1628" spans="1:3" x14ac:dyDescent="0.35">
      <c r="A1628" s="53">
        <v>40715</v>
      </c>
      <c r="B1628" s="35">
        <v>8.76</v>
      </c>
      <c r="C1628" s="35">
        <v>1118280</v>
      </c>
    </row>
    <row r="1629" spans="1:3" x14ac:dyDescent="0.35">
      <c r="A1629" s="53">
        <v>40714</v>
      </c>
      <c r="B1629" s="35">
        <v>8.83</v>
      </c>
      <c r="C1629" s="35">
        <v>3424280</v>
      </c>
    </row>
    <row r="1630" spans="1:3" x14ac:dyDescent="0.35">
      <c r="A1630" s="53">
        <v>40711</v>
      </c>
      <c r="B1630" s="35">
        <v>8.98</v>
      </c>
      <c r="C1630" s="35">
        <v>208480</v>
      </c>
    </row>
    <row r="1631" spans="1:3" x14ac:dyDescent="0.35">
      <c r="A1631" s="53">
        <v>40710</v>
      </c>
      <c r="B1631" s="35">
        <v>9.06</v>
      </c>
      <c r="C1631" s="35">
        <v>209880</v>
      </c>
    </row>
    <row r="1632" spans="1:3" x14ac:dyDescent="0.35">
      <c r="A1632" s="53">
        <v>40709</v>
      </c>
      <c r="B1632" s="35">
        <v>9.14</v>
      </c>
      <c r="C1632" s="35">
        <v>2619080</v>
      </c>
    </row>
    <row r="1633" spans="1:3" x14ac:dyDescent="0.35">
      <c r="A1633" s="53">
        <v>40708</v>
      </c>
      <c r="B1633" s="35">
        <v>9.14</v>
      </c>
      <c r="C1633" s="35">
        <v>449680</v>
      </c>
    </row>
    <row r="1634" spans="1:3" x14ac:dyDescent="0.35">
      <c r="A1634" s="53">
        <v>40707</v>
      </c>
      <c r="B1634" s="35">
        <v>9.1199999999999992</v>
      </c>
      <c r="C1634" s="35">
        <v>6740560</v>
      </c>
    </row>
    <row r="1635" spans="1:3" x14ac:dyDescent="0.35">
      <c r="A1635" s="53">
        <v>40704</v>
      </c>
      <c r="B1635" s="35">
        <v>9.1300000000000008</v>
      </c>
      <c r="C1635" s="35">
        <v>3268160</v>
      </c>
    </row>
    <row r="1636" spans="1:3" x14ac:dyDescent="0.35">
      <c r="A1636" s="53">
        <v>40703</v>
      </c>
      <c r="B1636" s="35">
        <v>9.1999999999999993</v>
      </c>
      <c r="C1636" s="35">
        <v>1572720</v>
      </c>
    </row>
    <row r="1637" spans="1:3" x14ac:dyDescent="0.35">
      <c r="A1637" s="53">
        <v>40702</v>
      </c>
      <c r="B1637" s="35">
        <v>8.9600000000000009</v>
      </c>
      <c r="C1637" s="35">
        <v>200280</v>
      </c>
    </row>
    <row r="1638" spans="1:3" x14ac:dyDescent="0.35">
      <c r="A1638" s="53">
        <v>40701</v>
      </c>
      <c r="B1638" s="35">
        <v>9.0500000000000007</v>
      </c>
      <c r="C1638" s="35">
        <v>2209360</v>
      </c>
    </row>
    <row r="1639" spans="1:3" x14ac:dyDescent="0.35">
      <c r="A1639" s="53">
        <v>40700</v>
      </c>
      <c r="B1639" s="35">
        <v>9.0500000000000007</v>
      </c>
      <c r="C1639" s="35">
        <v>1115200</v>
      </c>
    </row>
    <row r="1640" spans="1:3" x14ac:dyDescent="0.35">
      <c r="A1640" s="53">
        <v>40697</v>
      </c>
      <c r="B1640" s="35">
        <v>8.8699999999999992</v>
      </c>
      <c r="C1640" s="35">
        <v>2038200</v>
      </c>
    </row>
    <row r="1641" spans="1:3" x14ac:dyDescent="0.35">
      <c r="A1641" s="53">
        <v>40696</v>
      </c>
      <c r="B1641" s="35">
        <v>8.89</v>
      </c>
      <c r="C1641" s="35">
        <v>236800</v>
      </c>
    </row>
    <row r="1642" spans="1:3" x14ac:dyDescent="0.35">
      <c r="A1642" s="53">
        <v>40695</v>
      </c>
      <c r="B1642" s="35">
        <v>8.98</v>
      </c>
      <c r="C1642" s="35">
        <v>950480</v>
      </c>
    </row>
    <row r="1643" spans="1:3" x14ac:dyDescent="0.35">
      <c r="A1643" s="53">
        <v>40694</v>
      </c>
      <c r="B1643" s="35">
        <v>9.01</v>
      </c>
      <c r="C1643" s="35">
        <v>2676320</v>
      </c>
    </row>
    <row r="1644" spans="1:3" x14ac:dyDescent="0.35">
      <c r="A1644" s="53">
        <v>40693</v>
      </c>
      <c r="B1644" s="35">
        <v>8.9499999999999993</v>
      </c>
      <c r="C1644" s="35">
        <v>374760</v>
      </c>
    </row>
    <row r="1645" spans="1:3" x14ac:dyDescent="0.35">
      <c r="A1645" s="53">
        <v>40690</v>
      </c>
      <c r="B1645" s="35">
        <v>8.93</v>
      </c>
      <c r="C1645" s="35">
        <v>2652360</v>
      </c>
    </row>
    <row r="1646" spans="1:3" x14ac:dyDescent="0.35">
      <c r="A1646" s="53">
        <v>40689</v>
      </c>
      <c r="B1646" s="35">
        <v>9.0399999999999991</v>
      </c>
      <c r="C1646" s="35">
        <v>558040</v>
      </c>
    </row>
    <row r="1647" spans="1:3" x14ac:dyDescent="0.35">
      <c r="A1647" s="53">
        <v>40688</v>
      </c>
      <c r="B1647" s="35">
        <v>9.08</v>
      </c>
      <c r="C1647" s="35">
        <v>12824080</v>
      </c>
    </row>
    <row r="1648" spans="1:3" x14ac:dyDescent="0.35">
      <c r="A1648" s="53">
        <v>40687</v>
      </c>
      <c r="B1648" s="35">
        <v>9.1</v>
      </c>
      <c r="C1648" s="35">
        <v>4012760</v>
      </c>
    </row>
    <row r="1649" spans="1:3" x14ac:dyDescent="0.35">
      <c r="A1649" s="53">
        <v>40686</v>
      </c>
      <c r="B1649" s="35">
        <v>9.1300000000000008</v>
      </c>
      <c r="C1649" s="35">
        <v>2726480</v>
      </c>
    </row>
    <row r="1650" spans="1:3" x14ac:dyDescent="0.35">
      <c r="A1650" s="53">
        <v>40683</v>
      </c>
      <c r="B1650" s="35">
        <v>9.6199999999999992</v>
      </c>
      <c r="C1650" s="35">
        <v>17943600</v>
      </c>
    </row>
    <row r="1651" spans="1:3" x14ac:dyDescent="0.35">
      <c r="A1651" s="53">
        <v>40682</v>
      </c>
      <c r="B1651" s="35">
        <v>8.83</v>
      </c>
      <c r="C1651" s="35">
        <v>1465880</v>
      </c>
    </row>
    <row r="1652" spans="1:3" x14ac:dyDescent="0.35">
      <c r="A1652" s="53">
        <v>40681</v>
      </c>
      <c r="B1652" s="35">
        <v>8.7799999999999994</v>
      </c>
      <c r="C1652" s="35">
        <v>857640</v>
      </c>
    </row>
    <row r="1653" spans="1:3" x14ac:dyDescent="0.35">
      <c r="A1653" s="53">
        <v>40680</v>
      </c>
      <c r="B1653" s="35">
        <v>8.84</v>
      </c>
      <c r="C1653" s="35">
        <v>2161440</v>
      </c>
    </row>
    <row r="1654" spans="1:3" x14ac:dyDescent="0.35">
      <c r="A1654" s="53">
        <v>40679</v>
      </c>
      <c r="B1654" s="35">
        <v>8.9</v>
      </c>
      <c r="C1654" s="35">
        <v>3465200</v>
      </c>
    </row>
    <row r="1655" spans="1:3" x14ac:dyDescent="0.35">
      <c r="A1655" s="53">
        <v>40676</v>
      </c>
      <c r="B1655" s="35">
        <v>8.9600000000000009</v>
      </c>
      <c r="C1655" s="35">
        <v>1291280</v>
      </c>
    </row>
    <row r="1656" spans="1:3" x14ac:dyDescent="0.35">
      <c r="A1656" s="53">
        <v>40675</v>
      </c>
      <c r="B1656" s="35">
        <v>8.82</v>
      </c>
      <c r="C1656" s="35">
        <v>5373320</v>
      </c>
    </row>
    <row r="1657" spans="1:3" x14ac:dyDescent="0.35">
      <c r="A1657" s="53">
        <v>40674</v>
      </c>
      <c r="B1657" s="35">
        <v>9.35</v>
      </c>
      <c r="C1657" s="35">
        <v>1067400</v>
      </c>
    </row>
    <row r="1658" spans="1:3" x14ac:dyDescent="0.35">
      <c r="A1658" s="53">
        <v>40673</v>
      </c>
      <c r="B1658" s="35">
        <v>9.5399999999999991</v>
      </c>
      <c r="C1658" s="35">
        <v>7874480</v>
      </c>
    </row>
    <row r="1659" spans="1:3" x14ac:dyDescent="0.35">
      <c r="A1659" s="53">
        <v>40672</v>
      </c>
      <c r="B1659" s="35">
        <v>9.7100000000000009</v>
      </c>
      <c r="C1659" s="35">
        <v>9982200</v>
      </c>
    </row>
    <row r="1660" spans="1:3" x14ac:dyDescent="0.35">
      <c r="A1660" s="53">
        <v>40669</v>
      </c>
      <c r="B1660" s="35">
        <v>9.48</v>
      </c>
      <c r="C1660" s="35">
        <v>1085280</v>
      </c>
    </row>
    <row r="1661" spans="1:3" x14ac:dyDescent="0.35">
      <c r="A1661" s="53">
        <v>40668</v>
      </c>
      <c r="B1661" s="35">
        <v>9.33</v>
      </c>
      <c r="C1661" s="35">
        <v>1099680</v>
      </c>
    </row>
    <row r="1662" spans="1:3" x14ac:dyDescent="0.35">
      <c r="A1662" s="53">
        <v>40667</v>
      </c>
      <c r="B1662" s="35">
        <v>9.48</v>
      </c>
      <c r="C1662" s="35">
        <v>719040</v>
      </c>
    </row>
    <row r="1663" spans="1:3" x14ac:dyDescent="0.35">
      <c r="A1663" s="53">
        <v>40666</v>
      </c>
      <c r="B1663" s="35">
        <v>9.52</v>
      </c>
      <c r="C1663" s="35">
        <v>1324720</v>
      </c>
    </row>
    <row r="1664" spans="1:3" x14ac:dyDescent="0.35">
      <c r="A1664" s="53">
        <v>40665</v>
      </c>
      <c r="B1664" s="35">
        <v>9.6</v>
      </c>
      <c r="C1664" s="35">
        <v>1688440</v>
      </c>
    </row>
    <row r="1665" spans="1:3" x14ac:dyDescent="0.35">
      <c r="A1665" s="53">
        <v>40662</v>
      </c>
      <c r="B1665" s="35">
        <v>9.4700000000000006</v>
      </c>
      <c r="C1665" s="35">
        <v>561960</v>
      </c>
    </row>
    <row r="1666" spans="1:3" x14ac:dyDescent="0.35">
      <c r="A1666" s="53">
        <v>40661</v>
      </c>
      <c r="B1666" s="35">
        <v>9.4700000000000006</v>
      </c>
      <c r="C1666" s="35">
        <v>689400</v>
      </c>
    </row>
    <row r="1667" spans="1:3" x14ac:dyDescent="0.35">
      <c r="A1667" s="53">
        <v>40660</v>
      </c>
      <c r="B1667" s="35">
        <v>9.51</v>
      </c>
      <c r="C1667" s="35">
        <v>1366600</v>
      </c>
    </row>
    <row r="1668" spans="1:3" x14ac:dyDescent="0.35">
      <c r="A1668" s="53">
        <v>40659</v>
      </c>
      <c r="B1668" s="35">
        <v>9.5299999999999994</v>
      </c>
      <c r="C1668" s="35">
        <v>3326920</v>
      </c>
    </row>
    <row r="1669" spans="1:3" x14ac:dyDescent="0.35">
      <c r="A1669" s="53">
        <v>40658</v>
      </c>
      <c r="B1669" s="35">
        <v>9.42</v>
      </c>
      <c r="C1669" s="35">
        <v>6309040</v>
      </c>
    </row>
    <row r="1670" spans="1:3" x14ac:dyDescent="0.35">
      <c r="A1670" s="53">
        <v>40654</v>
      </c>
      <c r="B1670" s="35">
        <v>9.07</v>
      </c>
      <c r="C1670" s="35">
        <v>966120</v>
      </c>
    </row>
    <row r="1671" spans="1:3" x14ac:dyDescent="0.35">
      <c r="A1671" s="53">
        <v>40653</v>
      </c>
      <c r="B1671" s="35">
        <v>9.09</v>
      </c>
      <c r="C1671" s="35">
        <v>420680</v>
      </c>
    </row>
    <row r="1672" spans="1:3" x14ac:dyDescent="0.35">
      <c r="A1672" s="53">
        <v>40652</v>
      </c>
      <c r="B1672" s="35">
        <v>9.1199999999999992</v>
      </c>
      <c r="C1672" s="35">
        <v>1219720</v>
      </c>
    </row>
    <row r="1673" spans="1:3" x14ac:dyDescent="0.35">
      <c r="A1673" s="53">
        <v>40651</v>
      </c>
      <c r="B1673" s="35">
        <v>9.16</v>
      </c>
      <c r="C1673" s="35">
        <v>507320</v>
      </c>
    </row>
    <row r="1674" spans="1:3" x14ac:dyDescent="0.35">
      <c r="A1674" s="53">
        <v>40648</v>
      </c>
      <c r="B1674" s="35">
        <v>9.19</v>
      </c>
      <c r="C1674" s="35">
        <v>917720</v>
      </c>
    </row>
    <row r="1675" spans="1:3" x14ac:dyDescent="0.35">
      <c r="A1675" s="53">
        <v>40646</v>
      </c>
      <c r="B1675" s="35">
        <v>9.2799999999999994</v>
      </c>
      <c r="C1675" s="35">
        <v>2535120</v>
      </c>
    </row>
    <row r="1676" spans="1:3" x14ac:dyDescent="0.35">
      <c r="A1676" s="53">
        <v>40644</v>
      </c>
      <c r="B1676" s="35">
        <v>9.11</v>
      </c>
      <c r="C1676" s="35">
        <v>3341920</v>
      </c>
    </row>
    <row r="1677" spans="1:3" x14ac:dyDescent="0.35">
      <c r="A1677" s="53">
        <v>40641</v>
      </c>
      <c r="B1677" s="35">
        <v>9.16</v>
      </c>
      <c r="C1677" s="35">
        <v>13054160</v>
      </c>
    </row>
    <row r="1678" spans="1:3" x14ac:dyDescent="0.35">
      <c r="A1678" s="53">
        <v>40640</v>
      </c>
      <c r="B1678" s="35">
        <v>8.65</v>
      </c>
      <c r="C1678" s="35">
        <v>524560</v>
      </c>
    </row>
    <row r="1679" spans="1:3" x14ac:dyDescent="0.35">
      <c r="A1679" s="53">
        <v>40639</v>
      </c>
      <c r="B1679" s="35">
        <v>8.7799999999999994</v>
      </c>
      <c r="C1679" s="35">
        <v>634560</v>
      </c>
    </row>
    <row r="1680" spans="1:3" x14ac:dyDescent="0.35">
      <c r="A1680" s="53">
        <v>40638</v>
      </c>
      <c r="B1680" s="35">
        <v>8.85</v>
      </c>
      <c r="C1680" s="35">
        <v>1262560</v>
      </c>
    </row>
    <row r="1681" spans="1:3" x14ac:dyDescent="0.35">
      <c r="A1681" s="53">
        <v>40637</v>
      </c>
      <c r="B1681" s="35">
        <v>9.07</v>
      </c>
      <c r="C1681" s="35">
        <v>2699760</v>
      </c>
    </row>
    <row r="1682" spans="1:3" x14ac:dyDescent="0.35">
      <c r="A1682" s="53">
        <v>40634</v>
      </c>
      <c r="B1682" s="35">
        <v>8.98</v>
      </c>
      <c r="C1682" s="35">
        <v>8626680</v>
      </c>
    </row>
    <row r="1683" spans="1:3" x14ac:dyDescent="0.35">
      <c r="A1683" s="53">
        <v>40633</v>
      </c>
      <c r="B1683" s="35">
        <v>8.65</v>
      </c>
      <c r="C1683" s="35">
        <v>4323800</v>
      </c>
    </row>
    <row r="1684" spans="1:3" x14ac:dyDescent="0.35">
      <c r="A1684" s="53">
        <v>40632</v>
      </c>
      <c r="B1684" s="35">
        <v>8.51</v>
      </c>
      <c r="C1684" s="35">
        <v>7288480</v>
      </c>
    </row>
    <row r="1685" spans="1:3" x14ac:dyDescent="0.35">
      <c r="A1685" s="53">
        <v>40631</v>
      </c>
      <c r="B1685" s="35">
        <v>8.01</v>
      </c>
      <c r="C1685" s="35">
        <v>4863320</v>
      </c>
    </row>
    <row r="1686" spans="1:3" x14ac:dyDescent="0.35">
      <c r="A1686" s="53">
        <v>40630</v>
      </c>
      <c r="B1686" s="35">
        <v>7.97</v>
      </c>
      <c r="C1686" s="35">
        <v>2368720</v>
      </c>
    </row>
    <row r="1687" spans="1:3" x14ac:dyDescent="0.35">
      <c r="A1687" s="53">
        <v>40627</v>
      </c>
      <c r="B1687" s="35">
        <v>7.91</v>
      </c>
      <c r="C1687" s="35">
        <v>5698440</v>
      </c>
    </row>
    <row r="1688" spans="1:3" x14ac:dyDescent="0.35">
      <c r="A1688" s="53">
        <v>40626</v>
      </c>
      <c r="B1688" s="35">
        <v>7.66</v>
      </c>
      <c r="C1688" s="35">
        <v>11853680</v>
      </c>
    </row>
    <row r="1689" spans="1:3" x14ac:dyDescent="0.35">
      <c r="A1689" s="53">
        <v>40625</v>
      </c>
      <c r="B1689" s="35">
        <v>7.38</v>
      </c>
      <c r="C1689" s="35">
        <v>2725480</v>
      </c>
    </row>
    <row r="1690" spans="1:3" x14ac:dyDescent="0.35">
      <c r="A1690" s="53">
        <v>40624</v>
      </c>
      <c r="B1690" s="35">
        <v>7.4</v>
      </c>
      <c r="C1690" s="35">
        <v>14511600</v>
      </c>
    </row>
    <row r="1691" spans="1:3" x14ac:dyDescent="0.35">
      <c r="A1691" s="53">
        <v>40623</v>
      </c>
      <c r="B1691" s="35">
        <v>7.33</v>
      </c>
      <c r="C1691" s="35">
        <v>5253240</v>
      </c>
    </row>
    <row r="1692" spans="1:3" x14ac:dyDescent="0.35">
      <c r="A1692" s="53">
        <v>40620</v>
      </c>
      <c r="B1692" s="35">
        <v>7.44</v>
      </c>
      <c r="C1692" s="35">
        <v>459720</v>
      </c>
    </row>
    <row r="1693" spans="1:3" x14ac:dyDescent="0.35">
      <c r="A1693" s="53">
        <v>40619</v>
      </c>
      <c r="B1693" s="35">
        <v>7.38</v>
      </c>
      <c r="C1693" s="35">
        <v>1147400</v>
      </c>
    </row>
    <row r="1694" spans="1:3" x14ac:dyDescent="0.35">
      <c r="A1694" s="53">
        <v>40618</v>
      </c>
      <c r="B1694" s="35">
        <v>7.51</v>
      </c>
      <c r="C1694" s="35">
        <v>1880040</v>
      </c>
    </row>
    <row r="1695" spans="1:3" x14ac:dyDescent="0.35">
      <c r="A1695" s="53">
        <v>40617</v>
      </c>
      <c r="B1695" s="35">
        <v>7.41</v>
      </c>
      <c r="C1695" s="35">
        <v>343800</v>
      </c>
    </row>
    <row r="1696" spans="1:3" x14ac:dyDescent="0.35">
      <c r="A1696" s="53">
        <v>40616</v>
      </c>
      <c r="B1696" s="35">
        <v>7.47</v>
      </c>
      <c r="C1696" s="35">
        <v>1701040</v>
      </c>
    </row>
    <row r="1697" spans="1:3" x14ac:dyDescent="0.35">
      <c r="A1697" s="53">
        <v>40613</v>
      </c>
      <c r="B1697" s="35">
        <v>7.4</v>
      </c>
      <c r="C1697" s="35">
        <v>3093680</v>
      </c>
    </row>
    <row r="1698" spans="1:3" x14ac:dyDescent="0.35">
      <c r="A1698" s="53">
        <v>40612</v>
      </c>
      <c r="B1698" s="35">
        <v>7.47</v>
      </c>
      <c r="C1698" s="35">
        <v>6012400</v>
      </c>
    </row>
    <row r="1699" spans="1:3" x14ac:dyDescent="0.35">
      <c r="A1699" s="53">
        <v>40611</v>
      </c>
      <c r="B1699" s="35">
        <v>7.42</v>
      </c>
      <c r="C1699" s="35">
        <v>3389680</v>
      </c>
    </row>
    <row r="1700" spans="1:3" x14ac:dyDescent="0.35">
      <c r="A1700" s="53">
        <v>40610</v>
      </c>
      <c r="B1700" s="35">
        <v>7.47</v>
      </c>
      <c r="C1700" s="35">
        <v>2818800</v>
      </c>
    </row>
    <row r="1701" spans="1:3" x14ac:dyDescent="0.35">
      <c r="A1701" s="53">
        <v>40609</v>
      </c>
      <c r="B1701" s="35">
        <v>7.52</v>
      </c>
      <c r="C1701" s="35">
        <v>3818760</v>
      </c>
    </row>
    <row r="1702" spans="1:3" x14ac:dyDescent="0.35">
      <c r="A1702" s="53">
        <v>40606</v>
      </c>
      <c r="B1702" s="35">
        <v>7.62</v>
      </c>
      <c r="C1702" s="35">
        <v>2317280</v>
      </c>
    </row>
    <row r="1703" spans="1:3" x14ac:dyDescent="0.35">
      <c r="A1703" s="53">
        <v>40605</v>
      </c>
      <c r="B1703" s="35">
        <v>7.58</v>
      </c>
      <c r="C1703" s="35">
        <v>2757200</v>
      </c>
    </row>
    <row r="1704" spans="1:3" x14ac:dyDescent="0.35">
      <c r="A1704" s="53">
        <v>40603</v>
      </c>
      <c r="B1704" s="35">
        <v>7.64</v>
      </c>
      <c r="C1704" s="35">
        <v>1736280</v>
      </c>
    </row>
    <row r="1705" spans="1:3" x14ac:dyDescent="0.35">
      <c r="A1705" s="53">
        <v>40602</v>
      </c>
      <c r="B1705" s="35">
        <v>7.5</v>
      </c>
      <c r="C1705" s="35">
        <v>5382720</v>
      </c>
    </row>
    <row r="1706" spans="1:3" x14ac:dyDescent="0.35">
      <c r="A1706" s="53">
        <v>40599</v>
      </c>
      <c r="B1706" s="35">
        <v>7.53</v>
      </c>
      <c r="C1706" s="35">
        <v>1292680</v>
      </c>
    </row>
    <row r="1707" spans="1:3" x14ac:dyDescent="0.35">
      <c r="A1707" s="53">
        <v>40598</v>
      </c>
      <c r="B1707" s="35">
        <v>7.5</v>
      </c>
      <c r="C1707" s="35">
        <v>3079800</v>
      </c>
    </row>
    <row r="1708" spans="1:3" x14ac:dyDescent="0.35">
      <c r="A1708" s="53">
        <v>40597</v>
      </c>
      <c r="B1708" s="35">
        <v>7.63</v>
      </c>
      <c r="C1708" s="35">
        <v>743680</v>
      </c>
    </row>
    <row r="1709" spans="1:3" x14ac:dyDescent="0.35">
      <c r="A1709" s="53">
        <v>40596</v>
      </c>
      <c r="B1709" s="35">
        <v>7.6899999999999995</v>
      </c>
      <c r="C1709" s="35">
        <v>4898840</v>
      </c>
    </row>
    <row r="1710" spans="1:3" x14ac:dyDescent="0.35">
      <c r="A1710" s="53">
        <v>40595</v>
      </c>
      <c r="B1710" s="35">
        <v>7.66</v>
      </c>
      <c r="C1710" s="35">
        <v>1687040</v>
      </c>
    </row>
    <row r="1711" spans="1:3" x14ac:dyDescent="0.35">
      <c r="A1711" s="53">
        <v>40592</v>
      </c>
      <c r="B1711" s="35">
        <v>7.6899999999999995</v>
      </c>
      <c r="C1711" s="35">
        <v>3948920</v>
      </c>
    </row>
    <row r="1712" spans="1:3" x14ac:dyDescent="0.35">
      <c r="A1712" s="53">
        <v>40591</v>
      </c>
      <c r="B1712" s="35">
        <v>7.68</v>
      </c>
      <c r="C1712" s="35">
        <v>1490320</v>
      </c>
    </row>
    <row r="1713" spans="1:3" x14ac:dyDescent="0.35">
      <c r="A1713" s="53">
        <v>40590</v>
      </c>
      <c r="B1713" s="35">
        <v>7.75</v>
      </c>
      <c r="C1713" s="35">
        <v>9717080</v>
      </c>
    </row>
    <row r="1714" spans="1:3" x14ac:dyDescent="0.35">
      <c r="A1714" s="53">
        <v>40589</v>
      </c>
      <c r="B1714" s="35">
        <v>7.25</v>
      </c>
      <c r="C1714" s="35">
        <v>3829080</v>
      </c>
    </row>
    <row r="1715" spans="1:3" x14ac:dyDescent="0.35">
      <c r="A1715" s="53">
        <v>40588</v>
      </c>
      <c r="B1715" s="35">
        <v>7.14</v>
      </c>
      <c r="C1715" s="35">
        <v>4214760</v>
      </c>
    </row>
    <row r="1716" spans="1:3" x14ac:dyDescent="0.35">
      <c r="A1716" s="53">
        <v>40585</v>
      </c>
      <c r="B1716" s="35">
        <v>7.03</v>
      </c>
      <c r="C1716" s="35">
        <v>2571720</v>
      </c>
    </row>
    <row r="1717" spans="1:3" x14ac:dyDescent="0.35">
      <c r="A1717" s="53">
        <v>40584</v>
      </c>
      <c r="B1717" s="35">
        <v>6.9399999999999995</v>
      </c>
      <c r="C1717" s="35">
        <v>4564280</v>
      </c>
    </row>
    <row r="1718" spans="1:3" x14ac:dyDescent="0.35">
      <c r="A1718" s="53">
        <v>40583</v>
      </c>
      <c r="B1718" s="35">
        <v>6.99</v>
      </c>
      <c r="C1718" s="35">
        <v>2205160</v>
      </c>
    </row>
    <row r="1719" spans="1:3" x14ac:dyDescent="0.35">
      <c r="A1719" s="53">
        <v>40582</v>
      </c>
      <c r="B1719" s="35">
        <v>7.26</v>
      </c>
      <c r="C1719" s="35">
        <v>3514800</v>
      </c>
    </row>
    <row r="1720" spans="1:3" x14ac:dyDescent="0.35">
      <c r="A1720" s="53">
        <v>40581</v>
      </c>
      <c r="B1720" s="35">
        <v>7.25</v>
      </c>
      <c r="C1720" s="35">
        <v>1171400</v>
      </c>
    </row>
    <row r="1721" spans="1:3" x14ac:dyDescent="0.35">
      <c r="A1721" s="53">
        <v>40578</v>
      </c>
      <c r="B1721" s="35">
        <v>7.14</v>
      </c>
      <c r="C1721" s="35">
        <v>5630760</v>
      </c>
    </row>
    <row r="1722" spans="1:3" x14ac:dyDescent="0.35">
      <c r="A1722" s="53">
        <v>40577</v>
      </c>
      <c r="B1722" s="35">
        <v>7.25</v>
      </c>
      <c r="C1722" s="35">
        <v>1139840</v>
      </c>
    </row>
    <row r="1723" spans="1:3" x14ac:dyDescent="0.35">
      <c r="A1723" s="53">
        <v>40576</v>
      </c>
      <c r="B1723" s="35">
        <v>7.23</v>
      </c>
      <c r="C1723" s="35">
        <v>1611760</v>
      </c>
    </row>
    <row r="1724" spans="1:3" x14ac:dyDescent="0.35">
      <c r="A1724" s="53">
        <v>40575</v>
      </c>
      <c r="B1724" s="35">
        <v>7.26</v>
      </c>
      <c r="C1724" s="35">
        <v>2545240</v>
      </c>
    </row>
    <row r="1725" spans="1:3" x14ac:dyDescent="0.35">
      <c r="A1725" s="53">
        <v>40574</v>
      </c>
      <c r="B1725" s="35">
        <v>7.22</v>
      </c>
      <c r="C1725" s="35">
        <v>6645360</v>
      </c>
    </row>
    <row r="1726" spans="1:3" x14ac:dyDescent="0.35">
      <c r="A1726" s="53">
        <v>40571</v>
      </c>
      <c r="B1726" s="35">
        <v>7.24</v>
      </c>
      <c r="C1726" s="35">
        <v>5978160</v>
      </c>
    </row>
    <row r="1727" spans="1:3" x14ac:dyDescent="0.35">
      <c r="A1727" s="53">
        <v>40570</v>
      </c>
      <c r="B1727" s="35">
        <v>7.48</v>
      </c>
      <c r="C1727" s="35">
        <v>1556120</v>
      </c>
    </row>
    <row r="1728" spans="1:3" x14ac:dyDescent="0.35">
      <c r="A1728" s="53">
        <v>40568</v>
      </c>
      <c r="B1728" s="35">
        <v>7.53</v>
      </c>
      <c r="C1728" s="35">
        <v>6126080</v>
      </c>
    </row>
    <row r="1729" spans="1:3" x14ac:dyDescent="0.35">
      <c r="A1729" s="53">
        <v>40567</v>
      </c>
      <c r="B1729" s="35">
        <v>7.65</v>
      </c>
      <c r="C1729" s="35">
        <v>3170480</v>
      </c>
    </row>
    <row r="1730" spans="1:3" x14ac:dyDescent="0.35">
      <c r="A1730" s="53">
        <v>40564</v>
      </c>
      <c r="B1730" s="35">
        <v>7.52</v>
      </c>
      <c r="C1730" s="35">
        <v>7638480</v>
      </c>
    </row>
    <row r="1731" spans="1:3" x14ac:dyDescent="0.35">
      <c r="A1731" s="53">
        <v>40563</v>
      </c>
      <c r="B1731" s="35">
        <v>7.55</v>
      </c>
      <c r="C1731" s="35">
        <v>1181760</v>
      </c>
    </row>
    <row r="1732" spans="1:3" x14ac:dyDescent="0.35">
      <c r="A1732" s="53">
        <v>40562</v>
      </c>
      <c r="B1732" s="35">
        <v>7.62</v>
      </c>
      <c r="C1732" s="35">
        <v>5818840</v>
      </c>
    </row>
    <row r="1733" spans="1:3" x14ac:dyDescent="0.35">
      <c r="A1733" s="53">
        <v>40561</v>
      </c>
      <c r="B1733" s="35">
        <v>7.7</v>
      </c>
      <c r="C1733" s="35">
        <v>4281600</v>
      </c>
    </row>
    <row r="1734" spans="1:3" x14ac:dyDescent="0.35">
      <c r="A1734" s="53">
        <v>40560</v>
      </c>
      <c r="B1734" s="35">
        <v>7.38</v>
      </c>
      <c r="C1734" s="35">
        <v>3340280</v>
      </c>
    </row>
    <row r="1735" spans="1:3" x14ac:dyDescent="0.35">
      <c r="A1735" s="53">
        <v>40557</v>
      </c>
      <c r="B1735" s="35">
        <v>7.38</v>
      </c>
      <c r="C1735" s="35">
        <v>1270080</v>
      </c>
    </row>
    <row r="1736" spans="1:3" x14ac:dyDescent="0.35">
      <c r="A1736" s="53">
        <v>40556</v>
      </c>
      <c r="B1736" s="35">
        <v>7.39</v>
      </c>
      <c r="C1736" s="35">
        <v>2624520</v>
      </c>
    </row>
    <row r="1737" spans="1:3" x14ac:dyDescent="0.35">
      <c r="A1737" s="53">
        <v>40555</v>
      </c>
      <c r="B1737" s="35">
        <v>7.45</v>
      </c>
      <c r="C1737" s="35">
        <v>2787360</v>
      </c>
    </row>
    <row r="1738" spans="1:3" x14ac:dyDescent="0.35">
      <c r="A1738" s="53">
        <v>40554</v>
      </c>
      <c r="B1738" s="35">
        <v>7.37</v>
      </c>
      <c r="C1738" s="35">
        <v>1791280</v>
      </c>
    </row>
    <row r="1739" spans="1:3" x14ac:dyDescent="0.35">
      <c r="A1739" s="53">
        <v>40553</v>
      </c>
      <c r="B1739" s="35">
        <v>7.37</v>
      </c>
      <c r="C1739" s="35">
        <v>4914120</v>
      </c>
    </row>
    <row r="1740" spans="1:3" x14ac:dyDescent="0.35">
      <c r="A1740" s="53">
        <v>40550</v>
      </c>
      <c r="B1740" s="35">
        <v>7.64</v>
      </c>
      <c r="C1740" s="35">
        <v>3962520</v>
      </c>
    </row>
    <row r="1741" spans="1:3" x14ac:dyDescent="0.35">
      <c r="A1741" s="53">
        <v>40549</v>
      </c>
      <c r="B1741" s="35">
        <v>7.73</v>
      </c>
      <c r="C1741" s="35">
        <v>10965480</v>
      </c>
    </row>
    <row r="1742" spans="1:3" x14ac:dyDescent="0.35">
      <c r="A1742" s="53">
        <v>40548</v>
      </c>
      <c r="B1742" s="35">
        <v>7.95</v>
      </c>
      <c r="C1742" s="35">
        <v>8828640</v>
      </c>
    </row>
    <row r="1743" spans="1:3" x14ac:dyDescent="0.35">
      <c r="A1743" s="53">
        <v>40547</v>
      </c>
      <c r="B1743" s="35">
        <v>7.74</v>
      </c>
      <c r="C1743" s="35">
        <v>6118840</v>
      </c>
    </row>
    <row r="1744" spans="1:3" x14ac:dyDescent="0.35">
      <c r="A1744" s="53">
        <v>40546</v>
      </c>
      <c r="B1744" s="35">
        <v>7.6</v>
      </c>
      <c r="C1744" s="35">
        <v>5255080</v>
      </c>
    </row>
    <row r="1745" spans="1:3" x14ac:dyDescent="0.35">
      <c r="A1745" s="53">
        <v>40543</v>
      </c>
      <c r="B1745" s="35">
        <v>7.51</v>
      </c>
      <c r="C1745" s="35">
        <v>4207600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62A4-E36B-4D58-8FA6-BB990EE13511}">
  <sheetPr>
    <tabColor rgb="FFFFC000"/>
  </sheetPr>
  <dimension ref="B1:AE103"/>
  <sheetViews>
    <sheetView workbookViewId="0">
      <selection activeCell="D6" sqref="D6"/>
    </sheetView>
  </sheetViews>
  <sheetFormatPr defaultRowHeight="14.5" x14ac:dyDescent="0.35"/>
  <cols>
    <col min="1" max="4" width="8.7265625" style="35"/>
    <col min="5" max="5" width="14.08984375" style="35" customWidth="1"/>
    <col min="6" max="6" width="8.7265625" style="35"/>
    <col min="7" max="7" width="11.54296875" style="35" bestFit="1" customWidth="1"/>
    <col min="8" max="8" width="23.08984375" style="35" bestFit="1" customWidth="1"/>
    <col min="9" max="9" width="18.6328125" style="35" bestFit="1" customWidth="1"/>
    <col min="10" max="10" width="11.54296875" style="35" bestFit="1" customWidth="1"/>
    <col min="11" max="11" width="10.6328125" style="35" customWidth="1"/>
    <col min="12" max="14" width="11.54296875" style="35" bestFit="1" customWidth="1"/>
    <col min="15" max="15" width="12.54296875" style="35" bestFit="1" customWidth="1"/>
    <col min="16" max="17" width="8.7265625" style="35"/>
    <col min="18" max="18" width="9.08984375" style="35" bestFit="1" customWidth="1"/>
    <col min="19" max="16384" width="8.7265625" style="35"/>
  </cols>
  <sheetData>
    <row r="1" spans="2:16" x14ac:dyDescent="0.35">
      <c r="H1" s="144" t="s">
        <v>427</v>
      </c>
      <c r="I1" s="144"/>
      <c r="J1" s="144"/>
      <c r="K1" s="144"/>
      <c r="L1" s="144"/>
      <c r="M1" s="144"/>
      <c r="N1" s="144"/>
    </row>
    <row r="2" spans="2:16" x14ac:dyDescent="0.35">
      <c r="H2" s="144"/>
      <c r="I2" s="144"/>
      <c r="J2" s="144"/>
      <c r="K2" s="144"/>
      <c r="L2" s="144"/>
      <c r="M2" s="144"/>
      <c r="N2" s="144"/>
    </row>
    <row r="3" spans="2:16" x14ac:dyDescent="0.35">
      <c r="H3" s="144"/>
      <c r="I3" s="144"/>
      <c r="J3" s="144"/>
      <c r="K3" s="144"/>
      <c r="L3" s="144"/>
      <c r="M3" s="144"/>
      <c r="N3" s="144"/>
    </row>
    <row r="4" spans="2:16" x14ac:dyDescent="0.35">
      <c r="H4" s="144"/>
      <c r="I4" s="144"/>
      <c r="J4" s="144"/>
      <c r="K4" s="144"/>
      <c r="L4" s="144"/>
      <c r="M4" s="144"/>
      <c r="N4" s="144"/>
    </row>
    <row r="5" spans="2:16" x14ac:dyDescent="0.35">
      <c r="B5" s="145" t="s">
        <v>425</v>
      </c>
      <c r="C5" s="145"/>
      <c r="H5" s="144"/>
      <c r="I5" s="144"/>
      <c r="J5" s="144"/>
      <c r="K5" s="144"/>
      <c r="L5" s="144"/>
      <c r="M5" s="144"/>
      <c r="N5" s="144"/>
    </row>
    <row r="6" spans="2:16" x14ac:dyDescent="0.35">
      <c r="B6" s="145"/>
      <c r="C6" s="145"/>
      <c r="D6" s="95">
        <v>1</v>
      </c>
      <c r="E6" s="94" t="str">
        <f>VLOOKUP(D6,J75:O79,2)</f>
        <v>Base Case</v>
      </c>
      <c r="K6" s="119" t="s">
        <v>315</v>
      </c>
      <c r="L6" s="119"/>
    </row>
    <row r="7" spans="2:16" x14ac:dyDescent="0.35">
      <c r="H7" s="148" t="s">
        <v>432</v>
      </c>
      <c r="I7" s="148"/>
      <c r="J7" s="148"/>
      <c r="K7" s="148"/>
      <c r="L7" s="149" t="s">
        <v>431</v>
      </c>
      <c r="M7" s="149"/>
      <c r="N7" s="149"/>
      <c r="O7" s="149"/>
    </row>
    <row r="8" spans="2:16" x14ac:dyDescent="0.35">
      <c r="H8" s="148"/>
      <c r="I8" s="148"/>
      <c r="J8" s="148"/>
      <c r="K8" s="148"/>
      <c r="L8" s="149"/>
      <c r="M8" s="149"/>
      <c r="N8" s="149"/>
      <c r="O8" s="149"/>
    </row>
    <row r="9" spans="2:16" ht="15" thickBot="1" x14ac:dyDescent="0.4">
      <c r="E9" s="1" t="s">
        <v>370</v>
      </c>
      <c r="F9" s="1"/>
      <c r="G9" s="1"/>
      <c r="H9" s="96" t="s">
        <v>3</v>
      </c>
      <c r="I9" s="96" t="s">
        <v>4</v>
      </c>
      <c r="J9" s="96" t="s">
        <v>5</v>
      </c>
      <c r="K9" s="96" t="s">
        <v>6</v>
      </c>
      <c r="L9" s="98" t="s">
        <v>371</v>
      </c>
      <c r="M9" s="98" t="s">
        <v>372</v>
      </c>
      <c r="N9" s="98" t="s">
        <v>373</v>
      </c>
      <c r="O9" s="98" t="s">
        <v>487</v>
      </c>
      <c r="P9" s="1" t="s">
        <v>376</v>
      </c>
    </row>
    <row r="10" spans="2:16" x14ac:dyDescent="0.35">
      <c r="B10" s="146" t="s">
        <v>426</v>
      </c>
      <c r="C10" s="146"/>
      <c r="H10" s="72"/>
      <c r="I10" s="72"/>
      <c r="J10" s="72"/>
      <c r="K10" s="72"/>
      <c r="L10" s="97"/>
      <c r="M10" s="97"/>
      <c r="N10" s="97"/>
      <c r="O10" s="97"/>
    </row>
    <row r="11" spans="2:16" x14ac:dyDescent="0.35">
      <c r="B11" s="146"/>
      <c r="C11" s="146"/>
      <c r="E11" s="35" t="s">
        <v>35</v>
      </c>
      <c r="H11" s="103">
        <f>Analysis!I5</f>
        <v>19519.017</v>
      </c>
      <c r="I11" s="103">
        <f>Analysis!J5</f>
        <v>27804.793000000001</v>
      </c>
      <c r="J11" s="103">
        <f>Analysis!K5</f>
        <v>31907.366000000002</v>
      </c>
      <c r="K11" s="103">
        <f>Analysis!L5</f>
        <v>40004.637999999999</v>
      </c>
      <c r="L11" s="112">
        <f>(1+L12)*K11</f>
        <v>48005.565599999994</v>
      </c>
      <c r="M11" s="112">
        <f>(1+M12)*L11</f>
        <v>55206.40043999999</v>
      </c>
      <c r="N11" s="112">
        <f>(1+N12)*M11</f>
        <v>60727.040483999997</v>
      </c>
      <c r="O11" s="112">
        <f>(1+O12)*N11</f>
        <v>68369.121875093871</v>
      </c>
    </row>
    <row r="12" spans="2:16" x14ac:dyDescent="0.35">
      <c r="B12" s="146"/>
      <c r="C12" s="146"/>
      <c r="E12" s="34" t="s">
        <v>374</v>
      </c>
      <c r="H12" s="72"/>
      <c r="I12" s="104">
        <f>(I11/H11)-1</f>
        <v>0.42449760661615299</v>
      </c>
      <c r="J12" s="104">
        <f t="shared" ref="J12" si="0">(J11/I11)-1</f>
        <v>0.14754912938931075</v>
      </c>
      <c r="K12" s="104">
        <f>(K11/J11)-1</f>
        <v>0.25377437924521873</v>
      </c>
      <c r="L12" s="113">
        <f>VLOOKUP(D6,J75:O79,3)</f>
        <v>0.2</v>
      </c>
      <c r="M12" s="113">
        <f>VLOOKUP(D6,J75:O79,4)</f>
        <v>0.15000000000000002</v>
      </c>
      <c r="N12" s="113">
        <f>VLOOKUP(D6,J75:O79,5)</f>
        <v>0.10000000000000002</v>
      </c>
      <c r="O12" s="113">
        <f>VLOOKUP(D6,J75:O79,6)</f>
        <v>0.12584313890790338</v>
      </c>
      <c r="P12" s="35" t="s">
        <v>378</v>
      </c>
    </row>
    <row r="13" spans="2:16" x14ac:dyDescent="0.35">
      <c r="B13" s="146"/>
      <c r="C13" s="146"/>
      <c r="E13" s="35" t="s">
        <v>106</v>
      </c>
      <c r="H13" s="105">
        <f>Analysis!I7</f>
        <v>14168.575999999999</v>
      </c>
      <c r="I13" s="105">
        <f>Analysis!J7</f>
        <v>20553.465</v>
      </c>
      <c r="J13" s="105">
        <f>Analysis!K7</f>
        <v>23666.742999999999</v>
      </c>
      <c r="K13" s="105">
        <f>Analysis!L7</f>
        <v>30484.597000000002</v>
      </c>
      <c r="L13" s="112">
        <f>L11*L15</f>
        <v>36964.285511999995</v>
      </c>
      <c r="M13" s="112">
        <f t="shared" ref="M13:O13" si="1">M11*M15</f>
        <v>42508.928338799997</v>
      </c>
      <c r="N13" s="112">
        <f t="shared" si="1"/>
        <v>46759.82117268</v>
      </c>
      <c r="O13" s="112">
        <f t="shared" si="1"/>
        <v>52644.223843822285</v>
      </c>
    </row>
    <row r="14" spans="2:16" x14ac:dyDescent="0.35">
      <c r="B14" s="146"/>
      <c r="C14" s="146"/>
      <c r="E14" s="34" t="s">
        <v>374</v>
      </c>
      <c r="H14" s="75"/>
      <c r="I14" s="104">
        <f>(I13/H13)-1</f>
        <v>0.45063731175243027</v>
      </c>
      <c r="J14" s="104">
        <f t="shared" ref="J14:O14" si="2">(J13/I13)-1</f>
        <v>0.15147217269691504</v>
      </c>
      <c r="K14" s="104">
        <f t="shared" si="2"/>
        <v>0.28807740887708988</v>
      </c>
      <c r="L14" s="113">
        <f t="shared" si="2"/>
        <v>0.21255614801140377</v>
      </c>
      <c r="M14" s="113">
        <f t="shared" si="2"/>
        <v>0.15000000000000013</v>
      </c>
      <c r="N14" s="113">
        <f t="shared" si="2"/>
        <v>0.10000000000000009</v>
      </c>
      <c r="O14" s="113">
        <f t="shared" si="2"/>
        <v>0.12584313890790333</v>
      </c>
    </row>
    <row r="15" spans="2:16" x14ac:dyDescent="0.35">
      <c r="B15" s="146"/>
      <c r="C15" s="146"/>
      <c r="E15" s="99" t="s">
        <v>375</v>
      </c>
      <c r="F15" s="2"/>
      <c r="G15" s="2"/>
      <c r="H15" s="106">
        <f>H13/H11</f>
        <v>0.72588573492199937</v>
      </c>
      <c r="I15" s="107">
        <f t="shared" ref="I15:K15" si="3">I13/I11</f>
        <v>0.73920582685150715</v>
      </c>
      <c r="J15" s="107">
        <f t="shared" si="3"/>
        <v>0.74173289641018936</v>
      </c>
      <c r="K15" s="107">
        <f t="shared" si="3"/>
        <v>0.76202656801943824</v>
      </c>
      <c r="L15" s="114">
        <v>0.77</v>
      </c>
      <c r="M15" s="114">
        <v>0.77</v>
      </c>
      <c r="N15" s="114">
        <v>0.77</v>
      </c>
      <c r="O15" s="114">
        <v>0.77</v>
      </c>
      <c r="P15" s="35" t="s">
        <v>377</v>
      </c>
    </row>
    <row r="16" spans="2:16" x14ac:dyDescent="0.35">
      <c r="B16" s="146"/>
      <c r="C16" s="146"/>
      <c r="E16" s="81" t="s">
        <v>381</v>
      </c>
      <c r="H16" s="108">
        <f>H11-H13</f>
        <v>5350.4410000000007</v>
      </c>
      <c r="I16" s="108">
        <f t="shared" ref="I16:O16" si="4">I11-I13</f>
        <v>7251.3280000000013</v>
      </c>
      <c r="J16" s="108">
        <f t="shared" si="4"/>
        <v>8240.6230000000032</v>
      </c>
      <c r="K16" s="108">
        <f t="shared" si="4"/>
        <v>9520.0409999999974</v>
      </c>
      <c r="L16" s="112">
        <f t="shared" si="4"/>
        <v>11041.280088</v>
      </c>
      <c r="M16" s="112">
        <f t="shared" si="4"/>
        <v>12697.472101199994</v>
      </c>
      <c r="N16" s="112">
        <f t="shared" si="4"/>
        <v>13967.219311319997</v>
      </c>
      <c r="O16" s="112">
        <f t="shared" si="4"/>
        <v>15724.898031271587</v>
      </c>
    </row>
    <row r="17" spans="2:19" x14ac:dyDescent="0.35">
      <c r="B17" s="146"/>
      <c r="C17" s="146"/>
      <c r="E17" s="85" t="s">
        <v>386</v>
      </c>
      <c r="H17" s="104">
        <f>H16/H11</f>
        <v>0.27411426507800063</v>
      </c>
      <c r="I17" s="104">
        <f t="shared" ref="I17:O17" si="5">I16/I11</f>
        <v>0.26079417314849279</v>
      </c>
      <c r="J17" s="104">
        <f t="shared" si="5"/>
        <v>0.25826710358981064</v>
      </c>
      <c r="K17" s="104">
        <f t="shared" si="5"/>
        <v>0.23797343198056178</v>
      </c>
      <c r="L17" s="113">
        <f t="shared" si="5"/>
        <v>0.23</v>
      </c>
      <c r="M17" s="113">
        <f t="shared" si="5"/>
        <v>0.22999999999999993</v>
      </c>
      <c r="N17" s="113">
        <f t="shared" si="5"/>
        <v>0.22999999999999995</v>
      </c>
      <c r="O17" s="113">
        <f t="shared" si="5"/>
        <v>0.22999999999999995</v>
      </c>
    </row>
    <row r="18" spans="2:19" x14ac:dyDescent="0.35">
      <c r="B18" s="146"/>
      <c r="C18" s="146"/>
      <c r="H18" s="72"/>
      <c r="I18" s="72"/>
      <c r="J18" s="72"/>
      <c r="K18" s="72"/>
      <c r="L18" s="97"/>
      <c r="M18" s="97"/>
      <c r="N18" s="97"/>
      <c r="O18" s="97"/>
    </row>
    <row r="19" spans="2:19" x14ac:dyDescent="0.35">
      <c r="B19" s="146"/>
      <c r="C19" s="146"/>
      <c r="E19" s="82" t="s">
        <v>382</v>
      </c>
      <c r="H19" s="72">
        <f>Analysis!I14</f>
        <v>0</v>
      </c>
      <c r="I19" s="72">
        <f>Analysis!J14</f>
        <v>19.132999999999999</v>
      </c>
      <c r="J19" s="72">
        <f>Analysis!K14</f>
        <v>33.107999999999997</v>
      </c>
      <c r="K19" s="72">
        <f>Analysis!L14</f>
        <v>59.941000000000003</v>
      </c>
      <c r="L19" s="97">
        <f>(1+L20)*K19</f>
        <v>107.89380000000001</v>
      </c>
      <c r="M19" s="97">
        <f t="shared" ref="M19:O19" si="6">(1+M20)*L19</f>
        <v>194.20884000000004</v>
      </c>
      <c r="N19" s="97">
        <f t="shared" si="6"/>
        <v>349.57591200000007</v>
      </c>
      <c r="O19" s="97">
        <f t="shared" si="6"/>
        <v>629.2366416000001</v>
      </c>
    </row>
    <row r="20" spans="2:19" x14ac:dyDescent="0.35">
      <c r="B20" s="146"/>
      <c r="C20" s="146"/>
      <c r="E20" s="34" t="s">
        <v>374</v>
      </c>
      <c r="H20" s="109"/>
      <c r="I20" s="104"/>
      <c r="J20" s="104">
        <f>(J19/I19)-1</f>
        <v>0.73041342183661739</v>
      </c>
      <c r="K20" s="104">
        <f t="shared" ref="K20" si="7">(K19/J19)-1</f>
        <v>0.81046876887761288</v>
      </c>
      <c r="L20" s="113">
        <v>0.8</v>
      </c>
      <c r="M20" s="113">
        <v>0.8</v>
      </c>
      <c r="N20" s="113">
        <v>0.8</v>
      </c>
      <c r="O20" s="113">
        <v>0.8</v>
      </c>
      <c r="P20" s="35" t="s">
        <v>377</v>
      </c>
    </row>
    <row r="21" spans="2:19" x14ac:dyDescent="0.35">
      <c r="B21" s="146"/>
      <c r="C21" s="146"/>
      <c r="E21" s="99" t="s">
        <v>375</v>
      </c>
      <c r="F21" s="2"/>
      <c r="G21" s="2"/>
      <c r="H21" s="107">
        <f>H19/H11</f>
        <v>0</v>
      </c>
      <c r="I21" s="107">
        <f>I19/I$11</f>
        <v>6.8811877146504911E-4</v>
      </c>
      <c r="J21" s="107">
        <f t="shared" ref="J21:O21" si="8">J19/J11</f>
        <v>1.0376287406487891E-3</v>
      </c>
      <c r="K21" s="107">
        <f t="shared" si="8"/>
        <v>1.4983512661706877E-3</v>
      </c>
      <c r="L21" s="114">
        <f t="shared" si="8"/>
        <v>2.2475268992560317E-3</v>
      </c>
      <c r="M21" s="114">
        <f t="shared" si="8"/>
        <v>3.5178681901398764E-3</v>
      </c>
      <c r="N21" s="114">
        <f t="shared" si="8"/>
        <v>5.7565115838652519E-3</v>
      </c>
      <c r="O21" s="114">
        <f t="shared" si="8"/>
        <v>9.2035208928026926E-3</v>
      </c>
    </row>
    <row r="22" spans="2:19" x14ac:dyDescent="0.35">
      <c r="B22" s="146"/>
      <c r="C22" s="146"/>
      <c r="E22" s="85" t="s">
        <v>93</v>
      </c>
      <c r="H22" s="108">
        <f>H16-H19</f>
        <v>5350.4410000000007</v>
      </c>
      <c r="I22" s="108">
        <f t="shared" ref="I22:O22" si="9">I16-I19</f>
        <v>7232.1950000000015</v>
      </c>
      <c r="J22" s="108">
        <f t="shared" si="9"/>
        <v>8207.5150000000031</v>
      </c>
      <c r="K22" s="108">
        <f t="shared" si="9"/>
        <v>9460.0999999999967</v>
      </c>
      <c r="L22" s="112">
        <f t="shared" si="9"/>
        <v>10933.386288</v>
      </c>
      <c r="M22" s="112">
        <f t="shared" si="9"/>
        <v>12503.263261199994</v>
      </c>
      <c r="N22" s="112">
        <f t="shared" si="9"/>
        <v>13617.643399319997</v>
      </c>
      <c r="O22" s="112">
        <f t="shared" si="9"/>
        <v>15095.661389671586</v>
      </c>
    </row>
    <row r="23" spans="2:19" x14ac:dyDescent="0.35">
      <c r="B23" s="146"/>
      <c r="C23" s="146"/>
      <c r="E23" s="34" t="s">
        <v>374</v>
      </c>
      <c r="H23" s="109"/>
      <c r="I23" s="104">
        <f>(I22/H22)-1</f>
        <v>0.35170072896794879</v>
      </c>
      <c r="J23" s="104">
        <f>(J22/I22)-1</f>
        <v>0.13485808941821964</v>
      </c>
      <c r="K23" s="104">
        <f t="shared" ref="K23:O23" si="10">(K22/J22)-1</f>
        <v>0.1526144027759917</v>
      </c>
      <c r="L23" s="113">
        <f t="shared" si="10"/>
        <v>0.15573686197820358</v>
      </c>
      <c r="M23" s="113">
        <f t="shared" si="10"/>
        <v>0.14358561307973017</v>
      </c>
      <c r="N23" s="113">
        <f t="shared" si="10"/>
        <v>8.9127143437676581E-2</v>
      </c>
      <c r="O23" s="113">
        <f t="shared" si="10"/>
        <v>0.10853698742216977</v>
      </c>
      <c r="P23" s="79"/>
      <c r="Q23" s="79"/>
      <c r="R23" s="79"/>
      <c r="S23" s="79"/>
    </row>
    <row r="24" spans="2:19" x14ac:dyDescent="0.35">
      <c r="B24" s="146"/>
      <c r="C24" s="146"/>
      <c r="E24" s="100" t="s">
        <v>375</v>
      </c>
      <c r="H24" s="104">
        <f>H22/H$11</f>
        <v>0.27411426507800063</v>
      </c>
      <c r="I24" s="104">
        <f>I22/I$11</f>
        <v>0.26010605437702777</v>
      </c>
      <c r="J24" s="104">
        <f t="shared" ref="J24:O24" si="11">J22/J$11</f>
        <v>0.25722947484916187</v>
      </c>
      <c r="K24" s="104">
        <f t="shared" si="11"/>
        <v>0.23647508071439108</v>
      </c>
      <c r="L24" s="113">
        <f t="shared" si="11"/>
        <v>0.22775247310074398</v>
      </c>
      <c r="M24" s="113">
        <f t="shared" si="11"/>
        <v>0.22648213180986007</v>
      </c>
      <c r="N24" s="113">
        <f t="shared" si="11"/>
        <v>0.2242434884161347</v>
      </c>
      <c r="O24" s="113">
        <f t="shared" si="11"/>
        <v>0.22079647910719724</v>
      </c>
    </row>
    <row r="25" spans="2:19" x14ac:dyDescent="0.35">
      <c r="B25" s="146"/>
      <c r="C25" s="146"/>
      <c r="H25" s="72"/>
      <c r="I25" s="72"/>
      <c r="J25" s="72"/>
      <c r="K25" s="72"/>
      <c r="L25" s="97"/>
      <c r="M25" s="97"/>
      <c r="N25" s="97"/>
      <c r="O25" s="97"/>
    </row>
    <row r="26" spans="2:19" x14ac:dyDescent="0.35">
      <c r="B26" s="146"/>
      <c r="C26" s="146"/>
      <c r="E26" s="2" t="s">
        <v>115</v>
      </c>
      <c r="F26" s="2"/>
      <c r="G26" s="2"/>
      <c r="H26" s="110">
        <f>Analysis!I20</f>
        <v>1808.72</v>
      </c>
      <c r="I26" s="110">
        <f>Analysis!J20</f>
        <v>1648.5609999999999</v>
      </c>
      <c r="J26" s="110">
        <f>Analysis!K20</f>
        <v>1640.43</v>
      </c>
      <c r="K26" s="110">
        <f>Analysis!L20</f>
        <v>733.87199999999996</v>
      </c>
      <c r="L26" s="115">
        <f>(1+L12)*K26</f>
        <v>880.64639999999997</v>
      </c>
      <c r="M26" s="115">
        <f t="shared" ref="M26:O26" si="12">(1+M12)*L26</f>
        <v>1012.7433599999999</v>
      </c>
      <c r="N26" s="115">
        <f t="shared" si="12"/>
        <v>1114.0176960000001</v>
      </c>
      <c r="O26" s="115">
        <f t="shared" si="12"/>
        <v>1254.2091796635905</v>
      </c>
      <c r="P26" s="35" t="s">
        <v>387</v>
      </c>
    </row>
    <row r="27" spans="2:19" x14ac:dyDescent="0.35">
      <c r="B27" s="146"/>
      <c r="C27" s="146"/>
      <c r="E27" s="80" t="s">
        <v>96</v>
      </c>
      <c r="F27" s="80"/>
      <c r="G27" s="80"/>
      <c r="H27" s="111">
        <f>H22-H26</f>
        <v>3541.7210000000005</v>
      </c>
      <c r="I27" s="111">
        <f t="shared" ref="I27:O27" si="13">I22-I26</f>
        <v>5583.6340000000018</v>
      </c>
      <c r="J27" s="111">
        <f t="shared" si="13"/>
        <v>6567.0850000000028</v>
      </c>
      <c r="K27" s="111">
        <f t="shared" si="13"/>
        <v>8726.2279999999973</v>
      </c>
      <c r="L27" s="116">
        <f t="shared" si="13"/>
        <v>10052.739888</v>
      </c>
      <c r="M27" s="116">
        <f t="shared" si="13"/>
        <v>11490.519901199994</v>
      </c>
      <c r="N27" s="116">
        <f t="shared" si="13"/>
        <v>12503.625703319996</v>
      </c>
      <c r="O27" s="116">
        <f t="shared" si="13"/>
        <v>13841.452210007996</v>
      </c>
    </row>
    <row r="28" spans="2:19" x14ac:dyDescent="0.35">
      <c r="E28" s="100" t="s">
        <v>375</v>
      </c>
      <c r="H28" s="104">
        <f>H27/H11</f>
        <v>0.18144976255720258</v>
      </c>
      <c r="I28" s="104">
        <f t="shared" ref="I28:O28" si="14">I27/I11</f>
        <v>0.20081552126642344</v>
      </c>
      <c r="J28" s="104">
        <f t="shared" si="14"/>
        <v>0.20581720847781676</v>
      </c>
      <c r="K28" s="104">
        <f t="shared" si="14"/>
        <v>0.21813040777921794</v>
      </c>
      <c r="L28" s="113">
        <f t="shared" si="14"/>
        <v>0.20940780016557084</v>
      </c>
      <c r="M28" s="113">
        <f t="shared" si="14"/>
        <v>0.20813745887468688</v>
      </c>
      <c r="N28" s="113">
        <f t="shared" si="14"/>
        <v>0.20589881548096153</v>
      </c>
      <c r="O28" s="113">
        <f t="shared" si="14"/>
        <v>0.20245180617202407</v>
      </c>
    </row>
    <row r="30" spans="2:19" x14ac:dyDescent="0.35">
      <c r="B30" s="147" t="s">
        <v>428</v>
      </c>
      <c r="C30" s="147"/>
    </row>
    <row r="31" spans="2:19" ht="14.5" customHeight="1" x14ac:dyDescent="0.35">
      <c r="B31" s="147"/>
      <c r="C31" s="147"/>
      <c r="E31" s="35" t="s">
        <v>495</v>
      </c>
    </row>
    <row r="32" spans="2:19" x14ac:dyDescent="0.35">
      <c r="B32" s="147"/>
      <c r="C32" s="147"/>
      <c r="E32" s="35" t="s">
        <v>388</v>
      </c>
      <c r="I32" s="28">
        <f>_xlfn.RRI(3,K11,N11)</f>
        <v>0.1492749052302107</v>
      </c>
    </row>
    <row r="33" spans="2:24" x14ac:dyDescent="0.35">
      <c r="B33" s="147"/>
      <c r="C33" s="147"/>
      <c r="E33" s="35" t="s">
        <v>389</v>
      </c>
      <c r="I33" s="28">
        <f>N28</f>
        <v>0.20589881548096153</v>
      </c>
      <c r="X33" s="34"/>
    </row>
    <row r="34" spans="2:24" x14ac:dyDescent="0.35">
      <c r="B34" s="147"/>
      <c r="C34" s="147"/>
      <c r="E34" s="35" t="s">
        <v>392</v>
      </c>
      <c r="I34" s="28">
        <f>AVERAGE(L26:N26)/AVERAGE(L38:N38)</f>
        <v>1.8344672935173171E-2</v>
      </c>
    </row>
    <row r="35" spans="2:24" x14ac:dyDescent="0.35">
      <c r="B35" s="147"/>
      <c r="C35" s="147"/>
      <c r="E35" s="35" t="s">
        <v>391</v>
      </c>
      <c r="I35" s="33">
        <f>AVERAGE(L46:N46)/AVERAGE(L38:N38)</f>
        <v>7.3440702781844808E-2</v>
      </c>
      <c r="X35" s="34"/>
    </row>
    <row r="37" spans="2:24" ht="15" customHeight="1" thickBot="1" x14ac:dyDescent="0.4">
      <c r="B37" s="146" t="s">
        <v>429</v>
      </c>
      <c r="C37" s="146"/>
      <c r="E37" s="35" t="s">
        <v>390</v>
      </c>
      <c r="H37" s="96" t="s">
        <v>3</v>
      </c>
      <c r="I37" s="96" t="s">
        <v>4</v>
      </c>
      <c r="J37" s="96" t="s">
        <v>5</v>
      </c>
      <c r="K37" s="96" t="s">
        <v>6</v>
      </c>
      <c r="L37" s="98" t="s">
        <v>371</v>
      </c>
      <c r="M37" s="98" t="s">
        <v>372</v>
      </c>
      <c r="N37" s="98" t="s">
        <v>373</v>
      </c>
      <c r="O37" s="98" t="s">
        <v>487</v>
      </c>
      <c r="P37" s="83" t="s">
        <v>376</v>
      </c>
    </row>
    <row r="38" spans="2:24" x14ac:dyDescent="0.35">
      <c r="B38" s="146"/>
      <c r="C38" s="146"/>
      <c r="E38" s="35" t="s">
        <v>35</v>
      </c>
      <c r="H38" s="103">
        <f>Analysis!I40</f>
        <v>19519.017</v>
      </c>
      <c r="I38" s="103">
        <f>Analysis!J40</f>
        <v>27804.793000000001</v>
      </c>
      <c r="J38" s="103">
        <f>Analysis!K40</f>
        <v>31907.366000000002</v>
      </c>
      <c r="K38" s="103">
        <f>Analysis!L40</f>
        <v>40004.637999999999</v>
      </c>
      <c r="L38" s="112">
        <f>L11</f>
        <v>48005.565599999994</v>
      </c>
      <c r="M38" s="112">
        <f t="shared" ref="M38:O39" si="15">M11</f>
        <v>55206.40043999999</v>
      </c>
      <c r="N38" s="112">
        <f t="shared" si="15"/>
        <v>60727.040483999997</v>
      </c>
      <c r="O38" s="112">
        <f t="shared" si="15"/>
        <v>68369.121875093871</v>
      </c>
    </row>
    <row r="39" spans="2:24" x14ac:dyDescent="0.35">
      <c r="B39" s="146"/>
      <c r="C39" s="146"/>
      <c r="E39" s="34" t="s">
        <v>384</v>
      </c>
      <c r="F39" s="34"/>
      <c r="G39" s="34"/>
      <c r="H39" s="117">
        <f>Analysis!I41</f>
        <v>0.26161066673147393</v>
      </c>
      <c r="I39" s="117">
        <f>Analysis!J41</f>
        <v>0.42449760661615299</v>
      </c>
      <c r="J39" s="117">
        <f>Analysis!K41</f>
        <v>0.14754912938931075</v>
      </c>
      <c r="K39" s="117">
        <f>Analysis!L41</f>
        <v>0.25377437924521873</v>
      </c>
      <c r="L39" s="118">
        <f>L12</f>
        <v>0.2</v>
      </c>
      <c r="M39" s="118">
        <f t="shared" si="15"/>
        <v>0.15000000000000002</v>
      </c>
      <c r="N39" s="118">
        <f t="shared" si="15"/>
        <v>0.10000000000000002</v>
      </c>
      <c r="O39" s="118">
        <f t="shared" si="15"/>
        <v>0.12584313890790338</v>
      </c>
    </row>
    <row r="40" spans="2:24" x14ac:dyDescent="0.35">
      <c r="B40" s="146"/>
      <c r="C40" s="146"/>
      <c r="E40" s="35" t="s">
        <v>96</v>
      </c>
      <c r="H40" s="108">
        <f>H27</f>
        <v>3541.7210000000005</v>
      </c>
      <c r="I40" s="108">
        <f t="shared" ref="I40:O40" si="16">I27</f>
        <v>5583.6340000000018</v>
      </c>
      <c r="J40" s="108">
        <f t="shared" si="16"/>
        <v>6567.0850000000028</v>
      </c>
      <c r="K40" s="108">
        <f t="shared" si="16"/>
        <v>8726.2279999999973</v>
      </c>
      <c r="L40" s="112">
        <f t="shared" si="16"/>
        <v>10052.739888</v>
      </c>
      <c r="M40" s="112">
        <f t="shared" si="16"/>
        <v>11490.519901199994</v>
      </c>
      <c r="N40" s="112">
        <f t="shared" si="16"/>
        <v>12503.625703319996</v>
      </c>
      <c r="O40" s="112">
        <f t="shared" si="16"/>
        <v>13841.452210007996</v>
      </c>
    </row>
    <row r="41" spans="2:24" x14ac:dyDescent="0.35">
      <c r="B41" s="146"/>
      <c r="C41" s="146"/>
      <c r="E41" s="34" t="s">
        <v>385</v>
      </c>
      <c r="F41" s="34"/>
      <c r="G41" s="34"/>
      <c r="H41" s="104">
        <f>H40/H38</f>
        <v>0.18144976255720258</v>
      </c>
      <c r="I41" s="104">
        <f t="shared" ref="I41:O41" si="17">I40/I38</f>
        <v>0.20081552126642344</v>
      </c>
      <c r="J41" s="104">
        <f t="shared" si="17"/>
        <v>0.20581720847781676</v>
      </c>
      <c r="K41" s="104">
        <f t="shared" si="17"/>
        <v>0.21813040777921794</v>
      </c>
      <c r="L41" s="113">
        <f t="shared" si="17"/>
        <v>0.20940780016557084</v>
      </c>
      <c r="M41" s="113">
        <f t="shared" si="17"/>
        <v>0.20813745887468688</v>
      </c>
      <c r="N41" s="113">
        <f t="shared" si="17"/>
        <v>0.20589881548096153</v>
      </c>
      <c r="O41" s="113">
        <f t="shared" si="17"/>
        <v>0.20245180617202407</v>
      </c>
    </row>
    <row r="42" spans="2:24" x14ac:dyDescent="0.35">
      <c r="B42" s="146"/>
      <c r="C42" s="146"/>
      <c r="E42" s="35" t="s">
        <v>114</v>
      </c>
      <c r="H42" s="105">
        <f>Analysis!I44</f>
        <v>2311.6477000000004</v>
      </c>
      <c r="I42" s="105">
        <f>Analysis!J44</f>
        <v>3757.2238000000011</v>
      </c>
      <c r="J42" s="105">
        <f>Analysis!K44</f>
        <v>4301.2185000000018</v>
      </c>
      <c r="K42" s="105">
        <f>Analysis!L44</f>
        <v>5979.288599999998</v>
      </c>
      <c r="L42" s="112">
        <f>L40*(1-0.3)</f>
        <v>7036.9179215999993</v>
      </c>
      <c r="M42" s="112">
        <f t="shared" ref="M42:O42" si="18">M40*(1-0.3)</f>
        <v>8043.3639308399952</v>
      </c>
      <c r="N42" s="112">
        <f t="shared" si="18"/>
        <v>8752.5379923239961</v>
      </c>
      <c r="O42" s="112">
        <f t="shared" si="18"/>
        <v>9689.0165470055963</v>
      </c>
    </row>
    <row r="43" spans="2:24" x14ac:dyDescent="0.35">
      <c r="B43" s="146"/>
      <c r="C43" s="146"/>
      <c r="E43" s="34" t="s">
        <v>384</v>
      </c>
      <c r="F43" s="34"/>
      <c r="G43" s="34"/>
      <c r="H43" s="104">
        <f>(H42/Analysis!H44)-1</f>
        <v>0.51020688283686311</v>
      </c>
      <c r="I43" s="104">
        <f>(I42/Analysis!I44)-1</f>
        <v>0.6253444674982267</v>
      </c>
      <c r="J43" s="104">
        <f>(J42/Analysis!J44)-1</f>
        <v>0.14478634464095541</v>
      </c>
      <c r="K43" s="104">
        <f>(K42/Analysis!K44)-1</f>
        <v>0.39013830615673117</v>
      </c>
      <c r="L43" s="113">
        <f>L42/K42-1</f>
        <v>0.17688213303502387</v>
      </c>
      <c r="M43" s="113">
        <f t="shared" ref="M43:O43" si="19">M42/L42-1</f>
        <v>0.14302369594942754</v>
      </c>
      <c r="N43" s="113">
        <f t="shared" si="19"/>
        <v>8.8168839254540554E-2</v>
      </c>
      <c r="O43" s="113">
        <f t="shared" si="19"/>
        <v>0.10699508593997487</v>
      </c>
    </row>
    <row r="44" spans="2:24" x14ac:dyDescent="0.35">
      <c r="B44" s="146"/>
      <c r="C44" s="146"/>
      <c r="E44" s="35" t="s">
        <v>115</v>
      </c>
      <c r="H44" s="105">
        <f>Analysis!I45</f>
        <v>1808.72</v>
      </c>
      <c r="I44" s="105">
        <f>Analysis!J45</f>
        <v>1648.5609999999999</v>
      </c>
      <c r="J44" s="105">
        <f>Analysis!K45</f>
        <v>1640.43</v>
      </c>
      <c r="K44" s="105">
        <f>Analysis!L45</f>
        <v>733.87199999999996</v>
      </c>
      <c r="L44" s="112">
        <f>L26</f>
        <v>880.64639999999997</v>
      </c>
      <c r="M44" s="112">
        <f t="shared" ref="M44:O44" si="20">M26</f>
        <v>1012.7433599999999</v>
      </c>
      <c r="N44" s="112">
        <f t="shared" si="20"/>
        <v>1114.0176960000001</v>
      </c>
      <c r="O44" s="112">
        <f t="shared" si="20"/>
        <v>1254.2091796635905</v>
      </c>
    </row>
    <row r="45" spans="2:24" x14ac:dyDescent="0.35">
      <c r="B45" s="146"/>
      <c r="C45" s="146"/>
      <c r="E45" s="34" t="s">
        <v>384</v>
      </c>
      <c r="F45" s="34"/>
      <c r="G45" s="34"/>
      <c r="H45" s="104">
        <f>H44/Analysis!H45-1</f>
        <v>0.15159471852552686</v>
      </c>
      <c r="I45" s="104">
        <f>I44/Analysis!I45-1</f>
        <v>-8.8548255119642705E-2</v>
      </c>
      <c r="J45" s="104">
        <f>J44/I44-1</f>
        <v>-4.9321802468940135E-3</v>
      </c>
      <c r="K45" s="104">
        <f>K44/Analysis!K45-1</f>
        <v>-0.55263437025657913</v>
      </c>
      <c r="L45" s="113">
        <f>L44/K44-1</f>
        <v>0.19999999999999996</v>
      </c>
      <c r="M45" s="113">
        <f t="shared" ref="M45:O45" si="21">M44/L44-1</f>
        <v>0.14999999999999991</v>
      </c>
      <c r="N45" s="113">
        <f t="shared" si="21"/>
        <v>0.10000000000000009</v>
      </c>
      <c r="O45" s="113">
        <f t="shared" si="21"/>
        <v>0.12584313890790333</v>
      </c>
    </row>
    <row r="46" spans="2:24" x14ac:dyDescent="0.35">
      <c r="B46" s="146"/>
      <c r="C46" s="146"/>
      <c r="E46" s="35" t="s">
        <v>116</v>
      </c>
      <c r="H46" s="105">
        <f>Analysis!I46</f>
        <v>2283.8879999999999</v>
      </c>
      <c r="I46" s="105">
        <f>Analysis!J46</f>
        <v>43.610999999999997</v>
      </c>
      <c r="J46" s="105">
        <f>Analysis!K46</f>
        <v>133.55500000000001</v>
      </c>
      <c r="K46" s="105">
        <f>Analysis!L46</f>
        <v>111.56699999999999</v>
      </c>
      <c r="L46" s="112">
        <f>L38*L47</f>
        <v>1440.1669679999998</v>
      </c>
      <c r="M46" s="112">
        <f t="shared" ref="M46:N46" si="22">M38*M47</f>
        <v>3312.3840263999991</v>
      </c>
      <c r="N46" s="112">
        <f t="shared" si="22"/>
        <v>7287.2448580799992</v>
      </c>
      <c r="O46" s="112">
        <f>O38*O47</f>
        <v>8204.2946250112636</v>
      </c>
      <c r="P46" s="35" t="s">
        <v>393</v>
      </c>
    </row>
    <row r="47" spans="2:24" x14ac:dyDescent="0.35">
      <c r="B47" s="146"/>
      <c r="C47" s="146"/>
      <c r="E47" s="100" t="s">
        <v>375</v>
      </c>
      <c r="F47" s="34"/>
      <c r="G47" s="34"/>
      <c r="H47" s="104">
        <f>H46/H38</f>
        <v>0.11700835139392521</v>
      </c>
      <c r="I47" s="104">
        <f t="shared" ref="I47:K47" si="23">I46/I38</f>
        <v>1.5684705870674886E-3</v>
      </c>
      <c r="J47" s="104">
        <f t="shared" si="23"/>
        <v>4.1857105973586162E-3</v>
      </c>
      <c r="K47" s="104">
        <f t="shared" si="23"/>
        <v>2.7888516326531939E-3</v>
      </c>
      <c r="L47" s="113">
        <v>0.03</v>
      </c>
      <c r="M47" s="113">
        <v>0.06</v>
      </c>
      <c r="N47" s="113">
        <v>0.12</v>
      </c>
      <c r="O47" s="113">
        <v>0.12</v>
      </c>
    </row>
    <row r="48" spans="2:24" x14ac:dyDescent="0.35">
      <c r="B48" s="146"/>
      <c r="C48" s="146"/>
      <c r="E48" s="34" t="s">
        <v>384</v>
      </c>
      <c r="F48" s="34"/>
      <c r="G48" s="34"/>
      <c r="H48" s="104">
        <f>H46/Analysis!H46-1</f>
        <v>1.4550332800165111</v>
      </c>
      <c r="I48" s="104">
        <f>I46/Analysis!I46-1</f>
        <v>-0.98090493053950101</v>
      </c>
      <c r="J48" s="104">
        <f>J46/Analysis!J46-1</f>
        <v>2.0624154456444477</v>
      </c>
      <c r="K48" s="104">
        <f>K46/Analysis!K46-1</f>
        <v>-0.164636292164277</v>
      </c>
      <c r="L48" s="113">
        <f>L46/K46-1</f>
        <v>11.908538976579095</v>
      </c>
      <c r="M48" s="113">
        <f t="shared" ref="M48:O48" si="24">M46/L46-1</f>
        <v>1.2999999999999998</v>
      </c>
      <c r="N48" s="113">
        <f t="shared" si="24"/>
        <v>1.2000000000000002</v>
      </c>
      <c r="O48" s="113">
        <f t="shared" si="24"/>
        <v>0.12584313890790311</v>
      </c>
    </row>
    <row r="49" spans="2:18" x14ac:dyDescent="0.35">
      <c r="B49" s="146"/>
      <c r="C49" s="146"/>
      <c r="E49" s="35" t="s">
        <v>207</v>
      </c>
      <c r="H49" s="105">
        <f>Analysis!I47</f>
        <v>7026.1219999999994</v>
      </c>
      <c r="I49" s="105">
        <f>Analysis!J47</f>
        <v>12966.504000000001</v>
      </c>
      <c r="J49" s="105">
        <f>Analysis!K47</f>
        <v>15909.832999999999</v>
      </c>
      <c r="K49" s="105">
        <f>Analysis!L47</f>
        <v>15817.570999999998</v>
      </c>
      <c r="L49" s="112">
        <f>L38*L50</f>
        <v>14180.528639999999</v>
      </c>
      <c r="M49" s="112">
        <f t="shared" ref="M49:O49" si="25">M38*M50</f>
        <v>16307.607935999997</v>
      </c>
      <c r="N49" s="112">
        <f t="shared" si="25"/>
        <v>17938.368729599999</v>
      </c>
      <c r="O49" s="112">
        <f t="shared" si="25"/>
        <v>20195.789357420239</v>
      </c>
      <c r="P49" s="35" t="s">
        <v>447</v>
      </c>
    </row>
    <row r="50" spans="2:18" x14ac:dyDescent="0.35">
      <c r="B50" s="146"/>
      <c r="C50" s="146"/>
      <c r="E50" s="100" t="s">
        <v>375</v>
      </c>
      <c r="F50" s="34"/>
      <c r="G50" s="34"/>
      <c r="H50" s="104">
        <f>H49/H38</f>
        <v>0.35996290182031193</v>
      </c>
      <c r="I50" s="104">
        <f t="shared" ref="I50:K50" si="26">I49/I38</f>
        <v>0.4663406053769219</v>
      </c>
      <c r="J50" s="104">
        <f t="shared" si="26"/>
        <v>0.49862570918577226</v>
      </c>
      <c r="K50" s="104">
        <f t="shared" si="26"/>
        <v>0.39539342913189213</v>
      </c>
      <c r="L50" s="113">
        <f>K50-0.1</f>
        <v>0.29539342913189215</v>
      </c>
      <c r="M50" s="113">
        <f t="shared" ref="M50:O50" si="27">L50</f>
        <v>0.29539342913189215</v>
      </c>
      <c r="N50" s="113">
        <f t="shared" si="27"/>
        <v>0.29539342913189215</v>
      </c>
      <c r="O50" s="113">
        <f t="shared" si="27"/>
        <v>0.29539342913189215</v>
      </c>
      <c r="Q50" s="33"/>
    </row>
    <row r="51" spans="2:18" x14ac:dyDescent="0.35">
      <c r="B51" s="146"/>
      <c r="C51" s="146"/>
      <c r="E51" s="34" t="s">
        <v>384</v>
      </c>
      <c r="F51" s="34"/>
      <c r="G51" s="34"/>
      <c r="H51" s="104">
        <f>H49/Analysis!H47-1</f>
        <v>0.24315854454954478</v>
      </c>
      <c r="I51" s="104">
        <f>I49/Analysis!I47-1</f>
        <v>0.84547094400011868</v>
      </c>
      <c r="J51" s="104">
        <f>J49/Analysis!J47-1</f>
        <v>0.22699480137437189</v>
      </c>
      <c r="K51" s="104">
        <f>K49/Analysis!K47-1</f>
        <v>-5.7990552132131112E-3</v>
      </c>
      <c r="L51" s="113">
        <f>(L49/K49-1)</f>
        <v>-0.10349518013859393</v>
      </c>
      <c r="M51" s="113">
        <f t="shared" ref="M51:O51" si="28">(M49/L49-1)</f>
        <v>0.14999999999999991</v>
      </c>
      <c r="N51" s="113">
        <f t="shared" si="28"/>
        <v>0.10000000000000009</v>
      </c>
      <c r="O51" s="113">
        <f t="shared" si="28"/>
        <v>0.12584313890790311</v>
      </c>
    </row>
    <row r="52" spans="2:18" x14ac:dyDescent="0.35">
      <c r="B52" s="146"/>
      <c r="C52" s="146"/>
      <c r="E52" s="35" t="s">
        <v>208</v>
      </c>
      <c r="H52" s="105">
        <f>Analysis!I48</f>
        <v>462.18870000000243</v>
      </c>
      <c r="I52" s="105">
        <f>Analysis!J48</f>
        <v>-578.20820000000003</v>
      </c>
      <c r="J52" s="105">
        <f>Analysis!K48</f>
        <v>2864.7645000000039</v>
      </c>
      <c r="K52" s="105">
        <f>Analysis!L48</f>
        <v>6693.855599999999</v>
      </c>
      <c r="L52" s="112">
        <f>L42+L44-L46-(L49-K49)</f>
        <v>8114.4397135999989</v>
      </c>
      <c r="M52" s="112">
        <f>M42+M44-M46-(M49-L49)</f>
        <v>3616.6439684399975</v>
      </c>
      <c r="N52" s="112">
        <f t="shared" ref="N52:O52" si="29">N42+N44-N46-(N49-M49)</f>
        <v>948.55003664399555</v>
      </c>
      <c r="O52" s="112">
        <f t="shared" si="29"/>
        <v>481.51047383768309</v>
      </c>
      <c r="R52" s="32"/>
    </row>
    <row r="53" spans="2:18" x14ac:dyDescent="0.35">
      <c r="B53" s="146"/>
      <c r="C53" s="146"/>
      <c r="E53" s="34" t="s">
        <v>384</v>
      </c>
      <c r="F53" s="34"/>
      <c r="G53" s="34"/>
      <c r="H53" s="104">
        <f>-(H52/Analysis!H48-1)</f>
        <v>1.7594478143734036</v>
      </c>
      <c r="I53" s="104">
        <f>I52/Analysis!I48-1</f>
        <v>-2.2510219310857167</v>
      </c>
      <c r="J53" s="104">
        <f>-J52/Analysis!J48-1</f>
        <v>3.9545552968636617</v>
      </c>
      <c r="K53" s="104">
        <f>K52/Analysis!K48-1</f>
        <v>1.3366163606118375</v>
      </c>
      <c r="L53" s="113">
        <f>L52/K52-1</f>
        <v>0.21222210314784795</v>
      </c>
      <c r="M53" s="113">
        <f t="shared" ref="M53:O53" si="30">M52/L52-1</f>
        <v>-0.55429529381080811</v>
      </c>
      <c r="N53" s="113">
        <f t="shared" si="30"/>
        <v>-0.73772645443639207</v>
      </c>
      <c r="O53" s="113">
        <f t="shared" si="30"/>
        <v>-0.49237208872893556</v>
      </c>
    </row>
    <row r="54" spans="2:18" x14ac:dyDescent="0.35">
      <c r="B54" s="146"/>
      <c r="C54" s="146"/>
      <c r="E54" s="100" t="s">
        <v>375</v>
      </c>
      <c r="F54" s="34"/>
      <c r="G54" s="34"/>
      <c r="H54" s="104">
        <f>H52/H38</f>
        <v>2.3678892231099671E-2</v>
      </c>
      <c r="I54" s="104">
        <f t="shared" ref="I54:K54" si="31">I52/I38</f>
        <v>-2.0795270800973056E-2</v>
      </c>
      <c r="J54" s="104">
        <f t="shared" si="31"/>
        <v>8.9783797885416294E-2</v>
      </c>
      <c r="K54" s="104">
        <f t="shared" si="31"/>
        <v>0.16732698843569085</v>
      </c>
      <c r="L54" s="113">
        <f>(ABS(L52))/L38</f>
        <v>0.16903122819575736</v>
      </c>
      <c r="M54" s="113">
        <f>(ABS(M52))/M38</f>
        <v>6.551131643459851E-2</v>
      </c>
      <c r="N54" s="113">
        <f t="shared" ref="N54:O54" si="32">(ABS(N52))/N38</f>
        <v>1.5619895668946915E-2</v>
      </c>
      <c r="O54" s="113">
        <f t="shared" si="32"/>
        <v>7.0428061767031725E-3</v>
      </c>
    </row>
    <row r="56" spans="2:18" ht="15" thickBot="1" x14ac:dyDescent="0.4">
      <c r="B56" s="146" t="s">
        <v>430</v>
      </c>
      <c r="C56" s="146"/>
      <c r="E56" s="35" t="s">
        <v>395</v>
      </c>
      <c r="G56" s="31"/>
      <c r="H56" s="1" t="s">
        <v>6</v>
      </c>
      <c r="I56" s="1" t="s">
        <v>371</v>
      </c>
      <c r="J56" s="1" t="s">
        <v>372</v>
      </c>
      <c r="K56" s="1" t="s">
        <v>373</v>
      </c>
      <c r="L56" s="1" t="s">
        <v>487</v>
      </c>
      <c r="M56" s="83" t="s">
        <v>376</v>
      </c>
    </row>
    <row r="57" spans="2:18" x14ac:dyDescent="0.35">
      <c r="B57" s="146"/>
      <c r="C57" s="146"/>
      <c r="E57" s="35" t="s">
        <v>394</v>
      </c>
      <c r="H57" s="29">
        <f>K52</f>
        <v>6693.855599999999</v>
      </c>
      <c r="I57" s="29">
        <f>L52</f>
        <v>8114.4397135999989</v>
      </c>
      <c r="J57" s="29">
        <f>M52</f>
        <v>3616.6439684399975</v>
      </c>
      <c r="K57" s="29">
        <f>N52</f>
        <v>948.55003664399555</v>
      </c>
      <c r="L57" s="29">
        <f>O52</f>
        <v>481.51047383768309</v>
      </c>
    </row>
    <row r="58" spans="2:18" x14ac:dyDescent="0.35">
      <c r="B58" s="146"/>
      <c r="C58" s="146"/>
      <c r="E58" s="35" t="s">
        <v>396</v>
      </c>
      <c r="H58" s="35">
        <v>0</v>
      </c>
      <c r="I58" s="35">
        <v>1</v>
      </c>
      <c r="J58" s="35">
        <v>2</v>
      </c>
      <c r="K58" s="35">
        <v>3</v>
      </c>
      <c r="L58" s="35">
        <v>4</v>
      </c>
    </row>
    <row r="59" spans="2:18" x14ac:dyDescent="0.35">
      <c r="B59" s="146"/>
      <c r="C59" s="146"/>
      <c r="E59" s="35" t="s">
        <v>488</v>
      </c>
      <c r="H59" s="28">
        <f>WACC!$J$44</f>
        <v>0.11791233273352716</v>
      </c>
      <c r="I59" s="28">
        <f>WACC!$J$44</f>
        <v>0.11791233273352716</v>
      </c>
      <c r="J59" s="28">
        <f>WACC!$J$44</f>
        <v>0.11791233273352716</v>
      </c>
      <c r="K59" s="28">
        <f>WACC!$J$44</f>
        <v>0.11791233273352716</v>
      </c>
      <c r="L59" s="28">
        <f>WACC!$J$44</f>
        <v>0.11791233273352716</v>
      </c>
      <c r="M59" s="35" t="s">
        <v>489</v>
      </c>
    </row>
    <row r="60" spans="2:18" x14ac:dyDescent="0.35">
      <c r="B60" s="146"/>
      <c r="C60" s="146"/>
      <c r="E60" s="35" t="s">
        <v>397</v>
      </c>
      <c r="H60" s="35">
        <f>1/((1+H59)^H58)</f>
        <v>1</v>
      </c>
      <c r="I60" s="35">
        <f>1/((1+I59)^I58)</f>
        <v>0.89452452640431368</v>
      </c>
      <c r="J60" s="35">
        <f t="shared" ref="J60:L60" si="33">1/((1+J59)^J58)</f>
        <v>0.80017412833886181</v>
      </c>
      <c r="K60" s="35">
        <f t="shared" si="33"/>
        <v>0.7157753831933048</v>
      </c>
      <c r="L60" s="35">
        <f t="shared" si="33"/>
        <v>0.64027863566285725</v>
      </c>
    </row>
    <row r="61" spans="2:18" x14ac:dyDescent="0.35">
      <c r="B61" s="146"/>
      <c r="C61" s="146"/>
      <c r="E61" s="35" t="s">
        <v>398</v>
      </c>
      <c r="H61" s="29">
        <f>H57*H60</f>
        <v>6693.855599999999</v>
      </c>
      <c r="I61" s="29">
        <f t="shared" ref="I61:K61" si="34">I57*I60</f>
        <v>7258.5653418443935</v>
      </c>
      <c r="J61" s="29">
        <f t="shared" si="34"/>
        <v>2893.944934958477</v>
      </c>
      <c r="K61" s="29">
        <f t="shared" si="34"/>
        <v>678.94876595687924</v>
      </c>
      <c r="L61" s="29"/>
    </row>
    <row r="62" spans="2:18" x14ac:dyDescent="0.35">
      <c r="B62" s="146"/>
      <c r="C62" s="146"/>
      <c r="E62" s="35" t="s">
        <v>399</v>
      </c>
      <c r="G62" s="29">
        <f>SUM(H61:K61)</f>
        <v>17525.314642759749</v>
      </c>
    </row>
    <row r="64" spans="2:18" x14ac:dyDescent="0.35">
      <c r="B64" s="146" t="s">
        <v>433</v>
      </c>
      <c r="C64" s="146"/>
      <c r="E64" s="35" t="s">
        <v>369</v>
      </c>
    </row>
    <row r="65" spans="2:21" x14ac:dyDescent="0.35">
      <c r="B65" s="146"/>
      <c r="C65" s="146"/>
      <c r="E65" s="35" t="s">
        <v>400</v>
      </c>
      <c r="H65" s="29">
        <f>O52</f>
        <v>481.51047383768309</v>
      </c>
    </row>
    <row r="66" spans="2:21" x14ac:dyDescent="0.35">
      <c r="B66" s="146"/>
      <c r="C66" s="146"/>
      <c r="E66" s="35" t="s">
        <v>368</v>
      </c>
      <c r="H66" s="63">
        <f>WACC!J46</f>
        <v>0.11791233273352716</v>
      </c>
      <c r="I66" s="29"/>
    </row>
    <row r="67" spans="2:21" x14ac:dyDescent="0.35">
      <c r="B67" s="146"/>
      <c r="C67" s="146"/>
      <c r="E67" s="35" t="s">
        <v>406</v>
      </c>
      <c r="H67" s="29">
        <f>N42</f>
        <v>8752.5379923239961</v>
      </c>
    </row>
    <row r="68" spans="2:21" x14ac:dyDescent="0.35">
      <c r="B68" s="146"/>
      <c r="C68" s="146"/>
      <c r="E68" s="35" t="s">
        <v>403</v>
      </c>
      <c r="H68" s="29">
        <f>H70-H65</f>
        <v>9207.5060731679132</v>
      </c>
      <c r="J68" s="150" t="s">
        <v>434</v>
      </c>
      <c r="K68" s="150"/>
      <c r="L68" s="150"/>
      <c r="M68" s="150"/>
      <c r="N68" s="150"/>
      <c r="O68" s="150"/>
    </row>
    <row r="69" spans="2:21" x14ac:dyDescent="0.35">
      <c r="B69" s="146"/>
      <c r="C69" s="146"/>
      <c r="E69" s="35" t="s">
        <v>404</v>
      </c>
      <c r="H69" s="29">
        <f>H67-N52</f>
        <v>7803.9879556800006</v>
      </c>
      <c r="J69" s="150"/>
      <c r="K69" s="150"/>
      <c r="L69" s="150"/>
      <c r="M69" s="150"/>
      <c r="N69" s="150"/>
      <c r="O69" s="150"/>
    </row>
    <row r="70" spans="2:21" x14ac:dyDescent="0.35">
      <c r="B70" s="146"/>
      <c r="C70" s="146"/>
      <c r="E70" s="35" t="s">
        <v>405</v>
      </c>
      <c r="H70" s="29">
        <f>O42</f>
        <v>9689.0165470055963</v>
      </c>
      <c r="J70" s="150"/>
      <c r="K70" s="150"/>
      <c r="L70" s="150"/>
      <c r="M70" s="150"/>
      <c r="N70" s="150"/>
      <c r="O70" s="150"/>
    </row>
    <row r="71" spans="2:21" x14ac:dyDescent="0.35">
      <c r="B71" s="146"/>
      <c r="C71" s="146"/>
      <c r="E71" s="35" t="s">
        <v>407</v>
      </c>
      <c r="H71" s="33">
        <f>1-H65/H70</f>
        <v>0.95030347285489003</v>
      </c>
      <c r="J71" s="150"/>
      <c r="K71" s="150"/>
      <c r="L71" s="150"/>
      <c r="M71" s="150"/>
      <c r="N71" s="150"/>
      <c r="O71" s="150"/>
    </row>
    <row r="72" spans="2:21" x14ac:dyDescent="0.35">
      <c r="B72" s="146"/>
      <c r="C72" s="146"/>
      <c r="E72" s="35" t="s">
        <v>408</v>
      </c>
      <c r="H72" s="63">
        <f>(H70-H67)/H69</f>
        <v>0.12000000000000001</v>
      </c>
      <c r="J72" s="150"/>
      <c r="K72" s="150"/>
      <c r="L72" s="150"/>
      <c r="M72" s="150"/>
      <c r="N72" s="150"/>
      <c r="O72" s="150"/>
    </row>
    <row r="73" spans="2:21" x14ac:dyDescent="0.35">
      <c r="B73" s="146"/>
      <c r="C73" s="146"/>
      <c r="E73" s="35" t="s">
        <v>401</v>
      </c>
      <c r="H73" s="63">
        <f>H71*H72</f>
        <v>0.11403641674258681</v>
      </c>
      <c r="I73" s="35" t="s">
        <v>365</v>
      </c>
      <c r="J73" s="151" t="s">
        <v>417</v>
      </c>
      <c r="K73" s="91"/>
    </row>
    <row r="74" spans="2:21" x14ac:dyDescent="0.35">
      <c r="B74" s="146"/>
      <c r="C74" s="146"/>
      <c r="E74" s="35" t="s">
        <v>369</v>
      </c>
      <c r="H74" s="29">
        <f>H65/(H66-H73)</f>
        <v>124231.40103221431</v>
      </c>
      <c r="I74" s="29"/>
      <c r="J74" s="152"/>
      <c r="K74" s="92" t="s">
        <v>418</v>
      </c>
      <c r="L74" s="93" t="s">
        <v>421</v>
      </c>
      <c r="M74" s="93" t="s">
        <v>372</v>
      </c>
      <c r="N74" s="93" t="s">
        <v>373</v>
      </c>
      <c r="O74" s="93" t="s">
        <v>487</v>
      </c>
      <c r="P74" s="133" t="s">
        <v>466</v>
      </c>
      <c r="R74" s="156" t="s">
        <v>490</v>
      </c>
      <c r="S74" s="156"/>
      <c r="T74" s="156"/>
      <c r="U74" s="156"/>
    </row>
    <row r="75" spans="2:21" x14ac:dyDescent="0.35">
      <c r="B75" s="146"/>
      <c r="C75" s="146"/>
      <c r="E75" s="35" t="s">
        <v>402</v>
      </c>
      <c r="H75" s="29">
        <f>H74*(1/((1+H66)^L58))</f>
        <v>79542.711959391454</v>
      </c>
      <c r="I75" s="29"/>
      <c r="J75" s="91">
        <v>1</v>
      </c>
      <c r="K75" s="35" t="s">
        <v>419</v>
      </c>
      <c r="L75" s="28">
        <v>0.2</v>
      </c>
      <c r="M75" s="28">
        <f>L75-0.05</f>
        <v>0.15000000000000002</v>
      </c>
      <c r="N75" s="28">
        <f t="shared" ref="N75" si="35">M75-0.05</f>
        <v>0.10000000000000002</v>
      </c>
      <c r="O75" s="28">
        <v>0.12584313890790338</v>
      </c>
      <c r="P75" s="135">
        <v>0</v>
      </c>
      <c r="R75" s="156"/>
      <c r="S75" s="156"/>
      <c r="T75" s="156"/>
      <c r="U75" s="156"/>
    </row>
    <row r="76" spans="2:21" x14ac:dyDescent="0.35">
      <c r="B76" s="146"/>
      <c r="C76" s="146"/>
      <c r="E76" s="35" t="s">
        <v>409</v>
      </c>
      <c r="H76" s="29">
        <f>H75+G62</f>
        <v>97068.026602151207</v>
      </c>
      <c r="J76" s="91">
        <v>2</v>
      </c>
      <c r="K76" s="35" t="s">
        <v>422</v>
      </c>
      <c r="L76" s="28">
        <v>0.3</v>
      </c>
      <c r="M76" s="28">
        <v>0.4</v>
      </c>
      <c r="N76" s="28">
        <v>0.2</v>
      </c>
      <c r="O76" s="28">
        <v>0.10678069673855695</v>
      </c>
      <c r="P76" s="28">
        <v>0.7</v>
      </c>
      <c r="R76" s="156"/>
      <c r="S76" s="156"/>
      <c r="T76" s="156"/>
      <c r="U76" s="156"/>
    </row>
    <row r="77" spans="2:21" x14ac:dyDescent="0.35">
      <c r="B77" s="146"/>
      <c r="C77" s="146"/>
      <c r="E77" s="35" t="s">
        <v>410</v>
      </c>
      <c r="H77" s="35">
        <f>'Balance Sheet'!L70</f>
        <v>2146.8980000000001</v>
      </c>
      <c r="J77" s="91">
        <v>3</v>
      </c>
      <c r="K77" s="35" t="s">
        <v>420</v>
      </c>
      <c r="L77" s="28">
        <v>0.05</v>
      </c>
      <c r="M77" s="28">
        <v>0.05</v>
      </c>
      <c r="N77" s="28">
        <v>0.02</v>
      </c>
      <c r="O77" s="28">
        <v>0.10805314142289944</v>
      </c>
      <c r="P77" s="28">
        <v>0.2</v>
      </c>
      <c r="R77" s="156"/>
      <c r="S77" s="156"/>
      <c r="T77" s="156"/>
      <c r="U77" s="156"/>
    </row>
    <row r="78" spans="2:21" x14ac:dyDescent="0.35">
      <c r="B78" s="146"/>
      <c r="C78" s="146"/>
      <c r="E78" s="35" t="s">
        <v>411</v>
      </c>
      <c r="H78" s="35">
        <f>'Balance Sheet'!L80</f>
        <v>0</v>
      </c>
      <c r="J78" s="91">
        <v>4</v>
      </c>
      <c r="K78" s="35" t="s">
        <v>423</v>
      </c>
      <c r="L78" s="28">
        <v>0.25</v>
      </c>
      <c r="M78" s="28">
        <v>0.3</v>
      </c>
      <c r="N78" s="28">
        <v>0.4</v>
      </c>
      <c r="O78" s="28">
        <v>0.11495684933441123</v>
      </c>
      <c r="P78" s="28">
        <v>0.8</v>
      </c>
      <c r="R78" s="156"/>
      <c r="S78" s="156"/>
      <c r="T78" s="156"/>
      <c r="U78" s="156"/>
    </row>
    <row r="79" spans="2:21" x14ac:dyDescent="0.35">
      <c r="B79" s="146"/>
      <c r="C79" s="146"/>
      <c r="E79" s="35" t="s">
        <v>412</v>
      </c>
      <c r="H79" s="35">
        <f>'Balance Sheet'!L71</f>
        <v>0</v>
      </c>
      <c r="J79" s="91">
        <v>5</v>
      </c>
      <c r="K79" s="35" t="s">
        <v>424</v>
      </c>
      <c r="L79" s="28">
        <v>0.15</v>
      </c>
      <c r="M79" s="28">
        <v>0.1</v>
      </c>
      <c r="N79" s="28">
        <v>0.02</v>
      </c>
      <c r="O79" s="28">
        <v>0.10761985643790245</v>
      </c>
      <c r="P79" s="28">
        <v>0.1</v>
      </c>
      <c r="R79" s="156"/>
      <c r="S79" s="156"/>
      <c r="T79" s="156"/>
      <c r="U79" s="156"/>
    </row>
    <row r="80" spans="2:21" x14ac:dyDescent="0.35">
      <c r="B80" s="146"/>
      <c r="C80" s="146"/>
      <c r="E80" s="35" t="s">
        <v>413</v>
      </c>
      <c r="H80" s="35">
        <f>'Balance Sheet'!L8</f>
        <v>5824.3729999999996</v>
      </c>
      <c r="R80" s="156"/>
      <c r="S80" s="156"/>
      <c r="T80" s="156"/>
      <c r="U80" s="156"/>
    </row>
    <row r="81" spans="2:21" x14ac:dyDescent="0.35">
      <c r="B81" s="146"/>
      <c r="C81" s="146"/>
      <c r="E81" s="35" t="s">
        <v>414</v>
      </c>
      <c r="H81" s="29">
        <f>H76-H77-H78-H79+H80</f>
        <v>100745.5016021512</v>
      </c>
      <c r="I81" s="29"/>
      <c r="R81" s="156"/>
      <c r="S81" s="156"/>
      <c r="T81" s="156"/>
      <c r="U81" s="156"/>
    </row>
    <row r="82" spans="2:21" x14ac:dyDescent="0.35">
      <c r="B82" s="146"/>
      <c r="C82" s="146"/>
      <c r="E82" s="35" t="s">
        <v>415</v>
      </c>
      <c r="H82" s="35">
        <v>529.4</v>
      </c>
    </row>
    <row r="83" spans="2:21" x14ac:dyDescent="0.35">
      <c r="B83" s="146"/>
      <c r="C83" s="146"/>
      <c r="E83" s="35" t="s">
        <v>416</v>
      </c>
      <c r="H83" s="143">
        <f>H81/H82</f>
        <v>190.30128749934116</v>
      </c>
      <c r="I83" s="29"/>
    </row>
    <row r="84" spans="2:21" x14ac:dyDescent="0.35">
      <c r="B84" s="146"/>
      <c r="C84" s="146"/>
    </row>
    <row r="99" spans="31:31" x14ac:dyDescent="0.35">
      <c r="AE99" s="91"/>
    </row>
    <row r="100" spans="31:31" x14ac:dyDescent="0.35">
      <c r="AE100" s="91"/>
    </row>
    <row r="101" spans="31:31" x14ac:dyDescent="0.35">
      <c r="AE101" s="91"/>
    </row>
    <row r="102" spans="31:31" x14ac:dyDescent="0.35">
      <c r="AE102" s="91"/>
    </row>
    <row r="103" spans="31:31" x14ac:dyDescent="0.35">
      <c r="AE103" s="91"/>
    </row>
  </sheetData>
  <mergeCells count="12">
    <mergeCell ref="R74:U81"/>
    <mergeCell ref="B56:C62"/>
    <mergeCell ref="H7:K8"/>
    <mergeCell ref="L7:O8"/>
    <mergeCell ref="B64:C84"/>
    <mergeCell ref="J68:O72"/>
    <mergeCell ref="J73:J74"/>
    <mergeCell ref="H1:N5"/>
    <mergeCell ref="B5:C6"/>
    <mergeCell ref="B10:C27"/>
    <mergeCell ref="B30:C35"/>
    <mergeCell ref="B37:C54"/>
  </mergeCells>
  <dataValidations count="1">
    <dataValidation type="list" allowBlank="1" showInputMessage="1" showErrorMessage="1" sqref="D6" xr:uid="{D0991378-0B38-4BCF-AB8E-C02F75C9B4B8}">
      <formula1>$J$75:$J$79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587C-EFF4-4428-A160-14616B0F86A4}">
  <sheetPr>
    <tabColor rgb="FF00B050"/>
  </sheetPr>
  <dimension ref="A2:P97"/>
  <sheetViews>
    <sheetView workbookViewId="0">
      <selection activeCell="R77" sqref="R77"/>
    </sheetView>
  </sheetViews>
  <sheetFormatPr defaultRowHeight="14.5" x14ac:dyDescent="0.35"/>
  <cols>
    <col min="1" max="2" width="8.7265625" style="35"/>
    <col min="5" max="6" width="10.6328125" bestFit="1" customWidth="1"/>
    <col min="7" max="7" width="12.54296875" bestFit="1" customWidth="1"/>
    <col min="8" max="10" width="11.81640625" bestFit="1" customWidth="1"/>
    <col min="11" max="11" width="20.1796875" bestFit="1" customWidth="1"/>
    <col min="12" max="12" width="12.54296875" bestFit="1" customWidth="1"/>
    <col min="13" max="13" width="9.08984375" bestFit="1" customWidth="1"/>
  </cols>
  <sheetData>
    <row r="2" spans="1:16" x14ac:dyDescent="0.35">
      <c r="K2" s="119" t="s">
        <v>315</v>
      </c>
      <c r="L2" s="35"/>
    </row>
    <row r="3" spans="1:16" ht="15" thickBot="1" x14ac:dyDescent="0.4">
      <c r="A3" s="146" t="s">
        <v>435</v>
      </c>
      <c r="B3" s="146"/>
      <c r="C3" s="1" t="s">
        <v>8</v>
      </c>
      <c r="D3" s="1"/>
      <c r="E3" s="1" t="s">
        <v>13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35"/>
      <c r="N3" s="35"/>
      <c r="O3" s="35"/>
      <c r="P3" s="35"/>
    </row>
    <row r="4" spans="1:16" x14ac:dyDescent="0.35">
      <c r="A4" s="146"/>
      <c r="B4" s="146"/>
    </row>
    <row r="5" spans="1:16" x14ac:dyDescent="0.35">
      <c r="A5" s="146"/>
      <c r="B5" s="146"/>
      <c r="C5" s="35" t="s">
        <v>9</v>
      </c>
      <c r="E5" s="4">
        <f>'Income Statement'!D6</f>
        <v>4275.2619999999997</v>
      </c>
      <c r="F5" s="4">
        <f>'Income Statement'!E6</f>
        <v>8896.7710000000006</v>
      </c>
      <c r="G5" s="4">
        <f>'Income Statement'!F6</f>
        <v>13531.874</v>
      </c>
      <c r="H5" s="4">
        <f>'Income Statement'!G6+'Income Statement'!G9</f>
        <v>15471.505999999999</v>
      </c>
      <c r="I5" s="4">
        <f>'Income Statement'!H6</f>
        <v>19519.017</v>
      </c>
      <c r="J5" s="4">
        <f>'Income Statement'!I6</f>
        <v>27804.793000000001</v>
      </c>
      <c r="K5" s="4">
        <f>'Income Statement'!J6</f>
        <v>31907.366000000002</v>
      </c>
      <c r="L5" s="4">
        <f>'Income Statement'!K6</f>
        <v>40004.637999999999</v>
      </c>
    </row>
    <row r="6" spans="1:16" s="35" customFormat="1" x14ac:dyDescent="0.35">
      <c r="A6" s="146"/>
      <c r="B6" s="146"/>
      <c r="C6" s="34" t="s">
        <v>374</v>
      </c>
      <c r="D6" s="34"/>
      <c r="E6" s="34"/>
      <c r="F6" s="101">
        <f>(F5/E5)-1</f>
        <v>1.0809884867874766</v>
      </c>
      <c r="G6" s="101">
        <f t="shared" ref="G6:L6" si="0">(G5/F5)-1</f>
        <v>0.52098710869370457</v>
      </c>
      <c r="H6" s="101">
        <f t="shared" si="0"/>
        <v>0.14333801807495394</v>
      </c>
      <c r="I6" s="101">
        <f t="shared" si="0"/>
        <v>0.26161066673147393</v>
      </c>
      <c r="J6" s="101">
        <f t="shared" si="0"/>
        <v>0.42449760661615299</v>
      </c>
      <c r="K6" s="101">
        <f t="shared" si="0"/>
        <v>0.14754912938931075</v>
      </c>
      <c r="L6" s="132">
        <f t="shared" si="0"/>
        <v>0.25377437924521873</v>
      </c>
    </row>
    <row r="7" spans="1:16" x14ac:dyDescent="0.35">
      <c r="A7" s="146"/>
      <c r="B7" s="146"/>
      <c r="C7" s="31" t="s">
        <v>106</v>
      </c>
      <c r="D7" s="31"/>
      <c r="E7" s="84">
        <f>'Income Statement'!D16</f>
        <v>3074.058</v>
      </c>
      <c r="F7" s="84">
        <f>'Income Statement'!E16</f>
        <v>7508.357</v>
      </c>
      <c r="G7" s="84">
        <f>'Income Statement'!F16</f>
        <v>11112.175999999999</v>
      </c>
      <c r="H7" s="84">
        <f>'Income Statement'!G16</f>
        <v>11656.5</v>
      </c>
      <c r="I7" s="84">
        <f>'Income Statement'!H16</f>
        <v>14168.575999999999</v>
      </c>
      <c r="J7" s="84">
        <f>'Income Statement'!I16</f>
        <v>20553.465</v>
      </c>
      <c r="K7" s="84">
        <f>'Income Statement'!J16</f>
        <v>23666.742999999999</v>
      </c>
      <c r="L7" s="84">
        <f>'Income Statement'!K16</f>
        <v>30484.597000000002</v>
      </c>
    </row>
    <row r="8" spans="1:16" s="35" customFormat="1" x14ac:dyDescent="0.35">
      <c r="A8" s="146"/>
      <c r="B8" s="146"/>
      <c r="C8" s="120" t="s">
        <v>374</v>
      </c>
      <c r="D8" s="100"/>
      <c r="E8" s="100"/>
      <c r="F8" s="121">
        <f>(F7/E7)-1</f>
        <v>1.4424903498892996</v>
      </c>
      <c r="G8" s="121">
        <f t="shared" ref="G8:L8" si="1">(G7/F7)-1</f>
        <v>0.47997438054690256</v>
      </c>
      <c r="H8" s="121">
        <f t="shared" si="1"/>
        <v>4.898446532884293E-2</v>
      </c>
      <c r="I8" s="121">
        <f t="shared" si="1"/>
        <v>0.21550860035173502</v>
      </c>
      <c r="J8" s="121">
        <f t="shared" si="1"/>
        <v>0.45063731175243027</v>
      </c>
      <c r="K8" s="121">
        <f t="shared" si="1"/>
        <v>0.15147217269691504</v>
      </c>
      <c r="L8" s="121">
        <f t="shared" si="1"/>
        <v>0.28807740887708988</v>
      </c>
    </row>
    <row r="9" spans="1:16" s="35" customFormat="1" x14ac:dyDescent="0.35">
      <c r="A9" s="146"/>
      <c r="B9" s="146"/>
      <c r="C9" s="122" t="s">
        <v>375</v>
      </c>
      <c r="D9" s="99"/>
      <c r="E9" s="102">
        <f>E7/E5</f>
        <v>0.71903382763442336</v>
      </c>
      <c r="F9" s="102">
        <f>F7/F5</f>
        <v>0.84394180765133775</v>
      </c>
      <c r="G9" s="102">
        <f t="shared" ref="G9:K9" si="2">G7/G5</f>
        <v>0.82118529924236661</v>
      </c>
      <c r="H9" s="102">
        <f t="shared" si="2"/>
        <v>0.75341728206678782</v>
      </c>
      <c r="I9" s="102">
        <f t="shared" si="2"/>
        <v>0.72588573492199937</v>
      </c>
      <c r="J9" s="102">
        <f t="shared" si="2"/>
        <v>0.73920582685150715</v>
      </c>
      <c r="K9" s="102">
        <f t="shared" si="2"/>
        <v>0.74173289641018936</v>
      </c>
      <c r="L9" s="102">
        <f>L7/L5</f>
        <v>0.76202656801943824</v>
      </c>
    </row>
    <row r="10" spans="1:16" x14ac:dyDescent="0.35">
      <c r="A10" s="146"/>
      <c r="B10" s="146"/>
      <c r="C10" s="81" t="s">
        <v>380</v>
      </c>
      <c r="E10" s="87">
        <f>E5-E7</f>
        <v>1201.2039999999997</v>
      </c>
      <c r="F10" s="87">
        <f t="shared" ref="F10:L10" si="3">F5-F7</f>
        <v>1388.4140000000007</v>
      </c>
      <c r="G10" s="87">
        <f t="shared" si="3"/>
        <v>2419.6980000000003</v>
      </c>
      <c r="H10" s="87">
        <f t="shared" si="3"/>
        <v>3815.0059999999994</v>
      </c>
      <c r="I10" s="87">
        <f t="shared" si="3"/>
        <v>5350.4410000000007</v>
      </c>
      <c r="J10" s="87">
        <f t="shared" si="3"/>
        <v>7251.3280000000013</v>
      </c>
      <c r="K10" s="87">
        <f t="shared" si="3"/>
        <v>8240.6230000000032</v>
      </c>
      <c r="L10" s="87">
        <f t="shared" si="3"/>
        <v>9520.0409999999974</v>
      </c>
    </row>
    <row r="11" spans="1:16" s="35" customFormat="1" x14ac:dyDescent="0.35">
      <c r="A11" s="146"/>
      <c r="B11" s="146"/>
      <c r="C11" s="120" t="s">
        <v>374</v>
      </c>
      <c r="D11" s="34"/>
      <c r="E11" s="123"/>
      <c r="F11" s="101">
        <f>(F10/E10)-1</f>
        <v>0.15585196186492967</v>
      </c>
      <c r="G11" s="101">
        <f t="shared" ref="G11:L11" si="4">(G10/F10)-1</f>
        <v>0.74277845080789962</v>
      </c>
      <c r="H11" s="101">
        <f t="shared" si="4"/>
        <v>0.57664551526678087</v>
      </c>
      <c r="I11" s="101">
        <f t="shared" si="4"/>
        <v>0.40247249938794361</v>
      </c>
      <c r="J11" s="101">
        <f t="shared" si="4"/>
        <v>0.35527669588357313</v>
      </c>
      <c r="K11" s="101">
        <f t="shared" si="4"/>
        <v>0.13642949263914161</v>
      </c>
      <c r="L11" s="101">
        <f t="shared" si="4"/>
        <v>0.15525743623995347</v>
      </c>
    </row>
    <row r="12" spans="1:16" s="35" customFormat="1" x14ac:dyDescent="0.35">
      <c r="A12" s="146"/>
      <c r="B12" s="146"/>
      <c r="C12" s="120" t="s">
        <v>375</v>
      </c>
      <c r="D12" s="34"/>
      <c r="E12" s="101">
        <f>E10/E5</f>
        <v>0.28096617236557664</v>
      </c>
      <c r="F12" s="101">
        <f t="shared" ref="F12:L12" si="5">F10/F5</f>
        <v>0.15605819234866231</v>
      </c>
      <c r="G12" s="101">
        <f t="shared" si="5"/>
        <v>0.17881470075763345</v>
      </c>
      <c r="H12" s="101">
        <f t="shared" si="5"/>
        <v>0.24658271793321215</v>
      </c>
      <c r="I12" s="101">
        <f t="shared" si="5"/>
        <v>0.27411426507800063</v>
      </c>
      <c r="J12" s="101">
        <f t="shared" si="5"/>
        <v>0.26079417314849279</v>
      </c>
      <c r="K12" s="101">
        <f t="shared" si="5"/>
        <v>0.25826710358981064</v>
      </c>
      <c r="L12" s="101">
        <f t="shared" si="5"/>
        <v>0.23797343198056178</v>
      </c>
    </row>
    <row r="13" spans="1:16" x14ac:dyDescent="0.35">
      <c r="A13" s="146"/>
      <c r="B13" s="146"/>
    </row>
    <row r="14" spans="1:16" x14ac:dyDescent="0.35">
      <c r="A14" s="146"/>
      <c r="B14" s="146"/>
      <c r="C14" s="82" t="s">
        <v>382</v>
      </c>
      <c r="E14">
        <f>'Income Statement'!D12</f>
        <v>0</v>
      </c>
      <c r="F14" s="35">
        <f>'Income Statement'!E12</f>
        <v>0</v>
      </c>
      <c r="G14" s="35">
        <f>'Income Statement'!F12</f>
        <v>0</v>
      </c>
      <c r="H14" s="35">
        <f>'Income Statement'!G12</f>
        <v>0</v>
      </c>
      <c r="I14" s="35">
        <f>'Income Statement'!H12</f>
        <v>0</v>
      </c>
      <c r="J14" s="35">
        <f>'Income Statement'!I12</f>
        <v>19.132999999999999</v>
      </c>
      <c r="K14" s="35">
        <f>'Income Statement'!J12</f>
        <v>33.107999999999997</v>
      </c>
      <c r="L14" s="35">
        <f>'Income Statement'!K12</f>
        <v>59.941000000000003</v>
      </c>
    </row>
    <row r="15" spans="1:16" x14ac:dyDescent="0.35">
      <c r="A15" s="146"/>
      <c r="B15" s="146"/>
      <c r="C15" s="86" t="s">
        <v>383</v>
      </c>
      <c r="D15" s="2"/>
      <c r="E15" s="2">
        <f>'Income Statement'!D11</f>
        <v>403.358</v>
      </c>
      <c r="F15" s="2">
        <f>'Income Statement'!E11</f>
        <v>0</v>
      </c>
      <c r="G15" s="2">
        <f>'Income Statement'!F11</f>
        <v>0</v>
      </c>
      <c r="H15" s="2">
        <f>'Income Statement'!G11</f>
        <v>0</v>
      </c>
      <c r="I15" s="2">
        <f>'Income Statement'!H11</f>
        <v>0</v>
      </c>
      <c r="J15" s="2">
        <f>'Income Statement'!I11</f>
        <v>0</v>
      </c>
      <c r="K15" s="2">
        <f>'Income Statement'!J11</f>
        <v>0</v>
      </c>
      <c r="L15" s="2">
        <f>'Income Statement'!K11</f>
        <v>0</v>
      </c>
    </row>
    <row r="16" spans="1:16" x14ac:dyDescent="0.35">
      <c r="A16" s="146"/>
      <c r="B16" s="146"/>
      <c r="C16" s="85" t="s">
        <v>93</v>
      </c>
      <c r="E16" s="87">
        <f>E10-E14-E15</f>
        <v>797.84599999999978</v>
      </c>
      <c r="F16" s="87">
        <f t="shared" ref="F16:L16" si="6">F10-F14-F15</f>
        <v>1388.4140000000007</v>
      </c>
      <c r="G16" s="87">
        <f t="shared" si="6"/>
        <v>2419.6980000000003</v>
      </c>
      <c r="H16" s="87">
        <f t="shared" si="6"/>
        <v>3815.0059999999994</v>
      </c>
      <c r="I16" s="87">
        <f t="shared" si="6"/>
        <v>5350.4410000000007</v>
      </c>
      <c r="J16" s="87">
        <f t="shared" si="6"/>
        <v>7232.1950000000015</v>
      </c>
      <c r="K16" s="87">
        <f>K10-K14-K15</f>
        <v>8207.5150000000031</v>
      </c>
      <c r="L16" s="87">
        <f t="shared" si="6"/>
        <v>9460.0999999999967</v>
      </c>
    </row>
    <row r="17" spans="1:15" s="35" customFormat="1" x14ac:dyDescent="0.35">
      <c r="A17" s="146"/>
      <c r="B17" s="146"/>
      <c r="C17" s="120" t="s">
        <v>374</v>
      </c>
      <c r="D17" s="34"/>
      <c r="E17" s="123"/>
      <c r="F17" s="101">
        <f>(F16/E16)-1</f>
        <v>0.74020299656826127</v>
      </c>
      <c r="G17" s="101">
        <f t="shared" ref="G17:L17" si="7">(G16/F16)-1</f>
        <v>0.74277845080789962</v>
      </c>
      <c r="H17" s="101">
        <f t="shared" si="7"/>
        <v>0.57664551526678087</v>
      </c>
      <c r="I17" s="101">
        <f t="shared" si="7"/>
        <v>0.40247249938794361</v>
      </c>
      <c r="J17" s="101">
        <f t="shared" si="7"/>
        <v>0.35170072896794879</v>
      </c>
      <c r="K17" s="101">
        <f t="shared" si="7"/>
        <v>0.13485808941821964</v>
      </c>
      <c r="L17" s="101">
        <f t="shared" si="7"/>
        <v>0.1526144027759917</v>
      </c>
    </row>
    <row r="18" spans="1:15" s="35" customFormat="1" x14ac:dyDescent="0.35">
      <c r="A18" s="146"/>
      <c r="B18" s="146"/>
      <c r="C18" s="120" t="s">
        <v>375</v>
      </c>
      <c r="D18" s="34"/>
      <c r="E18" s="101">
        <f>E16/E5</f>
        <v>0.18661920602760715</v>
      </c>
      <c r="F18" s="101">
        <f>F16/F5</f>
        <v>0.15605819234866231</v>
      </c>
      <c r="G18" s="101">
        <f t="shared" ref="G18:L18" si="8">G16/G5</f>
        <v>0.17881470075763345</v>
      </c>
      <c r="H18" s="101">
        <f t="shared" si="8"/>
        <v>0.24658271793321215</v>
      </c>
      <c r="I18" s="101">
        <f t="shared" si="8"/>
        <v>0.27411426507800063</v>
      </c>
      <c r="J18" s="101">
        <f t="shared" si="8"/>
        <v>0.26010605437702777</v>
      </c>
      <c r="K18" s="101">
        <f t="shared" si="8"/>
        <v>0.25722947484916187</v>
      </c>
      <c r="L18" s="101">
        <f t="shared" si="8"/>
        <v>0.23647508071439108</v>
      </c>
    </row>
    <row r="19" spans="1:15" x14ac:dyDescent="0.35">
      <c r="A19" s="146"/>
      <c r="B19" s="146"/>
    </row>
    <row r="20" spans="1:15" x14ac:dyDescent="0.35">
      <c r="A20" s="146"/>
      <c r="B20" s="146"/>
      <c r="C20" s="2" t="s">
        <v>115</v>
      </c>
      <c r="D20" s="2"/>
      <c r="E20" s="88">
        <f>'Income Statement'!D14</f>
        <v>419.83300000000003</v>
      </c>
      <c r="F20" s="88">
        <f>'Income Statement'!E14</f>
        <v>550.05999999999995</v>
      </c>
      <c r="G20" s="88">
        <f>'Income Statement'!F14</f>
        <v>874.44200000000001</v>
      </c>
      <c r="H20" s="88">
        <f>'Income Statement'!G14</f>
        <v>1570.6220000000001</v>
      </c>
      <c r="I20" s="88">
        <f>'Income Statement'!H14</f>
        <v>1808.72</v>
      </c>
      <c r="J20" s="88">
        <f>'Income Statement'!I14</f>
        <v>1648.5609999999999</v>
      </c>
      <c r="K20" s="88">
        <f>'Income Statement'!J14</f>
        <v>1640.43</v>
      </c>
      <c r="L20" s="88">
        <f>'Income Statement'!K14</f>
        <v>733.87199999999996</v>
      </c>
    </row>
    <row r="21" spans="1:15" x14ac:dyDescent="0.35">
      <c r="A21" s="146"/>
      <c r="B21" s="146"/>
      <c r="C21" s="80" t="s">
        <v>96</v>
      </c>
      <c r="D21" s="80"/>
      <c r="E21" s="87">
        <f>E16-E20</f>
        <v>378.01299999999975</v>
      </c>
      <c r="F21" s="87">
        <f t="shared" ref="F21:L21" si="9">F16-F20</f>
        <v>838.35400000000072</v>
      </c>
      <c r="G21" s="87">
        <f t="shared" si="9"/>
        <v>1545.2560000000003</v>
      </c>
      <c r="H21" s="87">
        <f t="shared" si="9"/>
        <v>2244.3839999999991</v>
      </c>
      <c r="I21" s="87">
        <f t="shared" si="9"/>
        <v>3541.7210000000005</v>
      </c>
      <c r="J21" s="87">
        <f t="shared" si="9"/>
        <v>5583.6340000000018</v>
      </c>
      <c r="K21" s="87">
        <f>K16-K20</f>
        <v>6567.0850000000028</v>
      </c>
      <c r="L21" s="87">
        <f t="shared" si="9"/>
        <v>8726.2279999999973</v>
      </c>
    </row>
    <row r="22" spans="1:15" s="35" customFormat="1" x14ac:dyDescent="0.35">
      <c r="A22" s="146"/>
      <c r="B22" s="146"/>
      <c r="C22" s="120" t="s">
        <v>374</v>
      </c>
      <c r="D22" s="124"/>
      <c r="E22" s="125"/>
      <c r="F22" s="101">
        <f>(F21/E21)-1</f>
        <v>1.2177914516167467</v>
      </c>
      <c r="G22" s="101">
        <f t="shared" ref="G22:L22" si="10">(G21/F21)-1</f>
        <v>0.84320227493397648</v>
      </c>
      <c r="H22" s="101">
        <f t="shared" si="10"/>
        <v>0.45243506577550807</v>
      </c>
      <c r="I22" s="101">
        <f t="shared" si="10"/>
        <v>0.57803700258066448</v>
      </c>
      <c r="J22" s="101">
        <f t="shared" si="10"/>
        <v>0.57653129650811041</v>
      </c>
      <c r="K22" s="101">
        <f t="shared" si="10"/>
        <v>0.17613099282653555</v>
      </c>
      <c r="L22" s="101">
        <f t="shared" si="10"/>
        <v>0.32878255725333139</v>
      </c>
    </row>
    <row r="23" spans="1:15" s="35" customFormat="1" x14ac:dyDescent="0.35">
      <c r="A23" s="146"/>
      <c r="B23" s="146"/>
      <c r="C23" s="120" t="s">
        <v>375</v>
      </c>
      <c r="D23" s="124"/>
      <c r="E23" s="125"/>
      <c r="F23" s="101">
        <f>F21/F$5</f>
        <v>9.4231266602231384E-2</v>
      </c>
      <c r="G23" s="101">
        <f>G21/G$5</f>
        <v>0.11419379163595525</v>
      </c>
      <c r="H23" s="101">
        <f t="shared" ref="H23:L23" si="11">H21/H$5</f>
        <v>0.14506564519316989</v>
      </c>
      <c r="I23" s="101">
        <f t="shared" si="11"/>
        <v>0.18144976255720258</v>
      </c>
      <c r="J23" s="101">
        <f t="shared" si="11"/>
        <v>0.20081552126642344</v>
      </c>
      <c r="K23" s="101">
        <f t="shared" si="11"/>
        <v>0.20581720847781676</v>
      </c>
      <c r="L23" s="101">
        <f t="shared" si="11"/>
        <v>0.21813040777921794</v>
      </c>
    </row>
    <row r="24" spans="1:15" x14ac:dyDescent="0.35">
      <c r="A24" s="146"/>
      <c r="B24" s="146"/>
    </row>
    <row r="25" spans="1:15" x14ac:dyDescent="0.35">
      <c r="A25" s="146"/>
      <c r="B25" s="146"/>
      <c r="C25" s="35" t="s">
        <v>108</v>
      </c>
      <c r="E25" s="4">
        <f>'Income Statement'!D19</f>
        <v>0</v>
      </c>
      <c r="F25" s="4">
        <f>'Income Statement'!E19</f>
        <v>153.304</v>
      </c>
      <c r="G25" s="4">
        <f>'Income Statement'!F19</f>
        <v>482.58600000000001</v>
      </c>
      <c r="H25" s="4">
        <f>'Income Statement'!G19</f>
        <v>764.83500000000004</v>
      </c>
      <c r="I25" s="4">
        <f>'Income Statement'!H19</f>
        <v>693.37800000000004</v>
      </c>
      <c r="J25" s="4">
        <f>'Income Statement'!I19</f>
        <v>646.34500000000003</v>
      </c>
      <c r="K25" s="4">
        <f>'Income Statement'!J19</f>
        <v>518.5</v>
      </c>
      <c r="L25" s="4">
        <f>'Income Statement'!K19</f>
        <v>467.18900000000002</v>
      </c>
    </row>
    <row r="26" spans="1:15" x14ac:dyDescent="0.35">
      <c r="A26" s="146"/>
      <c r="B26" s="146"/>
      <c r="C26" s="35" t="s">
        <v>111</v>
      </c>
      <c r="E26" s="4">
        <f>'Income Statement'!D$23</f>
        <v>-2.081</v>
      </c>
      <c r="F26" s="4">
        <f>'Income Statement'!E$23</f>
        <v>0.247</v>
      </c>
      <c r="G26" s="4">
        <f>'Income Statement'!F$23</f>
        <v>4.4729999999999999</v>
      </c>
      <c r="H26" s="4">
        <f>'Income Statement'!G$23</f>
        <v>-20.454999999999998</v>
      </c>
      <c r="I26" s="4">
        <f>'Income Statement'!H$23</f>
        <v>-33.491999999999997</v>
      </c>
      <c r="J26" s="4">
        <f>'Income Statement'!I$23</f>
        <v>-19.757999999999999</v>
      </c>
      <c r="K26" s="4">
        <f>'Income Statement'!J$23</f>
        <v>-12.568999999999999</v>
      </c>
      <c r="L26" s="4">
        <f>'Income Statement'!K$23</f>
        <v>0</v>
      </c>
      <c r="M26" s="29"/>
    </row>
    <row r="27" spans="1:15" x14ac:dyDescent="0.35">
      <c r="A27" s="146"/>
      <c r="B27" s="146"/>
      <c r="C27" s="2" t="s">
        <v>112</v>
      </c>
      <c r="D27" s="2"/>
      <c r="E27" s="88">
        <f>'Income Statement'!D$25</f>
        <v>64.116</v>
      </c>
      <c r="F27" s="88">
        <f>'Income Statement'!E$25</f>
        <v>16.818000000000001</v>
      </c>
      <c r="G27" s="88">
        <f>'Income Statement'!F$25</f>
        <v>59.210999999999999</v>
      </c>
      <c r="H27" s="88">
        <f>'Income Statement'!G$25</f>
        <v>67.135999999999996</v>
      </c>
      <c r="I27" s="88">
        <f>'Income Statement'!H$25</f>
        <v>57.481999999999999</v>
      </c>
      <c r="J27" s="88">
        <f>'Income Statement'!I$25</f>
        <v>72.236000000000004</v>
      </c>
      <c r="K27" s="88">
        <f>'Income Statement'!J$25</f>
        <v>15.787000000000001</v>
      </c>
      <c r="L27" s="88">
        <f>'Income Statement'!K$25</f>
        <v>44.167000000000002</v>
      </c>
    </row>
    <row r="28" spans="1:15" x14ac:dyDescent="0.35">
      <c r="A28" s="146"/>
      <c r="B28" s="146"/>
      <c r="C28" s="81" t="s">
        <v>109</v>
      </c>
      <c r="E28" s="87">
        <f>E21-E25-E26-E27</f>
        <v>315.97799999999978</v>
      </c>
      <c r="F28" s="87">
        <f t="shared" ref="F28:L28" si="12">F21-F25-F26-F27</f>
        <v>667.98500000000081</v>
      </c>
      <c r="G28" s="87">
        <f t="shared" si="12"/>
        <v>998.98600000000033</v>
      </c>
      <c r="H28" s="87">
        <f t="shared" si="12"/>
        <v>1432.867999999999</v>
      </c>
      <c r="I28" s="87">
        <f t="shared" si="12"/>
        <v>2824.3530000000005</v>
      </c>
      <c r="J28" s="87">
        <f t="shared" si="12"/>
        <v>4884.8110000000015</v>
      </c>
      <c r="K28" s="87">
        <f t="shared" si="12"/>
        <v>6045.3670000000029</v>
      </c>
      <c r="L28" s="87">
        <f t="shared" si="12"/>
        <v>8214.8719999999976</v>
      </c>
    </row>
    <row r="29" spans="1:15" x14ac:dyDescent="0.35">
      <c r="A29" s="146"/>
      <c r="B29" s="146"/>
      <c r="C29" s="120" t="s">
        <v>374</v>
      </c>
      <c r="D29" s="34"/>
      <c r="E29" s="34"/>
      <c r="F29" s="101">
        <f>(F28/E28)-1</f>
        <v>1.1140237611479322</v>
      </c>
      <c r="G29" s="101">
        <f t="shared" ref="G29:L29" si="13">(G28/F28)-1</f>
        <v>0.49552160602408613</v>
      </c>
      <c r="H29" s="101">
        <f t="shared" si="13"/>
        <v>0.43432240291655599</v>
      </c>
      <c r="I29" s="101">
        <f t="shared" si="13"/>
        <v>0.97111876320777801</v>
      </c>
      <c r="J29" s="101">
        <f t="shared" si="13"/>
        <v>0.72953274608379348</v>
      </c>
      <c r="K29" s="101">
        <f t="shared" si="13"/>
        <v>0.23758462712272821</v>
      </c>
      <c r="L29" s="101">
        <f t="shared" si="13"/>
        <v>0.35887068560105506</v>
      </c>
    </row>
    <row r="30" spans="1:15" x14ac:dyDescent="0.35">
      <c r="A30" s="146"/>
      <c r="B30" s="146"/>
      <c r="C30" s="120" t="s">
        <v>375</v>
      </c>
      <c r="D30" s="34"/>
      <c r="E30" s="34"/>
      <c r="F30" s="101">
        <f>F28/F$5</f>
        <v>7.5081734710267439E-2</v>
      </c>
      <c r="G30" s="101">
        <f t="shared" ref="G30:L30" si="14">G28/G$5</f>
        <v>7.3824660205970019E-2</v>
      </c>
      <c r="H30" s="101">
        <f t="shared" si="14"/>
        <v>9.261334998674331E-2</v>
      </c>
      <c r="I30" s="101">
        <f t="shared" si="14"/>
        <v>0.14469750192850392</v>
      </c>
      <c r="J30" s="101">
        <f t="shared" si="14"/>
        <v>0.1756823364950065</v>
      </c>
      <c r="K30" s="101">
        <f t="shared" si="14"/>
        <v>0.18946618783888342</v>
      </c>
      <c r="L30" s="101">
        <f t="shared" si="14"/>
        <v>0.20534798990057096</v>
      </c>
      <c r="O30" s="29"/>
    </row>
    <row r="31" spans="1:15" x14ac:dyDescent="0.35">
      <c r="A31" s="146"/>
      <c r="B31" s="146"/>
    </row>
    <row r="32" spans="1:15" x14ac:dyDescent="0.35">
      <c r="A32" s="146"/>
      <c r="B32" s="146"/>
      <c r="C32" t="s">
        <v>110</v>
      </c>
      <c r="E32" s="4">
        <f>'Income Statement'!D34</f>
        <v>80.441999999999993</v>
      </c>
      <c r="F32" s="4">
        <f>'Income Statement'!E34</f>
        <v>186.70099999999999</v>
      </c>
      <c r="G32" s="4">
        <f>'Income Statement'!F34</f>
        <v>320.45600000000002</v>
      </c>
      <c r="H32" s="4">
        <f>'Income Statement'!G34</f>
        <v>393.642</v>
      </c>
      <c r="I32" s="4">
        <f>'Income Statement'!H34</f>
        <v>1070.123</v>
      </c>
      <c r="J32" s="4">
        <f>'Income Statement'!I34</f>
        <v>1674.847</v>
      </c>
      <c r="K32" s="4">
        <f>'Income Statement'!J34</f>
        <v>2111.75</v>
      </c>
      <c r="L32" s="4">
        <f>'Income Statement'!K34</f>
        <v>2970.1880000000001</v>
      </c>
    </row>
    <row r="33" spans="1:14" x14ac:dyDescent="0.35">
      <c r="A33" s="146"/>
      <c r="B33" s="146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4" x14ac:dyDescent="0.35">
      <c r="A34" s="146"/>
      <c r="B34" s="146"/>
      <c r="C34" s="81" t="s">
        <v>113</v>
      </c>
      <c r="E34" s="4">
        <f>E28-E32</f>
        <v>235.53599999999977</v>
      </c>
      <c r="F34" s="4">
        <f t="shared" ref="F34:L34" si="15">F28-F32</f>
        <v>481.28400000000079</v>
      </c>
      <c r="G34" s="4">
        <f t="shared" si="15"/>
        <v>678.53000000000031</v>
      </c>
      <c r="H34" s="4">
        <f t="shared" si="15"/>
        <v>1039.225999999999</v>
      </c>
      <c r="I34" s="4">
        <f t="shared" si="15"/>
        <v>1754.2300000000005</v>
      </c>
      <c r="J34" s="4">
        <f t="shared" si="15"/>
        <v>3209.9640000000018</v>
      </c>
      <c r="K34" s="4">
        <f t="shared" si="15"/>
        <v>3933.6170000000029</v>
      </c>
      <c r="L34" s="4">
        <f t="shared" si="15"/>
        <v>5244.6839999999975</v>
      </c>
      <c r="N34" s="29"/>
    </row>
    <row r="35" spans="1:14" x14ac:dyDescent="0.35">
      <c r="A35" s="146"/>
      <c r="B35" s="146"/>
      <c r="C35" s="120" t="s">
        <v>374</v>
      </c>
      <c r="D35" s="34"/>
      <c r="E35" s="34"/>
      <c r="F35" s="101">
        <f>(F34/E34)-1</f>
        <v>1.0433564295903865</v>
      </c>
      <c r="G35" s="101">
        <f t="shared" ref="G35:L35" si="16">(G34/F34)-1</f>
        <v>0.40983286375611749</v>
      </c>
      <c r="H35" s="101">
        <f t="shared" si="16"/>
        <v>0.53158445462985937</v>
      </c>
      <c r="I35" s="101">
        <f t="shared" si="16"/>
        <v>0.68801588874797415</v>
      </c>
      <c r="J35" s="101">
        <f t="shared" si="16"/>
        <v>0.82984215296739938</v>
      </c>
      <c r="K35" s="101">
        <f t="shared" si="16"/>
        <v>0.22543959994566931</v>
      </c>
      <c r="L35" s="101">
        <f t="shared" si="16"/>
        <v>0.33329808163834795</v>
      </c>
    </row>
    <row r="36" spans="1:14" x14ac:dyDescent="0.35">
      <c r="A36" s="146"/>
      <c r="B36" s="146"/>
      <c r="C36" s="120" t="s">
        <v>375</v>
      </c>
      <c r="D36" s="34"/>
      <c r="E36" s="34"/>
      <c r="F36" s="101">
        <f>F34/F$5</f>
        <v>5.4096480622014519E-2</v>
      </c>
      <c r="G36" s="101">
        <f t="shared" ref="G36:L36" si="17">G34/G$5</f>
        <v>5.0143091784626455E-2</v>
      </c>
      <c r="H36" s="101">
        <f t="shared" si="17"/>
        <v>6.7170319424624786E-2</v>
      </c>
      <c r="I36" s="101">
        <f t="shared" si="17"/>
        <v>8.9872866036235358E-2</v>
      </c>
      <c r="J36" s="101">
        <f t="shared" si="17"/>
        <v>0.1154464268085003</v>
      </c>
      <c r="K36" s="101">
        <f t="shared" si="17"/>
        <v>0.12328241071356384</v>
      </c>
      <c r="L36" s="101">
        <f t="shared" si="17"/>
        <v>0.13110189873484163</v>
      </c>
    </row>
    <row r="39" spans="1:14" ht="15" thickBot="1" x14ac:dyDescent="0.4">
      <c r="A39" s="146" t="s">
        <v>436</v>
      </c>
      <c r="B39" s="146"/>
      <c r="C39" s="35"/>
      <c r="D39" s="35"/>
      <c r="E39" s="1" t="s">
        <v>13</v>
      </c>
      <c r="F39" s="1" t="s">
        <v>0</v>
      </c>
      <c r="G39" s="1" t="s">
        <v>1</v>
      </c>
      <c r="H39" s="1" t="s">
        <v>2</v>
      </c>
      <c r="I39" s="1" t="s">
        <v>3</v>
      </c>
      <c r="J39" s="1" t="s">
        <v>4</v>
      </c>
      <c r="K39" s="1" t="s">
        <v>5</v>
      </c>
      <c r="L39" s="1" t="s">
        <v>6</v>
      </c>
    </row>
    <row r="40" spans="1:14" x14ac:dyDescent="0.35">
      <c r="A40" s="146"/>
      <c r="B40" s="146"/>
      <c r="C40" t="s">
        <v>35</v>
      </c>
      <c r="E40" s="32">
        <f>E5</f>
        <v>4275.2619999999997</v>
      </c>
      <c r="F40" s="32">
        <f t="shared" ref="F40:L40" si="18">F5</f>
        <v>8896.7710000000006</v>
      </c>
      <c r="G40" s="32">
        <f t="shared" si="18"/>
        <v>13531.874</v>
      </c>
      <c r="H40" s="32">
        <f t="shared" si="18"/>
        <v>15471.505999999999</v>
      </c>
      <c r="I40" s="32">
        <f t="shared" si="18"/>
        <v>19519.017</v>
      </c>
      <c r="J40" s="32">
        <f t="shared" si="18"/>
        <v>27804.793000000001</v>
      </c>
      <c r="K40" s="32">
        <f t="shared" si="18"/>
        <v>31907.366000000002</v>
      </c>
      <c r="L40" s="32">
        <f t="shared" si="18"/>
        <v>40004.637999999999</v>
      </c>
    </row>
    <row r="41" spans="1:14" x14ac:dyDescent="0.35">
      <c r="A41" s="146"/>
      <c r="B41" s="146"/>
      <c r="C41" s="34" t="s">
        <v>384</v>
      </c>
      <c r="F41" s="28">
        <f>(F40/E40)-1</f>
        <v>1.0809884867874766</v>
      </c>
      <c r="G41" s="28">
        <f t="shared" ref="G41:L41" si="19">(G40/F40)-1</f>
        <v>0.52098710869370457</v>
      </c>
      <c r="H41" s="28">
        <f t="shared" si="19"/>
        <v>0.14333801807495394</v>
      </c>
      <c r="I41" s="28">
        <f t="shared" si="19"/>
        <v>0.26161066673147393</v>
      </c>
      <c r="J41" s="28">
        <f t="shared" si="19"/>
        <v>0.42449760661615299</v>
      </c>
      <c r="K41" s="28">
        <f t="shared" si="19"/>
        <v>0.14754912938931075</v>
      </c>
      <c r="L41" s="28">
        <f t="shared" si="19"/>
        <v>0.25377437924521873</v>
      </c>
    </row>
    <row r="42" spans="1:14" x14ac:dyDescent="0.35">
      <c r="A42" s="146"/>
      <c r="B42" s="146"/>
      <c r="C42" s="35" t="s">
        <v>96</v>
      </c>
      <c r="E42" s="29">
        <f>E21</f>
        <v>378.01299999999975</v>
      </c>
      <c r="F42" s="29">
        <f t="shared" ref="F42:L42" si="20">F21</f>
        <v>838.35400000000072</v>
      </c>
      <c r="G42" s="29">
        <f t="shared" si="20"/>
        <v>1545.2560000000003</v>
      </c>
      <c r="H42" s="29">
        <f t="shared" si="20"/>
        <v>2244.3839999999991</v>
      </c>
      <c r="I42" s="29">
        <f t="shared" si="20"/>
        <v>3541.7210000000005</v>
      </c>
      <c r="J42" s="29">
        <f t="shared" si="20"/>
        <v>5583.6340000000018</v>
      </c>
      <c r="K42" s="29">
        <f t="shared" si="20"/>
        <v>6567.0850000000028</v>
      </c>
      <c r="L42" s="29">
        <f t="shared" si="20"/>
        <v>8726.2279999999973</v>
      </c>
    </row>
    <row r="43" spans="1:14" x14ac:dyDescent="0.35">
      <c r="A43" s="146"/>
      <c r="B43" s="146"/>
      <c r="C43" s="34" t="s">
        <v>385</v>
      </c>
      <c r="E43" s="28">
        <f>E42/E40</f>
        <v>8.8418674691749827E-2</v>
      </c>
      <c r="F43" s="28">
        <f t="shared" ref="F43:L43" si="21">F42/F40</f>
        <v>9.4231266602231384E-2</v>
      </c>
      <c r="G43" s="28">
        <f t="shared" si="21"/>
        <v>0.11419379163595525</v>
      </c>
      <c r="H43" s="28">
        <f t="shared" si="21"/>
        <v>0.14506564519316989</v>
      </c>
      <c r="I43" s="28">
        <f t="shared" si="21"/>
        <v>0.18144976255720258</v>
      </c>
      <c r="J43" s="28">
        <f t="shared" si="21"/>
        <v>0.20081552126642344</v>
      </c>
      <c r="K43" s="28">
        <f t="shared" si="21"/>
        <v>0.20581720847781676</v>
      </c>
      <c r="L43" s="28">
        <f t="shared" si="21"/>
        <v>0.21813040777921794</v>
      </c>
    </row>
    <row r="44" spans="1:14" x14ac:dyDescent="0.35">
      <c r="A44" s="146"/>
      <c r="B44" s="146"/>
      <c r="C44" s="35" t="s">
        <v>114</v>
      </c>
      <c r="E44" s="4">
        <f>E42*(1-0.3)+'Income Statement'!D36+'Income Statement'!D37</f>
        <v>297.55909999999977</v>
      </c>
      <c r="F44" s="4">
        <f>F42*(1-0.3)+'Income Statement'!E36+'Income Statement'!E37</f>
        <v>640.42480000000046</v>
      </c>
      <c r="G44" s="4">
        <f>G42*(1-0.3)+'Income Statement'!F36+'Income Statement'!F37</f>
        <v>1198.6492000000001</v>
      </c>
      <c r="H44" s="4">
        <f>H42*(1-0.3)+'Income Statement'!G36+'Income Statement'!G37</f>
        <v>1530.6827999999994</v>
      </c>
      <c r="I44" s="4">
        <f>I42*(1-0.3)+'Income Statement'!H36+'Income Statement'!H37</f>
        <v>2311.6477000000004</v>
      </c>
      <c r="J44" s="4">
        <f>J42*(1-0.3)+'Income Statement'!I36+'Income Statement'!I37</f>
        <v>3757.2238000000011</v>
      </c>
      <c r="K44" s="4">
        <f>K42*(1-0.3)+'Income Statement'!J36+'Income Statement'!J37</f>
        <v>4301.2185000000018</v>
      </c>
      <c r="L44" s="4">
        <f>L42*(1-0.3)+'Income Statement'!K36+'Income Statement'!K37</f>
        <v>5979.288599999998</v>
      </c>
    </row>
    <row r="45" spans="1:14" x14ac:dyDescent="0.35">
      <c r="A45" s="146"/>
      <c r="B45" s="146"/>
      <c r="C45" s="35" t="s">
        <v>115</v>
      </c>
      <c r="E45" s="4">
        <f>E20</f>
        <v>419.83300000000003</v>
      </c>
      <c r="F45" s="4">
        <f t="shared" ref="F45:L45" si="22">F20</f>
        <v>550.05999999999995</v>
      </c>
      <c r="G45" s="4">
        <f t="shared" si="22"/>
        <v>874.44200000000001</v>
      </c>
      <c r="H45" s="4">
        <f t="shared" si="22"/>
        <v>1570.6220000000001</v>
      </c>
      <c r="I45" s="4">
        <f t="shared" si="22"/>
        <v>1808.72</v>
      </c>
      <c r="J45" s="4">
        <f t="shared" si="22"/>
        <v>1648.5609999999999</v>
      </c>
      <c r="K45" s="4">
        <f t="shared" si="22"/>
        <v>1640.43</v>
      </c>
      <c r="L45" s="4">
        <f t="shared" si="22"/>
        <v>733.87199999999996</v>
      </c>
    </row>
    <row r="46" spans="1:14" x14ac:dyDescent="0.35">
      <c r="A46" s="146"/>
      <c r="B46" s="146"/>
      <c r="C46" s="35" t="s">
        <v>116</v>
      </c>
      <c r="E46" s="4">
        <f>-'Cash flow'!D25</f>
        <v>641.22699999999998</v>
      </c>
      <c r="F46" s="4">
        <f>-'Cash flow'!E25</f>
        <v>604.64300000000003</v>
      </c>
      <c r="G46" s="4">
        <f>-'Cash flow'!F25</f>
        <v>3744.9029999999998</v>
      </c>
      <c r="H46" s="4">
        <f>-'Cash flow'!G25</f>
        <v>930.28800000000001</v>
      </c>
      <c r="I46" s="4">
        <f>-'Cash flow'!H25</f>
        <v>2283.8879999999999</v>
      </c>
      <c r="J46" s="4">
        <f>-'Cash flow'!I25</f>
        <v>43.610999999999997</v>
      </c>
      <c r="K46" s="4">
        <f>-'Cash flow'!J25</f>
        <v>133.55500000000001</v>
      </c>
      <c r="L46" s="4">
        <f>-'Cash flow'!K25</f>
        <v>111.56699999999999</v>
      </c>
    </row>
    <row r="47" spans="1:14" x14ac:dyDescent="0.35">
      <c r="A47" s="146"/>
      <c r="B47" s="146"/>
      <c r="C47" s="35" t="s">
        <v>207</v>
      </c>
      <c r="D47" s="4">
        <f>'Balance Sheet'!D10+'Balance Sheet'!D13+'Balance Sheet'!D19+'Balance Sheet'!D22-'Balance Sheet'!D45-'Balance Sheet'!D56</f>
        <v>550.39599999999996</v>
      </c>
      <c r="E47" s="4">
        <f>'Balance Sheet'!E10+'Balance Sheet'!E13+'Balance Sheet'!E19+'Balance Sheet'!E22-'Balance Sheet'!E45-'Balance Sheet'!E56</f>
        <v>1156.9220000000005</v>
      </c>
      <c r="F47" s="4">
        <f>'Balance Sheet'!F10+'Balance Sheet'!F13+'Balance Sheet'!F19+'Balance Sheet'!F21+'Balance Sheet'!F22-'Balance Sheet'!F44-'Balance Sheet'!F45-'Balance Sheet'!F47-'Balance Sheet'!F56</f>
        <v>2603.0279999999998</v>
      </c>
      <c r="G47" s="4">
        <f>'Balance Sheet'!G10+'Balance Sheet'!G13+'Balance Sheet'!G19+'Balance Sheet'!G21+'Balance Sheet'!G22-'Balance Sheet'!G44-'Balance Sheet'!G45-'Balance Sheet'!G47-'Balance Sheet'!G56</f>
        <v>2872.2289999999994</v>
      </c>
      <c r="H47" s="4">
        <f>'Balance Sheet'!H10+'Balance Sheet'!H13+'Balance Sheet'!H19+'Balance Sheet'!H21+'Balance Sheet'!H22-'Balance Sheet'!H44-'Balance Sheet'!H45-'Balance Sheet'!H47-'Balance Sheet'!H56</f>
        <v>5651.831000000001</v>
      </c>
      <c r="I47" s="4">
        <f>'Balance Sheet'!I10+'Balance Sheet'!I13+'Balance Sheet'!I19+'Balance Sheet'!I21+'Balance Sheet'!I22-'Balance Sheet'!I44-'Balance Sheet'!I45-'Balance Sheet'!I47-'Balance Sheet'!I56</f>
        <v>7026.1219999999994</v>
      </c>
      <c r="J47" s="4">
        <f>'Balance Sheet'!J10+'Balance Sheet'!J13+'Balance Sheet'!J19+'Balance Sheet'!J21+'Balance Sheet'!J22-'Balance Sheet'!J44-'Balance Sheet'!J45-'Balance Sheet'!J47-'Balance Sheet'!J56</f>
        <v>12966.504000000001</v>
      </c>
      <c r="K47" s="4">
        <f>'Balance Sheet'!K10+'Balance Sheet'!K13+'Balance Sheet'!K19+'Balance Sheet'!K21+'Balance Sheet'!K22-'Balance Sheet'!K44-'Balance Sheet'!K45-'Balance Sheet'!K47-'Balance Sheet'!K56</f>
        <v>15909.832999999999</v>
      </c>
      <c r="L47" s="4">
        <f>'Balance Sheet'!L10+'Balance Sheet'!L13+'Balance Sheet'!L19+'Balance Sheet'!L21+'Balance Sheet'!L22-'Balance Sheet'!L44-'Balance Sheet'!L45-'Balance Sheet'!L47-'Balance Sheet'!L56</f>
        <v>15817.570999999998</v>
      </c>
    </row>
    <row r="48" spans="1:14" x14ac:dyDescent="0.35">
      <c r="A48" s="146"/>
      <c r="B48" s="146"/>
      <c r="C48" s="35" t="s">
        <v>208</v>
      </c>
      <c r="E48" s="29">
        <f>E44+E45-E46-(E47-D47)</f>
        <v>-530.3609000000007</v>
      </c>
      <c r="F48" s="29">
        <f>F44+F45-F46-(F47-E47)</f>
        <v>-860.26419999999894</v>
      </c>
      <c r="G48" s="29">
        <f t="shared" ref="G48:K48" si="23">G44+G45-G46-(G47-F47)</f>
        <v>-1941.0127999999995</v>
      </c>
      <c r="H48" s="29">
        <f t="shared" si="23"/>
        <v>-608.58520000000226</v>
      </c>
      <c r="I48" s="29">
        <f t="shared" si="23"/>
        <v>462.18870000000243</v>
      </c>
      <c r="J48" s="29">
        <f t="shared" si="23"/>
        <v>-578.20820000000003</v>
      </c>
      <c r="K48" s="29">
        <f t="shared" si="23"/>
        <v>2864.7645000000039</v>
      </c>
      <c r="L48" s="29">
        <f>L44+L45-L46-(L47-K47)</f>
        <v>6693.855599999999</v>
      </c>
    </row>
    <row r="51" spans="1:13" ht="15" thickBot="1" x14ac:dyDescent="0.4">
      <c r="A51" s="146" t="s">
        <v>437</v>
      </c>
      <c r="B51" s="146"/>
      <c r="C51" s="35"/>
      <c r="E51" s="1" t="s">
        <v>13</v>
      </c>
      <c r="F51" s="1" t="s">
        <v>0</v>
      </c>
      <c r="G51" s="1" t="s">
        <v>1</v>
      </c>
      <c r="H51" s="1" t="s">
        <v>2</v>
      </c>
      <c r="I51" s="1" t="s">
        <v>3</v>
      </c>
      <c r="J51" s="1" t="s">
        <v>4</v>
      </c>
      <c r="K51" s="1" t="s">
        <v>5</v>
      </c>
      <c r="L51" s="1" t="s">
        <v>6</v>
      </c>
    </row>
    <row r="52" spans="1:13" x14ac:dyDescent="0.35">
      <c r="A52" s="146"/>
      <c r="B52" s="146"/>
      <c r="C52" s="35" t="s">
        <v>35</v>
      </c>
      <c r="E52" s="4">
        <f>E5</f>
        <v>4275.2619999999997</v>
      </c>
      <c r="F52" s="4">
        <f t="shared" ref="F52:L52" si="24">F5</f>
        <v>8896.7710000000006</v>
      </c>
      <c r="G52" s="4">
        <f t="shared" si="24"/>
        <v>13531.874</v>
      </c>
      <c r="H52" s="4">
        <f t="shared" si="24"/>
        <v>15471.505999999999</v>
      </c>
      <c r="I52" s="4">
        <f t="shared" si="24"/>
        <v>19519.017</v>
      </c>
      <c r="J52" s="4">
        <f t="shared" si="24"/>
        <v>27804.793000000001</v>
      </c>
      <c r="K52" s="4">
        <f t="shared" si="24"/>
        <v>31907.366000000002</v>
      </c>
      <c r="L52" s="4">
        <f t="shared" si="24"/>
        <v>40004.637999999999</v>
      </c>
    </row>
    <row r="53" spans="1:13" x14ac:dyDescent="0.35">
      <c r="A53" s="146"/>
      <c r="B53" s="146"/>
      <c r="C53" s="35" t="s">
        <v>93</v>
      </c>
      <c r="E53" s="4">
        <f>E16</f>
        <v>797.84599999999978</v>
      </c>
      <c r="F53" s="4">
        <f t="shared" ref="F53:L53" si="25">F16</f>
        <v>1388.4140000000007</v>
      </c>
      <c r="G53" s="4">
        <f t="shared" si="25"/>
        <v>2419.6980000000003</v>
      </c>
      <c r="H53" s="4">
        <f t="shared" si="25"/>
        <v>3815.0059999999994</v>
      </c>
      <c r="I53" s="4">
        <f t="shared" si="25"/>
        <v>5350.4410000000007</v>
      </c>
      <c r="J53" s="4">
        <f t="shared" si="25"/>
        <v>7232.1950000000015</v>
      </c>
      <c r="K53" s="4">
        <f t="shared" si="25"/>
        <v>8207.5150000000031</v>
      </c>
      <c r="L53" s="4">
        <f t="shared" si="25"/>
        <v>9460.0999999999967</v>
      </c>
    </row>
    <row r="54" spans="1:13" x14ac:dyDescent="0.35">
      <c r="A54" s="146"/>
      <c r="B54" s="146"/>
      <c r="C54" s="35" t="s">
        <v>96</v>
      </c>
      <c r="E54" s="4">
        <f>E21</f>
        <v>378.01299999999975</v>
      </c>
      <c r="F54" s="4">
        <f t="shared" ref="F54:L54" si="26">F21</f>
        <v>838.35400000000072</v>
      </c>
      <c r="G54" s="4">
        <f t="shared" si="26"/>
        <v>1545.2560000000003</v>
      </c>
      <c r="H54" s="4">
        <f t="shared" si="26"/>
        <v>2244.3839999999991</v>
      </c>
      <c r="I54" s="4">
        <f t="shared" si="26"/>
        <v>3541.7210000000005</v>
      </c>
      <c r="J54" s="4">
        <f t="shared" si="26"/>
        <v>5583.6340000000018</v>
      </c>
      <c r="K54" s="4">
        <f t="shared" si="26"/>
        <v>6567.0850000000028</v>
      </c>
      <c r="L54" s="4">
        <f t="shared" si="26"/>
        <v>8726.2279999999973</v>
      </c>
    </row>
    <row r="55" spans="1:13" x14ac:dyDescent="0.35">
      <c r="A55" s="146"/>
      <c r="B55" s="146"/>
      <c r="C55" s="35" t="s">
        <v>114</v>
      </c>
      <c r="E55" s="4">
        <f>E44</f>
        <v>297.55909999999977</v>
      </c>
      <c r="F55" s="4">
        <f t="shared" ref="F55:L55" si="27">F44</f>
        <v>640.42480000000046</v>
      </c>
      <c r="G55" s="4">
        <f t="shared" si="27"/>
        <v>1198.6492000000001</v>
      </c>
      <c r="H55" s="4">
        <f t="shared" si="27"/>
        <v>1530.6827999999994</v>
      </c>
      <c r="I55" s="4">
        <f t="shared" si="27"/>
        <v>2311.6477000000004</v>
      </c>
      <c r="J55" s="4">
        <f t="shared" si="27"/>
        <v>3757.2238000000011</v>
      </c>
      <c r="K55" s="4">
        <f t="shared" si="27"/>
        <v>4301.2185000000018</v>
      </c>
      <c r="L55" s="4">
        <f t="shared" si="27"/>
        <v>5979.288599999998</v>
      </c>
    </row>
    <row r="56" spans="1:13" x14ac:dyDescent="0.35">
      <c r="A56" s="146"/>
      <c r="B56" s="146"/>
      <c r="C56" s="35" t="s">
        <v>253</v>
      </c>
      <c r="E56" s="4">
        <f>E48</f>
        <v>-530.3609000000007</v>
      </c>
      <c r="F56" s="4">
        <f>F48</f>
        <v>-860.26419999999894</v>
      </c>
      <c r="G56" s="4">
        <f t="shared" ref="G56:L56" si="28">G48</f>
        <v>-1941.0127999999995</v>
      </c>
      <c r="H56" s="4">
        <f t="shared" si="28"/>
        <v>-608.58520000000226</v>
      </c>
      <c r="I56" s="4">
        <f t="shared" si="28"/>
        <v>462.18870000000243</v>
      </c>
      <c r="J56" s="4">
        <f t="shared" si="28"/>
        <v>-578.20820000000003</v>
      </c>
      <c r="K56" s="4">
        <f t="shared" si="28"/>
        <v>2864.7645000000039</v>
      </c>
      <c r="L56" s="4">
        <f t="shared" si="28"/>
        <v>6693.855599999999</v>
      </c>
    </row>
    <row r="57" spans="1:13" x14ac:dyDescent="0.35">
      <c r="A57" s="146"/>
      <c r="B57" s="146"/>
      <c r="C57" s="35" t="s">
        <v>259</v>
      </c>
      <c r="E57" s="4">
        <f>'Balance Sheet'!E40-'Balance Sheet'!E57</f>
        <v>4065.7459999999996</v>
      </c>
      <c r="F57" s="4">
        <f>'Balance Sheet'!F40-'Balance Sheet'!F57</f>
        <v>4078.9009999999998</v>
      </c>
      <c r="G57" s="4">
        <f>'Balance Sheet'!G40-'Balance Sheet'!G57</f>
        <v>6558.652</v>
      </c>
      <c r="H57" s="4">
        <f>'Balance Sheet'!H40-'Balance Sheet'!H57</f>
        <v>7530.7269999999999</v>
      </c>
      <c r="I57" s="4">
        <f>'Balance Sheet'!I40-'Balance Sheet'!I57</f>
        <v>9401.8509999999987</v>
      </c>
      <c r="J57" s="4">
        <f>'Balance Sheet'!J40-'Balance Sheet'!J57</f>
        <v>12888.455000000002</v>
      </c>
      <c r="K57" s="4">
        <f>'Balance Sheet'!K40-'Balance Sheet'!K57</f>
        <v>16123.124999999998</v>
      </c>
      <c r="L57" s="4">
        <f>'Balance Sheet'!L40-'Balance Sheet'!L57</f>
        <v>20570.754000000001</v>
      </c>
      <c r="M57" s="35" t="s">
        <v>261</v>
      </c>
    </row>
    <row r="58" spans="1:13" x14ac:dyDescent="0.35">
      <c r="A58" s="146"/>
      <c r="B58" s="146"/>
      <c r="C58" s="35" t="s">
        <v>260</v>
      </c>
      <c r="E58" s="4">
        <f>'Balance Sheet'!E40-'Balance Sheet'!E70</f>
        <v>3002.1859999999997</v>
      </c>
      <c r="F58" s="4">
        <f>'Balance Sheet'!F40-'Balance Sheet'!F70</f>
        <v>3556.9309999999996</v>
      </c>
      <c r="G58" s="4">
        <f>'Balance Sheet'!G40-'Balance Sheet'!G70</f>
        <v>4197.5320000000002</v>
      </c>
      <c r="H58" s="4">
        <f>'Balance Sheet'!H40-'Balance Sheet'!H70</f>
        <v>5166.6759999999995</v>
      </c>
      <c r="I58" s="4">
        <f>'Balance Sheet'!I40-'Balance Sheet'!I70</f>
        <v>7794.9519999999993</v>
      </c>
      <c r="J58" s="4">
        <f>'Balance Sheet'!J40-'Balance Sheet'!J70</f>
        <v>12073.37</v>
      </c>
      <c r="K58" s="4">
        <f>'Balance Sheet'!K40-'Balance Sheet'!K70</f>
        <v>15831.482999999998</v>
      </c>
      <c r="L58" s="4">
        <f>'Balance Sheet'!L40-'Balance Sheet'!L70</f>
        <v>20537.525999999998</v>
      </c>
      <c r="M58" s="35" t="s">
        <v>262</v>
      </c>
    </row>
    <row r="59" spans="1:13" x14ac:dyDescent="0.35">
      <c r="A59" s="146"/>
      <c r="B59" s="146"/>
      <c r="C59" s="35" t="s">
        <v>201</v>
      </c>
      <c r="E59" s="4">
        <f>'Balance Sheet'!E58+'Balance Sheet'!E48-'Balance Sheet'!E7</f>
        <v>636.64499999999998</v>
      </c>
      <c r="F59" s="4">
        <f>'Balance Sheet'!F58+'Balance Sheet'!F48-'Balance Sheet'!F7</f>
        <v>1543.866</v>
      </c>
      <c r="G59" s="4">
        <f>'Balance Sheet'!G58+'Balance Sheet'!G48-'Balance Sheet'!G7</f>
        <v>3657.154</v>
      </c>
      <c r="H59" s="4">
        <f>'Balance Sheet'!H58+'Balance Sheet'!H48-'Balance Sheet'!H7</f>
        <v>4283.6100000000006</v>
      </c>
      <c r="I59" s="4">
        <f>'Balance Sheet'!I58+'Balance Sheet'!I48-'Balance Sheet'!I7</f>
        <v>4052.56</v>
      </c>
      <c r="J59" s="4">
        <f>'Balance Sheet'!J58+'Balance Sheet'!J48-'Balance Sheet'!J7</f>
        <v>3460.5119999999997</v>
      </c>
      <c r="K59" s="4">
        <f>'Balance Sheet'!K58+'Balance Sheet'!K48-'Balance Sheet'!K7</f>
        <v>1543.8579999999997</v>
      </c>
      <c r="L59" s="4">
        <f>'Balance Sheet'!L58+'Balance Sheet'!L48-'Balance Sheet'!L7</f>
        <v>-4389.8139999999994</v>
      </c>
    </row>
    <row r="60" spans="1:13" x14ac:dyDescent="0.35">
      <c r="A60" s="146"/>
      <c r="B60" s="146"/>
      <c r="C60" s="35" t="s">
        <v>270</v>
      </c>
      <c r="E60" s="4">
        <f>'Key Fin'!D3</f>
        <v>2317.105</v>
      </c>
      <c r="F60" s="4">
        <f>'Key Fin'!E3</f>
        <v>8206.5545999999995</v>
      </c>
      <c r="G60" s="4">
        <f>'Key Fin'!F3</f>
        <v>138232.46</v>
      </c>
      <c r="H60" s="4">
        <f>'Key Fin'!G3</f>
        <v>33667.454400000002</v>
      </c>
      <c r="I60" s="4">
        <f>'Key Fin'!H3</f>
        <v>50222.3534</v>
      </c>
      <c r="J60" s="4">
        <f>'Key Fin'!I3</f>
        <v>51732.800199999998</v>
      </c>
      <c r="K60" s="4">
        <f>'Key Fin'!J3</f>
        <v>104860.1874</v>
      </c>
      <c r="L60" s="4">
        <f>'Key Fin'!K3</f>
        <v>174090.8664</v>
      </c>
    </row>
    <row r="62" spans="1:13" s="35" customFormat="1" x14ac:dyDescent="0.35"/>
    <row r="63" spans="1:13" ht="15" thickBot="1" x14ac:dyDescent="0.4">
      <c r="A63" s="154" t="s">
        <v>438</v>
      </c>
      <c r="B63" s="154"/>
      <c r="E63" s="1" t="s">
        <v>13</v>
      </c>
      <c r="F63" s="1" t="s">
        <v>0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L63" s="1" t="s">
        <v>6</v>
      </c>
    </row>
    <row r="64" spans="1:13" x14ac:dyDescent="0.35">
      <c r="A64" s="154"/>
      <c r="B64" s="154"/>
      <c r="C64" s="35" t="s">
        <v>379</v>
      </c>
      <c r="E64" s="29">
        <f>E55-E56</f>
        <v>827.92000000000053</v>
      </c>
      <c r="F64" s="29">
        <f>F55-F56</f>
        <v>1500.6889999999994</v>
      </c>
      <c r="G64" s="29">
        <f t="shared" ref="G64:L64" si="29">G55-G56</f>
        <v>3139.6619999999994</v>
      </c>
      <c r="H64" s="29">
        <f t="shared" si="29"/>
        <v>2139.2680000000018</v>
      </c>
      <c r="I64" s="29">
        <f t="shared" si="29"/>
        <v>1849.458999999998</v>
      </c>
      <c r="J64" s="29">
        <f t="shared" si="29"/>
        <v>4335.4320000000007</v>
      </c>
      <c r="K64" s="29">
        <f t="shared" si="29"/>
        <v>1436.4539999999979</v>
      </c>
      <c r="L64" s="29">
        <f t="shared" si="29"/>
        <v>-714.56700000000092</v>
      </c>
      <c r="M64" s="35" t="s">
        <v>362</v>
      </c>
    </row>
    <row r="65" spans="1:13" x14ac:dyDescent="0.35">
      <c r="A65" s="154"/>
      <c r="B65" s="154"/>
      <c r="C65" s="35" t="s">
        <v>363</v>
      </c>
      <c r="E65" s="28">
        <f>1-(E56/E55)</f>
        <v>2.7823716364244988</v>
      </c>
      <c r="F65" s="28">
        <f>1-(F56/F55)</f>
        <v>2.3432712162302245</v>
      </c>
      <c r="G65" s="28">
        <f t="shared" ref="G65:K65" si="30">1-(G56/G55)</f>
        <v>2.6193334964057868</v>
      </c>
      <c r="H65" s="28">
        <f t="shared" si="30"/>
        <v>1.397590669993811</v>
      </c>
      <c r="I65" s="28">
        <f t="shared" si="30"/>
        <v>0.80006092623888914</v>
      </c>
      <c r="J65" s="28">
        <f t="shared" si="30"/>
        <v>1.1538924032153741</v>
      </c>
      <c r="K65" s="28">
        <f t="shared" si="30"/>
        <v>0.33396443356690608</v>
      </c>
      <c r="L65" s="28">
        <f>1-(L56/L55)</f>
        <v>-0.11950702630409937</v>
      </c>
      <c r="M65" s="35" t="s">
        <v>367</v>
      </c>
    </row>
    <row r="66" spans="1:13" x14ac:dyDescent="0.35">
      <c r="A66" s="154"/>
      <c r="B66" s="154"/>
      <c r="C66" s="35" t="s">
        <v>364</v>
      </c>
      <c r="E66" s="89"/>
      <c r="F66" s="28">
        <f>(F55-E55)/E64</f>
        <v>0.41412902212774239</v>
      </c>
      <c r="G66" s="28">
        <f>(G55-F55)/F64</f>
        <v>0.37197873776645252</v>
      </c>
      <c r="H66" s="28">
        <f t="shared" ref="H66:L66" si="31">(H55-G55)/G64</f>
        <v>0.10575456848539727</v>
      </c>
      <c r="I66" s="28">
        <f t="shared" si="31"/>
        <v>0.36506174074496528</v>
      </c>
      <c r="J66" s="28">
        <f t="shared" si="31"/>
        <v>0.78162105783367042</v>
      </c>
      <c r="K66" s="28">
        <f t="shared" si="31"/>
        <v>0.12547646924228095</v>
      </c>
      <c r="L66" s="28">
        <f t="shared" si="31"/>
        <v>1.168203158611413</v>
      </c>
      <c r="M66" s="35" t="s">
        <v>366</v>
      </c>
    </row>
    <row r="67" spans="1:13" s="35" customFormat="1" x14ac:dyDescent="0.35">
      <c r="A67" s="134"/>
      <c r="B67" s="134"/>
      <c r="C67" s="35" t="s">
        <v>467</v>
      </c>
      <c r="E67" s="89"/>
      <c r="F67" s="28">
        <f>'Income Statement'!E20/'Balance Sheet'!F70</f>
        <v>4.7551444510178009E-2</v>
      </c>
      <c r="G67" s="28">
        <f>'Income Statement'!F20/'Balance Sheet'!G70</f>
        <v>7.1542407272300157E-2</v>
      </c>
      <c r="H67" s="28">
        <f>'Income Statement'!G20/'Balance Sheet'!H70</f>
        <v>9.1447570137546785E-2</v>
      </c>
      <c r="I67" s="28">
        <f>'Income Statement'!H20/'Balance Sheet'!I70</f>
        <v>7.597141496474695E-2</v>
      </c>
      <c r="J67" s="28">
        <f>'Income Statement'!I20/'Balance Sheet'!J70</f>
        <v>8.1560849423436138E-2</v>
      </c>
      <c r="K67" s="28">
        <f>'Income Statement'!J20/'Balance Sheet'!K70</f>
        <v>0.10741383218217693</v>
      </c>
      <c r="L67" s="28">
        <f>'Income Statement'!K20/'Balance Sheet'!L70</f>
        <v>0.21761117668375488</v>
      </c>
      <c r="M67" s="35" t="s">
        <v>468</v>
      </c>
    </row>
    <row r="68" spans="1:13" x14ac:dyDescent="0.35">
      <c r="M68" s="35" t="s">
        <v>365</v>
      </c>
    </row>
    <row r="69" spans="1:13" x14ac:dyDescent="0.35">
      <c r="A69" s="153" t="s">
        <v>439</v>
      </c>
      <c r="B69" s="153"/>
    </row>
    <row r="70" spans="1:13" ht="15" customHeight="1" thickBot="1" x14ac:dyDescent="0.4">
      <c r="A70" s="153"/>
      <c r="B70" s="153"/>
      <c r="C70" s="35" t="s">
        <v>263</v>
      </c>
      <c r="E70" s="1" t="s">
        <v>13</v>
      </c>
      <c r="F70" s="1" t="s">
        <v>0</v>
      </c>
      <c r="G70" s="1" t="s">
        <v>1</v>
      </c>
      <c r="H70" s="1" t="s">
        <v>2</v>
      </c>
      <c r="I70" s="1" t="s">
        <v>3</v>
      </c>
      <c r="J70" s="1" t="s">
        <v>4</v>
      </c>
      <c r="K70" s="1" t="s">
        <v>5</v>
      </c>
      <c r="L70" s="1" t="s">
        <v>6</v>
      </c>
    </row>
    <row r="71" spans="1:13" x14ac:dyDescent="0.35">
      <c r="A71" s="153"/>
      <c r="B71" s="153"/>
      <c r="C71" s="35" t="s">
        <v>265</v>
      </c>
      <c r="E71">
        <f>E59/E53</f>
        <v>0.79795474314592063</v>
      </c>
      <c r="F71" s="35">
        <f t="shared" ref="F71:L71" si="32">F59/F53</f>
        <v>1.1119637226360433</v>
      </c>
      <c r="G71" s="35">
        <f t="shared" si="32"/>
        <v>1.5114092750417611</v>
      </c>
      <c r="H71" s="35">
        <f t="shared" si="32"/>
        <v>1.1228317858477814</v>
      </c>
      <c r="I71" s="35">
        <f t="shared" si="32"/>
        <v>0.75742541596103941</v>
      </c>
      <c r="J71" s="35">
        <f t="shared" si="32"/>
        <v>0.47848709831524161</v>
      </c>
      <c r="K71" s="35">
        <f t="shared" si="32"/>
        <v>0.18810297635764286</v>
      </c>
      <c r="L71" s="35">
        <f t="shared" si="32"/>
        <v>-0.46403462965507775</v>
      </c>
    </row>
    <row r="72" spans="1:13" x14ac:dyDescent="0.35">
      <c r="A72" s="153"/>
      <c r="B72" s="153"/>
      <c r="C72" s="35" t="s">
        <v>266</v>
      </c>
      <c r="E72">
        <f>E59/E58</f>
        <v>0.21206047859792831</v>
      </c>
      <c r="F72" s="35">
        <f t="shared" ref="F72:L72" si="33">F59/F58</f>
        <v>0.43404440513465126</v>
      </c>
      <c r="G72" s="35">
        <f t="shared" si="33"/>
        <v>0.8712629230700325</v>
      </c>
      <c r="H72" s="35">
        <f t="shared" si="33"/>
        <v>0.82908430875092631</v>
      </c>
      <c r="I72" s="35">
        <f t="shared" si="33"/>
        <v>0.51989544002323562</v>
      </c>
      <c r="J72" s="35">
        <f t="shared" si="33"/>
        <v>0.28662353593073014</v>
      </c>
      <c r="K72" s="35">
        <f t="shared" si="33"/>
        <v>9.7518217339462129E-2</v>
      </c>
      <c r="L72" s="35">
        <f t="shared" si="33"/>
        <v>-0.21374599842259481</v>
      </c>
    </row>
    <row r="73" spans="1:13" x14ac:dyDescent="0.35">
      <c r="A73" s="153"/>
      <c r="B73" s="153"/>
      <c r="C73" s="35" t="s">
        <v>264</v>
      </c>
      <c r="E73" s="29"/>
      <c r="F73" s="29">
        <f>F53/'Income Statement'!E19</f>
        <v>9.0566064812398928</v>
      </c>
      <c r="G73" s="29">
        <f>G53/'Income Statement'!F19</f>
        <v>5.0140244433116585</v>
      </c>
      <c r="H73" s="29">
        <f>H53/'Income Statement'!G19</f>
        <v>4.988011793393345</v>
      </c>
      <c r="I73" s="29">
        <f>I53/'Income Statement'!H19</f>
        <v>7.7164850918258159</v>
      </c>
      <c r="J73" s="29">
        <f>J53/'Income Statement'!I19</f>
        <v>11.189372548716245</v>
      </c>
      <c r="K73" s="29">
        <f>K53/'Income Statement'!J19</f>
        <v>15.829344262295088</v>
      </c>
      <c r="L73" s="29">
        <f>L53/'Income Statement'!K19</f>
        <v>20.2489784648183</v>
      </c>
      <c r="M73" s="35" t="s">
        <v>269</v>
      </c>
    </row>
    <row r="74" spans="1:13" x14ac:dyDescent="0.35">
      <c r="A74" s="153"/>
      <c r="B74" s="153"/>
      <c r="C74" s="35" t="s">
        <v>267</v>
      </c>
      <c r="F74" s="28">
        <f>F56/F60</f>
        <v>-0.10482647614383739</v>
      </c>
      <c r="G74" s="28">
        <f t="shared" ref="G74:L74" si="34">G56/G60</f>
        <v>-1.404165707533527E-2</v>
      </c>
      <c r="H74" s="28">
        <f t="shared" si="34"/>
        <v>-1.8076365167661805E-2</v>
      </c>
      <c r="I74" s="28">
        <f t="shared" si="34"/>
        <v>9.2028483077816591E-3</v>
      </c>
      <c r="J74" s="28">
        <f t="shared" si="34"/>
        <v>-1.1176820078647126E-2</v>
      </c>
      <c r="K74" s="28">
        <f t="shared" si="34"/>
        <v>2.7319849134658365E-2</v>
      </c>
      <c r="L74" s="28">
        <f t="shared" si="34"/>
        <v>3.8450354911899035E-2</v>
      </c>
    </row>
    <row r="75" spans="1:13" x14ac:dyDescent="0.35">
      <c r="A75" s="153"/>
      <c r="B75" s="153"/>
      <c r="C75" s="35" t="s">
        <v>268</v>
      </c>
      <c r="F75" s="28">
        <f>F34/F58</f>
        <v>0.13530878164350132</v>
      </c>
      <c r="G75" s="28">
        <f t="shared" ref="G75:L75" si="35">G34/G58</f>
        <v>0.16164975037712645</v>
      </c>
      <c r="H75" s="28">
        <f t="shared" si="35"/>
        <v>0.20114015277907868</v>
      </c>
      <c r="I75" s="28">
        <f t="shared" si="35"/>
        <v>0.22504692780661134</v>
      </c>
      <c r="J75" s="28">
        <f t="shared" si="35"/>
        <v>0.26587141783942692</v>
      </c>
      <c r="K75" s="28">
        <f t="shared" si="35"/>
        <v>0.24846800517677362</v>
      </c>
      <c r="L75" s="28">
        <f t="shared" si="35"/>
        <v>0.25537077834983618</v>
      </c>
    </row>
    <row r="76" spans="1:13" x14ac:dyDescent="0.35">
      <c r="A76" s="153"/>
      <c r="B76" s="153"/>
    </row>
    <row r="77" spans="1:13" x14ac:dyDescent="0.35">
      <c r="A77" s="153"/>
      <c r="B77" s="153"/>
    </row>
    <row r="78" spans="1:13" ht="15" thickBot="1" x14ac:dyDescent="0.4">
      <c r="C78" s="35" t="s">
        <v>286</v>
      </c>
      <c r="E78" s="1" t="s">
        <v>13</v>
      </c>
      <c r="F78" s="1" t="s">
        <v>0</v>
      </c>
      <c r="G78" s="1" t="s">
        <v>1</v>
      </c>
      <c r="H78" s="1" t="s">
        <v>2</v>
      </c>
      <c r="I78" s="1" t="s">
        <v>3</v>
      </c>
      <c r="J78" s="1" t="s">
        <v>4</v>
      </c>
      <c r="K78" s="1" t="s">
        <v>5</v>
      </c>
      <c r="L78" s="1" t="s">
        <v>6</v>
      </c>
    </row>
    <row r="79" spans="1:13" x14ac:dyDescent="0.35">
      <c r="A79" s="153" t="s">
        <v>440</v>
      </c>
      <c r="B79" s="153"/>
      <c r="C79" s="35" t="s">
        <v>301</v>
      </c>
      <c r="E79" s="4">
        <f>E60/E34</f>
        <v>9.8375832144555488</v>
      </c>
      <c r="F79" s="4">
        <f t="shared" ref="F79:L79" si="36">F60/F34</f>
        <v>17.051376318348389</v>
      </c>
      <c r="G79" s="4">
        <f t="shared" si="36"/>
        <v>203.72343153581997</v>
      </c>
      <c r="H79" s="4">
        <f t="shared" si="36"/>
        <v>32.396662901043698</v>
      </c>
      <c r="I79" s="4">
        <f t="shared" si="36"/>
        <v>28.629286581577094</v>
      </c>
      <c r="J79" s="4">
        <f t="shared" si="36"/>
        <v>16.116317877708276</v>
      </c>
      <c r="K79" s="4">
        <f t="shared" si="36"/>
        <v>26.657447179021222</v>
      </c>
      <c r="L79" s="4">
        <f t="shared" si="36"/>
        <v>33.193776097854531</v>
      </c>
    </row>
    <row r="80" spans="1:13" x14ac:dyDescent="0.35">
      <c r="A80" s="153"/>
      <c r="B80" s="153"/>
      <c r="C80" s="35" t="s">
        <v>302</v>
      </c>
      <c r="F80" s="29">
        <f>F60/('Balance Sheet'!F40-'Balance Sheet'!F70)</f>
        <v>2.3072009549805719</v>
      </c>
      <c r="G80" s="29">
        <f>G60/('Balance Sheet'!G40-'Balance Sheet'!G70)</f>
        <v>32.931841853736906</v>
      </c>
      <c r="H80" s="29">
        <f>H60/('Balance Sheet'!H40-'Balance Sheet'!H70)</f>
        <v>6.5162697254482387</v>
      </c>
      <c r="I80" s="29">
        <f>I60/('Balance Sheet'!I40-'Balance Sheet'!I70)</f>
        <v>6.4429329904789672</v>
      </c>
      <c r="J80" s="29">
        <f>J60/('Balance Sheet'!J40-'Balance Sheet'!J70)</f>
        <v>4.284868284497203</v>
      </c>
      <c r="K80" s="29">
        <f>K60/('Balance Sheet'!K40-'Balance Sheet'!K70)</f>
        <v>6.6235227236766132</v>
      </c>
      <c r="L80" s="29">
        <f>L60/('Balance Sheet'!L40-'Balance Sheet'!L70)</f>
        <v>8.4767204384792993</v>
      </c>
    </row>
    <row r="81" spans="1:13" x14ac:dyDescent="0.35">
      <c r="A81" s="153"/>
      <c r="B81" s="153"/>
      <c r="C81" s="35" t="s">
        <v>303</v>
      </c>
      <c r="F81" s="4">
        <f>F60/F48</f>
        <v>-9.5395747027483058</v>
      </c>
      <c r="G81" s="4">
        <f t="shared" ref="G81:L81" si="37">G60/G48</f>
        <v>-71.216665856093286</v>
      </c>
      <c r="H81" s="4">
        <f t="shared" si="37"/>
        <v>-55.32085630738289</v>
      </c>
      <c r="I81" s="4">
        <f t="shared" si="37"/>
        <v>108.66201055975564</v>
      </c>
      <c r="J81" s="4">
        <f t="shared" si="37"/>
        <v>-89.470886438483575</v>
      </c>
      <c r="K81" s="4">
        <f t="shared" si="37"/>
        <v>36.603423213321669</v>
      </c>
      <c r="L81" s="4">
        <f t="shared" si="37"/>
        <v>26.007562278457282</v>
      </c>
    </row>
    <row r="82" spans="1:13" x14ac:dyDescent="0.35">
      <c r="A82" s="153"/>
      <c r="B82" s="153"/>
      <c r="C82" s="35" t="s">
        <v>305</v>
      </c>
      <c r="F82" s="28">
        <f>'Cash flow'!E40/F60</f>
        <v>-4.7947039796701046E-3</v>
      </c>
      <c r="G82" s="28">
        <f>'Cash flow'!F40/G60</f>
        <v>-4.1980009615686509E-4</v>
      </c>
      <c r="H82" s="28">
        <f>'Cash flow'!G40/H60</f>
        <v>-3.4553844973797604E-3</v>
      </c>
      <c r="I82" s="28">
        <f>'Cash flow'!H40/I60</f>
        <v>-2.3671929320620007E-3</v>
      </c>
      <c r="J82" s="28">
        <f>'Cash flow'!I40/J60</f>
        <v>-2.919579056538293E-3</v>
      </c>
      <c r="K82" s="28">
        <f>'Cash flow'!J40/K60</f>
        <v>-1.5138157191582513E-3</v>
      </c>
      <c r="L82" s="28">
        <f>'Cash flow'!K40/L60</f>
        <v>-4.5732439413030575E-3</v>
      </c>
    </row>
    <row r="83" spans="1:13" x14ac:dyDescent="0.35">
      <c r="A83" s="153"/>
      <c r="B83" s="153"/>
      <c r="C83" s="35" t="s">
        <v>335</v>
      </c>
      <c r="F83" s="29">
        <f>F60+'Balance Sheet'!F48+'Balance Sheet'!F58-'Balance Sheet'!F8</f>
        <v>9750.4205999999995</v>
      </c>
      <c r="G83" s="29">
        <f>G60+'Balance Sheet'!G48+'Balance Sheet'!G58-'Balance Sheet'!G8</f>
        <v>141889.614</v>
      </c>
      <c r="H83" s="29">
        <f>H60+'Balance Sheet'!H48+'Balance Sheet'!H58-'Balance Sheet'!H8</f>
        <v>37951.064399999996</v>
      </c>
      <c r="I83" s="29">
        <f>I60+'Balance Sheet'!I48+'Balance Sheet'!I58-'Balance Sheet'!I8</f>
        <v>54274.913400000005</v>
      </c>
      <c r="J83" s="29">
        <f>J60+'Balance Sheet'!J48+'Balance Sheet'!J58-'Balance Sheet'!J8</f>
        <v>55193.312199999993</v>
      </c>
      <c r="K83" s="29">
        <f>K60+'Balance Sheet'!K48+'Balance Sheet'!K58-'Balance Sheet'!K8</f>
        <v>106404.0454</v>
      </c>
      <c r="L83" s="29">
        <f>L60+'Balance Sheet'!L48+'Balance Sheet'!L58-'Balance Sheet'!L8</f>
        <v>169706.68240000002</v>
      </c>
    </row>
    <row r="84" spans="1:13" x14ac:dyDescent="0.35">
      <c r="A84" s="153"/>
      <c r="B84" s="153"/>
      <c r="C84" s="35" t="s">
        <v>306</v>
      </c>
      <c r="F84">
        <f>F83/F5</f>
        <v>1.0959504970960812</v>
      </c>
      <c r="G84" s="35">
        <f t="shared" ref="G84:L84" si="38">G83/G5</f>
        <v>10.485584923418589</v>
      </c>
      <c r="H84" s="35">
        <f t="shared" si="38"/>
        <v>2.4529651088911444</v>
      </c>
      <c r="I84" s="35">
        <f t="shared" si="38"/>
        <v>2.7806171489066283</v>
      </c>
      <c r="J84" s="35">
        <f t="shared" si="38"/>
        <v>1.9850287035044638</v>
      </c>
      <c r="K84" s="35">
        <f t="shared" si="38"/>
        <v>3.3347799815252692</v>
      </c>
      <c r="L84" s="35">
        <f t="shared" si="38"/>
        <v>4.2421751797879041</v>
      </c>
    </row>
    <row r="85" spans="1:13" x14ac:dyDescent="0.35">
      <c r="A85" s="153"/>
      <c r="B85" s="153"/>
      <c r="C85" s="35" t="s">
        <v>307</v>
      </c>
      <c r="F85">
        <f>F83/F53</f>
        <v>7.0227040349636312</v>
      </c>
      <c r="G85" s="35">
        <f t="shared" ref="G85:L85" si="39">G83/G53</f>
        <v>58.639389708963677</v>
      </c>
      <c r="H85" s="35">
        <f t="shared" si="39"/>
        <v>9.9478387189954613</v>
      </c>
      <c r="I85" s="35">
        <f t="shared" si="39"/>
        <v>10.144007456581615</v>
      </c>
      <c r="J85" s="35">
        <f t="shared" si="39"/>
        <v>7.6316128367667053</v>
      </c>
      <c r="K85" s="35">
        <f t="shared" si="39"/>
        <v>12.964221862524766</v>
      </c>
      <c r="L85" s="35">
        <f t="shared" si="39"/>
        <v>17.939205970338588</v>
      </c>
    </row>
    <row r="86" spans="1:13" x14ac:dyDescent="0.35">
      <c r="A86" s="153"/>
      <c r="B86" s="153"/>
      <c r="C86" s="35" t="s">
        <v>308</v>
      </c>
      <c r="F86">
        <f>F83/F42</f>
        <v>11.630433683145773</v>
      </c>
      <c r="G86" s="35">
        <f t="shared" ref="G86:L86" si="40">G83/G42</f>
        <v>91.822723225148437</v>
      </c>
      <c r="H86" s="35">
        <f t="shared" si="40"/>
        <v>16.909345459600502</v>
      </c>
      <c r="I86" s="35">
        <f t="shared" si="40"/>
        <v>15.324446335552686</v>
      </c>
      <c r="J86" s="35">
        <f t="shared" si="40"/>
        <v>9.8848370434021948</v>
      </c>
      <c r="K86" s="35">
        <f t="shared" si="40"/>
        <v>16.202629538067491</v>
      </c>
      <c r="L86" s="35">
        <f t="shared" si="40"/>
        <v>19.447885432285297</v>
      </c>
    </row>
    <row r="87" spans="1:13" x14ac:dyDescent="0.35">
      <c r="A87" s="153"/>
      <c r="B87" s="153"/>
      <c r="C87" s="35" t="s">
        <v>309</v>
      </c>
      <c r="F87">
        <f>F83/F57</f>
        <v>2.3904528695352005</v>
      </c>
      <c r="G87" s="35">
        <f t="shared" ref="G87:L87" si="41">G83/G57</f>
        <v>21.633959844187494</v>
      </c>
      <c r="H87" s="35">
        <f t="shared" si="41"/>
        <v>5.0394954431358352</v>
      </c>
      <c r="I87" s="35">
        <f t="shared" si="41"/>
        <v>5.7727902090769163</v>
      </c>
      <c r="J87" s="35">
        <f t="shared" si="41"/>
        <v>4.2823839009408022</v>
      </c>
      <c r="K87" s="35">
        <f t="shared" si="41"/>
        <v>6.5994678699073548</v>
      </c>
      <c r="L87" s="35">
        <f t="shared" si="41"/>
        <v>8.2499009224455264</v>
      </c>
    </row>
    <row r="88" spans="1:13" x14ac:dyDescent="0.35">
      <c r="A88" s="153"/>
      <c r="B88" s="153"/>
    </row>
    <row r="89" spans="1:13" s="35" customFormat="1" x14ac:dyDescent="0.35"/>
    <row r="90" spans="1:13" ht="17.5" customHeight="1" thickBot="1" x14ac:dyDescent="0.4">
      <c r="A90" s="153" t="s">
        <v>441</v>
      </c>
      <c r="B90" s="153"/>
      <c r="C90" s="35" t="s">
        <v>310</v>
      </c>
      <c r="D90" s="35"/>
      <c r="E90" s="35"/>
      <c r="F90" s="1" t="s">
        <v>0</v>
      </c>
      <c r="G90" s="1" t="s">
        <v>1</v>
      </c>
      <c r="H90" s="1" t="s">
        <v>2</v>
      </c>
      <c r="I90" s="1" t="s">
        <v>3</v>
      </c>
      <c r="J90" s="1" t="s">
        <v>4</v>
      </c>
      <c r="K90" s="1" t="s">
        <v>5</v>
      </c>
      <c r="L90" s="1" t="s">
        <v>6</v>
      </c>
    </row>
    <row r="91" spans="1:13" ht="17" customHeight="1" x14ac:dyDescent="0.35">
      <c r="A91" s="153"/>
      <c r="B91" s="153"/>
      <c r="C91" s="35" t="s">
        <v>311</v>
      </c>
      <c r="D91" s="35"/>
      <c r="E91" s="35"/>
      <c r="F91" s="29">
        <f>(-'Cash flow'!E40+('Balance Sheet'!F86-'Balance Sheet'!E86)*'Historical prices'!E10)/F34</f>
        <v>0.96133729826913461</v>
      </c>
      <c r="G91" s="29">
        <f>(-'Cash flow'!F40+('Balance Sheet'!G86-'Balance Sheet'!F86)*'Historical prices'!F10)/G34</f>
        <v>253.11506847351791</v>
      </c>
      <c r="H91" s="29">
        <f>(-'Cash flow'!G40+('Balance Sheet'!H86-'Balance Sheet'!G86)*'Historical prices'!G10)/H34</f>
        <v>-314.92818070320959</v>
      </c>
      <c r="I91" s="29">
        <f>(-'Cash flow'!H40+('Balance Sheet'!I86-'Balance Sheet'!H86)*'Historical prices'!H10)/I34</f>
        <v>0.13281690774094154</v>
      </c>
      <c r="J91" s="29">
        <f>(-'Cash flow'!I40+('Balance Sheet'!J86-'Balance Sheet'!I86)*'Historical prices'!I10)/J34</f>
        <v>4.7052864144270755E-2</v>
      </c>
      <c r="K91" s="29">
        <f>(-'Cash flow'!J40+('Balance Sheet'!K86-'Balance Sheet'!J86)*'Historical prices'!J10)/K34</f>
        <v>1.4182198223566715</v>
      </c>
      <c r="L91" s="29">
        <f>(-'Cash flow'!K40+('Balance Sheet'!L86-'Balance Sheet'!K86)*'Historical prices'!K10)/L34</f>
        <v>0.15487005195134018</v>
      </c>
      <c r="M91" s="35" t="s">
        <v>314</v>
      </c>
    </row>
    <row r="92" spans="1:13" ht="17" customHeight="1" x14ac:dyDescent="0.35">
      <c r="A92" s="153"/>
      <c r="B92" s="153"/>
      <c r="C92" s="35" t="s">
        <v>313</v>
      </c>
      <c r="D92" s="35"/>
      <c r="E92" s="35"/>
      <c r="F92" s="29">
        <f>F47/F40</f>
        <v>0.29258120727171683</v>
      </c>
      <c r="G92" s="29">
        <f t="shared" ref="G92:L92" si="42">G47/G40</f>
        <v>0.21225655810865512</v>
      </c>
      <c r="H92" s="29">
        <f t="shared" si="42"/>
        <v>0.36530580798016699</v>
      </c>
      <c r="I92" s="29">
        <f t="shared" si="42"/>
        <v>0.35996290182031193</v>
      </c>
      <c r="J92" s="29">
        <f t="shared" si="42"/>
        <v>0.4663406053769219</v>
      </c>
      <c r="K92" s="29">
        <f t="shared" si="42"/>
        <v>0.49862570918577226</v>
      </c>
      <c r="L92" s="29">
        <f t="shared" si="42"/>
        <v>0.39539342913189213</v>
      </c>
    </row>
    <row r="93" spans="1:13" ht="17" customHeight="1" x14ac:dyDescent="0.35">
      <c r="A93" s="153"/>
      <c r="B93" s="153"/>
      <c r="C93" s="35" t="s">
        <v>312</v>
      </c>
      <c r="D93" s="35"/>
      <c r="E93" s="35"/>
      <c r="F93" s="29">
        <f>F46/F40</f>
        <v>6.796207298130974E-2</v>
      </c>
      <c r="G93" s="29">
        <f t="shared" ref="G93:L93" si="43">G46/G40</f>
        <v>0.27674681274744356</v>
      </c>
      <c r="H93" s="29">
        <f t="shared" si="43"/>
        <v>6.0129117359357262E-2</v>
      </c>
      <c r="I93" s="29">
        <f t="shared" si="43"/>
        <v>0.11700835139392521</v>
      </c>
      <c r="J93" s="29">
        <f t="shared" si="43"/>
        <v>1.5684705870674886E-3</v>
      </c>
      <c r="K93" s="29">
        <f t="shared" si="43"/>
        <v>4.1857105973586162E-3</v>
      </c>
      <c r="L93" s="29">
        <f t="shared" si="43"/>
        <v>2.7888516326531939E-3</v>
      </c>
    </row>
    <row r="94" spans="1:13" ht="17" customHeight="1" x14ac:dyDescent="0.35">
      <c r="A94" s="153"/>
      <c r="B94" s="153"/>
    </row>
    <row r="95" spans="1:13" ht="17" customHeight="1" x14ac:dyDescent="0.35">
      <c r="A95" s="153"/>
      <c r="B95" s="153"/>
    </row>
    <row r="96" spans="1:13" ht="17" customHeight="1" x14ac:dyDescent="0.35">
      <c r="A96" s="153"/>
      <c r="B96" s="153"/>
    </row>
    <row r="97" spans="1:2" ht="17" customHeight="1" x14ac:dyDescent="0.35">
      <c r="A97" s="153"/>
      <c r="B97" s="153"/>
    </row>
  </sheetData>
  <mergeCells count="7">
    <mergeCell ref="A79:B88"/>
    <mergeCell ref="A90:B97"/>
    <mergeCell ref="A3:B36"/>
    <mergeCell ref="A39:B48"/>
    <mergeCell ref="A51:B60"/>
    <mergeCell ref="A63:B66"/>
    <mergeCell ref="A69:B77"/>
  </mergeCells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9935-3BB6-4B80-B263-2EB29154B4A9}">
  <sheetPr>
    <tabColor rgb="FF00B0F0"/>
  </sheetPr>
  <dimension ref="B3:P19"/>
  <sheetViews>
    <sheetView workbookViewId="0">
      <selection activeCell="L22" sqref="L22"/>
    </sheetView>
  </sheetViews>
  <sheetFormatPr defaultRowHeight="14.5" x14ac:dyDescent="0.35"/>
  <cols>
    <col min="6" max="6" width="9.08984375" bestFit="1" customWidth="1"/>
    <col min="7" max="7" width="10.54296875" bestFit="1" customWidth="1"/>
    <col min="8" max="8" width="10.08984375" bestFit="1" customWidth="1"/>
    <col min="9" max="9" width="11.08984375" bestFit="1" customWidth="1"/>
    <col min="10" max="11" width="9.08984375" bestFit="1" customWidth="1"/>
    <col min="12" max="12" width="10.54296875" customWidth="1"/>
    <col min="13" max="13" width="11.81640625" bestFit="1" customWidth="1"/>
    <col min="14" max="14" width="8.81640625" bestFit="1" customWidth="1"/>
    <col min="16" max="16" width="11.54296875" bestFit="1" customWidth="1"/>
  </cols>
  <sheetData>
    <row r="3" spans="2:16" x14ac:dyDescent="0.35">
      <c r="D3" s="126"/>
      <c r="E3" s="126"/>
      <c r="F3" s="155" t="s">
        <v>455</v>
      </c>
      <c r="G3" s="155"/>
      <c r="H3" s="155"/>
      <c r="I3" s="155" t="s">
        <v>456</v>
      </c>
      <c r="J3" s="155"/>
      <c r="K3" s="155"/>
      <c r="L3" s="155" t="s">
        <v>457</v>
      </c>
      <c r="M3" s="155"/>
      <c r="N3" s="155"/>
    </row>
    <row r="4" spans="2:16" x14ac:dyDescent="0.35">
      <c r="D4" s="126"/>
      <c r="E4" s="126"/>
      <c r="F4" s="126" t="s">
        <v>451</v>
      </c>
      <c r="G4" s="126" t="s">
        <v>270</v>
      </c>
      <c r="H4" s="126" t="s">
        <v>335</v>
      </c>
      <c r="I4" s="126" t="s">
        <v>35</v>
      </c>
      <c r="J4" s="126" t="s">
        <v>93</v>
      </c>
      <c r="K4" s="126" t="s">
        <v>453</v>
      </c>
      <c r="L4" s="126" t="s">
        <v>445</v>
      </c>
      <c r="M4" s="126" t="s">
        <v>454</v>
      </c>
      <c r="N4" s="126" t="s">
        <v>446</v>
      </c>
    </row>
    <row r="5" spans="2:16" x14ac:dyDescent="0.35">
      <c r="D5" s="126" t="s">
        <v>448</v>
      </c>
      <c r="E5" s="126"/>
      <c r="F5" s="127" t="s">
        <v>450</v>
      </c>
      <c r="G5" s="127" t="s">
        <v>452</v>
      </c>
      <c r="H5" s="127" t="s">
        <v>452</v>
      </c>
      <c r="I5" s="127" t="s">
        <v>452</v>
      </c>
      <c r="J5" s="127" t="s">
        <v>452</v>
      </c>
      <c r="K5" s="127" t="s">
        <v>452</v>
      </c>
      <c r="L5" s="127" t="s">
        <v>458</v>
      </c>
      <c r="M5" s="127" t="s">
        <v>458</v>
      </c>
      <c r="N5" s="127" t="s">
        <v>458</v>
      </c>
    </row>
    <row r="6" spans="2:16" x14ac:dyDescent="0.35">
      <c r="D6" t="s">
        <v>442</v>
      </c>
      <c r="F6" s="4">
        <v>1410.5</v>
      </c>
      <c r="G6" s="4">
        <v>56009.599999999999</v>
      </c>
      <c r="H6" s="4">
        <v>49963</v>
      </c>
      <c r="I6" s="4">
        <v>13300.3</v>
      </c>
      <c r="J6" s="4">
        <v>4597.3</v>
      </c>
      <c r="K6" s="4">
        <v>3542.2</v>
      </c>
      <c r="L6" s="4">
        <f>H6/I6</f>
        <v>3.7565318075532135</v>
      </c>
      <c r="M6" s="4">
        <v>12.74</v>
      </c>
      <c r="N6" s="4">
        <v>17.11</v>
      </c>
    </row>
    <row r="7" spans="2:16" x14ac:dyDescent="0.35">
      <c r="D7" t="s">
        <v>449</v>
      </c>
      <c r="F7" s="4">
        <v>55.03</v>
      </c>
      <c r="G7" s="4">
        <v>44003.3</v>
      </c>
      <c r="H7" s="4">
        <v>55630.423000000003</v>
      </c>
      <c r="I7" s="4">
        <v>411146.5</v>
      </c>
      <c r="J7" s="4">
        <v>8854</v>
      </c>
      <c r="K7" s="4">
        <v>4618.96</v>
      </c>
      <c r="L7" s="4">
        <f>H7/I7</f>
        <v>0.13530559788299304</v>
      </c>
      <c r="M7" s="4">
        <v>7.25</v>
      </c>
      <c r="N7" s="4">
        <v>9.65</v>
      </c>
    </row>
    <row r="8" spans="2:16" x14ac:dyDescent="0.35">
      <c r="D8" t="s">
        <v>443</v>
      </c>
      <c r="F8" s="4">
        <v>116.2</v>
      </c>
      <c r="G8" s="4">
        <v>2724.0324000000001</v>
      </c>
      <c r="H8" s="4">
        <v>4402.6243999999997</v>
      </c>
      <c r="I8" s="4">
        <v>4929.5039999999999</v>
      </c>
      <c r="J8" s="4">
        <v>459.18400000000003</v>
      </c>
      <c r="K8" s="4">
        <v>346.76119999999997</v>
      </c>
      <c r="L8" s="4">
        <f>H8/I8</f>
        <v>0.89311711685394712</v>
      </c>
      <c r="M8" s="4">
        <f>H8/J8</f>
        <v>9.5879307641381217</v>
      </c>
      <c r="N8" s="4">
        <f>G8/K8</f>
        <v>7.8556435956502639</v>
      </c>
    </row>
    <row r="9" spans="2:16" s="35" customFormat="1" x14ac:dyDescent="0.35"/>
    <row r="10" spans="2:16" x14ac:dyDescent="0.35">
      <c r="D10" s="128" t="s">
        <v>459</v>
      </c>
      <c r="E10" s="128"/>
      <c r="F10" s="128"/>
      <c r="G10" s="128"/>
      <c r="H10" s="128"/>
      <c r="I10" s="128"/>
      <c r="J10" s="128"/>
      <c r="K10" s="128"/>
      <c r="L10" s="129">
        <f>AVERAGE(L6:L8)</f>
        <v>1.5949848407633844</v>
      </c>
      <c r="M10" s="129">
        <f t="shared" ref="M10:N10" si="0">AVERAGE(M6:M8)</f>
        <v>9.8593102547127085</v>
      </c>
      <c r="N10" s="129">
        <f t="shared" si="0"/>
        <v>11.538547865216755</v>
      </c>
    </row>
    <row r="11" spans="2:16" x14ac:dyDescent="0.35">
      <c r="D11" s="128" t="s">
        <v>460</v>
      </c>
      <c r="E11" s="128"/>
      <c r="F11" s="128"/>
      <c r="G11" s="128"/>
      <c r="H11" s="128"/>
      <c r="I11" s="128"/>
      <c r="J11" s="128"/>
      <c r="K11" s="128"/>
      <c r="L11" s="129">
        <f>MEDIAN(L6:L8)</f>
        <v>0.89311711685394712</v>
      </c>
      <c r="M11" s="129">
        <f t="shared" ref="M11:N11" si="1">MEDIAN(M6:M8)</f>
        <v>9.5879307641381217</v>
      </c>
      <c r="N11" s="129">
        <f t="shared" si="1"/>
        <v>9.65</v>
      </c>
    </row>
    <row r="13" spans="2:16" x14ac:dyDescent="0.35">
      <c r="B13" t="s">
        <v>461</v>
      </c>
      <c r="D13" s="77" t="s">
        <v>444</v>
      </c>
      <c r="E13" s="77"/>
      <c r="F13" s="77">
        <v>164.48</v>
      </c>
      <c r="G13" s="77">
        <f>'Key Fin'!K3</f>
        <v>174090.8664</v>
      </c>
      <c r="H13" s="77">
        <f>Analysis!L83</f>
        <v>169706.68240000002</v>
      </c>
      <c r="I13" s="130">
        <f>Analysis!L5</f>
        <v>40004.637999999999</v>
      </c>
      <c r="J13" s="77">
        <f>Analysis!L16</f>
        <v>9460.0999999999967</v>
      </c>
      <c r="K13" s="130">
        <f>Analysis!L34</f>
        <v>5244.6839999999975</v>
      </c>
      <c r="L13" s="77">
        <f>Analysis!L84</f>
        <v>4.2421751797879041</v>
      </c>
      <c r="M13" s="77">
        <f>Analysis!L85</f>
        <v>17.939205970338588</v>
      </c>
      <c r="N13" s="130">
        <f>Analysis!L79</f>
        <v>33.193776097854531</v>
      </c>
    </row>
    <row r="14" spans="2:16" x14ac:dyDescent="0.35">
      <c r="B14" t="s">
        <v>462</v>
      </c>
      <c r="D14" s="77" t="s">
        <v>444</v>
      </c>
      <c r="E14" s="72"/>
      <c r="F14" s="72"/>
      <c r="G14" s="72"/>
      <c r="H14" s="72"/>
      <c r="I14" s="72"/>
      <c r="J14" s="72"/>
      <c r="K14" s="72"/>
      <c r="L14" s="111">
        <f>Estimate!H76/I13</f>
        <v>2.4264193217334253</v>
      </c>
      <c r="M14" s="77">
        <f>Estimate!H76/J13</f>
        <v>10.260782296397633</v>
      </c>
      <c r="N14" s="111">
        <f>Estimate!H81/K13</f>
        <v>19.209069908149136</v>
      </c>
      <c r="O14" s="35"/>
    </row>
    <row r="15" spans="2:16" x14ac:dyDescent="0.35">
      <c r="I15" s="35"/>
      <c r="J15" s="35"/>
      <c r="K15" s="35"/>
      <c r="L15" s="35"/>
      <c r="M15" s="35"/>
      <c r="N15" s="35"/>
      <c r="O15" s="35"/>
      <c r="P15" s="29"/>
    </row>
    <row r="16" spans="2:16" x14ac:dyDescent="0.35">
      <c r="I16" s="35"/>
      <c r="J16" s="35"/>
      <c r="K16" s="35"/>
      <c r="L16" s="35"/>
      <c r="M16" s="131" t="s">
        <v>463</v>
      </c>
      <c r="N16" s="131"/>
      <c r="O16" s="131"/>
      <c r="P16" s="131">
        <f>N10*Analysis!L34/529</f>
        <v>114.3970460717135</v>
      </c>
    </row>
    <row r="17" spans="9:16" x14ac:dyDescent="0.35">
      <c r="I17" s="35"/>
      <c r="J17" s="35"/>
      <c r="K17" s="35"/>
      <c r="L17" s="35"/>
      <c r="M17" s="131" t="s">
        <v>464</v>
      </c>
      <c r="N17" s="131"/>
      <c r="O17" s="131"/>
      <c r="P17" s="131">
        <f>Estimate!H83</f>
        <v>190.30128749934116</v>
      </c>
    </row>
    <row r="18" spans="9:16" x14ac:dyDescent="0.35">
      <c r="I18" s="35"/>
      <c r="J18" s="35"/>
      <c r="K18" s="35"/>
      <c r="L18" s="35"/>
      <c r="M18" s="35"/>
      <c r="N18" s="35"/>
      <c r="O18" s="35"/>
    </row>
    <row r="19" spans="9:16" x14ac:dyDescent="0.35">
      <c r="N19" s="139" t="s">
        <v>465</v>
      </c>
      <c r="O19" s="139"/>
      <c r="P19" s="139">
        <f>P17*0.85+P16*0.15</f>
        <v>178.91565128519701</v>
      </c>
    </row>
  </sheetData>
  <mergeCells count="3">
    <mergeCell ref="F3:H3"/>
    <mergeCell ref="I3:K3"/>
    <mergeCell ref="L3:N3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03C1-1F24-4E36-BFFE-965208F728A1}">
  <sheetPr>
    <tabColor rgb="FFFF0000"/>
  </sheetPr>
  <dimension ref="B2:W55"/>
  <sheetViews>
    <sheetView topLeftCell="A20" workbookViewId="0">
      <selection activeCell="B9" sqref="B9"/>
    </sheetView>
  </sheetViews>
  <sheetFormatPr defaultRowHeight="14.5" x14ac:dyDescent="0.35"/>
  <cols>
    <col min="5" max="5" width="24.7265625" bestFit="1" customWidth="1"/>
    <col min="6" max="6" width="25.54296875" bestFit="1" customWidth="1"/>
    <col min="9" max="9" width="9.81640625" bestFit="1" customWidth="1"/>
    <col min="10" max="10" width="13.90625" bestFit="1" customWidth="1"/>
    <col min="11" max="11" width="20" bestFit="1" customWidth="1"/>
    <col min="12" max="12" width="10.08984375" bestFit="1" customWidth="1"/>
    <col min="16" max="16" width="21.7265625" bestFit="1" customWidth="1"/>
    <col min="17" max="17" width="20.6328125" bestFit="1" customWidth="1"/>
    <col min="20" max="20" width="20" bestFit="1" customWidth="1"/>
    <col min="23" max="23" width="20.6328125" bestFit="1" customWidth="1"/>
  </cols>
  <sheetData>
    <row r="2" spans="2:23" x14ac:dyDescent="0.35">
      <c r="E2" s="35" t="s">
        <v>337</v>
      </c>
      <c r="F2" s="35" t="s">
        <v>336</v>
      </c>
      <c r="H2" t="s">
        <v>344</v>
      </c>
      <c r="I2" s="63">
        <v>7.8479999999999994E-2</v>
      </c>
      <c r="J2" t="s">
        <v>345</v>
      </c>
    </row>
    <row r="3" spans="2:23" x14ac:dyDescent="0.35">
      <c r="E3" s="35" t="s">
        <v>338</v>
      </c>
      <c r="F3" s="35">
        <v>1.0449999999999999</v>
      </c>
      <c r="J3" t="s">
        <v>346</v>
      </c>
    </row>
    <row r="4" spans="2:23" x14ac:dyDescent="0.35">
      <c r="E4" s="35" t="s">
        <v>339</v>
      </c>
      <c r="F4" s="35">
        <v>0.65700000000000003</v>
      </c>
      <c r="H4" t="s">
        <v>347</v>
      </c>
      <c r="I4" s="28">
        <f>0.0375+I2</f>
        <v>0.11598</v>
      </c>
    </row>
    <row r="5" spans="2:23" x14ac:dyDescent="0.35">
      <c r="E5" s="35" t="s">
        <v>340</v>
      </c>
      <c r="F5" s="35">
        <v>1.2929999999999999</v>
      </c>
      <c r="I5" s="64"/>
      <c r="K5" s="53">
        <v>41183</v>
      </c>
      <c r="L5" s="4">
        <v>18823.910199999998</v>
      </c>
      <c r="P5" s="35" t="s">
        <v>352</v>
      </c>
      <c r="Q5" s="35" t="s">
        <v>355</v>
      </c>
    </row>
    <row r="6" spans="2:23" x14ac:dyDescent="0.35">
      <c r="E6" s="62" t="s">
        <v>341</v>
      </c>
      <c r="F6" s="62">
        <v>0.77</v>
      </c>
      <c r="K6" s="53">
        <v>41913</v>
      </c>
      <c r="L6" s="4">
        <v>26567.9902</v>
      </c>
      <c r="N6" t="s">
        <v>348</v>
      </c>
      <c r="O6" s="28">
        <f>((L7/L6)^(1/3))-1</f>
        <v>7.0770365886817288E-2</v>
      </c>
      <c r="P6" s="35" t="s">
        <v>353</v>
      </c>
      <c r="Q6" s="66">
        <f>O6-$I$2</f>
        <v>-7.7096341131827062E-3</v>
      </c>
    </row>
    <row r="7" spans="2:23" x14ac:dyDescent="0.35">
      <c r="E7" s="35"/>
      <c r="F7" s="35"/>
      <c r="K7" s="53">
        <v>43009</v>
      </c>
      <c r="L7" s="4">
        <v>32617.279299999998</v>
      </c>
      <c r="O7" s="28">
        <f>((L7/L5)^(1/5))-1</f>
        <v>0.11621428969715519</v>
      </c>
      <c r="P7" s="35" t="s">
        <v>354</v>
      </c>
      <c r="Q7" s="66">
        <f>O7-$I$2</f>
        <v>3.7734289697155199E-2</v>
      </c>
    </row>
    <row r="8" spans="2:23" x14ac:dyDescent="0.35">
      <c r="B8" t="s">
        <v>494</v>
      </c>
      <c r="E8" s="35"/>
      <c r="F8" s="35"/>
    </row>
    <row r="9" spans="2:23" x14ac:dyDescent="0.35">
      <c r="E9" s="35"/>
      <c r="F9" s="35"/>
      <c r="H9" t="s">
        <v>343</v>
      </c>
      <c r="K9" s="65">
        <f>I2+F3*(O7-I2)</f>
        <v>0.11791233273352716</v>
      </c>
    </row>
    <row r="10" spans="2:23" x14ac:dyDescent="0.35">
      <c r="E10" s="35" t="s">
        <v>342</v>
      </c>
      <c r="F10" s="35" t="s">
        <v>336</v>
      </c>
      <c r="K10" s="65">
        <f>I2+F3*(O6-I2)</f>
        <v>7.0423432351724075E-2</v>
      </c>
    </row>
    <row r="11" spans="2:23" x14ac:dyDescent="0.35">
      <c r="E11" s="35" t="s">
        <v>338</v>
      </c>
      <c r="F11" s="35">
        <v>1.0429999999999999</v>
      </c>
    </row>
    <row r="12" spans="2:23" x14ac:dyDescent="0.35">
      <c r="E12" s="35" t="s">
        <v>339</v>
      </c>
      <c r="F12" s="35">
        <v>0.23599999999999999</v>
      </c>
    </row>
    <row r="13" spans="2:23" x14ac:dyDescent="0.35">
      <c r="E13" s="35" t="s">
        <v>340</v>
      </c>
      <c r="F13" s="35">
        <v>1.302</v>
      </c>
    </row>
    <row r="14" spans="2:23" x14ac:dyDescent="0.35">
      <c r="E14" s="62" t="s">
        <v>341</v>
      </c>
      <c r="F14" s="62">
        <v>0.78400000000000003</v>
      </c>
    </row>
    <row r="16" spans="2:23" x14ac:dyDescent="0.35">
      <c r="P16" s="53">
        <v>41183</v>
      </c>
      <c r="Q16" s="4">
        <v>5718.8</v>
      </c>
      <c r="U16" t="s">
        <v>352</v>
      </c>
      <c r="W16" t="s">
        <v>355</v>
      </c>
    </row>
    <row r="17" spans="5:23" x14ac:dyDescent="0.35">
      <c r="P17" s="53">
        <v>41913</v>
      </c>
      <c r="Q17" s="4">
        <v>7945.55</v>
      </c>
      <c r="S17" t="s">
        <v>348</v>
      </c>
      <c r="T17" s="28">
        <f>((P18/P17)^(1/3))-1</f>
        <v>8.6415762904441529E-3</v>
      </c>
      <c r="U17" t="s">
        <v>353</v>
      </c>
      <c r="W17" s="66">
        <f>T17-$I$2</f>
        <v>-6.9838423709555841E-2</v>
      </c>
    </row>
    <row r="18" spans="5:23" x14ac:dyDescent="0.35">
      <c r="P18" s="53">
        <v>43009</v>
      </c>
      <c r="Q18" s="4">
        <v>9859.5</v>
      </c>
      <c r="T18" s="28">
        <f>((Q18/Q16)^(1/5))-1</f>
        <v>0.11509019369110107</v>
      </c>
      <c r="U18" t="s">
        <v>354</v>
      </c>
      <c r="W18" s="66">
        <f>T18-$I$2</f>
        <v>3.6610193691101078E-2</v>
      </c>
    </row>
    <row r="20" spans="5:23" x14ac:dyDescent="0.35">
      <c r="I20" s="78" t="s">
        <v>356</v>
      </c>
      <c r="J20" s="67"/>
      <c r="K20" s="68"/>
    </row>
    <row r="21" spans="5:23" x14ac:dyDescent="0.35">
      <c r="I21" s="67" t="s">
        <v>349</v>
      </c>
      <c r="J21" s="67" t="s">
        <v>350</v>
      </c>
      <c r="K21" s="67" t="s">
        <v>351</v>
      </c>
    </row>
    <row r="22" spans="5:23" x14ac:dyDescent="0.35">
      <c r="I22" s="67" t="s">
        <v>344</v>
      </c>
      <c r="J22" s="69">
        <v>7.8479999999999994E-2</v>
      </c>
      <c r="K22" s="67" t="s">
        <v>345</v>
      </c>
      <c r="S22" s="2"/>
      <c r="T22" s="2"/>
      <c r="U22" s="2"/>
    </row>
    <row r="23" spans="5:23" x14ac:dyDescent="0.35">
      <c r="I23" s="67" t="s">
        <v>347</v>
      </c>
      <c r="J23" s="70">
        <f>I4</f>
        <v>0.11598</v>
      </c>
      <c r="K23" s="67" t="s">
        <v>357</v>
      </c>
    </row>
    <row r="24" spans="5:23" x14ac:dyDescent="0.35">
      <c r="I24" s="67" t="s">
        <v>355</v>
      </c>
      <c r="J24" s="69">
        <f>J23-J22</f>
        <v>3.7500000000000006E-2</v>
      </c>
      <c r="K24" s="67"/>
      <c r="T24" s="63"/>
    </row>
    <row r="25" spans="5:23" x14ac:dyDescent="0.35">
      <c r="I25" s="67" t="s">
        <v>358</v>
      </c>
      <c r="J25" s="67">
        <v>0.45600000000000002</v>
      </c>
      <c r="K25" s="67"/>
      <c r="T25" s="33"/>
      <c r="U25" s="35"/>
    </row>
    <row r="26" spans="5:23" x14ac:dyDescent="0.35">
      <c r="I26" s="67" t="s">
        <v>359</v>
      </c>
      <c r="J26" s="71">
        <f>J22+(J24)*J25</f>
        <v>9.5579999999999998E-2</v>
      </c>
      <c r="K26" s="67"/>
    </row>
    <row r="27" spans="5:23" x14ac:dyDescent="0.35">
      <c r="I27" s="77" t="s">
        <v>360</v>
      </c>
      <c r="J27" s="72"/>
      <c r="K27" s="73"/>
      <c r="T27" s="65"/>
    </row>
    <row r="28" spans="5:23" x14ac:dyDescent="0.35">
      <c r="I28" s="72" t="s">
        <v>349</v>
      </c>
      <c r="J28" s="72" t="s">
        <v>350</v>
      </c>
      <c r="K28" s="72" t="s">
        <v>351</v>
      </c>
      <c r="T28" s="28"/>
    </row>
    <row r="29" spans="5:23" s="35" customFormat="1" x14ac:dyDescent="0.35">
      <c r="I29" s="72" t="s">
        <v>470</v>
      </c>
      <c r="J29" s="75">
        <v>0.3</v>
      </c>
      <c r="K29" s="72" t="s">
        <v>471</v>
      </c>
      <c r="T29" s="28"/>
    </row>
    <row r="30" spans="5:23" x14ac:dyDescent="0.35">
      <c r="E30" s="142" t="s">
        <v>472</v>
      </c>
      <c r="F30" s="141">
        <f>Estimate!D6</f>
        <v>1</v>
      </c>
      <c r="I30" s="72" t="s">
        <v>344</v>
      </c>
      <c r="J30" s="74">
        <v>7.8479999999999994E-2</v>
      </c>
      <c r="K30" s="72" t="s">
        <v>345</v>
      </c>
      <c r="S30" s="35"/>
      <c r="T30" s="28"/>
    </row>
    <row r="31" spans="5:23" x14ac:dyDescent="0.35">
      <c r="F31" s="137"/>
      <c r="I31" s="72" t="s">
        <v>347</v>
      </c>
      <c r="J31" s="75">
        <f>T18</f>
        <v>0.11509019369110107</v>
      </c>
      <c r="K31" s="72" t="s">
        <v>357</v>
      </c>
      <c r="T31" s="65"/>
    </row>
    <row r="32" spans="5:23" x14ac:dyDescent="0.35">
      <c r="I32" s="72" t="s">
        <v>355</v>
      </c>
      <c r="J32" s="74">
        <f>J31-J30</f>
        <v>3.6610193691101078E-2</v>
      </c>
      <c r="K32" s="72"/>
    </row>
    <row r="33" spans="9:21" x14ac:dyDescent="0.35">
      <c r="I33" s="72" t="s">
        <v>358</v>
      </c>
      <c r="J33" s="72">
        <f>F11</f>
        <v>1.0429999999999999</v>
      </c>
      <c r="K33" s="72"/>
    </row>
    <row r="34" spans="9:21" x14ac:dyDescent="0.35">
      <c r="I34" s="72" t="s">
        <v>359</v>
      </c>
      <c r="J34" s="76">
        <f>J30+(J32)*J33</f>
        <v>0.11666443201981841</v>
      </c>
      <c r="K34" s="72" t="s">
        <v>492</v>
      </c>
    </row>
    <row r="35" spans="9:21" s="35" customFormat="1" x14ac:dyDescent="0.35">
      <c r="I35" s="72" t="s">
        <v>469</v>
      </c>
      <c r="J35" s="76">
        <f>AVERAGE(Analysis!F67:L67)</f>
        <v>9.9014099310591394E-2</v>
      </c>
      <c r="K35" s="72"/>
    </row>
    <row r="36" spans="9:21" s="35" customFormat="1" x14ac:dyDescent="0.35">
      <c r="I36" s="72" t="s">
        <v>368</v>
      </c>
      <c r="J36" s="76">
        <f>(J35*(1-J29)*VLOOKUP(F30,E51:K55,7)+(J34*(1-VLOOKUP(F30,E51:K55,7))))</f>
        <v>0.11666443201981841</v>
      </c>
      <c r="K36" s="72" t="s">
        <v>493</v>
      </c>
    </row>
    <row r="37" spans="9:21" x14ac:dyDescent="0.35">
      <c r="I37" s="77" t="s">
        <v>361</v>
      </c>
      <c r="J37" s="72"/>
      <c r="K37" s="73"/>
    </row>
    <row r="38" spans="9:21" x14ac:dyDescent="0.35">
      <c r="I38" s="72" t="s">
        <v>349</v>
      </c>
      <c r="J38" s="72" t="s">
        <v>350</v>
      </c>
      <c r="K38" s="72" t="s">
        <v>351</v>
      </c>
      <c r="U38" s="35"/>
    </row>
    <row r="39" spans="9:21" s="35" customFormat="1" x14ac:dyDescent="0.35">
      <c r="I39" s="72" t="s">
        <v>470</v>
      </c>
      <c r="J39" s="75">
        <v>0.3</v>
      </c>
      <c r="K39" s="72" t="s">
        <v>471</v>
      </c>
    </row>
    <row r="40" spans="9:21" x14ac:dyDescent="0.35">
      <c r="I40" s="72" t="s">
        <v>344</v>
      </c>
      <c r="J40" s="74">
        <v>7.8479999999999994E-2</v>
      </c>
      <c r="K40" s="72" t="s">
        <v>345</v>
      </c>
      <c r="U40" s="35"/>
    </row>
    <row r="41" spans="9:21" x14ac:dyDescent="0.35">
      <c r="I41" s="72" t="s">
        <v>347</v>
      </c>
      <c r="J41" s="75">
        <f>O7</f>
        <v>0.11621428969715519</v>
      </c>
      <c r="K41" s="72" t="s">
        <v>357</v>
      </c>
      <c r="U41" s="35"/>
    </row>
    <row r="42" spans="9:21" x14ac:dyDescent="0.35">
      <c r="I42" s="72" t="s">
        <v>355</v>
      </c>
      <c r="J42" s="74">
        <f>J41-J40</f>
        <v>3.7734289697155199E-2</v>
      </c>
      <c r="K42" s="72"/>
      <c r="U42" s="35"/>
    </row>
    <row r="43" spans="9:21" x14ac:dyDescent="0.35">
      <c r="I43" s="72" t="s">
        <v>358</v>
      </c>
      <c r="J43" s="72">
        <f>F3</f>
        <v>1.0449999999999999</v>
      </c>
      <c r="K43" s="72"/>
      <c r="U43" s="35"/>
    </row>
    <row r="44" spans="9:21" x14ac:dyDescent="0.35">
      <c r="I44" s="72" t="s">
        <v>359</v>
      </c>
      <c r="J44" s="76">
        <f>J40+(J42)*J43</f>
        <v>0.11791233273352716</v>
      </c>
      <c r="K44" s="72" t="s">
        <v>492</v>
      </c>
    </row>
    <row r="45" spans="9:21" s="35" customFormat="1" x14ac:dyDescent="0.35">
      <c r="I45" s="72" t="s">
        <v>469</v>
      </c>
      <c r="J45" s="76">
        <f>J35</f>
        <v>9.9014099310591394E-2</v>
      </c>
      <c r="K45" s="72"/>
    </row>
    <row r="46" spans="9:21" s="35" customFormat="1" x14ac:dyDescent="0.35">
      <c r="I46" s="72" t="s">
        <v>368</v>
      </c>
      <c r="J46" s="76">
        <f>(J45*(1-J29)*VLOOKUP(F30,E51:K55,7))+(J44*(1-VLOOKUP(F30,E51:K55,7)))</f>
        <v>0.11791233273352716</v>
      </c>
      <c r="K46" s="72" t="s">
        <v>493</v>
      </c>
    </row>
    <row r="49" spans="5:11" x14ac:dyDescent="0.35">
      <c r="E49" s="151" t="s">
        <v>417</v>
      </c>
      <c r="F49" s="91"/>
      <c r="G49" s="35"/>
      <c r="H49" s="35"/>
      <c r="I49" s="35"/>
      <c r="J49" s="35"/>
      <c r="K49" s="35"/>
    </row>
    <row r="50" spans="5:11" x14ac:dyDescent="0.35">
      <c r="E50" s="152"/>
      <c r="F50" s="92" t="s">
        <v>418</v>
      </c>
      <c r="G50" s="133" t="s">
        <v>421</v>
      </c>
      <c r="H50" s="133" t="s">
        <v>372</v>
      </c>
      <c r="I50" s="133" t="s">
        <v>373</v>
      </c>
      <c r="J50" s="133" t="s">
        <v>487</v>
      </c>
      <c r="K50" s="133" t="s">
        <v>466</v>
      </c>
    </row>
    <row r="51" spans="5:11" x14ac:dyDescent="0.35">
      <c r="E51" s="91">
        <v>1</v>
      </c>
      <c r="F51" s="35" t="s">
        <v>419</v>
      </c>
      <c r="G51" s="28">
        <f>Estimate!L75</f>
        <v>0.2</v>
      </c>
      <c r="H51" s="28">
        <f>Estimate!M75</f>
        <v>0.15000000000000002</v>
      </c>
      <c r="I51" s="28">
        <f>Estimate!N75</f>
        <v>0.10000000000000002</v>
      </c>
      <c r="J51" s="28">
        <f>Estimate!O75</f>
        <v>0.12584313890790338</v>
      </c>
      <c r="K51" s="136">
        <f>Estimate!P75</f>
        <v>0</v>
      </c>
    </row>
    <row r="52" spans="5:11" x14ac:dyDescent="0.35">
      <c r="E52" s="91">
        <v>2</v>
      </c>
      <c r="F52" s="35" t="s">
        <v>422</v>
      </c>
      <c r="G52" s="28">
        <f>Estimate!L76</f>
        <v>0.3</v>
      </c>
      <c r="H52" s="28">
        <f>Estimate!M76</f>
        <v>0.4</v>
      </c>
      <c r="I52" s="28">
        <f>Estimate!N76</f>
        <v>0.2</v>
      </c>
      <c r="J52" s="28">
        <f>Estimate!O76</f>
        <v>0.10678069673855695</v>
      </c>
      <c r="K52" s="136">
        <f>Estimate!P76</f>
        <v>0.7</v>
      </c>
    </row>
    <row r="53" spans="5:11" x14ac:dyDescent="0.35">
      <c r="E53" s="91">
        <v>3</v>
      </c>
      <c r="F53" s="35" t="s">
        <v>420</v>
      </c>
      <c r="G53" s="28">
        <f>Estimate!L77</f>
        <v>0.05</v>
      </c>
      <c r="H53" s="28">
        <f>Estimate!M77</f>
        <v>0.05</v>
      </c>
      <c r="I53" s="28">
        <f>Estimate!N77</f>
        <v>0.02</v>
      </c>
      <c r="J53" s="28">
        <f>Estimate!O77</f>
        <v>0.10805314142289944</v>
      </c>
      <c r="K53" s="136">
        <f>Estimate!P77</f>
        <v>0.2</v>
      </c>
    </row>
    <row r="54" spans="5:11" x14ac:dyDescent="0.35">
      <c r="E54" s="91">
        <v>4</v>
      </c>
      <c r="F54" s="35" t="s">
        <v>423</v>
      </c>
      <c r="G54" s="28">
        <f>Estimate!L78</f>
        <v>0.25</v>
      </c>
      <c r="H54" s="28">
        <f>Estimate!M78</f>
        <v>0.3</v>
      </c>
      <c r="I54" s="28">
        <f>Estimate!N78</f>
        <v>0.4</v>
      </c>
      <c r="J54" s="28">
        <f>Estimate!O78</f>
        <v>0.11495684933441123</v>
      </c>
      <c r="K54" s="136">
        <f>Estimate!P78</f>
        <v>0.8</v>
      </c>
    </row>
    <row r="55" spans="5:11" x14ac:dyDescent="0.35">
      <c r="E55" s="91">
        <v>5</v>
      </c>
      <c r="F55" s="35" t="s">
        <v>424</v>
      </c>
      <c r="G55" s="28">
        <f>Estimate!L79</f>
        <v>0.15</v>
      </c>
      <c r="H55" s="28">
        <f>Estimate!M79</f>
        <v>0.1</v>
      </c>
      <c r="I55" s="28">
        <f>Estimate!N79</f>
        <v>0.02</v>
      </c>
      <c r="J55" s="28">
        <f>Estimate!O79</f>
        <v>0.10761985643790245</v>
      </c>
      <c r="K55" s="136">
        <f>Estimate!P79</f>
        <v>0.1</v>
      </c>
    </row>
  </sheetData>
  <mergeCells count="1">
    <mergeCell ref="E49:E50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CBF5-2B00-4C36-B0A1-F4E8D67E1024}">
  <dimension ref="A1:P101"/>
  <sheetViews>
    <sheetView showGridLines="0" workbookViewId="0">
      <selection activeCell="E70" sqref="E70"/>
    </sheetView>
  </sheetViews>
  <sheetFormatPr defaultRowHeight="14.5" x14ac:dyDescent="0.35"/>
  <cols>
    <col min="1" max="1" width="34.453125" customWidth="1"/>
    <col min="2" max="16" width="9.90625" bestFit="1" customWidth="1"/>
  </cols>
  <sheetData>
    <row r="1" spans="1:16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0" x14ac:dyDescent="0.35">
      <c r="A2" s="6" t="s">
        <v>117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5">
      <c r="A4" s="8" t="s">
        <v>7</v>
      </c>
      <c r="B4" s="9" t="s">
        <v>118</v>
      </c>
      <c r="C4" s="9" t="s">
        <v>11</v>
      </c>
      <c r="D4" s="9" t="s">
        <v>12</v>
      </c>
      <c r="E4" s="9" t="s">
        <v>13</v>
      </c>
      <c r="F4" s="9" t="s">
        <v>0</v>
      </c>
      <c r="G4" s="9" t="s">
        <v>1</v>
      </c>
      <c r="H4" s="9" t="s">
        <v>2</v>
      </c>
      <c r="I4" s="9" t="s">
        <v>3</v>
      </c>
      <c r="J4" s="9" t="s">
        <v>4</v>
      </c>
      <c r="K4" s="9" t="s">
        <v>5</v>
      </c>
      <c r="L4" s="9" t="s">
        <v>6</v>
      </c>
      <c r="M4" s="9" t="s">
        <v>14</v>
      </c>
      <c r="N4" s="9" t="s">
        <v>15</v>
      </c>
      <c r="O4" s="9" t="s">
        <v>16</v>
      </c>
      <c r="P4" s="9" t="s">
        <v>17</v>
      </c>
    </row>
    <row r="5" spans="1:16" x14ac:dyDescent="0.35">
      <c r="A5" s="10" t="s">
        <v>19</v>
      </c>
      <c r="B5" s="11" t="s">
        <v>119</v>
      </c>
      <c r="C5" s="11" t="s">
        <v>20</v>
      </c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26</v>
      </c>
      <c r="J5" s="11" t="s">
        <v>27</v>
      </c>
      <c r="K5" s="11" t="s">
        <v>28</v>
      </c>
      <c r="L5" s="11" t="s">
        <v>29</v>
      </c>
      <c r="M5" s="11" t="s">
        <v>30</v>
      </c>
      <c r="N5" s="11" t="s">
        <v>31</v>
      </c>
      <c r="O5" s="11" t="s">
        <v>32</v>
      </c>
      <c r="P5" s="11" t="s">
        <v>33</v>
      </c>
    </row>
    <row r="6" spans="1:16" x14ac:dyDescent="0.35">
      <c r="A6" s="12" t="s">
        <v>120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35">
      <c r="A7" s="14" t="s">
        <v>121</v>
      </c>
      <c r="B7" s="15">
        <v>54.244</v>
      </c>
      <c r="C7" s="15">
        <v>44.204999999999998</v>
      </c>
      <c r="D7" s="15">
        <v>44.808999999999997</v>
      </c>
      <c r="E7" s="15">
        <v>48.939</v>
      </c>
      <c r="F7" s="15">
        <v>90.385999999999996</v>
      </c>
      <c r="G7" s="15">
        <v>58.350999999999999</v>
      </c>
      <c r="H7" s="15">
        <v>25.427</v>
      </c>
      <c r="I7" s="15">
        <v>25.803999999999998</v>
      </c>
      <c r="J7" s="15">
        <v>69.287999999999997</v>
      </c>
      <c r="K7" s="15">
        <v>1405.8440000000001</v>
      </c>
      <c r="L7" s="15">
        <v>5830.0029999999997</v>
      </c>
      <c r="M7" s="15">
        <v>7337.8029999999999</v>
      </c>
      <c r="N7" s="15">
        <v>277.01499999999999</v>
      </c>
      <c r="O7" s="15">
        <v>150.55000000000001</v>
      </c>
      <c r="P7" s="15">
        <v>81.858999999999995</v>
      </c>
    </row>
    <row r="8" spans="1:16" x14ac:dyDescent="0.35">
      <c r="A8" s="14" t="s">
        <v>122</v>
      </c>
      <c r="B8" s="15">
        <v>14.103999999999999</v>
      </c>
      <c r="C8" s="15">
        <v>18.923000000000002</v>
      </c>
      <c r="D8" s="15">
        <v>44.808999999999997</v>
      </c>
      <c r="E8" s="15">
        <v>48.939</v>
      </c>
      <c r="F8" s="15">
        <v>90.385999999999996</v>
      </c>
      <c r="G8" s="15">
        <v>58.350999999999999</v>
      </c>
      <c r="H8" s="15">
        <v>25.427</v>
      </c>
      <c r="I8" s="15">
        <v>25.803999999999998</v>
      </c>
      <c r="J8" s="15">
        <v>69.287999999999997</v>
      </c>
      <c r="K8" s="15">
        <v>1405.8440000000001</v>
      </c>
      <c r="L8" s="15">
        <v>5824.3729999999996</v>
      </c>
      <c r="M8" s="15">
        <v>7328.9369999999999</v>
      </c>
      <c r="N8" s="15">
        <v>277.01499999999999</v>
      </c>
      <c r="O8" s="15">
        <v>150.55000000000001</v>
      </c>
      <c r="P8" s="15">
        <v>81.858999999999995</v>
      </c>
    </row>
    <row r="9" spans="1:16" x14ac:dyDescent="0.35">
      <c r="A9" s="14" t="s">
        <v>123</v>
      </c>
      <c r="B9" s="15">
        <v>40.14</v>
      </c>
      <c r="C9" s="15">
        <v>25.282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5.63</v>
      </c>
      <c r="M9" s="15">
        <v>8.8659999999999997</v>
      </c>
      <c r="N9" s="15">
        <v>0</v>
      </c>
      <c r="O9" s="15">
        <v>0</v>
      </c>
      <c r="P9" s="15">
        <v>0</v>
      </c>
    </row>
    <row r="10" spans="1:16" x14ac:dyDescent="0.35">
      <c r="A10" s="14" t="s">
        <v>124</v>
      </c>
      <c r="B10" s="15">
        <v>193.39099999999999</v>
      </c>
      <c r="C10" s="15">
        <v>384.53100000000001</v>
      </c>
      <c r="D10" s="15">
        <v>425.39499999999998</v>
      </c>
      <c r="E10" s="15">
        <v>1696.7</v>
      </c>
      <c r="F10" s="15">
        <v>2745.1750000000002</v>
      </c>
      <c r="G10" s="15">
        <v>4454.8329999999996</v>
      </c>
      <c r="H10" s="15">
        <v>6527.3710000000001</v>
      </c>
      <c r="I10" s="15">
        <v>7682.9830000000002</v>
      </c>
      <c r="J10" s="15">
        <v>11993.24</v>
      </c>
      <c r="K10" s="15">
        <v>8498.6830000000009</v>
      </c>
      <c r="L10" s="15">
        <v>8243.5720000000001</v>
      </c>
      <c r="M10" s="15">
        <v>13078.868</v>
      </c>
      <c r="N10" s="15">
        <v>13196.241</v>
      </c>
      <c r="O10" s="15">
        <v>13688.421</v>
      </c>
      <c r="P10" s="15">
        <v>11203.120999999999</v>
      </c>
    </row>
    <row r="11" spans="1:16" x14ac:dyDescent="0.35">
      <c r="A11" s="14" t="s">
        <v>125</v>
      </c>
      <c r="B11" s="15">
        <v>193.39099999999999</v>
      </c>
      <c r="C11" s="15">
        <v>384.53100000000001</v>
      </c>
      <c r="D11" s="15">
        <v>425.39499999999998</v>
      </c>
      <c r="E11" s="15">
        <v>1696.7</v>
      </c>
      <c r="F11" s="15">
        <v>2745.1750000000002</v>
      </c>
      <c r="G11" s="15">
        <v>4454.8329999999996</v>
      </c>
      <c r="H11" s="15">
        <v>6527.3710000000001</v>
      </c>
      <c r="I11" s="15">
        <v>7682.9830000000002</v>
      </c>
      <c r="J11" s="15">
        <v>11993.24</v>
      </c>
      <c r="K11" s="15">
        <v>8498.6830000000009</v>
      </c>
      <c r="L11" s="15">
        <v>8243.5720000000001</v>
      </c>
      <c r="M11" s="15">
        <v>13078.868</v>
      </c>
      <c r="N11" s="15">
        <v>13196.241</v>
      </c>
      <c r="O11" s="15">
        <v>13688.421</v>
      </c>
      <c r="P11" s="15">
        <v>11203.120999999999</v>
      </c>
    </row>
    <row r="12" spans="1:16" x14ac:dyDescent="0.35">
      <c r="A12" s="14" t="s">
        <v>126</v>
      </c>
      <c r="B12" s="15" t="s">
        <v>37</v>
      </c>
      <c r="C12" s="15" t="s">
        <v>37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</row>
    <row r="13" spans="1:16" x14ac:dyDescent="0.35">
      <c r="A13" s="14" t="s">
        <v>127</v>
      </c>
      <c r="B13" s="15">
        <v>486.58600000000001</v>
      </c>
      <c r="C13" s="15">
        <v>15.643000000000001</v>
      </c>
      <c r="D13" s="15">
        <v>140.85</v>
      </c>
      <c r="E13" s="15">
        <v>208.54499999999999</v>
      </c>
      <c r="F13" s="15">
        <v>177.49299999999999</v>
      </c>
      <c r="G13" s="15">
        <v>244.333</v>
      </c>
      <c r="H13" s="15">
        <v>537.67600000000004</v>
      </c>
      <c r="I13" s="15">
        <v>1624.8530000000001</v>
      </c>
      <c r="J13" s="15">
        <v>1693.627</v>
      </c>
      <c r="K13" s="15">
        <v>5070.57</v>
      </c>
      <c r="L13" s="15">
        <v>4991.8879999999999</v>
      </c>
      <c r="M13" s="15">
        <v>171.46299999999999</v>
      </c>
      <c r="N13" s="15">
        <v>41.067</v>
      </c>
      <c r="O13" s="15">
        <v>78.138000000000005</v>
      </c>
      <c r="P13" s="15">
        <v>49.722000000000001</v>
      </c>
    </row>
    <row r="14" spans="1:16" x14ac:dyDescent="0.35">
      <c r="A14" s="14" t="s">
        <v>128</v>
      </c>
      <c r="B14" s="15" t="s">
        <v>37</v>
      </c>
      <c r="C14" s="15" t="s">
        <v>37</v>
      </c>
      <c r="D14" s="15">
        <v>140.85</v>
      </c>
      <c r="E14" s="15">
        <v>74.171999999999997</v>
      </c>
      <c r="F14" s="15">
        <v>2.1040000000000001</v>
      </c>
      <c r="G14" s="15">
        <v>2.121</v>
      </c>
      <c r="H14" s="15">
        <v>0.74299999999999999</v>
      </c>
      <c r="I14" s="15">
        <v>1229.3420000000001</v>
      </c>
      <c r="J14" s="15">
        <v>1250.5029999999999</v>
      </c>
      <c r="K14" s="15">
        <v>4572.7839999999997</v>
      </c>
      <c r="L14" s="15">
        <v>4411.8980000000001</v>
      </c>
      <c r="M14" s="15">
        <v>0</v>
      </c>
      <c r="N14" s="15">
        <v>0</v>
      </c>
      <c r="O14" s="15">
        <v>0</v>
      </c>
      <c r="P14" s="15">
        <v>0</v>
      </c>
    </row>
    <row r="15" spans="1:16" x14ac:dyDescent="0.35">
      <c r="A15" s="14" t="s">
        <v>129</v>
      </c>
      <c r="B15" s="15">
        <v>482.57900000000001</v>
      </c>
      <c r="C15" s="15">
        <v>9.8480000000000008</v>
      </c>
      <c r="D15" s="15">
        <v>0</v>
      </c>
      <c r="E15" s="15">
        <v>134.37299999999999</v>
      </c>
      <c r="F15" s="15">
        <v>169.19399999999999</v>
      </c>
      <c r="G15" s="15">
        <v>219.91399999999999</v>
      </c>
      <c r="H15" s="15">
        <v>467.68799999999999</v>
      </c>
      <c r="I15" s="15">
        <v>324.12599999999998</v>
      </c>
      <c r="J15" s="15">
        <v>374.517</v>
      </c>
      <c r="K15" s="15">
        <v>425.83199999999999</v>
      </c>
      <c r="L15" s="15">
        <v>478.57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5">
      <c r="A16" s="14" t="s">
        <v>130</v>
      </c>
      <c r="B16" s="15">
        <v>4.0069999999999997</v>
      </c>
      <c r="C16" s="15">
        <v>5.7949999999999999</v>
      </c>
      <c r="D16" s="15">
        <v>0</v>
      </c>
      <c r="E16" s="15">
        <v>0</v>
      </c>
      <c r="F16" s="15">
        <v>0</v>
      </c>
      <c r="G16" s="15">
        <v>0</v>
      </c>
      <c r="H16" s="15">
        <v>43.884</v>
      </c>
      <c r="I16" s="15">
        <v>50.866</v>
      </c>
      <c r="J16" s="15">
        <v>46.57</v>
      </c>
      <c r="K16" s="15">
        <v>51.319000000000003</v>
      </c>
      <c r="L16" s="15">
        <v>100.474</v>
      </c>
      <c r="M16" s="15">
        <v>168.298</v>
      </c>
      <c r="N16" s="15">
        <v>39.308999999999997</v>
      </c>
      <c r="O16" s="15">
        <v>76.644000000000005</v>
      </c>
      <c r="P16" s="15">
        <v>48.530999999999999</v>
      </c>
    </row>
    <row r="17" spans="1:16" x14ac:dyDescent="0.35">
      <c r="A17" s="14" t="s">
        <v>131</v>
      </c>
      <c r="B17" s="15">
        <v>0</v>
      </c>
      <c r="C17" s="15">
        <v>0</v>
      </c>
      <c r="D17" s="15">
        <v>0</v>
      </c>
      <c r="E17" s="15">
        <v>0</v>
      </c>
      <c r="F17" s="15">
        <v>6.1950000000000003</v>
      </c>
      <c r="G17" s="15">
        <v>22.297999999999998</v>
      </c>
      <c r="H17" s="15">
        <v>25.361000000000001</v>
      </c>
      <c r="I17" s="15">
        <v>20.518999999999998</v>
      </c>
      <c r="J17" s="15">
        <v>22.036999999999999</v>
      </c>
      <c r="K17" s="15">
        <v>20.635000000000002</v>
      </c>
      <c r="L17" s="15">
        <v>0.94599999999999995</v>
      </c>
      <c r="M17" s="15">
        <v>3.165</v>
      </c>
      <c r="N17" s="15">
        <v>1.758</v>
      </c>
      <c r="O17" s="15">
        <v>1.494</v>
      </c>
      <c r="P17" s="15">
        <v>1.1910000000000001</v>
      </c>
    </row>
    <row r="18" spans="1:16" x14ac:dyDescent="0.35">
      <c r="A18" s="14" t="s">
        <v>132</v>
      </c>
      <c r="B18" s="15">
        <v>129.953</v>
      </c>
      <c r="C18" s="15">
        <v>130.26900000000001</v>
      </c>
      <c r="D18" s="15">
        <v>117.23</v>
      </c>
      <c r="E18" s="15">
        <v>191.73400000000001</v>
      </c>
      <c r="F18" s="15">
        <v>804.69299999999998</v>
      </c>
      <c r="G18" s="15">
        <v>496.01400000000001</v>
      </c>
      <c r="H18" s="15">
        <v>1991.8530000000001</v>
      </c>
      <c r="I18" s="15">
        <v>2336.7779999999998</v>
      </c>
      <c r="J18" s="15">
        <v>3587.2429999999999</v>
      </c>
      <c r="K18" s="15">
        <v>4307.2950000000001</v>
      </c>
      <c r="L18" s="15">
        <v>3249.2950000000001</v>
      </c>
      <c r="M18" s="15">
        <v>7832.1689999999999</v>
      </c>
      <c r="N18" s="15">
        <v>11843.537</v>
      </c>
      <c r="O18" s="15">
        <v>6391.9040000000005</v>
      </c>
      <c r="P18" s="15">
        <v>9786.61</v>
      </c>
    </row>
    <row r="19" spans="1:16" x14ac:dyDescent="0.35">
      <c r="A19" s="14" t="s">
        <v>133</v>
      </c>
      <c r="B19" s="15" t="s">
        <v>37</v>
      </c>
      <c r="C19" s="15" t="s">
        <v>37</v>
      </c>
      <c r="D19" s="15">
        <v>45.113</v>
      </c>
      <c r="E19" s="15">
        <v>123.044</v>
      </c>
      <c r="F19" s="15">
        <v>559.13099999999997</v>
      </c>
      <c r="G19" s="15">
        <v>48.457000000000001</v>
      </c>
      <c r="H19" s="15">
        <v>0</v>
      </c>
      <c r="I19" s="15">
        <v>0</v>
      </c>
      <c r="J19" s="15">
        <v>0</v>
      </c>
      <c r="K19" s="15">
        <v>3763.5709999999999</v>
      </c>
      <c r="L19" s="15">
        <v>2850.5129999999999</v>
      </c>
      <c r="M19" s="15">
        <v>16.346</v>
      </c>
      <c r="N19" s="15">
        <v>35.14</v>
      </c>
      <c r="O19" s="15">
        <v>14.725</v>
      </c>
      <c r="P19" s="15">
        <v>9.2189999999999994</v>
      </c>
    </row>
    <row r="20" spans="1:16" x14ac:dyDescent="0.35">
      <c r="A20" s="14" t="s">
        <v>134</v>
      </c>
      <c r="B20" s="15" t="s">
        <v>37</v>
      </c>
      <c r="C20" s="15" t="s">
        <v>37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 t="s">
        <v>37</v>
      </c>
      <c r="L20" s="15" t="s">
        <v>37</v>
      </c>
      <c r="M20" s="15" t="s">
        <v>37</v>
      </c>
      <c r="N20" s="15" t="s">
        <v>37</v>
      </c>
      <c r="O20" s="15" t="s">
        <v>37</v>
      </c>
      <c r="P20" s="15" t="s">
        <v>37</v>
      </c>
    </row>
    <row r="21" spans="1:16" x14ac:dyDescent="0.35">
      <c r="A21" s="14" t="s">
        <v>135</v>
      </c>
      <c r="B21" s="15" t="s">
        <v>37</v>
      </c>
      <c r="C21" s="15" t="s">
        <v>37</v>
      </c>
      <c r="D21" s="15" t="s">
        <v>37</v>
      </c>
      <c r="E21" s="15" t="s">
        <v>37</v>
      </c>
      <c r="F21" s="15">
        <v>26.321000000000002</v>
      </c>
      <c r="G21" s="15">
        <v>69.007000000000005</v>
      </c>
      <c r="H21" s="15">
        <v>0</v>
      </c>
      <c r="I21" s="15">
        <v>0</v>
      </c>
      <c r="J21" s="15">
        <v>0</v>
      </c>
      <c r="K21" s="15">
        <v>28.568000000000001</v>
      </c>
      <c r="L21" s="15">
        <v>40.079000000000001</v>
      </c>
      <c r="M21" s="15">
        <v>24.701000000000001</v>
      </c>
      <c r="N21" s="15">
        <v>24.74</v>
      </c>
      <c r="O21" s="15">
        <v>140.15899999999999</v>
      </c>
      <c r="P21" s="15">
        <v>51.680999999999997</v>
      </c>
    </row>
    <row r="22" spans="1:16" x14ac:dyDescent="0.35">
      <c r="A22" s="14" t="s">
        <v>136</v>
      </c>
      <c r="B22" s="15" t="s">
        <v>37</v>
      </c>
      <c r="C22" s="15" t="s">
        <v>37</v>
      </c>
      <c r="D22" s="15">
        <v>72.117000000000004</v>
      </c>
      <c r="E22" s="15">
        <v>68.69</v>
      </c>
      <c r="F22" s="15">
        <v>219.24100000000001</v>
      </c>
      <c r="G22" s="15">
        <v>378.55</v>
      </c>
      <c r="H22" s="15">
        <v>1991.8530000000001</v>
      </c>
      <c r="I22" s="15">
        <v>2336.7779999999998</v>
      </c>
      <c r="J22" s="15">
        <v>3587.2429999999999</v>
      </c>
      <c r="K22" s="15">
        <v>515.15599999999995</v>
      </c>
      <c r="L22" s="15">
        <v>358.70299999999997</v>
      </c>
      <c r="M22" s="15">
        <v>7791.1220000000003</v>
      </c>
      <c r="N22" s="15">
        <v>11783.656999999999</v>
      </c>
      <c r="O22" s="15">
        <v>6237.02</v>
      </c>
      <c r="P22" s="15">
        <v>9725.7099999999991</v>
      </c>
    </row>
    <row r="23" spans="1:16" x14ac:dyDescent="0.35">
      <c r="A23" s="12" t="s">
        <v>137</v>
      </c>
      <c r="B23" s="3">
        <v>864.17399999999998</v>
      </c>
      <c r="C23" s="3">
        <v>574.64800000000002</v>
      </c>
      <c r="D23" s="3">
        <v>728.28399999999999</v>
      </c>
      <c r="E23" s="3">
        <v>2145.9180000000001</v>
      </c>
      <c r="F23" s="3">
        <v>3817.7469999999998</v>
      </c>
      <c r="G23" s="3">
        <v>5253.5309999999999</v>
      </c>
      <c r="H23" s="3">
        <v>9082.3269999999993</v>
      </c>
      <c r="I23" s="3">
        <v>11670.418</v>
      </c>
      <c r="J23" s="3">
        <v>17343.398000000001</v>
      </c>
      <c r="K23" s="3">
        <v>19282.392</v>
      </c>
      <c r="L23" s="3">
        <v>22314.758000000002</v>
      </c>
      <c r="M23" s="3">
        <v>28420.303</v>
      </c>
      <c r="N23" s="3">
        <v>25357.86</v>
      </c>
      <c r="O23" s="3">
        <v>20309.012999999999</v>
      </c>
      <c r="P23" s="3">
        <v>21121.312000000002</v>
      </c>
    </row>
    <row r="24" spans="1:16" x14ac:dyDescent="0.35">
      <c r="A24" s="14" t="s">
        <v>138</v>
      </c>
      <c r="B24" s="15">
        <v>1259.5809999999999</v>
      </c>
      <c r="C24" s="15">
        <v>2398.4380000000001</v>
      </c>
      <c r="D24" s="15">
        <v>2657.7950000000001</v>
      </c>
      <c r="E24" s="15">
        <v>2872.625</v>
      </c>
      <c r="F24" s="15">
        <v>2223.5720000000001</v>
      </c>
      <c r="G24" s="15">
        <v>5016.22</v>
      </c>
      <c r="H24" s="15">
        <v>4371.1909999999998</v>
      </c>
      <c r="I24" s="15">
        <v>4845.3019999999997</v>
      </c>
      <c r="J24" s="15">
        <v>2829.2159999999999</v>
      </c>
      <c r="K24" s="15">
        <v>1322.221</v>
      </c>
      <c r="L24" s="15">
        <v>287.46899999999999</v>
      </c>
      <c r="M24" s="15">
        <v>929.84400000000005</v>
      </c>
      <c r="N24" s="15">
        <v>1561.778</v>
      </c>
      <c r="O24" s="15">
        <v>1539.6890000000001</v>
      </c>
      <c r="P24" s="15">
        <v>1570.453</v>
      </c>
    </row>
    <row r="25" spans="1:16" x14ac:dyDescent="0.35">
      <c r="A25" s="14" t="s">
        <v>139</v>
      </c>
      <c r="B25" s="15">
        <v>1624.7439999999999</v>
      </c>
      <c r="C25" s="15">
        <v>3056.3719999999998</v>
      </c>
      <c r="D25" s="15">
        <v>3121.9589999999998</v>
      </c>
      <c r="E25" s="15">
        <v>3754.8850000000002</v>
      </c>
      <c r="F25" s="15">
        <v>3627.5219999999999</v>
      </c>
      <c r="G25" s="15">
        <v>7263.9650000000001</v>
      </c>
      <c r="H25" s="15">
        <v>8187.8649999999998</v>
      </c>
      <c r="I25" s="15">
        <v>10468.067999999999</v>
      </c>
      <c r="J25" s="15">
        <v>10494.665000000001</v>
      </c>
      <c r="K25" s="15">
        <v>10606.24</v>
      </c>
      <c r="L25" s="15">
        <v>582.92899999999997</v>
      </c>
      <c r="M25" s="15">
        <v>1292.6110000000001</v>
      </c>
      <c r="N25" s="15">
        <v>2010.876</v>
      </c>
      <c r="O25" s="15">
        <v>2020.288</v>
      </c>
      <c r="P25" s="15">
        <v>2217.835</v>
      </c>
    </row>
    <row r="26" spans="1:16" x14ac:dyDescent="0.35">
      <c r="A26" s="14" t="s">
        <v>140</v>
      </c>
      <c r="B26" s="15">
        <v>365.16300000000001</v>
      </c>
      <c r="C26" s="15">
        <v>657.93399999999997</v>
      </c>
      <c r="D26" s="15">
        <v>464.16399999999999</v>
      </c>
      <c r="E26" s="15">
        <v>882.26</v>
      </c>
      <c r="F26" s="15">
        <v>1403.95</v>
      </c>
      <c r="G26" s="15">
        <v>2247.7449999999999</v>
      </c>
      <c r="H26" s="15">
        <v>3816.674</v>
      </c>
      <c r="I26" s="15">
        <v>5622.7659999999996</v>
      </c>
      <c r="J26" s="15">
        <v>7665.4489999999996</v>
      </c>
      <c r="K26" s="15">
        <v>9284.0190000000002</v>
      </c>
      <c r="L26" s="15">
        <v>295.45999999999998</v>
      </c>
      <c r="M26" s="15">
        <v>362.767</v>
      </c>
      <c r="N26" s="15">
        <v>449.09800000000001</v>
      </c>
      <c r="O26" s="15">
        <v>480.59899999999999</v>
      </c>
      <c r="P26" s="15">
        <v>647.38199999999995</v>
      </c>
    </row>
    <row r="27" spans="1:16" x14ac:dyDescent="0.35">
      <c r="A27" s="14" t="s">
        <v>141</v>
      </c>
      <c r="B27" s="15" t="s">
        <v>37</v>
      </c>
      <c r="C27" s="15">
        <v>21</v>
      </c>
      <c r="D27" s="15">
        <v>0</v>
      </c>
      <c r="E27" s="15">
        <v>0</v>
      </c>
      <c r="F27" s="15">
        <v>12.507999999999999</v>
      </c>
      <c r="G27" s="15">
        <v>14.5</v>
      </c>
      <c r="H27" s="15">
        <v>23.13</v>
      </c>
      <c r="I27" s="15">
        <v>25.5</v>
      </c>
      <c r="J27" s="15">
        <v>13.5</v>
      </c>
      <c r="K27" s="15">
        <v>111.53</v>
      </c>
      <c r="L27" s="15">
        <v>12.852</v>
      </c>
      <c r="M27" s="15">
        <v>281.08300000000003</v>
      </c>
      <c r="N27" s="15">
        <v>36.707000000000001</v>
      </c>
      <c r="O27" s="15">
        <v>33.384</v>
      </c>
      <c r="P27" s="15">
        <v>13.885</v>
      </c>
    </row>
    <row r="28" spans="1:16" x14ac:dyDescent="0.35">
      <c r="A28" s="14" t="s">
        <v>142</v>
      </c>
      <c r="B28" s="15" t="s">
        <v>37</v>
      </c>
      <c r="C28" s="15" t="s">
        <v>37</v>
      </c>
      <c r="D28" s="15" t="s">
        <v>37</v>
      </c>
      <c r="E28" s="15" t="s">
        <v>37</v>
      </c>
      <c r="F28" s="15">
        <v>12.507999999999999</v>
      </c>
      <c r="G28" s="15">
        <v>14.5</v>
      </c>
      <c r="H28" s="15">
        <v>23.13</v>
      </c>
      <c r="I28" s="15">
        <v>25.5</v>
      </c>
      <c r="J28" s="15">
        <v>13.5</v>
      </c>
      <c r="K28" s="15">
        <v>14.994</v>
      </c>
      <c r="L28" s="15">
        <v>12.852</v>
      </c>
      <c r="M28" s="15">
        <v>281.08300000000003</v>
      </c>
      <c r="N28" s="15">
        <v>36.707000000000001</v>
      </c>
      <c r="O28" s="15">
        <v>33.384</v>
      </c>
      <c r="P28" s="15">
        <v>13.885</v>
      </c>
    </row>
    <row r="29" spans="1:16" x14ac:dyDescent="0.35">
      <c r="A29" s="14" t="s">
        <v>143</v>
      </c>
      <c r="B29" s="15" t="s">
        <v>37</v>
      </c>
      <c r="C29" s="15" t="s">
        <v>37</v>
      </c>
      <c r="D29" s="15" t="s">
        <v>37</v>
      </c>
      <c r="E29" s="15" t="s">
        <v>37</v>
      </c>
      <c r="F29" s="15" t="s">
        <v>37</v>
      </c>
      <c r="G29" s="15" t="s">
        <v>37</v>
      </c>
      <c r="H29" s="15" t="s">
        <v>37</v>
      </c>
      <c r="I29" s="15" t="s">
        <v>37</v>
      </c>
      <c r="J29" s="15" t="s">
        <v>37</v>
      </c>
      <c r="K29" s="15">
        <v>96.536000000000001</v>
      </c>
      <c r="L29" s="15">
        <v>0</v>
      </c>
      <c r="M29" s="15" t="s">
        <v>37</v>
      </c>
      <c r="N29" s="15" t="s">
        <v>37</v>
      </c>
      <c r="O29" s="15">
        <v>0</v>
      </c>
      <c r="P29" s="15">
        <v>0</v>
      </c>
    </row>
    <row r="30" spans="1:16" x14ac:dyDescent="0.35">
      <c r="A30" s="14" t="s">
        <v>144</v>
      </c>
      <c r="B30" s="15">
        <v>6.66</v>
      </c>
      <c r="C30" s="15">
        <v>503.95299999999997</v>
      </c>
      <c r="D30" s="15">
        <v>25.032</v>
      </c>
      <c r="E30" s="15">
        <v>21.004000000000001</v>
      </c>
      <c r="F30" s="15">
        <v>839.80600000000004</v>
      </c>
      <c r="G30" s="15">
        <v>877.57</v>
      </c>
      <c r="H30" s="15">
        <v>349.26299999999998</v>
      </c>
      <c r="I30" s="15">
        <v>704.971</v>
      </c>
      <c r="J30" s="15">
        <v>186.25</v>
      </c>
      <c r="K30" s="15">
        <v>206.74199999999999</v>
      </c>
      <c r="L30" s="15">
        <v>69.344999999999999</v>
      </c>
      <c r="M30" s="15">
        <v>295.19099999999997</v>
      </c>
      <c r="N30" s="15">
        <v>220.90799999999999</v>
      </c>
      <c r="O30" s="15">
        <v>6307.2740000000003</v>
      </c>
      <c r="P30" s="15">
        <v>6050.6859999999997</v>
      </c>
    </row>
    <row r="31" spans="1:16" x14ac:dyDescent="0.35">
      <c r="A31" s="14" t="s">
        <v>145</v>
      </c>
      <c r="B31" s="15">
        <v>6.66</v>
      </c>
      <c r="C31" s="15">
        <v>500</v>
      </c>
      <c r="D31" s="15">
        <v>0</v>
      </c>
      <c r="E31" s="15">
        <v>0</v>
      </c>
      <c r="F31" s="15">
        <v>500</v>
      </c>
      <c r="G31" s="15">
        <v>500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0.36699999999999999</v>
      </c>
      <c r="O31" s="15">
        <v>0.183</v>
      </c>
      <c r="P31" s="15">
        <v>34.643000000000001</v>
      </c>
    </row>
    <row r="32" spans="1:16" x14ac:dyDescent="0.35">
      <c r="A32" s="17" t="s">
        <v>146</v>
      </c>
      <c r="B32" s="18" t="s">
        <v>37</v>
      </c>
      <c r="C32" s="18" t="s">
        <v>37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</row>
    <row r="33" spans="1:16" x14ac:dyDescent="0.35">
      <c r="A33" s="17" t="s">
        <v>147</v>
      </c>
      <c r="B33" s="18" t="s">
        <v>37</v>
      </c>
      <c r="C33" s="18" t="s">
        <v>37</v>
      </c>
      <c r="D33" s="18">
        <v>0</v>
      </c>
      <c r="E33" s="18">
        <v>0</v>
      </c>
      <c r="F33" s="18">
        <v>500</v>
      </c>
      <c r="G33" s="18">
        <v>500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0.36699999999999999</v>
      </c>
      <c r="O33" s="18">
        <v>0.183</v>
      </c>
      <c r="P33" s="18">
        <v>34.643000000000001</v>
      </c>
    </row>
    <row r="34" spans="1:16" x14ac:dyDescent="0.35">
      <c r="A34" s="14" t="s">
        <v>148</v>
      </c>
      <c r="B34" s="15" t="s">
        <v>37</v>
      </c>
      <c r="C34" s="15" t="s">
        <v>37</v>
      </c>
      <c r="D34" s="15" t="s">
        <v>37</v>
      </c>
      <c r="E34" s="15" t="s">
        <v>37</v>
      </c>
      <c r="F34" s="15" t="s">
        <v>37</v>
      </c>
      <c r="G34" s="15" t="s">
        <v>37</v>
      </c>
      <c r="H34" s="15" t="s">
        <v>37</v>
      </c>
      <c r="I34" s="15" t="s">
        <v>37</v>
      </c>
      <c r="J34" s="15" t="s">
        <v>37</v>
      </c>
      <c r="K34" s="15">
        <v>6.9000000000000006E-2</v>
      </c>
      <c r="L34" s="15">
        <v>0</v>
      </c>
      <c r="M34" s="15" t="s">
        <v>37</v>
      </c>
      <c r="N34" s="15" t="s">
        <v>37</v>
      </c>
      <c r="O34" s="15">
        <v>6195</v>
      </c>
      <c r="P34" s="15">
        <v>5959.59</v>
      </c>
    </row>
    <row r="35" spans="1:16" x14ac:dyDescent="0.35">
      <c r="A35" s="14" t="s">
        <v>149</v>
      </c>
      <c r="B35" s="15" t="s">
        <v>37</v>
      </c>
      <c r="C35" s="15" t="s">
        <v>37</v>
      </c>
      <c r="D35" s="15" t="s">
        <v>37</v>
      </c>
      <c r="E35" s="15" t="s">
        <v>37</v>
      </c>
      <c r="F35" s="15" t="s">
        <v>37</v>
      </c>
      <c r="G35" s="15" t="s">
        <v>37</v>
      </c>
      <c r="H35" s="15" t="s">
        <v>37</v>
      </c>
      <c r="I35" s="15" t="s">
        <v>37</v>
      </c>
      <c r="J35" s="15" t="s">
        <v>37</v>
      </c>
      <c r="K35" s="15">
        <v>19.035</v>
      </c>
      <c r="L35" s="15">
        <v>40.563000000000002</v>
      </c>
      <c r="M35" s="15">
        <v>113.2</v>
      </c>
      <c r="N35" s="15">
        <v>53.847000000000001</v>
      </c>
      <c r="O35" s="15">
        <v>9.2639999999999993</v>
      </c>
      <c r="P35" s="15">
        <v>3.7999999999999999E-2</v>
      </c>
    </row>
    <row r="36" spans="1:16" x14ac:dyDescent="0.35">
      <c r="A36" s="14" t="s">
        <v>134</v>
      </c>
      <c r="B36" s="15" t="s">
        <v>37</v>
      </c>
      <c r="C36" s="15" t="s">
        <v>37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 t="s">
        <v>37</v>
      </c>
      <c r="L36" s="15" t="s">
        <v>37</v>
      </c>
      <c r="M36" s="15" t="s">
        <v>37</v>
      </c>
      <c r="N36" s="15" t="s">
        <v>37</v>
      </c>
      <c r="O36" s="15" t="s">
        <v>37</v>
      </c>
      <c r="P36" s="15" t="s">
        <v>37</v>
      </c>
    </row>
    <row r="37" spans="1:16" x14ac:dyDescent="0.35">
      <c r="A37" s="14" t="s">
        <v>150</v>
      </c>
      <c r="B37" s="15" t="s">
        <v>37</v>
      </c>
      <c r="C37" s="15">
        <v>0</v>
      </c>
      <c r="D37" s="15">
        <v>21</v>
      </c>
      <c r="E37" s="15">
        <v>21</v>
      </c>
      <c r="F37" s="15">
        <v>21</v>
      </c>
      <c r="G37" s="15">
        <v>0.13</v>
      </c>
      <c r="H37" s="15" t="s">
        <v>37</v>
      </c>
      <c r="I37" s="15">
        <v>0</v>
      </c>
      <c r="J37" s="15">
        <v>2.5</v>
      </c>
      <c r="K37" s="15" t="s">
        <v>37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</row>
    <row r="38" spans="1:16" x14ac:dyDescent="0.35">
      <c r="A38" s="14" t="s">
        <v>151</v>
      </c>
      <c r="B38" s="15">
        <v>0</v>
      </c>
      <c r="C38" s="15">
        <v>3.9529999999999998</v>
      </c>
      <c r="D38" s="15">
        <v>4.032</v>
      </c>
      <c r="E38" s="15">
        <v>4.0000000000000001E-3</v>
      </c>
      <c r="F38" s="15">
        <v>318.80599999999998</v>
      </c>
      <c r="G38" s="15">
        <v>377.44</v>
      </c>
      <c r="H38" s="15">
        <v>349.26299999999998</v>
      </c>
      <c r="I38" s="15">
        <v>704.971</v>
      </c>
      <c r="J38" s="15">
        <v>183.75</v>
      </c>
      <c r="K38" s="15">
        <v>187.63800000000001</v>
      </c>
      <c r="L38" s="15">
        <v>28.782</v>
      </c>
      <c r="M38" s="15">
        <v>181.99100000000001</v>
      </c>
      <c r="N38" s="15">
        <v>166.69399999999999</v>
      </c>
      <c r="O38" s="15">
        <v>102.827</v>
      </c>
      <c r="P38" s="15">
        <v>56.414999999999999</v>
      </c>
    </row>
    <row r="39" spans="1:16" x14ac:dyDescent="0.35">
      <c r="A39" s="12" t="s">
        <v>152</v>
      </c>
      <c r="B39" s="3">
        <v>1266.241</v>
      </c>
      <c r="C39" s="3">
        <v>2923.3910000000001</v>
      </c>
      <c r="D39" s="3">
        <v>2682.8270000000002</v>
      </c>
      <c r="E39" s="3">
        <v>2893.6289999999999</v>
      </c>
      <c r="F39" s="3">
        <v>3075.886</v>
      </c>
      <c r="G39" s="3">
        <v>5908.29</v>
      </c>
      <c r="H39" s="3">
        <v>4743.5839999999998</v>
      </c>
      <c r="I39" s="3">
        <v>5575.7730000000001</v>
      </c>
      <c r="J39" s="3">
        <v>3028.9659999999999</v>
      </c>
      <c r="K39" s="3">
        <v>1640.4929999999999</v>
      </c>
      <c r="L39" s="3">
        <v>369.666</v>
      </c>
      <c r="M39" s="3">
        <v>1506.1179999999999</v>
      </c>
      <c r="N39" s="3">
        <v>1819.393</v>
      </c>
      <c r="O39" s="3">
        <v>7880.3469999999998</v>
      </c>
      <c r="P39" s="3">
        <v>7635.0240000000003</v>
      </c>
    </row>
    <row r="40" spans="1:16" x14ac:dyDescent="0.35">
      <c r="A40" s="12" t="s">
        <v>120</v>
      </c>
      <c r="B40" s="3">
        <v>2130.415</v>
      </c>
      <c r="C40" s="3">
        <v>3498.0390000000002</v>
      </c>
      <c r="D40" s="3">
        <v>3411.1109999999999</v>
      </c>
      <c r="E40" s="3">
        <v>5039.5469999999996</v>
      </c>
      <c r="F40" s="3">
        <v>6893.6329999999998</v>
      </c>
      <c r="G40" s="3">
        <v>11161.821</v>
      </c>
      <c r="H40" s="3">
        <v>13825.911</v>
      </c>
      <c r="I40" s="3">
        <v>17246.190999999999</v>
      </c>
      <c r="J40" s="3">
        <v>20372.364000000001</v>
      </c>
      <c r="K40" s="3">
        <v>20922.884999999998</v>
      </c>
      <c r="L40" s="3">
        <v>22684.423999999999</v>
      </c>
      <c r="M40" s="3">
        <v>29926.420999999998</v>
      </c>
      <c r="N40" s="3">
        <v>27177.253000000001</v>
      </c>
      <c r="O40" s="3">
        <v>28189.360000000001</v>
      </c>
      <c r="P40" s="3">
        <v>28756.335999999999</v>
      </c>
    </row>
    <row r="41" spans="1:16" x14ac:dyDescent="0.35">
      <c r="A41" s="12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35">
      <c r="A42" s="12" t="s">
        <v>153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x14ac:dyDescent="0.35">
      <c r="A43" s="14" t="s">
        <v>154</v>
      </c>
      <c r="B43" s="15">
        <v>59.14</v>
      </c>
      <c r="C43" s="15">
        <v>299.029</v>
      </c>
      <c r="D43" s="15">
        <v>34.765999999999998</v>
      </c>
      <c r="E43" s="15">
        <v>94.9</v>
      </c>
      <c r="F43" s="15">
        <v>1140.2439999999999</v>
      </c>
      <c r="G43" s="15">
        <v>1545.4960000000001</v>
      </c>
      <c r="H43" s="15">
        <v>1864.6030000000001</v>
      </c>
      <c r="I43" s="15">
        <v>2632.973</v>
      </c>
      <c r="J43" s="15">
        <v>2849.4679999999998</v>
      </c>
      <c r="K43" s="15">
        <v>1174.9190000000001</v>
      </c>
      <c r="L43" s="15">
        <v>305.07400000000001</v>
      </c>
      <c r="M43" s="15">
        <v>3401.8820000000001</v>
      </c>
      <c r="N43" s="15">
        <v>338.75599999999997</v>
      </c>
      <c r="O43" s="15">
        <v>770.18200000000002</v>
      </c>
      <c r="P43" s="15">
        <v>432.036</v>
      </c>
    </row>
    <row r="44" spans="1:16" x14ac:dyDescent="0.35">
      <c r="A44" s="14" t="s">
        <v>155</v>
      </c>
      <c r="B44" s="15">
        <v>59.14</v>
      </c>
      <c r="C44" s="15">
        <v>299.029</v>
      </c>
      <c r="D44" s="15" t="s">
        <v>37</v>
      </c>
      <c r="E44" s="15" t="s">
        <v>37</v>
      </c>
      <c r="F44" s="15">
        <v>868.24400000000003</v>
      </c>
      <c r="G44" s="15">
        <v>1218.3240000000001</v>
      </c>
      <c r="H44" s="15">
        <v>1754.758</v>
      </c>
      <c r="I44" s="15">
        <v>2524.3150000000001</v>
      </c>
      <c r="J44" s="15">
        <v>2131.3209999999999</v>
      </c>
      <c r="K44" s="15">
        <v>1144.1110000000001</v>
      </c>
      <c r="L44" s="15">
        <v>296.86799999999999</v>
      </c>
      <c r="M44" s="15">
        <v>3401.8820000000001</v>
      </c>
      <c r="N44" s="15">
        <v>338.75599999999997</v>
      </c>
      <c r="O44" s="15">
        <v>690.798</v>
      </c>
      <c r="P44" s="15">
        <v>341.38099999999997</v>
      </c>
    </row>
    <row r="45" spans="1:16" x14ac:dyDescent="0.35">
      <c r="A45" s="14" t="s">
        <v>156</v>
      </c>
      <c r="B45" s="15" t="s">
        <v>37</v>
      </c>
      <c r="C45" s="15" t="s">
        <v>37</v>
      </c>
      <c r="D45" s="15">
        <v>13.37</v>
      </c>
      <c r="E45" s="15">
        <v>61.155999999999999</v>
      </c>
      <c r="F45" s="15">
        <v>203.47200000000001</v>
      </c>
      <c r="G45" s="15">
        <v>185.63200000000001</v>
      </c>
      <c r="H45" s="15">
        <v>11.951000000000001</v>
      </c>
      <c r="I45" s="15">
        <v>6.9399999999999995</v>
      </c>
      <c r="J45" s="15">
        <v>4.9569999999999999</v>
      </c>
      <c r="K45" s="15">
        <v>0</v>
      </c>
      <c r="L45" s="15">
        <v>0</v>
      </c>
      <c r="M45" s="15">
        <v>0</v>
      </c>
      <c r="N45" s="15" t="s">
        <v>37</v>
      </c>
      <c r="O45" s="15">
        <v>70.423000000000002</v>
      </c>
      <c r="P45" s="15">
        <v>81.432000000000002</v>
      </c>
    </row>
    <row r="46" spans="1:16" x14ac:dyDescent="0.35">
      <c r="A46" s="14" t="s">
        <v>157</v>
      </c>
      <c r="B46" s="15" t="s">
        <v>37</v>
      </c>
      <c r="C46" s="15" t="s">
        <v>37</v>
      </c>
      <c r="D46" s="15">
        <v>21.396000000000001</v>
      </c>
      <c r="E46" s="15">
        <v>33.744</v>
      </c>
      <c r="F46" s="15">
        <v>56.146999999999998</v>
      </c>
      <c r="G46" s="15">
        <v>124.324</v>
      </c>
      <c r="H46" s="15">
        <v>37.932000000000002</v>
      </c>
      <c r="I46" s="15">
        <v>9.5860000000000003</v>
      </c>
      <c r="J46" s="15">
        <v>20.562999999999999</v>
      </c>
      <c r="K46" s="15">
        <v>5.5410000000000004</v>
      </c>
      <c r="L46" s="15">
        <v>6.2969999999999997</v>
      </c>
      <c r="M46" s="15" t="s">
        <v>37</v>
      </c>
      <c r="N46" s="15" t="s">
        <v>37</v>
      </c>
      <c r="O46" s="15">
        <v>8.9610000000000003</v>
      </c>
      <c r="P46" s="15">
        <v>9.2230000000000008</v>
      </c>
    </row>
    <row r="47" spans="1:16" x14ac:dyDescent="0.35">
      <c r="A47" s="14" t="s">
        <v>158</v>
      </c>
      <c r="B47" s="15" t="s">
        <v>37</v>
      </c>
      <c r="C47" s="15" t="s">
        <v>37</v>
      </c>
      <c r="D47" s="15" t="s">
        <v>37</v>
      </c>
      <c r="E47" s="15" t="s">
        <v>37</v>
      </c>
      <c r="F47" s="15">
        <v>12.381</v>
      </c>
      <c r="G47" s="15">
        <v>17.216000000000001</v>
      </c>
      <c r="H47" s="15">
        <v>59.962000000000003</v>
      </c>
      <c r="I47" s="15">
        <v>92.132000000000005</v>
      </c>
      <c r="J47" s="15">
        <v>692.62699999999995</v>
      </c>
      <c r="K47" s="15">
        <v>25.266999999999999</v>
      </c>
      <c r="L47" s="15">
        <v>1.909</v>
      </c>
      <c r="M47" s="15" t="s">
        <v>37</v>
      </c>
      <c r="N47" s="15" t="s">
        <v>37</v>
      </c>
      <c r="O47" s="15" t="s">
        <v>37</v>
      </c>
      <c r="P47" s="15" t="s">
        <v>37</v>
      </c>
    </row>
    <row r="48" spans="1:16" x14ac:dyDescent="0.35">
      <c r="A48" s="14" t="s">
        <v>159</v>
      </c>
      <c r="B48" s="15">
        <v>14.5</v>
      </c>
      <c r="C48" s="15">
        <v>14.5</v>
      </c>
      <c r="D48" s="15">
        <v>0</v>
      </c>
      <c r="E48" s="15">
        <v>0</v>
      </c>
      <c r="F48" s="15">
        <v>1634.252</v>
      </c>
      <c r="G48" s="15">
        <v>2155.8939999999998</v>
      </c>
      <c r="H48" s="15">
        <v>2852.183</v>
      </c>
      <c r="I48" s="15">
        <v>3216.2620000000002</v>
      </c>
      <c r="J48" s="15">
        <v>3155.74</v>
      </c>
      <c r="K48" s="15">
        <v>2827.5039999999999</v>
      </c>
      <c r="L48" s="15">
        <v>1440.1890000000001</v>
      </c>
      <c r="M48" s="15">
        <v>0</v>
      </c>
      <c r="N48" s="15">
        <v>0</v>
      </c>
      <c r="O48" s="15">
        <v>0</v>
      </c>
      <c r="P48" s="15">
        <v>0</v>
      </c>
    </row>
    <row r="49" spans="1:16" x14ac:dyDescent="0.35">
      <c r="A49" s="14" t="s">
        <v>160</v>
      </c>
      <c r="B49" s="15" t="s">
        <v>37</v>
      </c>
      <c r="C49" s="15" t="s">
        <v>37</v>
      </c>
      <c r="D49" s="15">
        <v>0</v>
      </c>
      <c r="E49" s="15">
        <v>0</v>
      </c>
      <c r="F49" s="15">
        <v>1634.252</v>
      </c>
      <c r="G49" s="15">
        <v>2155.8939999999998</v>
      </c>
      <c r="H49" s="15">
        <v>2852.183</v>
      </c>
      <c r="I49" s="15">
        <v>2391.9630000000002</v>
      </c>
      <c r="J49" s="15">
        <v>3155.74</v>
      </c>
      <c r="K49" s="15">
        <v>2579.4749999999999</v>
      </c>
      <c r="L49" s="15">
        <v>1440.1890000000001</v>
      </c>
      <c r="M49" s="15">
        <v>0</v>
      </c>
      <c r="N49" s="15">
        <v>0</v>
      </c>
      <c r="O49" s="15">
        <v>0</v>
      </c>
      <c r="P49" s="15">
        <v>0</v>
      </c>
    </row>
    <row r="50" spans="1:16" x14ac:dyDescent="0.35">
      <c r="A50" s="14" t="s">
        <v>161</v>
      </c>
      <c r="B50" s="15" t="s">
        <v>37</v>
      </c>
      <c r="C50" s="15" t="s">
        <v>37</v>
      </c>
      <c r="D50" s="15">
        <v>0</v>
      </c>
      <c r="E50" s="15">
        <v>0</v>
      </c>
      <c r="F50" s="15">
        <v>0</v>
      </c>
      <c r="G50" s="15">
        <v>0</v>
      </c>
      <c r="H50" s="15" t="s">
        <v>37</v>
      </c>
      <c r="I50" s="15" t="s">
        <v>37</v>
      </c>
      <c r="J50" s="15" t="s">
        <v>37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 t="s">
        <v>37</v>
      </c>
    </row>
    <row r="51" spans="1:16" x14ac:dyDescent="0.35">
      <c r="A51" s="17" t="s">
        <v>162</v>
      </c>
      <c r="B51" s="18" t="s">
        <v>37</v>
      </c>
      <c r="C51" s="18" t="s">
        <v>37</v>
      </c>
      <c r="D51" s="18">
        <v>0</v>
      </c>
      <c r="E51" s="18">
        <v>0</v>
      </c>
      <c r="F51" s="18">
        <v>0</v>
      </c>
      <c r="G51" s="18">
        <v>0</v>
      </c>
      <c r="H51" s="18" t="s">
        <v>37</v>
      </c>
      <c r="I51" s="18" t="s">
        <v>37</v>
      </c>
      <c r="J51" s="18" t="s">
        <v>37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 t="s">
        <v>37</v>
      </c>
    </row>
    <row r="52" spans="1:16" x14ac:dyDescent="0.35">
      <c r="A52" s="14" t="s">
        <v>163</v>
      </c>
      <c r="B52" s="15" t="s">
        <v>37</v>
      </c>
      <c r="C52" s="15" t="s">
        <v>37</v>
      </c>
      <c r="D52" s="15" t="s">
        <v>37</v>
      </c>
      <c r="E52" s="15" t="s">
        <v>37</v>
      </c>
      <c r="F52" s="15" t="s">
        <v>37</v>
      </c>
      <c r="G52" s="15" t="s">
        <v>37</v>
      </c>
      <c r="H52" s="15" t="s">
        <v>37</v>
      </c>
      <c r="I52" s="15">
        <v>824.29899999999998</v>
      </c>
      <c r="J52" s="15" t="s">
        <v>37</v>
      </c>
      <c r="K52" s="15">
        <v>248.029</v>
      </c>
      <c r="L52" s="15" t="s">
        <v>37</v>
      </c>
      <c r="M52" s="15" t="s">
        <v>37</v>
      </c>
      <c r="N52" s="15" t="s">
        <v>37</v>
      </c>
      <c r="O52" s="15" t="s">
        <v>37</v>
      </c>
      <c r="P52" s="15" t="s">
        <v>37</v>
      </c>
    </row>
    <row r="53" spans="1:16" x14ac:dyDescent="0.35">
      <c r="A53" s="14" t="s">
        <v>164</v>
      </c>
      <c r="B53" s="15">
        <v>84.509</v>
      </c>
      <c r="C53" s="15">
        <v>146.238</v>
      </c>
      <c r="D53" s="15">
        <v>119.709</v>
      </c>
      <c r="E53" s="15">
        <v>878.90099999999995</v>
      </c>
      <c r="F53" s="15">
        <v>40.235999999999997</v>
      </c>
      <c r="G53" s="15">
        <v>901.779</v>
      </c>
      <c r="H53" s="15">
        <v>1578.3979999999999</v>
      </c>
      <c r="I53" s="15">
        <v>1995.105</v>
      </c>
      <c r="J53" s="15">
        <v>1478.701</v>
      </c>
      <c r="K53" s="15">
        <v>797.33699999999999</v>
      </c>
      <c r="L53" s="15">
        <v>368.40699999999998</v>
      </c>
      <c r="M53" s="15">
        <v>525.42600000000004</v>
      </c>
      <c r="N53" s="15">
        <v>759.47</v>
      </c>
      <c r="O53" s="15">
        <v>979.29300000000001</v>
      </c>
      <c r="P53" s="15">
        <v>1639.1130000000001</v>
      </c>
    </row>
    <row r="54" spans="1:16" x14ac:dyDescent="0.35">
      <c r="A54" s="14" t="s">
        <v>165</v>
      </c>
      <c r="B54" s="15" t="s">
        <v>37</v>
      </c>
      <c r="C54" s="15" t="s">
        <v>37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 t="s">
        <v>37</v>
      </c>
      <c r="L54" s="15" t="s">
        <v>37</v>
      </c>
      <c r="M54" s="15" t="s">
        <v>37</v>
      </c>
      <c r="N54" s="15" t="s">
        <v>37</v>
      </c>
      <c r="O54" s="15" t="s">
        <v>37</v>
      </c>
      <c r="P54" s="15" t="s">
        <v>37</v>
      </c>
    </row>
    <row r="55" spans="1:16" x14ac:dyDescent="0.35">
      <c r="A55" s="14" t="s">
        <v>166</v>
      </c>
      <c r="B55" s="15" t="s">
        <v>37</v>
      </c>
      <c r="C55" s="15" t="s">
        <v>37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 t="s">
        <v>37</v>
      </c>
      <c r="L55" s="15" t="s">
        <v>37</v>
      </c>
      <c r="M55" s="15" t="s">
        <v>37</v>
      </c>
      <c r="N55" s="15" t="s">
        <v>37</v>
      </c>
      <c r="O55" s="15" t="s">
        <v>37</v>
      </c>
      <c r="P55" s="15" t="s">
        <v>37</v>
      </c>
    </row>
    <row r="56" spans="1:16" x14ac:dyDescent="0.35">
      <c r="A56" s="14" t="s">
        <v>167</v>
      </c>
      <c r="B56" s="15">
        <v>84.509</v>
      </c>
      <c r="C56" s="15">
        <v>146.238</v>
      </c>
      <c r="D56" s="15">
        <v>119.709</v>
      </c>
      <c r="E56" s="15">
        <v>878.90099999999995</v>
      </c>
      <c r="F56" s="15">
        <v>40.235999999999997</v>
      </c>
      <c r="G56" s="15">
        <v>901.779</v>
      </c>
      <c r="H56" s="15">
        <v>1578.3979999999999</v>
      </c>
      <c r="I56" s="15">
        <v>1995.105</v>
      </c>
      <c r="J56" s="15">
        <v>1478.701</v>
      </c>
      <c r="K56" s="15">
        <v>797.33699999999999</v>
      </c>
      <c r="L56" s="15">
        <v>368.40699999999998</v>
      </c>
      <c r="M56" s="15">
        <v>525.42600000000004</v>
      </c>
      <c r="N56" s="15">
        <v>759.47</v>
      </c>
      <c r="O56" s="15">
        <v>979.29300000000001</v>
      </c>
      <c r="P56" s="15">
        <v>1639.1130000000001</v>
      </c>
    </row>
    <row r="57" spans="1:16" x14ac:dyDescent="0.35">
      <c r="A57" s="12" t="s">
        <v>168</v>
      </c>
      <c r="B57" s="3">
        <v>158.149</v>
      </c>
      <c r="C57" s="3">
        <v>459.767</v>
      </c>
      <c r="D57" s="3">
        <v>154.47499999999999</v>
      </c>
      <c r="E57" s="3">
        <v>973.80100000000004</v>
      </c>
      <c r="F57" s="3">
        <v>2814.732</v>
      </c>
      <c r="G57" s="3">
        <v>4603.1689999999999</v>
      </c>
      <c r="H57" s="3">
        <v>6295.1840000000002</v>
      </c>
      <c r="I57" s="3">
        <v>7844.34</v>
      </c>
      <c r="J57" s="3">
        <v>7483.9089999999997</v>
      </c>
      <c r="K57" s="3">
        <v>4799.76</v>
      </c>
      <c r="L57" s="3">
        <v>2113.67</v>
      </c>
      <c r="M57" s="3">
        <v>3927.308</v>
      </c>
      <c r="N57" s="3">
        <v>1098.2260000000001</v>
      </c>
      <c r="O57" s="3">
        <v>1749.4749999999999</v>
      </c>
      <c r="P57" s="3">
        <v>2071.1489999999999</v>
      </c>
    </row>
    <row r="58" spans="1:16" x14ac:dyDescent="0.35">
      <c r="A58" s="14" t="s">
        <v>169</v>
      </c>
      <c r="B58" s="15">
        <v>13.63</v>
      </c>
      <c r="C58" s="15">
        <v>0</v>
      </c>
      <c r="D58" s="15">
        <v>224.541</v>
      </c>
      <c r="E58" s="15">
        <v>685.58399999999995</v>
      </c>
      <c r="F58" s="15">
        <v>0</v>
      </c>
      <c r="G58" s="15">
        <v>1559.6110000000001</v>
      </c>
      <c r="H58" s="15">
        <v>1456.854</v>
      </c>
      <c r="I58" s="15">
        <v>862.10199999999998</v>
      </c>
      <c r="J58" s="15">
        <v>374.06</v>
      </c>
      <c r="K58" s="15">
        <v>122.19799999999999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</row>
    <row r="59" spans="1:16" x14ac:dyDescent="0.35">
      <c r="A59" s="14" t="s">
        <v>170</v>
      </c>
      <c r="B59" s="15" t="s">
        <v>37</v>
      </c>
      <c r="C59" s="15" t="s">
        <v>37</v>
      </c>
      <c r="D59" s="15">
        <v>224.541</v>
      </c>
      <c r="E59" s="15">
        <v>685.58399999999995</v>
      </c>
      <c r="F59" s="15">
        <v>0</v>
      </c>
      <c r="G59" s="15">
        <v>1559.6110000000001</v>
      </c>
      <c r="H59" s="15">
        <v>1456.854</v>
      </c>
      <c r="I59" s="15">
        <v>862.10199999999998</v>
      </c>
      <c r="J59" s="15">
        <v>374.06</v>
      </c>
      <c r="K59" s="15">
        <v>122.19799999999999</v>
      </c>
      <c r="L59" s="15">
        <v>0</v>
      </c>
      <c r="M59" s="15">
        <v>0</v>
      </c>
      <c r="N59" s="15">
        <v>0</v>
      </c>
      <c r="O59" s="15">
        <v>0</v>
      </c>
      <c r="P59" s="15" t="s">
        <v>37</v>
      </c>
    </row>
    <row r="60" spans="1:16" x14ac:dyDescent="0.35">
      <c r="A60" s="14" t="s">
        <v>171</v>
      </c>
      <c r="B60" s="15" t="s">
        <v>37</v>
      </c>
      <c r="C60" s="15" t="s">
        <v>37</v>
      </c>
      <c r="D60" s="15">
        <v>0</v>
      </c>
      <c r="E60" s="15">
        <v>0</v>
      </c>
      <c r="F60" s="15">
        <v>0</v>
      </c>
      <c r="G60" s="15">
        <v>0</v>
      </c>
      <c r="H60" s="15" t="s">
        <v>37</v>
      </c>
      <c r="I60" s="15" t="s">
        <v>37</v>
      </c>
      <c r="J60" s="15" t="s">
        <v>37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 t="s">
        <v>37</v>
      </c>
    </row>
    <row r="61" spans="1:16" x14ac:dyDescent="0.35">
      <c r="A61" s="17" t="s">
        <v>172</v>
      </c>
      <c r="B61" s="18" t="s">
        <v>37</v>
      </c>
      <c r="C61" s="18" t="s">
        <v>37</v>
      </c>
      <c r="D61" s="18">
        <v>0</v>
      </c>
      <c r="E61" s="18">
        <v>0</v>
      </c>
      <c r="F61" s="18">
        <v>0</v>
      </c>
      <c r="G61" s="18">
        <v>0</v>
      </c>
      <c r="H61" s="18" t="s">
        <v>37</v>
      </c>
      <c r="I61" s="18" t="s">
        <v>37</v>
      </c>
      <c r="J61" s="18" t="s">
        <v>37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 t="s">
        <v>37</v>
      </c>
    </row>
    <row r="62" spans="1:16" x14ac:dyDescent="0.35">
      <c r="A62" s="14" t="s">
        <v>173</v>
      </c>
      <c r="B62" s="15">
        <v>169.81100000000001</v>
      </c>
      <c r="C62" s="15">
        <v>328.25</v>
      </c>
      <c r="D62" s="15">
        <v>345.02600000000001</v>
      </c>
      <c r="E62" s="15">
        <v>377.976</v>
      </c>
      <c r="F62" s="15">
        <v>521.97</v>
      </c>
      <c r="G62" s="15">
        <v>801.50900000000001</v>
      </c>
      <c r="H62" s="15">
        <v>907.197</v>
      </c>
      <c r="I62" s="15">
        <v>744.79700000000003</v>
      </c>
      <c r="J62" s="15">
        <v>441.02499999999998</v>
      </c>
      <c r="K62" s="15">
        <v>169.44399999999999</v>
      </c>
      <c r="L62" s="15">
        <v>33.228000000000002</v>
      </c>
      <c r="M62" s="15">
        <v>74.988</v>
      </c>
      <c r="N62" s="15">
        <v>56.987000000000002</v>
      </c>
      <c r="O62" s="15">
        <v>66.834999999999994</v>
      </c>
      <c r="P62" s="15">
        <v>44.383000000000003</v>
      </c>
    </row>
    <row r="63" spans="1:16" x14ac:dyDescent="0.35">
      <c r="A63" s="14" t="s">
        <v>174</v>
      </c>
      <c r="B63" s="15" t="s">
        <v>37</v>
      </c>
      <c r="C63" s="15" t="s">
        <v>37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21.661999999999999</v>
      </c>
      <c r="L63" s="15">
        <v>9.8889999999999993</v>
      </c>
      <c r="M63" s="15">
        <v>35.412999999999997</v>
      </c>
      <c r="N63" s="15">
        <v>34.216000000000001</v>
      </c>
      <c r="O63" s="15">
        <v>29.135000000000002</v>
      </c>
      <c r="P63" s="15">
        <v>1.4339999999999999</v>
      </c>
    </row>
    <row r="64" spans="1:16" x14ac:dyDescent="0.35">
      <c r="A64" s="14" t="s">
        <v>175</v>
      </c>
      <c r="B64" s="15" t="s">
        <v>37</v>
      </c>
      <c r="C64" s="15" t="s">
        <v>37</v>
      </c>
      <c r="D64" s="15" t="s">
        <v>37</v>
      </c>
      <c r="E64" s="15" t="s">
        <v>37</v>
      </c>
      <c r="F64" s="15" t="s">
        <v>37</v>
      </c>
      <c r="G64" s="15" t="s">
        <v>37</v>
      </c>
      <c r="H64" s="15" t="s">
        <v>37</v>
      </c>
      <c r="I64" s="15" t="s">
        <v>37</v>
      </c>
      <c r="J64" s="15" t="s">
        <v>37</v>
      </c>
      <c r="K64" s="15">
        <v>17.829999999999998</v>
      </c>
      <c r="L64" s="15">
        <v>23.338999999999999</v>
      </c>
      <c r="M64" s="15">
        <v>35.765000000000001</v>
      </c>
      <c r="N64" s="15">
        <v>18.928999999999998</v>
      </c>
      <c r="O64" s="15">
        <v>33.774000000000001</v>
      </c>
      <c r="P64" s="15">
        <v>33.1</v>
      </c>
    </row>
    <row r="65" spans="1:16" x14ac:dyDescent="0.35">
      <c r="A65" s="14" t="s">
        <v>165</v>
      </c>
      <c r="B65" s="15" t="s">
        <v>37</v>
      </c>
      <c r="C65" s="15" t="s">
        <v>37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 t="s">
        <v>37</v>
      </c>
      <c r="L65" s="15" t="s">
        <v>37</v>
      </c>
      <c r="M65" s="15" t="s">
        <v>37</v>
      </c>
      <c r="N65" s="15" t="s">
        <v>37</v>
      </c>
      <c r="O65" s="15" t="s">
        <v>37</v>
      </c>
      <c r="P65" s="15" t="s">
        <v>37</v>
      </c>
    </row>
    <row r="66" spans="1:16" x14ac:dyDescent="0.35">
      <c r="A66" s="14" t="s">
        <v>176</v>
      </c>
      <c r="B66" s="15" t="s">
        <v>37</v>
      </c>
      <c r="C66" s="15" t="s">
        <v>37</v>
      </c>
      <c r="D66" s="15">
        <v>345.02600000000001</v>
      </c>
      <c r="E66" s="15">
        <v>377.976</v>
      </c>
      <c r="F66" s="15">
        <v>517.21400000000006</v>
      </c>
      <c r="G66" s="15">
        <v>731.59199999999998</v>
      </c>
      <c r="H66" s="15">
        <v>828.82399999999996</v>
      </c>
      <c r="I66" s="15">
        <v>711.59199999999998</v>
      </c>
      <c r="J66" s="15">
        <v>425.30799999999999</v>
      </c>
      <c r="K66" s="15">
        <v>129.952</v>
      </c>
      <c r="L66" s="15">
        <v>0</v>
      </c>
      <c r="M66" s="15">
        <v>3.81</v>
      </c>
      <c r="N66" s="15">
        <v>3.8420000000000001</v>
      </c>
      <c r="O66" s="15" t="s">
        <v>37</v>
      </c>
      <c r="P66" s="15">
        <v>5.8100000000000005</v>
      </c>
    </row>
    <row r="67" spans="1:16" x14ac:dyDescent="0.35">
      <c r="A67" s="14" t="s">
        <v>166</v>
      </c>
      <c r="B67" s="15" t="s">
        <v>37</v>
      </c>
      <c r="C67" s="15" t="s">
        <v>37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 t="s">
        <v>37</v>
      </c>
      <c r="L67" s="15" t="s">
        <v>37</v>
      </c>
      <c r="M67" s="15" t="s">
        <v>37</v>
      </c>
      <c r="N67" s="15" t="s">
        <v>37</v>
      </c>
      <c r="O67" s="15" t="s">
        <v>37</v>
      </c>
      <c r="P67" s="15" t="s">
        <v>37</v>
      </c>
    </row>
    <row r="68" spans="1:16" x14ac:dyDescent="0.35">
      <c r="A68" s="14" t="s">
        <v>177</v>
      </c>
      <c r="B68" s="15">
        <v>169.81100000000001</v>
      </c>
      <c r="C68" s="15">
        <v>328.25</v>
      </c>
      <c r="D68" s="15">
        <v>0</v>
      </c>
      <c r="E68" s="15">
        <v>0</v>
      </c>
      <c r="F68" s="15">
        <v>4.7560000000000002</v>
      </c>
      <c r="G68" s="15">
        <v>69.917000000000002</v>
      </c>
      <c r="H68" s="15">
        <v>78.373000000000005</v>
      </c>
      <c r="I68" s="15">
        <v>33.204999999999998</v>
      </c>
      <c r="J68" s="15">
        <v>15.717000000000001</v>
      </c>
      <c r="K68" s="15">
        <v>0</v>
      </c>
      <c r="L68" s="15">
        <v>0</v>
      </c>
      <c r="M68" s="15">
        <v>0</v>
      </c>
      <c r="N68" s="15">
        <v>0</v>
      </c>
      <c r="O68" s="15">
        <v>3.9260000000000002</v>
      </c>
      <c r="P68" s="15">
        <v>4.0389999999999997</v>
      </c>
    </row>
    <row r="69" spans="1:16" x14ac:dyDescent="0.35">
      <c r="A69" s="12" t="s">
        <v>178</v>
      </c>
      <c r="B69" s="3">
        <v>183.441</v>
      </c>
      <c r="C69" s="3">
        <v>328.25</v>
      </c>
      <c r="D69" s="3">
        <v>569.56700000000001</v>
      </c>
      <c r="E69" s="3">
        <v>1063.56</v>
      </c>
      <c r="F69" s="3">
        <v>521.97</v>
      </c>
      <c r="G69" s="3">
        <v>2361.12</v>
      </c>
      <c r="H69" s="3">
        <v>2364.0509999999999</v>
      </c>
      <c r="I69" s="3">
        <v>1606.8989999999999</v>
      </c>
      <c r="J69" s="3">
        <v>815.08500000000004</v>
      </c>
      <c r="K69" s="3">
        <v>291.642</v>
      </c>
      <c r="L69" s="3">
        <v>33.228000000000002</v>
      </c>
      <c r="M69" s="3">
        <v>74.988</v>
      </c>
      <c r="N69" s="3">
        <v>56.987000000000002</v>
      </c>
      <c r="O69" s="3">
        <v>66.834999999999994</v>
      </c>
      <c r="P69" s="3">
        <v>44.383000000000003</v>
      </c>
    </row>
    <row r="70" spans="1:16" x14ac:dyDescent="0.35">
      <c r="A70" s="12" t="s">
        <v>179</v>
      </c>
      <c r="B70" s="3">
        <v>341.59</v>
      </c>
      <c r="C70" s="3">
        <v>788.01700000000005</v>
      </c>
      <c r="D70" s="3">
        <v>724.04200000000003</v>
      </c>
      <c r="E70" s="3">
        <v>2037.3610000000001</v>
      </c>
      <c r="F70" s="3">
        <v>3336.7020000000002</v>
      </c>
      <c r="G70" s="3">
        <v>6964.2889999999998</v>
      </c>
      <c r="H70" s="3">
        <v>8659.2350000000006</v>
      </c>
      <c r="I70" s="3">
        <v>9451.2389999999996</v>
      </c>
      <c r="J70" s="3">
        <v>8298.9940000000006</v>
      </c>
      <c r="K70" s="3">
        <v>5091.402</v>
      </c>
      <c r="L70" s="3">
        <v>2146.8980000000001</v>
      </c>
      <c r="M70" s="3">
        <v>4002.2959999999998</v>
      </c>
      <c r="N70" s="3">
        <v>1155.213</v>
      </c>
      <c r="O70" s="3">
        <v>1816.31</v>
      </c>
      <c r="P70" s="3">
        <v>2115.5320000000002</v>
      </c>
    </row>
    <row r="71" spans="1:16" x14ac:dyDescent="0.35">
      <c r="A71" s="14" t="s">
        <v>180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</row>
    <row r="72" spans="1:16" x14ac:dyDescent="0.35">
      <c r="A72" s="14" t="s">
        <v>181</v>
      </c>
      <c r="B72" s="15">
        <v>1378.335</v>
      </c>
      <c r="C72" s="15">
        <v>1920.585</v>
      </c>
      <c r="D72" s="15">
        <v>1920.59</v>
      </c>
      <c r="E72" s="15">
        <v>2039.06</v>
      </c>
      <c r="F72" s="15">
        <v>2168.183</v>
      </c>
      <c r="G72" s="15">
        <v>2176.1819999999998</v>
      </c>
      <c r="H72" s="15">
        <v>502.49900000000002</v>
      </c>
      <c r="I72" s="15">
        <v>1524.9870000000001</v>
      </c>
      <c r="J72" s="15">
        <v>3003.482</v>
      </c>
      <c r="K72" s="15">
        <v>4728.7610000000004</v>
      </c>
      <c r="L72" s="15">
        <v>4730.2139999999999</v>
      </c>
      <c r="M72" s="15">
        <v>5290.6549999999997</v>
      </c>
      <c r="N72" s="15">
        <v>5290.6549999999997</v>
      </c>
      <c r="O72" s="15">
        <v>5334.09</v>
      </c>
      <c r="P72" s="15">
        <v>5334.09</v>
      </c>
    </row>
    <row r="73" spans="1:16" x14ac:dyDescent="0.35">
      <c r="A73" s="14" t="s">
        <v>182</v>
      </c>
      <c r="B73" s="15" t="s">
        <v>37</v>
      </c>
      <c r="C73" s="15" t="s">
        <v>37</v>
      </c>
      <c r="D73" s="15">
        <v>213.96199999999999</v>
      </c>
      <c r="E73" s="15">
        <v>224.96199999999999</v>
      </c>
      <c r="F73" s="15">
        <v>237.768</v>
      </c>
      <c r="G73" s="15">
        <v>250.24</v>
      </c>
      <c r="H73" s="15" t="s">
        <v>37</v>
      </c>
      <c r="I73" s="15">
        <v>503.48200000000003</v>
      </c>
      <c r="J73" s="15">
        <v>503.48200000000003</v>
      </c>
      <c r="K73" s="15">
        <v>529.19600000000003</v>
      </c>
      <c r="L73" s="15">
        <v>529.23199999999997</v>
      </c>
      <c r="M73" s="15">
        <v>1058.8030000000001</v>
      </c>
      <c r="N73" s="15">
        <v>1058.8030000000001</v>
      </c>
      <c r="O73" s="15">
        <v>1059.4059999999999</v>
      </c>
      <c r="P73" s="15">
        <v>1059.4059999999999</v>
      </c>
    </row>
    <row r="74" spans="1:16" x14ac:dyDescent="0.35">
      <c r="A74" s="14" t="s">
        <v>183</v>
      </c>
      <c r="B74" s="15" t="s">
        <v>37</v>
      </c>
      <c r="C74" s="15" t="s">
        <v>37</v>
      </c>
      <c r="D74" s="15">
        <v>1706.6279999999999</v>
      </c>
      <c r="E74" s="15">
        <v>1772.623</v>
      </c>
      <c r="F74" s="15">
        <v>1845.0150000000001</v>
      </c>
      <c r="G74" s="15">
        <v>1925.942</v>
      </c>
      <c r="H74" s="15" t="s">
        <v>37</v>
      </c>
      <c r="I74" s="15">
        <v>0</v>
      </c>
      <c r="J74" s="15">
        <v>0</v>
      </c>
      <c r="K74" s="15">
        <v>4199.5649999999996</v>
      </c>
      <c r="L74" s="15">
        <v>4200.982</v>
      </c>
      <c r="M74" s="15">
        <v>4231.8519999999999</v>
      </c>
      <c r="N74" s="15">
        <v>4231.8519999999999</v>
      </c>
      <c r="O74" s="15">
        <v>4274.6840000000002</v>
      </c>
      <c r="P74" s="15">
        <v>4274.6840000000002</v>
      </c>
    </row>
    <row r="75" spans="1:16" x14ac:dyDescent="0.35">
      <c r="A75" s="14" t="s">
        <v>184</v>
      </c>
      <c r="B75" s="15" t="s">
        <v>37</v>
      </c>
      <c r="C75" s="15" t="s">
        <v>37</v>
      </c>
      <c r="D75" s="15">
        <v>0</v>
      </c>
      <c r="E75" s="15">
        <v>41.475000000000001</v>
      </c>
      <c r="F75" s="15">
        <v>85.4</v>
      </c>
      <c r="G75" s="15">
        <v>0</v>
      </c>
      <c r="H75" s="15" t="s">
        <v>37</v>
      </c>
      <c r="I75" s="15">
        <v>1021.505</v>
      </c>
      <c r="J75" s="15">
        <v>2500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</row>
    <row r="76" spans="1:16" x14ac:dyDescent="0.35">
      <c r="A76" s="14" t="s">
        <v>185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</row>
    <row r="77" spans="1:16" x14ac:dyDescent="0.35">
      <c r="A77" s="14" t="s">
        <v>186</v>
      </c>
      <c r="B77" s="15">
        <v>301.084</v>
      </c>
      <c r="C77" s="15">
        <v>712.46199999999999</v>
      </c>
      <c r="D77" s="15">
        <v>688.39700000000005</v>
      </c>
      <c r="E77" s="15">
        <v>872.49199999999996</v>
      </c>
      <c r="F77" s="15">
        <v>1259.0509999999999</v>
      </c>
      <c r="G77" s="15">
        <v>1800.6020000000001</v>
      </c>
      <c r="H77" s="15">
        <v>0</v>
      </c>
      <c r="I77" s="15">
        <v>0</v>
      </c>
      <c r="J77" s="15">
        <v>0</v>
      </c>
      <c r="K77" s="15">
        <v>10389.475</v>
      </c>
      <c r="L77" s="15">
        <v>14509.796</v>
      </c>
      <c r="M77" s="15">
        <v>19517.060000000001</v>
      </c>
      <c r="N77" s="15">
        <v>18787.591</v>
      </c>
      <c r="O77" s="15">
        <v>19181.099999999999</v>
      </c>
      <c r="P77" s="15">
        <v>19544.162</v>
      </c>
    </row>
    <row r="78" spans="1:16" x14ac:dyDescent="0.35">
      <c r="A78" s="14" t="s">
        <v>187</v>
      </c>
      <c r="B78" s="15">
        <v>93.748999999999995</v>
      </c>
      <c r="C78" s="15">
        <v>76.974999999999994</v>
      </c>
      <c r="D78" s="15">
        <v>78.081999999999994</v>
      </c>
      <c r="E78" s="15">
        <v>90.634</v>
      </c>
      <c r="F78" s="15">
        <v>129.697</v>
      </c>
      <c r="G78" s="15">
        <v>192.24600000000001</v>
      </c>
      <c r="H78" s="15">
        <v>4635.6750000000002</v>
      </c>
      <c r="I78" s="15">
        <v>6269.9650000000001</v>
      </c>
      <c r="J78" s="15">
        <v>9069.8880000000008</v>
      </c>
      <c r="K78" s="15">
        <v>713.24699999999996</v>
      </c>
      <c r="L78" s="15">
        <v>1297.5160000000001</v>
      </c>
      <c r="M78" s="15">
        <v>1116.4100000000001</v>
      </c>
      <c r="N78" s="15">
        <v>1943.7940000000001</v>
      </c>
      <c r="O78" s="15">
        <v>1857.86</v>
      </c>
      <c r="P78" s="15">
        <v>1762.5519999999999</v>
      </c>
    </row>
    <row r="79" spans="1:16" x14ac:dyDescent="0.35">
      <c r="A79" s="12" t="s">
        <v>188</v>
      </c>
      <c r="B79" s="3">
        <v>1773.1679999999999</v>
      </c>
      <c r="C79" s="3">
        <v>2710.0219999999999</v>
      </c>
      <c r="D79" s="3">
        <v>2687.069</v>
      </c>
      <c r="E79" s="3">
        <v>3002.1860000000001</v>
      </c>
      <c r="F79" s="3">
        <v>3556.931</v>
      </c>
      <c r="G79" s="3">
        <v>4169.03</v>
      </c>
      <c r="H79" s="3">
        <v>5138.174</v>
      </c>
      <c r="I79" s="3">
        <v>7794.9520000000002</v>
      </c>
      <c r="J79" s="3">
        <v>12073.37</v>
      </c>
      <c r="K79" s="3">
        <v>15831.483</v>
      </c>
      <c r="L79" s="3">
        <v>20537.526000000002</v>
      </c>
      <c r="M79" s="3">
        <v>25924.125</v>
      </c>
      <c r="N79" s="3">
        <v>26022.04</v>
      </c>
      <c r="O79" s="3">
        <v>26373.05</v>
      </c>
      <c r="P79" s="3">
        <v>26640.804</v>
      </c>
    </row>
    <row r="80" spans="1:16" x14ac:dyDescent="0.35">
      <c r="A80" s="14" t="s">
        <v>189</v>
      </c>
      <c r="B80" s="15">
        <v>15.657</v>
      </c>
      <c r="C80" s="15">
        <v>0</v>
      </c>
      <c r="D80" s="15">
        <v>0</v>
      </c>
      <c r="E80" s="15" t="s">
        <v>37</v>
      </c>
      <c r="F80" s="15">
        <v>0</v>
      </c>
      <c r="G80" s="15">
        <v>28.501999999999999</v>
      </c>
      <c r="H80" s="15">
        <v>28.501999999999999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</row>
    <row r="81" spans="1:16" x14ac:dyDescent="0.35">
      <c r="A81" s="12" t="s">
        <v>190</v>
      </c>
      <c r="B81" s="3">
        <v>1788.825</v>
      </c>
      <c r="C81" s="3">
        <v>2710.0219999999999</v>
      </c>
      <c r="D81" s="3">
        <v>2687.069</v>
      </c>
      <c r="E81" s="3">
        <v>3002.1860000000001</v>
      </c>
      <c r="F81" s="3">
        <v>3556.931</v>
      </c>
      <c r="G81" s="3">
        <v>4197.5320000000002</v>
      </c>
      <c r="H81" s="3">
        <v>5166.6760000000004</v>
      </c>
      <c r="I81" s="3">
        <v>7794.9520000000002</v>
      </c>
      <c r="J81" s="3">
        <v>12073.37</v>
      </c>
      <c r="K81" s="3">
        <v>15831.483</v>
      </c>
      <c r="L81" s="3">
        <v>20537.526000000002</v>
      </c>
      <c r="M81" s="3">
        <v>25924.125</v>
      </c>
      <c r="N81" s="3">
        <v>26022.04</v>
      </c>
      <c r="O81" s="3">
        <v>26373.05</v>
      </c>
      <c r="P81" s="3">
        <v>26640.804</v>
      </c>
    </row>
    <row r="82" spans="1:16" x14ac:dyDescent="0.35">
      <c r="A82" s="12" t="s">
        <v>191</v>
      </c>
      <c r="B82" s="3">
        <v>2130.415</v>
      </c>
      <c r="C82" s="3">
        <v>3498.0390000000002</v>
      </c>
      <c r="D82" s="3">
        <v>3411.1109999999999</v>
      </c>
      <c r="E82" s="3">
        <v>5039.5469999999996</v>
      </c>
      <c r="F82" s="3">
        <v>6893.6329999999998</v>
      </c>
      <c r="G82" s="3">
        <v>11161.821</v>
      </c>
      <c r="H82" s="3">
        <v>13825.911</v>
      </c>
      <c r="I82" s="3">
        <v>17246.190999999999</v>
      </c>
      <c r="J82" s="3">
        <v>20372.364000000001</v>
      </c>
      <c r="K82" s="3">
        <v>20922.884999999998</v>
      </c>
      <c r="L82" s="3">
        <v>22684.423999999999</v>
      </c>
      <c r="M82" s="3">
        <v>29926.420999999998</v>
      </c>
      <c r="N82" s="3">
        <v>27177.253000000001</v>
      </c>
      <c r="O82" s="3">
        <v>28189.360000000001</v>
      </c>
      <c r="P82" s="3">
        <v>28756.335999999999</v>
      </c>
    </row>
    <row r="83" spans="1:16" x14ac:dyDescent="0.35">
      <c r="A83" s="12" t="s">
        <v>304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x14ac:dyDescent="0.35">
      <c r="A84" s="12" t="s">
        <v>90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x14ac:dyDescent="0.35">
      <c r="A85" s="14" t="s">
        <v>91</v>
      </c>
      <c r="B85" s="24" t="s">
        <v>92</v>
      </c>
      <c r="C85" s="24" t="s">
        <v>92</v>
      </c>
      <c r="D85" s="24" t="s">
        <v>92</v>
      </c>
      <c r="E85" s="24" t="s">
        <v>92</v>
      </c>
      <c r="F85" s="24" t="s">
        <v>92</v>
      </c>
      <c r="G85" s="24" t="s">
        <v>92</v>
      </c>
      <c r="H85" s="24" t="s">
        <v>92</v>
      </c>
      <c r="I85" s="24" t="s">
        <v>92</v>
      </c>
      <c r="J85" s="24" t="s">
        <v>92</v>
      </c>
      <c r="K85" s="24" t="s">
        <v>92</v>
      </c>
      <c r="L85" s="24" t="s">
        <v>92</v>
      </c>
      <c r="M85" s="24" t="s">
        <v>92</v>
      </c>
      <c r="N85" s="24" t="s">
        <v>92</v>
      </c>
      <c r="O85" s="24" t="s">
        <v>92</v>
      </c>
      <c r="P85" s="24" t="s">
        <v>92</v>
      </c>
    </row>
    <row r="86" spans="1:16" x14ac:dyDescent="0.35">
      <c r="A86" s="14" t="s">
        <v>192</v>
      </c>
      <c r="B86" s="15">
        <v>765.84659999999997</v>
      </c>
      <c r="C86" s="15">
        <v>855.84659999999997</v>
      </c>
      <c r="D86" s="15">
        <v>855.84659999999997</v>
      </c>
      <c r="E86" s="15">
        <v>899.84659999999997</v>
      </c>
      <c r="F86" s="15">
        <v>948.46050000000002</v>
      </c>
      <c r="G86" s="15">
        <v>10009.5916</v>
      </c>
      <c r="H86" s="15">
        <v>1004.9986</v>
      </c>
      <c r="I86" s="15">
        <v>1006.9645</v>
      </c>
      <c r="J86" s="15">
        <v>1006.9645</v>
      </c>
      <c r="K86" s="15">
        <v>1058.3920000000001</v>
      </c>
      <c r="L86" s="15">
        <v>1058.4639999999999</v>
      </c>
      <c r="M86" s="15">
        <v>1058.8030000000001</v>
      </c>
      <c r="N86" s="15">
        <v>1058.8030000000001</v>
      </c>
      <c r="O86" s="15">
        <v>1059.4059999999999</v>
      </c>
      <c r="P86" s="15">
        <v>1059.4059999999999</v>
      </c>
    </row>
    <row r="87" spans="1:16" x14ac:dyDescent="0.35">
      <c r="A87" s="14" t="s">
        <v>193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</row>
    <row r="88" spans="1:16" x14ac:dyDescent="0.35">
      <c r="A88" s="14" t="s">
        <v>194</v>
      </c>
      <c r="B88" s="15" t="s">
        <v>37</v>
      </c>
      <c r="C88" s="15" t="s">
        <v>37</v>
      </c>
      <c r="D88" s="15" t="s">
        <v>37</v>
      </c>
      <c r="E88" s="15" t="s">
        <v>37</v>
      </c>
      <c r="F88" s="15" t="s">
        <v>37</v>
      </c>
      <c r="G88" s="15" t="s">
        <v>37</v>
      </c>
      <c r="H88" s="15" t="s">
        <v>37</v>
      </c>
      <c r="I88" s="15" t="s">
        <v>37</v>
      </c>
      <c r="J88" s="15" t="s">
        <v>37</v>
      </c>
      <c r="K88" s="15">
        <v>17.829999999999998</v>
      </c>
      <c r="L88" s="15">
        <v>23.338999999999999</v>
      </c>
      <c r="M88" s="15">
        <v>35.765000000000001</v>
      </c>
      <c r="N88" s="15">
        <v>18.928999999999998</v>
      </c>
      <c r="O88" s="15">
        <v>33.774000000000001</v>
      </c>
      <c r="P88" s="15">
        <v>33.1</v>
      </c>
    </row>
    <row r="89" spans="1:16" x14ac:dyDescent="0.35">
      <c r="A89" s="14" t="s">
        <v>195</v>
      </c>
      <c r="B89" s="15" t="s">
        <v>37</v>
      </c>
      <c r="C89" s="15" t="s">
        <v>37</v>
      </c>
      <c r="D89" s="15">
        <v>0</v>
      </c>
      <c r="E89" s="15">
        <v>0</v>
      </c>
      <c r="F89" s="15">
        <v>1142.9749999999999</v>
      </c>
      <c r="G89" s="15">
        <v>731.85500000000002</v>
      </c>
      <c r="H89" s="15">
        <v>320.73599999999999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</row>
    <row r="90" spans="1:16" x14ac:dyDescent="0.35">
      <c r="A90" s="14" t="s">
        <v>196</v>
      </c>
      <c r="B90" s="15" t="s">
        <v>37</v>
      </c>
      <c r="C90" s="15" t="s">
        <v>37</v>
      </c>
      <c r="D90" s="15">
        <v>0</v>
      </c>
      <c r="E90" s="15">
        <v>0</v>
      </c>
      <c r="F90" s="15">
        <v>0</v>
      </c>
      <c r="G90" s="15">
        <v>0</v>
      </c>
      <c r="H90" s="15">
        <v>40.061999999999998</v>
      </c>
      <c r="I90" s="15">
        <v>22.277000000000001</v>
      </c>
      <c r="J90" s="15">
        <v>1.835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 t="s">
        <v>37</v>
      </c>
    </row>
    <row r="91" spans="1:16" x14ac:dyDescent="0.35">
      <c r="A91" s="14" t="s">
        <v>197</v>
      </c>
      <c r="B91" s="26">
        <v>9.2200000000000006</v>
      </c>
      <c r="C91" s="26">
        <v>36.61</v>
      </c>
      <c r="D91" s="26">
        <v>18.100000000000001</v>
      </c>
      <c r="E91" s="26">
        <v>12.9</v>
      </c>
      <c r="F91" s="26" t="s">
        <v>37</v>
      </c>
      <c r="G91" s="26" t="s">
        <v>37</v>
      </c>
      <c r="H91" s="26">
        <v>0.23</v>
      </c>
      <c r="I91" s="26">
        <v>2.92</v>
      </c>
      <c r="J91" s="26">
        <v>4.8</v>
      </c>
      <c r="K91" s="26">
        <v>7.59</v>
      </c>
      <c r="L91" s="26">
        <v>22.93</v>
      </c>
      <c r="M91" s="26" t="s">
        <v>37</v>
      </c>
      <c r="N91" s="26" t="s">
        <v>37</v>
      </c>
      <c r="O91" s="26" t="s">
        <v>37</v>
      </c>
      <c r="P91" s="26" t="s">
        <v>37</v>
      </c>
    </row>
    <row r="92" spans="1:16" x14ac:dyDescent="0.35">
      <c r="A92" s="14" t="s">
        <v>198</v>
      </c>
      <c r="B92" s="26">
        <v>12869</v>
      </c>
      <c r="C92" s="26">
        <v>11456</v>
      </c>
      <c r="D92" s="26">
        <v>14820</v>
      </c>
      <c r="E92" s="26">
        <v>13851</v>
      </c>
      <c r="F92" s="26" t="s">
        <v>37</v>
      </c>
      <c r="G92" s="26" t="s">
        <v>37</v>
      </c>
      <c r="H92" s="26">
        <v>9828</v>
      </c>
      <c r="I92" s="26">
        <v>9077</v>
      </c>
      <c r="J92" s="26">
        <v>12023</v>
      </c>
      <c r="K92" s="26">
        <v>15961</v>
      </c>
      <c r="L92" s="26">
        <v>18238</v>
      </c>
      <c r="M92" s="26">
        <v>80284</v>
      </c>
      <c r="N92" s="26">
        <v>160857</v>
      </c>
      <c r="O92" s="26">
        <v>139134</v>
      </c>
      <c r="P92" s="26">
        <v>131256</v>
      </c>
    </row>
    <row r="93" spans="1:16" x14ac:dyDescent="0.35">
      <c r="A93" s="14" t="s">
        <v>199</v>
      </c>
      <c r="B93" s="15" t="s">
        <v>37</v>
      </c>
      <c r="C93" s="15" t="s">
        <v>37</v>
      </c>
      <c r="D93" s="15" t="s">
        <v>37</v>
      </c>
      <c r="E93" s="15" t="s">
        <v>37</v>
      </c>
      <c r="F93" s="15" t="s">
        <v>37</v>
      </c>
      <c r="G93" s="15" t="s">
        <v>37</v>
      </c>
      <c r="H93" s="15">
        <v>0</v>
      </c>
      <c r="I93" s="15">
        <v>0</v>
      </c>
      <c r="J93" s="15">
        <v>2.1381999999999999</v>
      </c>
      <c r="K93" s="15">
        <v>1.9344000000000001</v>
      </c>
      <c r="L93" s="15">
        <v>0</v>
      </c>
      <c r="M93" s="15">
        <v>3.0089999999999999</v>
      </c>
      <c r="N93" s="15">
        <v>11.7818</v>
      </c>
      <c r="O93" s="15">
        <v>1.9614</v>
      </c>
      <c r="P93" s="15">
        <v>0</v>
      </c>
    </row>
    <row r="94" spans="1:16" x14ac:dyDescent="0.35">
      <c r="A94" s="14" t="s">
        <v>200</v>
      </c>
      <c r="B94" s="15" t="s">
        <v>37</v>
      </c>
      <c r="C94" s="15" t="s">
        <v>37</v>
      </c>
      <c r="D94" s="15" t="s">
        <v>37</v>
      </c>
      <c r="E94" s="15" t="s">
        <v>37</v>
      </c>
      <c r="F94" s="15" t="s">
        <v>37</v>
      </c>
      <c r="G94" s="15" t="s">
        <v>37</v>
      </c>
      <c r="H94" s="15">
        <v>0</v>
      </c>
      <c r="I94" s="15">
        <v>19.992000000000001</v>
      </c>
      <c r="J94" s="15">
        <v>6.8925000000000001</v>
      </c>
      <c r="K94" s="15">
        <v>4.0971000000000002</v>
      </c>
      <c r="L94" s="15">
        <v>3.1255999999999999</v>
      </c>
      <c r="M94" s="15">
        <v>7.5274999999999999</v>
      </c>
      <c r="N94" s="15">
        <v>17.7897</v>
      </c>
      <c r="O94" s="15">
        <v>6.4588000000000001</v>
      </c>
      <c r="P94" s="15">
        <v>3.2137000000000002</v>
      </c>
    </row>
    <row r="95" spans="1:16" x14ac:dyDescent="0.35">
      <c r="A95" s="14" t="s">
        <v>201</v>
      </c>
      <c r="B95" s="15">
        <v>-26.114000000000001</v>
      </c>
      <c r="C95" s="15">
        <v>-29.704999999999998</v>
      </c>
      <c r="D95" s="15">
        <v>179.732</v>
      </c>
      <c r="E95" s="15">
        <v>636.64499999999998</v>
      </c>
      <c r="F95" s="15">
        <v>1543.866</v>
      </c>
      <c r="G95" s="15">
        <v>3657.154</v>
      </c>
      <c r="H95" s="15">
        <v>4283.6099999999997</v>
      </c>
      <c r="I95" s="15">
        <v>4052.56</v>
      </c>
      <c r="J95" s="15">
        <v>3460.5120000000002</v>
      </c>
      <c r="K95" s="15">
        <v>1543.8579999999999</v>
      </c>
      <c r="L95" s="15">
        <v>-4389.8140000000003</v>
      </c>
      <c r="M95" s="15">
        <v>-7337.8029999999999</v>
      </c>
      <c r="N95" s="15">
        <v>-277.01499999999999</v>
      </c>
      <c r="O95" s="15">
        <v>-150.55000000000001</v>
      </c>
      <c r="P95" s="15">
        <v>-81.858999999999995</v>
      </c>
    </row>
    <row r="96" spans="1:16" x14ac:dyDescent="0.35">
      <c r="A96" s="14" t="s">
        <v>202</v>
      </c>
      <c r="B96" s="26">
        <v>-1.4598</v>
      </c>
      <c r="C96" s="26">
        <v>-1.0961000000000001</v>
      </c>
      <c r="D96" s="26">
        <v>6.6887999999999996</v>
      </c>
      <c r="E96" s="26">
        <v>21.206</v>
      </c>
      <c r="F96" s="26">
        <v>43.404400000000003</v>
      </c>
      <c r="G96" s="26">
        <v>87.126300000000001</v>
      </c>
      <c r="H96" s="26">
        <v>82.9084</v>
      </c>
      <c r="I96" s="26">
        <v>51.9895</v>
      </c>
      <c r="J96" s="26">
        <v>28.662400000000002</v>
      </c>
      <c r="K96" s="26">
        <v>9.7517999999999994</v>
      </c>
      <c r="L96" s="26">
        <v>-21.374600000000001</v>
      </c>
      <c r="M96" s="26">
        <v>-28.3049</v>
      </c>
      <c r="N96" s="26">
        <v>-1.0645</v>
      </c>
      <c r="O96" s="26">
        <v>-0.57079999999999997</v>
      </c>
      <c r="P96" s="26">
        <v>-0.30730000000000002</v>
      </c>
    </row>
    <row r="97" spans="1:16" x14ac:dyDescent="0.35">
      <c r="A97" s="14" t="s">
        <v>203</v>
      </c>
      <c r="B97" s="26">
        <v>83.1785</v>
      </c>
      <c r="C97" s="26">
        <v>73.715599999999995</v>
      </c>
      <c r="D97" s="26">
        <v>78.774000000000001</v>
      </c>
      <c r="E97" s="26">
        <v>59.572499999999998</v>
      </c>
      <c r="F97" s="26">
        <v>47.812100000000001</v>
      </c>
      <c r="G97" s="26">
        <v>34.412799999999997</v>
      </c>
      <c r="H97" s="26">
        <v>37.163400000000003</v>
      </c>
      <c r="I97" s="26">
        <v>45.198099999999997</v>
      </c>
      <c r="J97" s="26">
        <v>59.263500000000001</v>
      </c>
      <c r="K97" s="26">
        <v>75.665899999999993</v>
      </c>
      <c r="L97" s="26">
        <v>90.535799999999995</v>
      </c>
      <c r="M97" s="26">
        <v>86.626199999999997</v>
      </c>
      <c r="N97" s="26">
        <v>95.749300000000005</v>
      </c>
      <c r="O97" s="26">
        <v>93.556700000000006</v>
      </c>
      <c r="P97" s="26">
        <v>92.634399999999999</v>
      </c>
    </row>
    <row r="98" spans="1:16" x14ac:dyDescent="0.35">
      <c r="A98" s="14" t="s">
        <v>204</v>
      </c>
      <c r="B98" s="26">
        <v>5.4642999999999997</v>
      </c>
      <c r="C98" s="26">
        <v>1.2499</v>
      </c>
      <c r="D98" s="26">
        <v>4.7145999999999999</v>
      </c>
      <c r="E98" s="26">
        <v>2.2037</v>
      </c>
      <c r="F98" s="26">
        <v>1.3563000000000001</v>
      </c>
      <c r="G98" s="26">
        <v>1.1413</v>
      </c>
      <c r="H98" s="26">
        <v>1.4426999999999999</v>
      </c>
      <c r="I98" s="26">
        <v>1.4878</v>
      </c>
      <c r="J98" s="26">
        <v>2.3174000000000001</v>
      </c>
      <c r="K98" s="26">
        <v>4.0174000000000003</v>
      </c>
      <c r="L98" s="26">
        <v>10.557399999999999</v>
      </c>
      <c r="M98" s="26">
        <v>7.2366000000000001</v>
      </c>
      <c r="N98" s="26">
        <v>23.0898</v>
      </c>
      <c r="O98" s="26">
        <v>11.608599999999999</v>
      </c>
      <c r="P98" s="26">
        <v>10.197900000000001</v>
      </c>
    </row>
    <row r="99" spans="1:16" x14ac:dyDescent="0.35">
      <c r="A99" s="14" t="s">
        <v>205</v>
      </c>
      <c r="B99" s="26" t="s">
        <v>37</v>
      </c>
      <c r="C99" s="26">
        <v>1632.6917000000001</v>
      </c>
      <c r="D99" s="26" t="s">
        <v>37</v>
      </c>
      <c r="E99" s="26" t="s">
        <v>37</v>
      </c>
      <c r="F99" s="26" t="s">
        <v>37</v>
      </c>
      <c r="G99" s="26" t="s">
        <v>37</v>
      </c>
      <c r="H99" s="26" t="s">
        <v>37</v>
      </c>
      <c r="I99" s="26">
        <v>108.6383</v>
      </c>
      <c r="J99" s="26" t="s">
        <v>37</v>
      </c>
      <c r="K99" s="26" t="s">
        <v>37</v>
      </c>
      <c r="L99" s="26" t="s">
        <v>37</v>
      </c>
      <c r="M99" s="26">
        <v>4890.9035999999996</v>
      </c>
      <c r="N99" s="26">
        <v>-6113.2429000000002</v>
      </c>
      <c r="O99" s="26">
        <v>161.06360000000001</v>
      </c>
      <c r="P99" s="26">
        <v>-1141.9683</v>
      </c>
    </row>
    <row r="100" spans="1:16" x14ac:dyDescent="0.35">
      <c r="A100" s="14" t="s">
        <v>206</v>
      </c>
      <c r="B100" s="26" t="s">
        <v>37</v>
      </c>
      <c r="C100" s="26" t="s">
        <v>37</v>
      </c>
      <c r="D100" s="26" t="s">
        <v>37</v>
      </c>
      <c r="E100" s="26" t="s">
        <v>37</v>
      </c>
      <c r="F100" s="26" t="s">
        <v>37</v>
      </c>
      <c r="G100" s="26" t="s">
        <v>37</v>
      </c>
      <c r="H100" s="26" t="s">
        <v>37</v>
      </c>
      <c r="I100" s="26" t="s">
        <v>37</v>
      </c>
      <c r="J100" s="26" t="s">
        <v>37</v>
      </c>
      <c r="K100" s="26" t="s">
        <v>37</v>
      </c>
      <c r="L100" s="26">
        <v>1575</v>
      </c>
      <c r="M100" s="26">
        <v>1809</v>
      </c>
      <c r="N100" s="26">
        <v>1863</v>
      </c>
      <c r="O100" s="26">
        <v>1362</v>
      </c>
      <c r="P100" s="26">
        <v>800</v>
      </c>
    </row>
    <row r="101" spans="1:16" x14ac:dyDescent="0.35">
      <c r="E101" s="30">
        <f>E48+E58-E7</f>
        <v>636.64499999999998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792B-3462-4FEA-A457-B025E1D21128}">
  <dimension ref="A1:P78"/>
  <sheetViews>
    <sheetView topLeftCell="A5" workbookViewId="0">
      <selection activeCell="A20" sqref="A20"/>
    </sheetView>
  </sheetViews>
  <sheetFormatPr defaultRowHeight="14.5" x14ac:dyDescent="0.35"/>
  <cols>
    <col min="1" max="1" width="50.7265625" customWidth="1"/>
  </cols>
  <sheetData>
    <row r="1" spans="1:16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0" x14ac:dyDescent="0.35">
      <c r="A2" s="6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90">
        <f>K16+K12</f>
        <v>30544.538</v>
      </c>
      <c r="L3" s="7"/>
      <c r="M3" s="7"/>
      <c r="N3" s="7"/>
      <c r="O3" s="7"/>
      <c r="P3" s="7"/>
    </row>
    <row r="4" spans="1:16" x14ac:dyDescent="0.35">
      <c r="A4" s="8" t="s">
        <v>7</v>
      </c>
      <c r="B4" s="9" t="s">
        <v>11</v>
      </c>
      <c r="C4" s="9" t="s">
        <v>12</v>
      </c>
      <c r="D4" s="9" t="s">
        <v>13</v>
      </c>
      <c r="E4" s="9" t="s">
        <v>0</v>
      </c>
      <c r="F4" s="9" t="s">
        <v>1</v>
      </c>
      <c r="G4" s="9" t="s">
        <v>2</v>
      </c>
      <c r="H4" s="9" t="s">
        <v>3</v>
      </c>
      <c r="I4" s="9" t="s">
        <v>4</v>
      </c>
      <c r="J4" s="9" t="s">
        <v>5</v>
      </c>
      <c r="K4" s="9" t="s">
        <v>6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</row>
    <row r="5" spans="1:16" x14ac:dyDescent="0.35">
      <c r="A5" s="10" t="s">
        <v>19</v>
      </c>
      <c r="B5" s="11" t="s">
        <v>20</v>
      </c>
      <c r="C5" s="11" t="s">
        <v>21</v>
      </c>
      <c r="D5" s="11" t="s">
        <v>22</v>
      </c>
      <c r="E5" s="11" t="s">
        <v>23</v>
      </c>
      <c r="F5" s="11" t="s">
        <v>24</v>
      </c>
      <c r="G5" s="11" t="s">
        <v>25</v>
      </c>
      <c r="H5" s="11" t="s">
        <v>26</v>
      </c>
      <c r="I5" s="11" t="s">
        <v>27</v>
      </c>
      <c r="J5" s="11" t="s">
        <v>28</v>
      </c>
      <c r="K5" s="11" t="s">
        <v>29</v>
      </c>
      <c r="L5" s="11" t="s">
        <v>30</v>
      </c>
      <c r="M5" s="11" t="s">
        <v>31</v>
      </c>
      <c r="N5" s="11" t="s">
        <v>32</v>
      </c>
      <c r="O5" s="11" t="s">
        <v>33</v>
      </c>
      <c r="P5" s="11" t="s">
        <v>34</v>
      </c>
    </row>
    <row r="6" spans="1:16" x14ac:dyDescent="0.35">
      <c r="A6" s="12" t="s">
        <v>35</v>
      </c>
      <c r="B6" s="3">
        <v>2238.9839999999999</v>
      </c>
      <c r="C6" s="3">
        <v>2943.1880000000001</v>
      </c>
      <c r="D6" s="3">
        <v>4275.2619999999997</v>
      </c>
      <c r="E6" s="3">
        <v>8896.7710000000006</v>
      </c>
      <c r="F6" s="3">
        <v>13531.874</v>
      </c>
      <c r="G6" s="3">
        <v>15471.352999999999</v>
      </c>
      <c r="H6" s="3">
        <v>19519.017</v>
      </c>
      <c r="I6" s="3">
        <v>27804.793000000001</v>
      </c>
      <c r="J6" s="3">
        <v>31907.366000000002</v>
      </c>
      <c r="K6" s="3">
        <v>40004.637999999999</v>
      </c>
      <c r="L6" s="3">
        <v>65019.955999999998</v>
      </c>
      <c r="M6" s="3">
        <v>15082.269</v>
      </c>
      <c r="N6" s="3">
        <v>6852.2160000000003</v>
      </c>
      <c r="O6" s="3">
        <v>3142.9140000000002</v>
      </c>
      <c r="P6" s="13">
        <v>5374.2020000000002</v>
      </c>
    </row>
    <row r="7" spans="1:16" x14ac:dyDescent="0.35">
      <c r="A7" s="14" t="s">
        <v>36</v>
      </c>
      <c r="B7" s="15" t="s">
        <v>37</v>
      </c>
      <c r="C7" s="15">
        <v>2943.1880000000001</v>
      </c>
      <c r="D7" s="15">
        <v>4275.2619999999997</v>
      </c>
      <c r="E7" s="15">
        <v>8896.4989999999998</v>
      </c>
      <c r="F7" s="15">
        <v>13531.81</v>
      </c>
      <c r="G7" s="15">
        <v>15471.352999999999</v>
      </c>
      <c r="H7" s="15">
        <v>19518.929</v>
      </c>
      <c r="I7" s="15">
        <v>27804.454000000002</v>
      </c>
      <c r="J7" s="15">
        <v>31907.22</v>
      </c>
      <c r="K7" s="15">
        <v>40003.686999999998</v>
      </c>
      <c r="L7" s="15">
        <v>65019.822</v>
      </c>
      <c r="M7" s="15">
        <v>15033.456</v>
      </c>
      <c r="N7" s="15">
        <v>6822.4340000000002</v>
      </c>
      <c r="O7" s="15">
        <v>3118.2359999999999</v>
      </c>
      <c r="P7" s="16">
        <v>5374.2020000000002</v>
      </c>
    </row>
    <row r="8" spans="1:16" x14ac:dyDescent="0.35">
      <c r="A8" s="14" t="s">
        <v>38</v>
      </c>
      <c r="B8" s="15" t="s">
        <v>37</v>
      </c>
      <c r="C8" s="15" t="s">
        <v>37</v>
      </c>
      <c r="D8" s="15" t="s">
        <v>37</v>
      </c>
      <c r="E8" s="15">
        <v>0.27200000000000002</v>
      </c>
      <c r="F8" s="15">
        <v>6.4000000000000001E-2</v>
      </c>
      <c r="G8" s="15" t="s">
        <v>37</v>
      </c>
      <c r="H8" s="15">
        <v>8.7999999999999995E-2</v>
      </c>
      <c r="I8" s="15">
        <v>0.33900000000000002</v>
      </c>
      <c r="J8" s="15">
        <v>0.14599999999999999</v>
      </c>
      <c r="K8" s="15">
        <v>0.95099999999999996</v>
      </c>
      <c r="L8" s="15">
        <v>0.13400000000000001</v>
      </c>
      <c r="M8" s="15">
        <v>48.813000000000002</v>
      </c>
      <c r="N8" s="15">
        <v>29.782</v>
      </c>
      <c r="O8" s="15">
        <v>24.678000000000001</v>
      </c>
      <c r="P8" s="16"/>
    </row>
    <row r="9" spans="1:16" x14ac:dyDescent="0.35">
      <c r="A9" s="14" t="s">
        <v>39</v>
      </c>
      <c r="B9" s="15" t="s">
        <v>37</v>
      </c>
      <c r="C9" s="15">
        <v>0</v>
      </c>
      <c r="D9" s="15">
        <v>0</v>
      </c>
      <c r="E9" s="15">
        <v>0</v>
      </c>
      <c r="F9" s="15">
        <v>0</v>
      </c>
      <c r="G9" s="15">
        <v>0.153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6">
        <v>0</v>
      </c>
    </row>
    <row r="10" spans="1:16" x14ac:dyDescent="0.35">
      <c r="A10" s="14" t="s">
        <v>40</v>
      </c>
      <c r="B10" s="15">
        <v>1514.6130000000001</v>
      </c>
      <c r="C10" s="15">
        <v>2347.4960000000001</v>
      </c>
      <c r="D10" s="15">
        <v>3897.2489999999998</v>
      </c>
      <c r="E10" s="15">
        <v>8058.4170000000004</v>
      </c>
      <c r="F10" s="15">
        <v>11986.618</v>
      </c>
      <c r="G10" s="15">
        <v>13227.121999999999</v>
      </c>
      <c r="H10" s="15">
        <v>15981.745999999999</v>
      </c>
      <c r="I10" s="15">
        <v>22221.159</v>
      </c>
      <c r="J10" s="15">
        <v>25340.280999999999</v>
      </c>
      <c r="K10" s="15">
        <v>31278.41</v>
      </c>
      <c r="L10" s="15">
        <v>54995.29</v>
      </c>
      <c r="M10" s="15">
        <v>15368.571</v>
      </c>
      <c r="N10" s="15">
        <v>6759.2659999999996</v>
      </c>
      <c r="O10" s="15">
        <v>3009.8780000000002</v>
      </c>
      <c r="P10" s="16">
        <v>4603.8959999999997</v>
      </c>
    </row>
    <row r="11" spans="1:16" x14ac:dyDescent="0.35">
      <c r="A11" s="14" t="s">
        <v>41</v>
      </c>
      <c r="B11" s="15" t="s">
        <v>37</v>
      </c>
      <c r="C11" s="15">
        <v>327.15199999999999</v>
      </c>
      <c r="D11" s="15">
        <v>403.358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6"/>
    </row>
    <row r="12" spans="1:16" x14ac:dyDescent="0.35">
      <c r="A12" s="17" t="s">
        <v>42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19.132999999999999</v>
      </c>
      <c r="J12" s="18">
        <v>33.107999999999997</v>
      </c>
      <c r="K12" s="18">
        <v>59.941000000000003</v>
      </c>
      <c r="L12" s="18">
        <v>81.13</v>
      </c>
      <c r="M12" s="18">
        <v>46.168999999999997</v>
      </c>
      <c r="N12" s="18">
        <v>49.45</v>
      </c>
      <c r="O12" s="18">
        <v>20.581</v>
      </c>
      <c r="P12" s="19"/>
    </row>
    <row r="13" spans="1:16" x14ac:dyDescent="0.35">
      <c r="A13" s="14" t="s">
        <v>43</v>
      </c>
      <c r="B13" s="15" t="s">
        <v>37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 t="s">
        <v>37</v>
      </c>
      <c r="K13" s="15" t="s">
        <v>37</v>
      </c>
      <c r="L13" s="15" t="s">
        <v>37</v>
      </c>
      <c r="M13" s="15" t="s">
        <v>37</v>
      </c>
      <c r="N13" s="15" t="s">
        <v>37</v>
      </c>
      <c r="O13" s="15" t="s">
        <v>37</v>
      </c>
      <c r="P13" s="16"/>
    </row>
    <row r="14" spans="1:16" x14ac:dyDescent="0.35">
      <c r="A14" s="14" t="s">
        <v>44</v>
      </c>
      <c r="B14" s="15" t="s">
        <v>37</v>
      </c>
      <c r="C14" s="15">
        <v>531.80499999999995</v>
      </c>
      <c r="D14" s="15">
        <v>419.83300000000003</v>
      </c>
      <c r="E14" s="15">
        <v>550.05999999999995</v>
      </c>
      <c r="F14" s="15">
        <v>874.44200000000001</v>
      </c>
      <c r="G14" s="15">
        <v>1570.6220000000001</v>
      </c>
      <c r="H14" s="15">
        <v>1808.72</v>
      </c>
      <c r="I14" s="15">
        <v>1648.5609999999999</v>
      </c>
      <c r="J14" s="15">
        <v>1640.43</v>
      </c>
      <c r="K14" s="15">
        <v>733.87199999999996</v>
      </c>
      <c r="L14" s="15">
        <v>41.704000000000001</v>
      </c>
      <c r="M14" s="15">
        <v>87.353999999999999</v>
      </c>
      <c r="N14" s="15">
        <v>147.26</v>
      </c>
      <c r="O14" s="15">
        <v>148.05099999999999</v>
      </c>
      <c r="P14" s="16">
        <v>136.54</v>
      </c>
    </row>
    <row r="15" spans="1:16" x14ac:dyDescent="0.35">
      <c r="A15" s="14" t="s">
        <v>45</v>
      </c>
      <c r="B15" s="15" t="s">
        <v>37</v>
      </c>
      <c r="C15" s="15">
        <v>23.326000000000001</v>
      </c>
      <c r="D15" s="15">
        <v>0</v>
      </c>
      <c r="E15" s="15" t="s">
        <v>37</v>
      </c>
      <c r="F15" s="15" t="s">
        <v>37</v>
      </c>
      <c r="G15" s="15" t="s">
        <v>37</v>
      </c>
      <c r="H15" s="15">
        <v>4.45</v>
      </c>
      <c r="I15" s="15">
        <v>0</v>
      </c>
      <c r="J15" s="15" t="s">
        <v>37</v>
      </c>
      <c r="K15" s="15" t="s">
        <v>37</v>
      </c>
      <c r="L15" s="15" t="s">
        <v>37</v>
      </c>
      <c r="M15" s="15" t="s">
        <v>37</v>
      </c>
      <c r="N15" s="15" t="s">
        <v>37</v>
      </c>
      <c r="O15" s="15">
        <v>6.4779999999999998</v>
      </c>
      <c r="P15" s="16"/>
    </row>
    <row r="16" spans="1:16" x14ac:dyDescent="0.35">
      <c r="A16" s="14" t="s">
        <v>46</v>
      </c>
      <c r="B16" s="15" t="s">
        <v>37</v>
      </c>
      <c r="C16" s="15">
        <v>1465.213</v>
      </c>
      <c r="D16" s="15">
        <v>3074.058</v>
      </c>
      <c r="E16" s="15">
        <v>7508.357</v>
      </c>
      <c r="F16" s="15">
        <v>11112.175999999999</v>
      </c>
      <c r="G16" s="15">
        <v>11656.5</v>
      </c>
      <c r="H16" s="15">
        <v>14168.575999999999</v>
      </c>
      <c r="I16" s="15">
        <v>20553.465</v>
      </c>
      <c r="J16" s="15">
        <v>23666.742999999999</v>
      </c>
      <c r="K16" s="15">
        <v>30484.597000000002</v>
      </c>
      <c r="L16" s="15">
        <v>54872.455999999998</v>
      </c>
      <c r="M16" s="15">
        <v>15235.048000000001</v>
      </c>
      <c r="N16" s="15">
        <v>6562.5559999999996</v>
      </c>
      <c r="O16" s="15">
        <v>2834.768</v>
      </c>
      <c r="P16" s="16">
        <v>4467.3559999999998</v>
      </c>
    </row>
    <row r="17" spans="1:16" x14ac:dyDescent="0.35">
      <c r="A17" s="12" t="s">
        <v>47</v>
      </c>
      <c r="B17" s="3">
        <v>724.37099999999998</v>
      </c>
      <c r="C17" s="3">
        <v>595.69200000000001</v>
      </c>
      <c r="D17" s="3">
        <v>378.01299999999998</v>
      </c>
      <c r="E17" s="3">
        <v>838.35400000000004</v>
      </c>
      <c r="F17" s="3">
        <v>1545.2560000000001</v>
      </c>
      <c r="G17" s="3">
        <v>2244.384</v>
      </c>
      <c r="H17" s="3">
        <v>3537.2710000000002</v>
      </c>
      <c r="I17" s="3">
        <v>5583.634</v>
      </c>
      <c r="J17" s="3">
        <v>6567.085</v>
      </c>
      <c r="K17" s="3">
        <v>8726.2279999999992</v>
      </c>
      <c r="L17" s="3">
        <v>10024.665999999999</v>
      </c>
      <c r="M17" s="3">
        <v>-286.30200000000002</v>
      </c>
      <c r="N17" s="3">
        <v>92.95</v>
      </c>
      <c r="O17" s="3">
        <v>133.036</v>
      </c>
      <c r="P17" s="13">
        <v>770.30600000000004</v>
      </c>
    </row>
    <row r="18" spans="1:16" x14ac:dyDescent="0.35">
      <c r="A18" s="14" t="s">
        <v>48</v>
      </c>
      <c r="B18" s="15" t="s">
        <v>37</v>
      </c>
      <c r="C18" s="15">
        <v>27.74</v>
      </c>
      <c r="D18" s="15">
        <v>60.591000000000001</v>
      </c>
      <c r="E18" s="15">
        <v>170.369</v>
      </c>
      <c r="F18" s="15">
        <v>546.27</v>
      </c>
      <c r="G18" s="15">
        <v>811.51599999999996</v>
      </c>
      <c r="H18" s="15">
        <v>717.36800000000005</v>
      </c>
      <c r="I18" s="15">
        <v>698.82299999999998</v>
      </c>
      <c r="J18" s="15">
        <v>521.71799999999996</v>
      </c>
      <c r="K18" s="15">
        <v>511.35599999999999</v>
      </c>
      <c r="L18" s="15">
        <v>-241.80500000000001</v>
      </c>
      <c r="M18" s="15">
        <v>-817.45100000000002</v>
      </c>
      <c r="N18" s="15">
        <v>-774.82799999999997</v>
      </c>
      <c r="O18" s="15">
        <v>-696.59900000000005</v>
      </c>
      <c r="P18" s="16">
        <v>-373.45800000000003</v>
      </c>
    </row>
    <row r="19" spans="1:16" x14ac:dyDescent="0.35">
      <c r="A19" s="14" t="s">
        <v>49</v>
      </c>
      <c r="B19" s="15" t="s">
        <v>37</v>
      </c>
      <c r="C19" s="15" t="s">
        <v>37</v>
      </c>
      <c r="D19" s="15">
        <v>0</v>
      </c>
      <c r="E19" s="15">
        <v>153.304</v>
      </c>
      <c r="F19" s="15">
        <v>482.58600000000001</v>
      </c>
      <c r="G19" s="15">
        <v>764.83500000000004</v>
      </c>
      <c r="H19" s="15">
        <v>693.37800000000004</v>
      </c>
      <c r="I19" s="15">
        <v>646.34500000000003</v>
      </c>
      <c r="J19" s="15">
        <v>518.5</v>
      </c>
      <c r="K19" s="15">
        <v>467.18900000000002</v>
      </c>
      <c r="L19" s="15">
        <v>81.42</v>
      </c>
      <c r="M19" s="15">
        <v>-766.75099999999998</v>
      </c>
      <c r="N19" s="15">
        <v>-751.65099999999995</v>
      </c>
      <c r="O19" s="15">
        <v>-694.82500000000005</v>
      </c>
      <c r="P19" s="16"/>
    </row>
    <row r="20" spans="1:16" x14ac:dyDescent="0.35">
      <c r="A20" s="17" t="s">
        <v>50</v>
      </c>
      <c r="B20" s="18" t="s">
        <v>37</v>
      </c>
      <c r="C20" s="18" t="s">
        <v>37</v>
      </c>
      <c r="D20" s="18" t="s">
        <v>37</v>
      </c>
      <c r="E20" s="18">
        <v>158.66499999999999</v>
      </c>
      <c r="F20" s="18">
        <v>498.24200000000002</v>
      </c>
      <c r="G20" s="18">
        <v>791.86599999999999</v>
      </c>
      <c r="H20" s="18">
        <v>718.024</v>
      </c>
      <c r="I20" s="18">
        <v>676.87300000000005</v>
      </c>
      <c r="J20" s="18">
        <v>546.88699999999994</v>
      </c>
      <c r="K20" s="18">
        <v>467.18900000000002</v>
      </c>
      <c r="L20" s="18">
        <v>81.42</v>
      </c>
      <c r="M20" s="18">
        <v>0</v>
      </c>
      <c r="N20" s="18">
        <v>0</v>
      </c>
      <c r="O20" s="18">
        <v>0</v>
      </c>
      <c r="P20" s="19"/>
    </row>
    <row r="21" spans="1:16" x14ac:dyDescent="0.35">
      <c r="A21" s="17" t="s">
        <v>51</v>
      </c>
      <c r="B21" s="18">
        <v>3.2229999999999999</v>
      </c>
      <c r="C21" s="18">
        <v>3.585</v>
      </c>
      <c r="D21" s="18">
        <v>1.444</v>
      </c>
      <c r="E21" s="18">
        <v>5.3609999999999998</v>
      </c>
      <c r="F21" s="18">
        <v>15.656000000000001</v>
      </c>
      <c r="G21" s="18">
        <v>27.030999999999999</v>
      </c>
      <c r="H21" s="18">
        <v>24.646000000000001</v>
      </c>
      <c r="I21" s="18">
        <v>30.527999999999999</v>
      </c>
      <c r="J21" s="18">
        <v>28.387</v>
      </c>
      <c r="K21" s="18">
        <v>0</v>
      </c>
      <c r="L21" s="18">
        <v>0</v>
      </c>
      <c r="M21" s="18">
        <v>766.75099999999998</v>
      </c>
      <c r="N21" s="18">
        <v>751.65099999999995</v>
      </c>
      <c r="O21" s="18">
        <v>694.82500000000005</v>
      </c>
      <c r="P21" s="19"/>
    </row>
    <row r="22" spans="1:16" x14ac:dyDescent="0.35">
      <c r="A22" s="14" t="s">
        <v>52</v>
      </c>
      <c r="B22" s="15" t="s">
        <v>37</v>
      </c>
      <c r="C22" s="15" t="s">
        <v>37</v>
      </c>
      <c r="D22" s="15" t="s">
        <v>37</v>
      </c>
      <c r="E22" s="15" t="s">
        <v>37</v>
      </c>
      <c r="F22" s="15" t="s">
        <v>37</v>
      </c>
      <c r="G22" s="15" t="s">
        <v>37</v>
      </c>
      <c r="H22" s="15" t="s">
        <v>37</v>
      </c>
      <c r="I22" s="15" t="s">
        <v>37</v>
      </c>
      <c r="J22" s="15" t="s">
        <v>37</v>
      </c>
      <c r="K22" s="15" t="s">
        <v>37</v>
      </c>
      <c r="L22" s="15" t="s">
        <v>37</v>
      </c>
      <c r="M22" s="15" t="s">
        <v>37</v>
      </c>
      <c r="N22" s="15">
        <v>-0.15</v>
      </c>
      <c r="O22" s="15">
        <v>0</v>
      </c>
      <c r="P22" s="16"/>
    </row>
    <row r="23" spans="1:16" x14ac:dyDescent="0.35">
      <c r="A23" s="14" t="s">
        <v>53</v>
      </c>
      <c r="B23" s="15" t="s">
        <v>37</v>
      </c>
      <c r="C23" s="15">
        <v>0</v>
      </c>
      <c r="D23" s="15">
        <v>-2.081</v>
      </c>
      <c r="E23" s="15">
        <v>0.247</v>
      </c>
      <c r="F23" s="15">
        <v>4.4729999999999999</v>
      </c>
      <c r="G23" s="15">
        <v>-20.454999999999998</v>
      </c>
      <c r="H23" s="15">
        <v>-33.491999999999997</v>
      </c>
      <c r="I23" s="15">
        <v>-19.757999999999999</v>
      </c>
      <c r="J23" s="15">
        <v>-12.568999999999999</v>
      </c>
      <c r="K23" s="15">
        <v>0</v>
      </c>
      <c r="L23" s="15">
        <v>0</v>
      </c>
      <c r="M23" s="15">
        <v>-26.03</v>
      </c>
      <c r="N23" s="15">
        <v>-22.481999999999999</v>
      </c>
      <c r="O23" s="15">
        <v>-1E-3</v>
      </c>
      <c r="P23" s="16"/>
    </row>
    <row r="24" spans="1:16" x14ac:dyDescent="0.35">
      <c r="A24" s="14" t="s">
        <v>54</v>
      </c>
      <c r="B24" s="15" t="s">
        <v>37</v>
      </c>
      <c r="C24" s="15" t="s">
        <v>37</v>
      </c>
      <c r="D24" s="15" t="s">
        <v>37</v>
      </c>
      <c r="E24" s="15" t="s">
        <v>37</v>
      </c>
      <c r="F24" s="15" t="s">
        <v>37</v>
      </c>
      <c r="G24" s="15" t="s">
        <v>37</v>
      </c>
      <c r="H24" s="15">
        <v>0</v>
      </c>
      <c r="I24" s="15" t="s">
        <v>37</v>
      </c>
      <c r="J24" s="15" t="s">
        <v>37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6"/>
    </row>
    <row r="25" spans="1:16" x14ac:dyDescent="0.35">
      <c r="A25" s="14" t="s">
        <v>55</v>
      </c>
      <c r="B25" s="15" t="s">
        <v>37</v>
      </c>
      <c r="C25" s="15">
        <v>31.324999999999999</v>
      </c>
      <c r="D25" s="15">
        <v>64.116</v>
      </c>
      <c r="E25" s="15">
        <v>16.818000000000001</v>
      </c>
      <c r="F25" s="15">
        <v>59.210999999999999</v>
      </c>
      <c r="G25" s="15">
        <v>67.135999999999996</v>
      </c>
      <c r="H25" s="15">
        <v>57.481999999999999</v>
      </c>
      <c r="I25" s="15">
        <v>72.236000000000004</v>
      </c>
      <c r="J25" s="15">
        <v>15.787000000000001</v>
      </c>
      <c r="K25" s="15">
        <v>44.167000000000002</v>
      </c>
      <c r="L25" s="15">
        <v>-323.22500000000002</v>
      </c>
      <c r="M25" s="15">
        <v>-24.67</v>
      </c>
      <c r="N25" s="15">
        <v>-0.54500000000000004</v>
      </c>
      <c r="O25" s="15">
        <v>-1.7730000000000001</v>
      </c>
      <c r="P25" s="16">
        <v>-373.45800000000003</v>
      </c>
    </row>
    <row r="26" spans="1:16" x14ac:dyDescent="0.35">
      <c r="A26" s="12" t="s">
        <v>56</v>
      </c>
      <c r="B26" s="3">
        <v>744.03099999999995</v>
      </c>
      <c r="C26" s="3">
        <v>567.952</v>
      </c>
      <c r="D26" s="3">
        <v>317.42200000000003</v>
      </c>
      <c r="E26" s="3">
        <v>667.98500000000001</v>
      </c>
      <c r="F26" s="3">
        <v>998.98599999999999</v>
      </c>
      <c r="G26" s="3">
        <v>1432.8679999999999</v>
      </c>
      <c r="H26" s="3">
        <v>2819.9029999999998</v>
      </c>
      <c r="I26" s="3">
        <v>4884.8109999999997</v>
      </c>
      <c r="J26" s="3">
        <v>6045.3670000000002</v>
      </c>
      <c r="K26" s="3">
        <v>8214.8719999999994</v>
      </c>
      <c r="L26" s="3">
        <v>10266.471</v>
      </c>
      <c r="M26" s="3">
        <v>531.149</v>
      </c>
      <c r="N26" s="3">
        <v>867.77800000000002</v>
      </c>
      <c r="O26" s="3">
        <v>829.63499999999999</v>
      </c>
      <c r="P26" s="13">
        <v>1143.7639957275401</v>
      </c>
    </row>
    <row r="27" spans="1:16" x14ac:dyDescent="0.35">
      <c r="A27" s="14" t="s">
        <v>57</v>
      </c>
      <c r="B27" s="15">
        <v>0</v>
      </c>
      <c r="C27" s="15">
        <v>497.08499999999998</v>
      </c>
      <c r="D27" s="15">
        <v>1.786</v>
      </c>
      <c r="E27" s="15">
        <v>-0.125</v>
      </c>
      <c r="F27" s="15">
        <v>-30.186</v>
      </c>
      <c r="G27" s="15">
        <v>-4.0549999999999997</v>
      </c>
      <c r="H27" s="15">
        <v>-3.3000000000000002E-2</v>
      </c>
      <c r="I27" s="15">
        <v>-8.4649999999999999</v>
      </c>
      <c r="J27" s="15">
        <v>-14.951000000000001</v>
      </c>
      <c r="K27" s="15">
        <v>-63.268000000000001</v>
      </c>
      <c r="L27" s="15">
        <v>27.760999999999999</v>
      </c>
      <c r="M27" s="15">
        <v>17.739999999999998</v>
      </c>
      <c r="N27" s="15">
        <v>-47.749000000000002</v>
      </c>
      <c r="O27" s="15">
        <v>1.454</v>
      </c>
      <c r="P27" s="16">
        <v>0</v>
      </c>
    </row>
    <row r="28" spans="1:16" x14ac:dyDescent="0.35">
      <c r="A28" s="14" t="s">
        <v>58</v>
      </c>
      <c r="B28" s="15" t="s">
        <v>37</v>
      </c>
      <c r="C28" s="15">
        <v>0.505</v>
      </c>
      <c r="D28" s="15">
        <v>1.786</v>
      </c>
      <c r="E28" s="15" t="s">
        <v>37</v>
      </c>
      <c r="F28" s="15" t="s">
        <v>37</v>
      </c>
      <c r="G28" s="15">
        <v>-2.0550000000000002</v>
      </c>
      <c r="H28" s="15" t="s">
        <v>37</v>
      </c>
      <c r="I28" s="15">
        <v>-1.841</v>
      </c>
      <c r="J28" s="15">
        <v>-13.489000000000001</v>
      </c>
      <c r="K28" s="15">
        <v>-63.054000000000002</v>
      </c>
      <c r="L28" s="15" t="s">
        <v>37</v>
      </c>
      <c r="M28" s="15">
        <v>17.739999999999998</v>
      </c>
      <c r="N28" s="15">
        <v>-50.295000000000002</v>
      </c>
      <c r="O28" s="15" t="s">
        <v>37</v>
      </c>
      <c r="P28" s="16"/>
    </row>
    <row r="29" spans="1:16" x14ac:dyDescent="0.35">
      <c r="A29" s="14" t="s">
        <v>59</v>
      </c>
      <c r="B29" s="15" t="s">
        <v>37</v>
      </c>
      <c r="C29" s="15">
        <v>492.90300000000002</v>
      </c>
      <c r="D29" s="15" t="s">
        <v>37</v>
      </c>
      <c r="E29" s="15" t="s">
        <v>37</v>
      </c>
      <c r="F29" s="15" t="s">
        <v>37</v>
      </c>
      <c r="G29" s="15" t="s">
        <v>37</v>
      </c>
      <c r="H29" s="15" t="s">
        <v>37</v>
      </c>
      <c r="I29" s="15" t="s">
        <v>37</v>
      </c>
      <c r="J29" s="15" t="s">
        <v>37</v>
      </c>
      <c r="K29" s="15" t="s">
        <v>37</v>
      </c>
      <c r="L29" s="15">
        <v>27.760999999999999</v>
      </c>
      <c r="M29" s="15" t="s">
        <v>37</v>
      </c>
      <c r="N29" s="15">
        <v>1.6</v>
      </c>
      <c r="O29" s="15" t="s">
        <v>37</v>
      </c>
      <c r="P29" s="16"/>
    </row>
    <row r="30" spans="1:16" x14ac:dyDescent="0.35">
      <c r="A30" s="14" t="s">
        <v>60</v>
      </c>
      <c r="B30" s="15" t="s">
        <v>37</v>
      </c>
      <c r="C30" s="15" t="s">
        <v>37</v>
      </c>
      <c r="D30" s="15" t="s">
        <v>37</v>
      </c>
      <c r="E30" s="15">
        <v>-0.125</v>
      </c>
      <c r="F30" s="15">
        <v>-30.186</v>
      </c>
      <c r="G30" s="15">
        <v>-2</v>
      </c>
      <c r="H30" s="15">
        <v>-3.3000000000000002E-2</v>
      </c>
      <c r="I30" s="15">
        <v>-6.6239999999999997</v>
      </c>
      <c r="J30" s="15">
        <v>-1.462</v>
      </c>
      <c r="K30" s="15">
        <v>-0.214</v>
      </c>
      <c r="L30" s="15" t="s">
        <v>37</v>
      </c>
      <c r="M30" s="15" t="s">
        <v>37</v>
      </c>
      <c r="N30" s="15" t="s">
        <v>37</v>
      </c>
      <c r="O30" s="15" t="s">
        <v>37</v>
      </c>
      <c r="P30" s="16"/>
    </row>
    <row r="31" spans="1:16" x14ac:dyDescent="0.35">
      <c r="A31" s="14" t="s">
        <v>61</v>
      </c>
      <c r="B31" s="15" t="s">
        <v>37</v>
      </c>
      <c r="C31" s="15" t="s">
        <v>37</v>
      </c>
      <c r="D31" s="15" t="s">
        <v>37</v>
      </c>
      <c r="E31" s="15" t="s">
        <v>37</v>
      </c>
      <c r="F31" s="15" t="s">
        <v>37</v>
      </c>
      <c r="G31" s="15" t="s">
        <v>37</v>
      </c>
      <c r="H31" s="15" t="s">
        <v>37</v>
      </c>
      <c r="I31" s="15" t="s">
        <v>37</v>
      </c>
      <c r="J31" s="15" t="s">
        <v>37</v>
      </c>
      <c r="K31" s="15" t="s">
        <v>37</v>
      </c>
      <c r="L31" s="15" t="s">
        <v>37</v>
      </c>
      <c r="M31" s="15" t="s">
        <v>37</v>
      </c>
      <c r="N31" s="15">
        <v>0.94599999999999995</v>
      </c>
      <c r="O31" s="15">
        <v>1.454</v>
      </c>
      <c r="P31" s="16"/>
    </row>
    <row r="32" spans="1:16" x14ac:dyDescent="0.35">
      <c r="A32" s="14" t="s">
        <v>62</v>
      </c>
      <c r="B32" s="15" t="s">
        <v>37</v>
      </c>
      <c r="C32" s="15">
        <v>3.677</v>
      </c>
      <c r="D32" s="15" t="s">
        <v>37</v>
      </c>
      <c r="E32" s="15" t="s">
        <v>37</v>
      </c>
      <c r="F32" s="15" t="s">
        <v>37</v>
      </c>
      <c r="G32" s="15" t="s">
        <v>37</v>
      </c>
      <c r="H32" s="15" t="s">
        <v>37</v>
      </c>
      <c r="I32" s="15" t="s">
        <v>37</v>
      </c>
      <c r="J32" s="15" t="s">
        <v>37</v>
      </c>
      <c r="K32" s="15" t="s">
        <v>37</v>
      </c>
      <c r="L32" s="15" t="s">
        <v>37</v>
      </c>
      <c r="M32" s="15" t="s">
        <v>37</v>
      </c>
      <c r="N32" s="15" t="s">
        <v>37</v>
      </c>
      <c r="O32" s="15" t="s">
        <v>37</v>
      </c>
      <c r="P32" s="16"/>
    </row>
    <row r="33" spans="1:16" x14ac:dyDescent="0.35">
      <c r="A33" s="12" t="s">
        <v>63</v>
      </c>
      <c r="B33" s="3">
        <v>744.03099999999995</v>
      </c>
      <c r="C33" s="3">
        <v>70.867000000000004</v>
      </c>
      <c r="D33" s="3">
        <v>315.63600000000002</v>
      </c>
      <c r="E33" s="3">
        <v>668.11</v>
      </c>
      <c r="F33" s="3">
        <v>1029.172</v>
      </c>
      <c r="G33" s="3">
        <v>1436.923</v>
      </c>
      <c r="H33" s="3">
        <v>2819.9360000000001</v>
      </c>
      <c r="I33" s="3">
        <v>4893.2759999999998</v>
      </c>
      <c r="J33" s="3">
        <v>6060.3180000000002</v>
      </c>
      <c r="K33" s="3">
        <v>8278.14</v>
      </c>
      <c r="L33" s="3">
        <v>10238.709999999999</v>
      </c>
      <c r="M33" s="3">
        <v>513.40899999999999</v>
      </c>
      <c r="N33" s="3">
        <v>915.52700000000004</v>
      </c>
      <c r="O33" s="3">
        <v>828.18100000000004</v>
      </c>
      <c r="P33" s="13">
        <v>1143.7639957275401</v>
      </c>
    </row>
    <row r="34" spans="1:16" x14ac:dyDescent="0.35">
      <c r="A34" s="14" t="s">
        <v>64</v>
      </c>
      <c r="B34" s="15">
        <v>244.691</v>
      </c>
      <c r="C34" s="15">
        <v>26.84</v>
      </c>
      <c r="D34" s="15">
        <v>80.441999999999993</v>
      </c>
      <c r="E34" s="15">
        <v>186.70099999999999</v>
      </c>
      <c r="F34" s="15">
        <v>320.45600000000002</v>
      </c>
      <c r="G34" s="15">
        <v>393.642</v>
      </c>
      <c r="H34" s="15">
        <v>1070.123</v>
      </c>
      <c r="I34" s="15">
        <v>1674.847</v>
      </c>
      <c r="J34" s="15">
        <v>2111.75</v>
      </c>
      <c r="K34" s="15">
        <v>2970.1880000000001</v>
      </c>
      <c r="L34" s="15">
        <v>3434.1460000000002</v>
      </c>
      <c r="M34" s="15">
        <v>261.14600000000002</v>
      </c>
      <c r="N34" s="15">
        <v>202.726</v>
      </c>
      <c r="O34" s="15">
        <v>200.268</v>
      </c>
      <c r="P34" s="16">
        <v>267.15300000000002</v>
      </c>
    </row>
    <row r="35" spans="1:16" x14ac:dyDescent="0.35">
      <c r="A35" s="14" t="s">
        <v>65</v>
      </c>
      <c r="B35" s="15" t="s">
        <v>37</v>
      </c>
      <c r="C35" s="15">
        <v>10.064</v>
      </c>
      <c r="D35" s="15">
        <v>47.491999999999997</v>
      </c>
      <c r="E35" s="15">
        <v>133.124</v>
      </c>
      <c r="F35" s="15">
        <v>203.48599999999999</v>
      </c>
      <c r="G35" s="15">
        <v>434.02800000000002</v>
      </c>
      <c r="H35" s="15">
        <v>1237.68</v>
      </c>
      <c r="I35" s="15">
        <v>1826.1669999999999</v>
      </c>
      <c r="J35" s="15">
        <v>2407.491</v>
      </c>
      <c r="K35" s="15">
        <v>3099.259</v>
      </c>
      <c r="L35" s="15">
        <v>3528.319</v>
      </c>
      <c r="M35" s="15">
        <v>202.23</v>
      </c>
      <c r="N35" s="15">
        <v>158.762</v>
      </c>
      <c r="O35" s="15">
        <v>188.23400000000001</v>
      </c>
      <c r="P35" s="16">
        <v>254.53200000000001</v>
      </c>
    </row>
    <row r="36" spans="1:16" x14ac:dyDescent="0.35">
      <c r="A36" s="14" t="s">
        <v>66</v>
      </c>
      <c r="B36" s="15" t="s">
        <v>37</v>
      </c>
      <c r="C36" s="15">
        <v>16.776</v>
      </c>
      <c r="D36" s="15">
        <v>32.950000000000003</v>
      </c>
      <c r="E36" s="15">
        <v>94.983000000000004</v>
      </c>
      <c r="F36" s="15">
        <v>214.37799999999999</v>
      </c>
      <c r="G36" s="15">
        <v>97.233000000000004</v>
      </c>
      <c r="H36" s="15">
        <v>-117.232</v>
      </c>
      <c r="I36" s="15">
        <v>-150.03299999999999</v>
      </c>
      <c r="J36" s="15">
        <v>-295.74099999999999</v>
      </c>
      <c r="K36" s="15">
        <v>-129.071</v>
      </c>
      <c r="L36" s="15">
        <v>-94.173000000000002</v>
      </c>
      <c r="M36" s="15">
        <v>58.915999999999997</v>
      </c>
      <c r="N36" s="15">
        <v>43.963999999999999</v>
      </c>
      <c r="O36" s="15">
        <v>12.034000000000001</v>
      </c>
      <c r="P36" s="16">
        <v>12.621</v>
      </c>
    </row>
    <row r="37" spans="1:16" x14ac:dyDescent="0.35">
      <c r="A37" s="14" t="s">
        <v>67</v>
      </c>
      <c r="B37" s="15" t="s">
        <v>37</v>
      </c>
      <c r="C37" s="15" t="s">
        <v>37</v>
      </c>
      <c r="D37" s="15">
        <v>0</v>
      </c>
      <c r="E37" s="15">
        <v>-41.405999999999999</v>
      </c>
      <c r="F37" s="15">
        <v>-97.408000000000001</v>
      </c>
      <c r="G37" s="15">
        <v>-137.619</v>
      </c>
      <c r="H37" s="15">
        <v>-50.325000000000003</v>
      </c>
      <c r="I37" s="15">
        <v>-1.2869999999999999</v>
      </c>
      <c r="J37" s="15">
        <v>0</v>
      </c>
      <c r="K37" s="15">
        <v>0</v>
      </c>
      <c r="L37" s="15">
        <v>0</v>
      </c>
      <c r="M37" s="15">
        <v>0</v>
      </c>
      <c r="N37" s="15" t="s">
        <v>37</v>
      </c>
      <c r="O37" s="15" t="s">
        <v>37</v>
      </c>
      <c r="P37" s="16"/>
    </row>
    <row r="38" spans="1:16" x14ac:dyDescent="0.35">
      <c r="A38" s="14" t="s">
        <v>68</v>
      </c>
      <c r="B38" s="15" t="s">
        <v>37</v>
      </c>
      <c r="C38" s="15" t="s">
        <v>37</v>
      </c>
      <c r="D38" s="15" t="s">
        <v>37</v>
      </c>
      <c r="E38" s="15" t="s">
        <v>37</v>
      </c>
      <c r="F38" s="15" t="s">
        <v>37</v>
      </c>
      <c r="G38" s="15" t="s">
        <v>37</v>
      </c>
      <c r="H38" s="15">
        <v>0</v>
      </c>
      <c r="I38" s="15" t="s">
        <v>37</v>
      </c>
      <c r="J38" s="15">
        <v>0</v>
      </c>
      <c r="K38" s="15" t="s">
        <v>37</v>
      </c>
      <c r="L38" s="15" t="s">
        <v>37</v>
      </c>
      <c r="M38" s="15">
        <v>0</v>
      </c>
      <c r="N38" s="15">
        <v>0</v>
      </c>
      <c r="O38" s="15">
        <v>0</v>
      </c>
      <c r="P38" s="16">
        <v>0</v>
      </c>
    </row>
    <row r="39" spans="1:16" x14ac:dyDescent="0.35">
      <c r="A39" s="12" t="s">
        <v>69</v>
      </c>
      <c r="B39" s="3">
        <v>499.34</v>
      </c>
      <c r="C39" s="3">
        <v>44.027000000000001</v>
      </c>
      <c r="D39" s="3">
        <v>235.19399999999999</v>
      </c>
      <c r="E39" s="3">
        <v>481.40899999999999</v>
      </c>
      <c r="F39" s="3">
        <v>708.71600000000001</v>
      </c>
      <c r="G39" s="3">
        <v>1043.2809999999999</v>
      </c>
      <c r="H39" s="3">
        <v>1749.8130000000001</v>
      </c>
      <c r="I39" s="3">
        <v>3218.4290000000001</v>
      </c>
      <c r="J39" s="3">
        <v>3948.5680000000002</v>
      </c>
      <c r="K39" s="3">
        <v>5307.9520000000002</v>
      </c>
      <c r="L39" s="3">
        <v>6804.5640000000003</v>
      </c>
      <c r="M39" s="3">
        <v>252.26300000000001</v>
      </c>
      <c r="N39" s="3">
        <v>712.80100000000004</v>
      </c>
      <c r="O39" s="3">
        <v>627.91300000000001</v>
      </c>
      <c r="P39" s="13">
        <v>876.61099999999999</v>
      </c>
    </row>
    <row r="40" spans="1:16" x14ac:dyDescent="0.35">
      <c r="A40" s="14" t="s">
        <v>70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6">
        <v>0</v>
      </c>
    </row>
    <row r="41" spans="1:16" x14ac:dyDescent="0.35">
      <c r="A41" s="14" t="s">
        <v>71</v>
      </c>
      <c r="B41" s="15" t="s">
        <v>37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6">
        <v>0</v>
      </c>
    </row>
    <row r="42" spans="1:16" x14ac:dyDescent="0.35">
      <c r="A42" s="14" t="s">
        <v>72</v>
      </c>
      <c r="B42" s="15" t="s">
        <v>37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6">
        <v>0</v>
      </c>
    </row>
    <row r="43" spans="1:16" x14ac:dyDescent="0.35">
      <c r="A43" s="12" t="s">
        <v>73</v>
      </c>
      <c r="B43" s="3">
        <v>499.34</v>
      </c>
      <c r="C43" s="3">
        <v>44.027000000000001</v>
      </c>
      <c r="D43" s="3">
        <v>235.19399999999999</v>
      </c>
      <c r="E43" s="3">
        <v>481.40899999999999</v>
      </c>
      <c r="F43" s="3">
        <v>708.71600000000001</v>
      </c>
      <c r="G43" s="3">
        <v>1043.2809999999999</v>
      </c>
      <c r="H43" s="3">
        <v>1749.8130000000001</v>
      </c>
      <c r="I43" s="3">
        <v>3218.4290000000001</v>
      </c>
      <c r="J43" s="3">
        <v>3948.5680000000002</v>
      </c>
      <c r="K43" s="3">
        <v>5307.9520000000002</v>
      </c>
      <c r="L43" s="3">
        <v>6804.5640000000003</v>
      </c>
      <c r="M43" s="3">
        <v>252.26300000000001</v>
      </c>
      <c r="N43" s="3">
        <v>712.80100000000004</v>
      </c>
      <c r="O43" s="3">
        <v>627.91300000000001</v>
      </c>
      <c r="P43" s="13">
        <v>876.61099999999999</v>
      </c>
    </row>
    <row r="44" spans="1:16" x14ac:dyDescent="0.35">
      <c r="A44" s="14" t="s">
        <v>74</v>
      </c>
      <c r="B44" s="15">
        <v>0</v>
      </c>
      <c r="C44" s="15">
        <v>0</v>
      </c>
      <c r="D44" s="15">
        <v>0</v>
      </c>
      <c r="E44" s="15">
        <v>0</v>
      </c>
      <c r="F44" s="15">
        <v>2E-3</v>
      </c>
      <c r="G44" s="15" t="s">
        <v>37</v>
      </c>
      <c r="H44" s="15">
        <v>-0.62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6">
        <v>0</v>
      </c>
    </row>
    <row r="45" spans="1:16" x14ac:dyDescent="0.35">
      <c r="A45" s="12" t="s">
        <v>75</v>
      </c>
      <c r="B45" s="3">
        <v>499.34</v>
      </c>
      <c r="C45" s="3">
        <v>44.027000000000001</v>
      </c>
      <c r="D45" s="3">
        <v>235.19399999999999</v>
      </c>
      <c r="E45" s="3">
        <v>481.40899999999999</v>
      </c>
      <c r="F45" s="3">
        <v>708.71400000000006</v>
      </c>
      <c r="G45" s="3">
        <v>1043.2809999999999</v>
      </c>
      <c r="H45" s="3">
        <v>1750.433</v>
      </c>
      <c r="I45" s="3">
        <v>3218.4290000000001</v>
      </c>
      <c r="J45" s="3">
        <v>3948.5680000000002</v>
      </c>
      <c r="K45" s="3">
        <v>5307.9520000000002</v>
      </c>
      <c r="L45" s="3">
        <v>6804.5640000000003</v>
      </c>
      <c r="M45" s="3">
        <v>252.26300000000001</v>
      </c>
      <c r="N45" s="3">
        <v>712.80100000000004</v>
      </c>
      <c r="O45" s="3">
        <v>627.91300000000001</v>
      </c>
      <c r="P45" s="13">
        <v>876.61099999999999</v>
      </c>
    </row>
    <row r="46" spans="1:16" x14ac:dyDescent="0.35">
      <c r="A46" s="14" t="s">
        <v>76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6">
        <v>0</v>
      </c>
    </row>
    <row r="47" spans="1:16" x14ac:dyDescent="0.35">
      <c r="A47" s="14" t="s">
        <v>77</v>
      </c>
      <c r="B47" s="15" t="s">
        <v>37</v>
      </c>
      <c r="C47" s="15">
        <v>0</v>
      </c>
      <c r="D47" s="15">
        <v>-0.3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6">
        <v>0</v>
      </c>
    </row>
    <row r="48" spans="1:16" x14ac:dyDescent="0.35">
      <c r="A48" s="12" t="s">
        <v>78</v>
      </c>
      <c r="B48" s="3">
        <v>499.34</v>
      </c>
      <c r="C48" s="3">
        <v>44.027000000000001</v>
      </c>
      <c r="D48" s="3">
        <v>235.494</v>
      </c>
      <c r="E48" s="3">
        <v>481.40899999999999</v>
      </c>
      <c r="F48" s="3">
        <v>708.71400000000006</v>
      </c>
      <c r="G48" s="3">
        <v>1043.2809999999999</v>
      </c>
      <c r="H48" s="3">
        <v>1750.433</v>
      </c>
      <c r="I48" s="3">
        <v>3218.4290000000001</v>
      </c>
      <c r="J48" s="3">
        <v>3948.5680000000002</v>
      </c>
      <c r="K48" s="3">
        <v>5307.9520000000002</v>
      </c>
      <c r="L48" s="3">
        <v>6804.5640000000003</v>
      </c>
      <c r="M48" s="3">
        <v>252.26300000000001</v>
      </c>
      <c r="N48" s="3">
        <v>712.80100000000004</v>
      </c>
      <c r="O48" s="3">
        <v>627.91300000000001</v>
      </c>
      <c r="P48" s="13">
        <v>876.61098889160201</v>
      </c>
    </row>
    <row r="49" spans="1:16" x14ac:dyDescent="0.35">
      <c r="A49" s="1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1"/>
    </row>
    <row r="50" spans="1:16" x14ac:dyDescent="0.35">
      <c r="A50" s="12" t="s">
        <v>79</v>
      </c>
      <c r="B50" s="3">
        <v>499.34</v>
      </c>
      <c r="C50" s="3">
        <v>372.15280000000001</v>
      </c>
      <c r="D50" s="3">
        <v>236.6729</v>
      </c>
      <c r="E50" s="3">
        <v>481.3245</v>
      </c>
      <c r="F50" s="3">
        <v>688.32339999999999</v>
      </c>
      <c r="G50" s="3">
        <v>1040.6043</v>
      </c>
      <c r="H50" s="3">
        <v>1750.4112</v>
      </c>
      <c r="I50" s="3">
        <v>3212.8937000000001</v>
      </c>
      <c r="J50" s="3">
        <v>3938.7914999999998</v>
      </c>
      <c r="K50" s="3">
        <v>5263.6643999999997</v>
      </c>
      <c r="L50" s="3">
        <v>6823.9966999999997</v>
      </c>
      <c r="M50" s="3">
        <v>264.68099999999998</v>
      </c>
      <c r="N50" s="3">
        <v>679.37670000000003</v>
      </c>
      <c r="O50" s="3">
        <v>628.93079999999998</v>
      </c>
      <c r="P50" s="13">
        <v>876.61098889160201</v>
      </c>
    </row>
    <row r="51" spans="1:16" x14ac:dyDescent="0.35">
      <c r="A51" s="14" t="s">
        <v>80</v>
      </c>
      <c r="B51" s="15" t="s">
        <v>37</v>
      </c>
      <c r="C51" s="15">
        <v>328.12580000000003</v>
      </c>
      <c r="D51" s="15">
        <v>1.1789000000000001</v>
      </c>
      <c r="E51" s="15">
        <v>-8.4500000000000006E-2</v>
      </c>
      <c r="F51" s="15">
        <v>-20.390599999999999</v>
      </c>
      <c r="G51" s="15">
        <v>-2.6766999999999999</v>
      </c>
      <c r="H51" s="15">
        <v>-2.18E-2</v>
      </c>
      <c r="I51" s="15">
        <v>-5.5353000000000003</v>
      </c>
      <c r="J51" s="15">
        <v>-9.7765000000000004</v>
      </c>
      <c r="K51" s="15">
        <v>-44.287599999999998</v>
      </c>
      <c r="L51" s="15">
        <v>19.432700000000001</v>
      </c>
      <c r="M51" s="15">
        <v>12.417999999999999</v>
      </c>
      <c r="N51" s="15">
        <v>-33.424300000000002</v>
      </c>
      <c r="O51" s="15">
        <v>1.0178</v>
      </c>
      <c r="P51" s="16">
        <v>0</v>
      </c>
    </row>
    <row r="52" spans="1:16" x14ac:dyDescent="0.35">
      <c r="A52" s="14" t="s">
        <v>81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6">
        <v>0</v>
      </c>
    </row>
    <row r="53" spans="1:16" x14ac:dyDescent="0.35">
      <c r="A53" s="12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1"/>
    </row>
    <row r="54" spans="1:16" x14ac:dyDescent="0.35">
      <c r="A54" s="14" t="s">
        <v>82</v>
      </c>
      <c r="B54" s="15">
        <v>770.53150000000005</v>
      </c>
      <c r="C54" s="15">
        <v>855.84659999999997</v>
      </c>
      <c r="D54" s="15">
        <v>856.20820000000003</v>
      </c>
      <c r="E54" s="15">
        <v>18023.455999999998</v>
      </c>
      <c r="F54" s="15">
        <v>19992.341799999998</v>
      </c>
      <c r="G54" s="15">
        <v>1002.9607999999999</v>
      </c>
      <c r="H54" s="15">
        <v>1005.9586</v>
      </c>
      <c r="I54" s="15">
        <v>1006.9645</v>
      </c>
      <c r="J54" s="15">
        <v>1039.6500000000001</v>
      </c>
      <c r="K54" s="15">
        <v>1058.42</v>
      </c>
      <c r="L54" s="15">
        <v>1058.779</v>
      </c>
      <c r="M54" s="15">
        <v>1058.8030000000001</v>
      </c>
      <c r="N54" s="15">
        <v>1059.3510000000001</v>
      </c>
      <c r="O54" s="15">
        <v>1059.4059999999999</v>
      </c>
      <c r="P54" s="16">
        <v>1059.4059999999999</v>
      </c>
    </row>
    <row r="55" spans="1:16" x14ac:dyDescent="0.35">
      <c r="A55" s="12" t="s">
        <v>83</v>
      </c>
      <c r="B55" s="22">
        <v>0.64800000000000002</v>
      </c>
      <c r="C55" s="22">
        <v>5.1499999999999997E-2</v>
      </c>
      <c r="D55" s="22">
        <v>0.27500000000000002</v>
      </c>
      <c r="E55" s="22">
        <v>2.6800000000000001E-2</v>
      </c>
      <c r="F55" s="22">
        <v>3.5499999999999997E-2</v>
      </c>
      <c r="G55" s="22">
        <v>1.04</v>
      </c>
      <c r="H55" s="22">
        <v>1.74</v>
      </c>
      <c r="I55" s="22">
        <v>3.1949999999999998</v>
      </c>
      <c r="J55" s="22">
        <v>3.81</v>
      </c>
      <c r="K55" s="22">
        <v>5.0149999999999997</v>
      </c>
      <c r="L55" s="22">
        <v>6.43</v>
      </c>
      <c r="M55" s="22">
        <v>0.24</v>
      </c>
      <c r="N55" s="22">
        <v>0.67</v>
      </c>
      <c r="O55" s="22">
        <v>0.59</v>
      </c>
      <c r="P55" s="23">
        <v>0.83</v>
      </c>
    </row>
    <row r="56" spans="1:16" x14ac:dyDescent="0.35">
      <c r="A56" s="12" t="s">
        <v>84</v>
      </c>
      <c r="B56" s="22">
        <v>0.64800000000000002</v>
      </c>
      <c r="C56" s="22">
        <v>5.1499999999999997E-2</v>
      </c>
      <c r="D56" s="22">
        <v>0.27500000000000002</v>
      </c>
      <c r="E56" s="22">
        <v>2.6800000000000001E-2</v>
      </c>
      <c r="F56" s="22">
        <v>3.5499999999999997E-2</v>
      </c>
      <c r="G56" s="22">
        <v>1.04</v>
      </c>
      <c r="H56" s="22">
        <v>1.74</v>
      </c>
      <c r="I56" s="22">
        <v>3.1949999999999998</v>
      </c>
      <c r="J56" s="22">
        <v>3.81</v>
      </c>
      <c r="K56" s="22">
        <v>5.0149999999999997</v>
      </c>
      <c r="L56" s="22">
        <v>6.43</v>
      </c>
      <c r="M56" s="22">
        <v>0.24</v>
      </c>
      <c r="N56" s="22">
        <v>0.67</v>
      </c>
      <c r="O56" s="22">
        <v>0.59</v>
      </c>
      <c r="P56" s="23">
        <v>0.83</v>
      </c>
    </row>
    <row r="57" spans="1:16" x14ac:dyDescent="0.35">
      <c r="A57" s="12" t="s">
        <v>85</v>
      </c>
      <c r="B57" s="22" t="s">
        <v>37</v>
      </c>
      <c r="C57" s="22">
        <v>0.43480000000000002</v>
      </c>
      <c r="D57" s="22">
        <v>0.27639999999999998</v>
      </c>
      <c r="E57" s="22">
        <v>2.6700000000000002E-2</v>
      </c>
      <c r="F57" s="22">
        <v>3.44E-2</v>
      </c>
      <c r="G57" s="22">
        <v>1.0375000000000001</v>
      </c>
      <c r="H57" s="22">
        <v>1.74</v>
      </c>
      <c r="I57" s="22">
        <v>3.1907000000000001</v>
      </c>
      <c r="J57" s="22">
        <v>3.7885999999999997</v>
      </c>
      <c r="K57" s="22">
        <v>4.9730999999999996</v>
      </c>
      <c r="L57" s="22">
        <v>6.4451999999999998</v>
      </c>
      <c r="M57" s="22">
        <v>0.25</v>
      </c>
      <c r="N57" s="22">
        <v>0.64129999999999998</v>
      </c>
      <c r="O57" s="22">
        <v>0.59370000000000001</v>
      </c>
      <c r="P57" s="23">
        <v>0.83</v>
      </c>
    </row>
    <row r="58" spans="1:16" x14ac:dyDescent="0.35">
      <c r="A58" s="12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1"/>
    </row>
    <row r="59" spans="1:16" x14ac:dyDescent="0.35">
      <c r="A59" s="14" t="s">
        <v>86</v>
      </c>
      <c r="B59" s="15">
        <v>770.53150000000005</v>
      </c>
      <c r="C59" s="15">
        <v>855.84659999999997</v>
      </c>
      <c r="D59" s="15">
        <v>856.20820000000003</v>
      </c>
      <c r="E59" s="15">
        <v>19926.8848</v>
      </c>
      <c r="F59" s="15">
        <v>20310.2801</v>
      </c>
      <c r="G59" s="15">
        <v>1022.4842</v>
      </c>
      <c r="H59" s="15">
        <v>1018.4652</v>
      </c>
      <c r="I59" s="15">
        <v>1062.2072000000001</v>
      </c>
      <c r="J59" s="15">
        <v>1060.8499999999999</v>
      </c>
      <c r="K59" s="15">
        <v>1060.702</v>
      </c>
      <c r="L59" s="15">
        <v>1062.241</v>
      </c>
      <c r="M59" s="15">
        <v>1062.1179999999999</v>
      </c>
      <c r="N59" s="15">
        <v>1060.665</v>
      </c>
      <c r="O59" s="15">
        <v>1060.5239999999999</v>
      </c>
      <c r="P59" s="16">
        <v>1059.4059999999999</v>
      </c>
    </row>
    <row r="60" spans="1:16" x14ac:dyDescent="0.35">
      <c r="A60" s="12" t="s">
        <v>87</v>
      </c>
      <c r="B60" s="22">
        <v>0.64800000000000002</v>
      </c>
      <c r="C60" s="22">
        <v>5.1499999999999997E-2</v>
      </c>
      <c r="D60" s="22">
        <v>0.27179999999999999</v>
      </c>
      <c r="E60" s="22">
        <v>2.4299999999999999E-2</v>
      </c>
      <c r="F60" s="22">
        <v>3.5000000000000003E-2</v>
      </c>
      <c r="G60" s="22">
        <v>1.02</v>
      </c>
      <c r="H60" s="22">
        <v>1.72</v>
      </c>
      <c r="I60" s="22">
        <v>3.03</v>
      </c>
      <c r="J60" s="22">
        <v>3.7349999999999999</v>
      </c>
      <c r="K60" s="22">
        <v>5.0049999999999999</v>
      </c>
      <c r="L60" s="22">
        <v>6.41</v>
      </c>
      <c r="M60" s="22">
        <v>0.24</v>
      </c>
      <c r="N60" s="22">
        <v>0.67</v>
      </c>
      <c r="O60" s="22">
        <v>0.59</v>
      </c>
      <c r="P60" s="23">
        <v>0.83</v>
      </c>
    </row>
    <row r="61" spans="1:16" x14ac:dyDescent="0.35">
      <c r="A61" s="12" t="s">
        <v>88</v>
      </c>
      <c r="B61" s="22" t="s">
        <v>37</v>
      </c>
      <c r="C61" s="22">
        <v>5.1499999999999997E-2</v>
      </c>
      <c r="D61" s="22">
        <v>0.27179999999999999</v>
      </c>
      <c r="E61" s="22">
        <v>2.4299999999999999E-2</v>
      </c>
      <c r="F61" s="22">
        <v>3.5000000000000003E-2</v>
      </c>
      <c r="G61" s="22">
        <v>1.02</v>
      </c>
      <c r="H61" s="22">
        <v>1.72</v>
      </c>
      <c r="I61" s="22">
        <v>3.03</v>
      </c>
      <c r="J61" s="22">
        <v>3.7349999999999999</v>
      </c>
      <c r="K61" s="22">
        <v>5.0049999999999999</v>
      </c>
      <c r="L61" s="22">
        <v>6.41</v>
      </c>
      <c r="M61" s="22">
        <v>0.24</v>
      </c>
      <c r="N61" s="22">
        <v>0.67</v>
      </c>
      <c r="O61" s="22">
        <v>0.59</v>
      </c>
      <c r="P61" s="23">
        <v>0.83</v>
      </c>
    </row>
    <row r="62" spans="1:16" x14ac:dyDescent="0.35">
      <c r="A62" s="12" t="s">
        <v>89</v>
      </c>
      <c r="B62" s="22" t="s">
        <v>37</v>
      </c>
      <c r="C62" s="22">
        <v>0.43480000000000002</v>
      </c>
      <c r="D62" s="22">
        <v>0.27639999999999998</v>
      </c>
      <c r="E62" s="22">
        <v>2.4199999999999999E-2</v>
      </c>
      <c r="F62" s="22">
        <v>3.4000000000000002E-2</v>
      </c>
      <c r="G62" s="22">
        <v>1.0174000000000001</v>
      </c>
      <c r="H62" s="22">
        <v>1.72</v>
      </c>
      <c r="I62" s="22">
        <v>3.0247999999999999</v>
      </c>
      <c r="J62" s="22">
        <v>3.7258</v>
      </c>
      <c r="K62" s="22">
        <v>4.9631999999999996</v>
      </c>
      <c r="L62" s="22">
        <v>6.4283000000000001</v>
      </c>
      <c r="M62" s="22">
        <v>0.25</v>
      </c>
      <c r="N62" s="22">
        <v>0.63849999999999996</v>
      </c>
      <c r="O62" s="22">
        <v>0.59099999999999997</v>
      </c>
      <c r="P62" s="23">
        <v>0.83</v>
      </c>
    </row>
    <row r="63" spans="1:16" x14ac:dyDescent="0.35">
      <c r="A63" s="12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1"/>
    </row>
    <row r="64" spans="1:16" x14ac:dyDescent="0.35">
      <c r="A64" s="12" t="s">
        <v>90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1"/>
    </row>
    <row r="65" spans="1:16" x14ac:dyDescent="0.35">
      <c r="A65" s="14" t="s">
        <v>91</v>
      </c>
      <c r="B65" s="24" t="s">
        <v>92</v>
      </c>
      <c r="C65" s="24" t="s">
        <v>92</v>
      </c>
      <c r="D65" s="24" t="s">
        <v>92</v>
      </c>
      <c r="E65" s="24" t="s">
        <v>92</v>
      </c>
      <c r="F65" s="24" t="s">
        <v>92</v>
      </c>
      <c r="G65" s="24" t="s">
        <v>92</v>
      </c>
      <c r="H65" s="24" t="s">
        <v>92</v>
      </c>
      <c r="I65" s="24" t="s">
        <v>92</v>
      </c>
      <c r="J65" s="24" t="s">
        <v>92</v>
      </c>
      <c r="K65" s="24" t="s">
        <v>92</v>
      </c>
      <c r="L65" s="24" t="s">
        <v>92</v>
      </c>
      <c r="M65" s="24" t="s">
        <v>92</v>
      </c>
      <c r="N65" s="24" t="s">
        <v>92</v>
      </c>
      <c r="O65" s="24" t="s">
        <v>92</v>
      </c>
      <c r="P65" s="25"/>
    </row>
    <row r="66" spans="1:16" x14ac:dyDescent="0.35">
      <c r="A66" s="14" t="s">
        <v>93</v>
      </c>
      <c r="B66" s="15">
        <v>1017.691</v>
      </c>
      <c r="C66" s="15">
        <v>1127.4970000000001</v>
      </c>
      <c r="D66" s="15">
        <v>797.846</v>
      </c>
      <c r="E66" s="15">
        <v>1388.414</v>
      </c>
      <c r="F66" s="15">
        <v>2419.6979999999999</v>
      </c>
      <c r="G66" s="15">
        <v>3815.0059999999999</v>
      </c>
      <c r="H66" s="15">
        <v>5345.9989999999998</v>
      </c>
      <c r="I66" s="15">
        <v>7232.1949999999997</v>
      </c>
      <c r="J66" s="15">
        <v>8207.5149999999994</v>
      </c>
      <c r="K66" s="15">
        <v>9460.1</v>
      </c>
      <c r="L66" s="15">
        <v>10066.370000000001</v>
      </c>
      <c r="M66" s="15">
        <v>-198.94800000000001</v>
      </c>
      <c r="N66" s="15">
        <v>240.21</v>
      </c>
      <c r="O66" s="15">
        <v>281.08699999999999</v>
      </c>
      <c r="P66" s="16">
        <v>906.846</v>
      </c>
    </row>
    <row r="67" spans="1:16" x14ac:dyDescent="0.35">
      <c r="A67" s="14" t="s">
        <v>94</v>
      </c>
      <c r="B67" s="26">
        <v>45.453299999999999</v>
      </c>
      <c r="C67" s="26">
        <v>38.308700000000002</v>
      </c>
      <c r="D67" s="26">
        <v>18.661899999999999</v>
      </c>
      <c r="E67" s="26">
        <v>15.6058</v>
      </c>
      <c r="F67" s="26">
        <v>17.881499999999999</v>
      </c>
      <c r="G67" s="26">
        <v>24.6585</v>
      </c>
      <c r="H67" s="26">
        <v>27.3887</v>
      </c>
      <c r="I67" s="26">
        <v>26.0106</v>
      </c>
      <c r="J67" s="26">
        <v>25.722899999999999</v>
      </c>
      <c r="K67" s="26">
        <v>23.647500000000001</v>
      </c>
      <c r="L67" s="26">
        <v>15.481999999999999</v>
      </c>
      <c r="M67" s="26">
        <v>-1.3190999999999999</v>
      </c>
      <c r="N67" s="26">
        <v>3.5056000000000003</v>
      </c>
      <c r="O67" s="26">
        <v>8.9435000000000002</v>
      </c>
      <c r="P67" s="27">
        <v>16.8740586974587</v>
      </c>
    </row>
    <row r="68" spans="1:16" x14ac:dyDescent="0.35">
      <c r="A68" s="14" t="s">
        <v>95</v>
      </c>
      <c r="B68" s="15">
        <v>724.37099999999998</v>
      </c>
      <c r="C68" s="15">
        <v>595.69200000000001</v>
      </c>
      <c r="D68" s="15">
        <v>378.01299999999998</v>
      </c>
      <c r="E68" s="15">
        <v>838.35400000000004</v>
      </c>
      <c r="F68" s="15">
        <v>1545.2560000000001</v>
      </c>
      <c r="G68" s="15">
        <v>2244.384</v>
      </c>
      <c r="H68" s="15">
        <v>3537.279</v>
      </c>
      <c r="I68" s="15">
        <v>5583.634</v>
      </c>
      <c r="J68" s="15">
        <v>6567.085</v>
      </c>
      <c r="K68" s="15">
        <v>8726.2279999999992</v>
      </c>
      <c r="L68" s="15">
        <v>10024.683000000001</v>
      </c>
      <c r="M68" s="15">
        <v>-286.108</v>
      </c>
      <c r="N68" s="15">
        <v>93.206000000000003</v>
      </c>
      <c r="O68" s="15">
        <v>133.036</v>
      </c>
      <c r="P68" s="16">
        <v>671.19299999999998</v>
      </c>
    </row>
    <row r="69" spans="1:16" x14ac:dyDescent="0.35">
      <c r="A69" s="14" t="s">
        <v>96</v>
      </c>
      <c r="B69" s="15">
        <v>724.37099999999998</v>
      </c>
      <c r="C69" s="15">
        <v>595.69200000000001</v>
      </c>
      <c r="D69" s="15">
        <v>378.01299999999998</v>
      </c>
      <c r="E69" s="15">
        <v>838.35400000000004</v>
      </c>
      <c r="F69" s="15">
        <v>1545.2560000000001</v>
      </c>
      <c r="G69" s="15">
        <v>2244.384</v>
      </c>
      <c r="H69" s="15">
        <v>3537.2710000000002</v>
      </c>
      <c r="I69" s="15">
        <v>5583.634</v>
      </c>
      <c r="J69" s="15">
        <v>6567.085</v>
      </c>
      <c r="K69" s="15">
        <v>8726.2279999999992</v>
      </c>
      <c r="L69" s="15">
        <v>10024.665999999999</v>
      </c>
      <c r="M69" s="15">
        <v>-286.30200000000002</v>
      </c>
      <c r="N69" s="15">
        <v>92.95</v>
      </c>
      <c r="O69" s="15">
        <v>133.036</v>
      </c>
      <c r="P69" s="16">
        <v>770.30600000000004</v>
      </c>
    </row>
    <row r="70" spans="1:16" x14ac:dyDescent="0.35">
      <c r="A70" s="14" t="s">
        <v>97</v>
      </c>
      <c r="B70" s="26">
        <v>32.352699999999999</v>
      </c>
      <c r="C70" s="26">
        <v>20.239699999999999</v>
      </c>
      <c r="D70" s="26">
        <v>8.8419000000000008</v>
      </c>
      <c r="E70" s="26">
        <v>9.4230999999999998</v>
      </c>
      <c r="F70" s="26">
        <v>11.4194</v>
      </c>
      <c r="G70" s="26">
        <v>14.5067</v>
      </c>
      <c r="H70" s="26">
        <v>18.122199999999999</v>
      </c>
      <c r="I70" s="26">
        <v>20.081600000000002</v>
      </c>
      <c r="J70" s="26">
        <v>20.581700000000001</v>
      </c>
      <c r="K70" s="26">
        <v>21.812999999999999</v>
      </c>
      <c r="L70" s="26">
        <v>15.4178</v>
      </c>
      <c r="M70" s="26">
        <v>-1.8982999999999999</v>
      </c>
      <c r="N70" s="26">
        <v>1.3565</v>
      </c>
      <c r="O70" s="26">
        <v>4.2328999999999999</v>
      </c>
      <c r="P70" s="27">
        <v>14.3334024288629</v>
      </c>
    </row>
    <row r="71" spans="1:16" x14ac:dyDescent="0.35">
      <c r="A71" s="14" t="s">
        <v>98</v>
      </c>
      <c r="B71" s="26">
        <v>22.302099999999999</v>
      </c>
      <c r="C71" s="26">
        <v>12.644500000000001</v>
      </c>
      <c r="D71" s="26">
        <v>5.5289000000000001</v>
      </c>
      <c r="E71" s="26">
        <v>5.4100999999999999</v>
      </c>
      <c r="F71" s="26">
        <v>5.0867000000000004</v>
      </c>
      <c r="G71" s="26">
        <v>6.726</v>
      </c>
      <c r="H71" s="26">
        <v>8.9677000000000007</v>
      </c>
      <c r="I71" s="26">
        <v>11.555199999999999</v>
      </c>
      <c r="J71" s="26">
        <v>12.3445</v>
      </c>
      <c r="K71" s="26">
        <v>13.1576</v>
      </c>
      <c r="L71" s="26">
        <v>10.495200000000001</v>
      </c>
      <c r="M71" s="26">
        <v>1.7549000000000001</v>
      </c>
      <c r="N71" s="26">
        <v>9.9146999999999998</v>
      </c>
      <c r="O71" s="26">
        <v>20.011099999999999</v>
      </c>
      <c r="P71" s="27">
        <v>16.311463543796801</v>
      </c>
    </row>
    <row r="72" spans="1:16" x14ac:dyDescent="0.35">
      <c r="A72" s="14" t="s">
        <v>99</v>
      </c>
      <c r="B72" s="26" t="s">
        <v>37</v>
      </c>
      <c r="C72" s="26" t="s">
        <v>37</v>
      </c>
      <c r="D72" s="26" t="s">
        <v>37</v>
      </c>
      <c r="E72" s="26" t="s">
        <v>37</v>
      </c>
      <c r="F72" s="26" t="s">
        <v>37</v>
      </c>
      <c r="G72" s="26" t="s">
        <v>37</v>
      </c>
      <c r="H72" s="26" t="s">
        <v>37</v>
      </c>
      <c r="I72" s="26" t="s">
        <v>37</v>
      </c>
      <c r="J72" s="26" t="s">
        <v>37</v>
      </c>
      <c r="K72" s="26">
        <v>25399770.159000002</v>
      </c>
      <c r="L72" s="26">
        <v>35942485.351000004</v>
      </c>
      <c r="M72" s="26">
        <v>8095689.2110000001</v>
      </c>
      <c r="N72" s="26">
        <v>5030995.5947000002</v>
      </c>
      <c r="O72" s="26">
        <v>3928642.5</v>
      </c>
      <c r="P72" s="27"/>
    </row>
    <row r="73" spans="1:16" x14ac:dyDescent="0.35">
      <c r="A73" s="14" t="s">
        <v>100</v>
      </c>
      <c r="B73" s="26">
        <v>0.05</v>
      </c>
      <c r="C73" s="26">
        <v>2.5000000000000001E-2</v>
      </c>
      <c r="D73" s="26">
        <v>3.7499999999999999E-2</v>
      </c>
      <c r="E73" s="26">
        <v>0.05</v>
      </c>
      <c r="F73" s="26">
        <v>5.0000000000000001E-3</v>
      </c>
      <c r="G73" s="26">
        <v>0.1</v>
      </c>
      <c r="H73" s="26">
        <v>0.125</v>
      </c>
      <c r="I73" s="26">
        <v>0.125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0.1</v>
      </c>
      <c r="P73" s="27"/>
    </row>
    <row r="74" spans="1:16" x14ac:dyDescent="0.35">
      <c r="A74" s="14" t="s">
        <v>101</v>
      </c>
      <c r="B74" s="15">
        <v>42.792000000000002</v>
      </c>
      <c r="C74" s="15">
        <v>21.396000000000001</v>
      </c>
      <c r="D74" s="15">
        <v>33.744</v>
      </c>
      <c r="E74" s="15">
        <v>49.883000000000003</v>
      </c>
      <c r="F74" s="15">
        <v>100.096</v>
      </c>
      <c r="G74" s="15">
        <v>100.5</v>
      </c>
      <c r="H74" s="15">
        <v>125.871</v>
      </c>
      <c r="I74" s="15">
        <v>125.87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105.9406</v>
      </c>
      <c r="P74" s="16"/>
    </row>
    <row r="75" spans="1:16" x14ac:dyDescent="0.35">
      <c r="A75" s="14" t="s">
        <v>102</v>
      </c>
      <c r="B75" s="15" t="s">
        <v>37</v>
      </c>
      <c r="C75" s="15">
        <v>0</v>
      </c>
      <c r="D75" s="15">
        <v>0</v>
      </c>
      <c r="E75" s="15" t="s">
        <v>37</v>
      </c>
      <c r="F75" s="15" t="s">
        <v>37</v>
      </c>
      <c r="G75" s="15">
        <v>0</v>
      </c>
      <c r="H75" s="15" t="s">
        <v>37</v>
      </c>
      <c r="I75" s="15" t="s">
        <v>37</v>
      </c>
      <c r="J75" s="15" t="s">
        <v>37</v>
      </c>
      <c r="K75" s="15" t="s">
        <v>37</v>
      </c>
      <c r="L75" s="15">
        <v>0</v>
      </c>
      <c r="M75" s="15">
        <v>0</v>
      </c>
      <c r="N75" s="15">
        <v>0</v>
      </c>
      <c r="O75" s="15">
        <v>0</v>
      </c>
      <c r="P75" s="16"/>
    </row>
    <row r="76" spans="1:16" x14ac:dyDescent="0.35">
      <c r="A76" s="14" t="s">
        <v>103</v>
      </c>
      <c r="B76" s="15">
        <v>138.048</v>
      </c>
      <c r="C76" s="15">
        <v>177.065</v>
      </c>
      <c r="D76" s="15">
        <v>287.27999999999997</v>
      </c>
      <c r="E76" s="15">
        <v>264.59899999999999</v>
      </c>
      <c r="F76" s="15">
        <v>124.736</v>
      </c>
      <c r="G76" s="15">
        <v>285.483</v>
      </c>
      <c r="H76" s="15">
        <v>314.11799999999999</v>
      </c>
      <c r="I76" s="15">
        <v>195.923</v>
      </c>
      <c r="J76" s="15">
        <v>253.26</v>
      </c>
      <c r="K76" s="15">
        <v>439.86700000000002</v>
      </c>
      <c r="L76" s="15">
        <v>688.053</v>
      </c>
      <c r="M76" s="15">
        <v>879.58</v>
      </c>
      <c r="N76" s="15">
        <v>738.28099999999995</v>
      </c>
      <c r="O76" s="15">
        <v>344.19</v>
      </c>
      <c r="P76" s="16">
        <v>218.77299893188501</v>
      </c>
    </row>
    <row r="77" spans="1:16" x14ac:dyDescent="0.35">
      <c r="A77" s="14" t="s">
        <v>104</v>
      </c>
      <c r="B77" s="15">
        <v>293.32</v>
      </c>
      <c r="C77" s="15">
        <v>531.80499999999995</v>
      </c>
      <c r="D77" s="15">
        <v>419.83300000000003</v>
      </c>
      <c r="E77" s="15">
        <v>550.05999999999995</v>
      </c>
      <c r="F77" s="15">
        <v>874.44200000000001</v>
      </c>
      <c r="G77" s="15">
        <v>1570.6220000000001</v>
      </c>
      <c r="H77" s="15">
        <v>1808.72</v>
      </c>
      <c r="I77" s="15">
        <v>1648.5609999999999</v>
      </c>
      <c r="J77" s="15">
        <v>1640.43</v>
      </c>
      <c r="K77" s="15">
        <v>733.87199999999996</v>
      </c>
      <c r="L77" s="15">
        <v>41.686999999999998</v>
      </c>
      <c r="M77" s="15">
        <v>87.16</v>
      </c>
      <c r="N77" s="15">
        <v>147.00399999999999</v>
      </c>
      <c r="O77" s="15">
        <v>148.05099999999999</v>
      </c>
      <c r="P77" s="16">
        <v>115.482</v>
      </c>
    </row>
    <row r="78" spans="1:16" x14ac:dyDescent="0.35">
      <c r="A78" s="14" t="s">
        <v>105</v>
      </c>
      <c r="B78" s="15">
        <v>0.72799999999999998</v>
      </c>
      <c r="C78" s="15">
        <v>2.1999999999999999E-2</v>
      </c>
      <c r="D78" s="15">
        <v>14.467000000000001</v>
      </c>
      <c r="E78" s="15">
        <v>90.382999999999996</v>
      </c>
      <c r="F78" s="15">
        <v>411.11900000000003</v>
      </c>
      <c r="G78" s="15">
        <v>6.4829999999999997</v>
      </c>
      <c r="H78" s="15">
        <v>343.505</v>
      </c>
      <c r="I78" s="15">
        <v>4.53</v>
      </c>
      <c r="J78" s="15">
        <v>4.5250000000000004</v>
      </c>
      <c r="K78" s="15">
        <v>12.026</v>
      </c>
      <c r="L78" s="15">
        <v>11.670999999999999</v>
      </c>
      <c r="M78" s="15">
        <v>1.7999999999999999E-2</v>
      </c>
      <c r="N78" s="15">
        <v>0</v>
      </c>
      <c r="O78" s="15">
        <v>22.061</v>
      </c>
      <c r="P78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27CE-1636-4FB5-B699-EDFB60D8D461}">
  <dimension ref="A1:AC60"/>
  <sheetViews>
    <sheetView topLeftCell="C1" workbookViewId="0">
      <selection activeCell="U8" sqref="U8"/>
    </sheetView>
  </sheetViews>
  <sheetFormatPr defaultRowHeight="14.5" x14ac:dyDescent="0.35"/>
  <cols>
    <col min="1" max="1" width="29.453125" customWidth="1"/>
  </cols>
  <sheetData>
    <row r="1" spans="1:29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20" x14ac:dyDescent="0.35">
      <c r="A2" s="6" t="s">
        <v>316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35">
      <c r="A4" s="8" t="s">
        <v>7</v>
      </c>
      <c r="B4" s="56" t="s">
        <v>118</v>
      </c>
      <c r="C4" s="56"/>
      <c r="D4" s="56" t="s">
        <v>11</v>
      </c>
      <c r="E4" s="56"/>
      <c r="F4" s="56" t="s">
        <v>12</v>
      </c>
      <c r="G4" s="56"/>
      <c r="H4" s="56" t="s">
        <v>13</v>
      </c>
      <c r="I4" s="56"/>
      <c r="J4" s="56" t="s">
        <v>0</v>
      </c>
      <c r="K4" s="56"/>
      <c r="L4" s="56" t="s">
        <v>2</v>
      </c>
      <c r="M4" s="56"/>
      <c r="N4" s="56" t="s">
        <v>3</v>
      </c>
      <c r="O4" s="56"/>
      <c r="P4" s="56" t="s">
        <v>4</v>
      </c>
      <c r="Q4" s="56"/>
      <c r="R4" s="56" t="s">
        <v>5</v>
      </c>
      <c r="S4" s="56"/>
      <c r="T4" s="56" t="s">
        <v>6</v>
      </c>
      <c r="U4" s="56"/>
      <c r="V4" s="56" t="s">
        <v>14</v>
      </c>
      <c r="W4" s="56"/>
      <c r="X4" s="56" t="s">
        <v>15</v>
      </c>
      <c r="Y4" s="56"/>
      <c r="Z4" s="56" t="s">
        <v>16</v>
      </c>
      <c r="AA4" s="56"/>
      <c r="AB4" s="56" t="s">
        <v>17</v>
      </c>
      <c r="AC4" s="56"/>
    </row>
    <row r="5" spans="1:29" x14ac:dyDescent="0.35">
      <c r="A5" s="40" t="s">
        <v>19</v>
      </c>
      <c r="B5" s="57" t="s">
        <v>119</v>
      </c>
      <c r="C5" s="57"/>
      <c r="D5" s="57" t="s">
        <v>20</v>
      </c>
      <c r="E5" s="57"/>
      <c r="F5" s="57" t="s">
        <v>21</v>
      </c>
      <c r="G5" s="57"/>
      <c r="H5" s="57" t="s">
        <v>22</v>
      </c>
      <c r="I5" s="57"/>
      <c r="J5" s="57" t="s">
        <v>23</v>
      </c>
      <c r="K5" s="57"/>
      <c r="L5" s="57" t="s">
        <v>25</v>
      </c>
      <c r="M5" s="57"/>
      <c r="N5" s="57" t="s">
        <v>26</v>
      </c>
      <c r="O5" s="57"/>
      <c r="P5" s="57" t="s">
        <v>27</v>
      </c>
      <c r="Q5" s="57"/>
      <c r="R5" s="57" t="s">
        <v>28</v>
      </c>
      <c r="S5" s="57"/>
      <c r="T5" s="57" t="s">
        <v>29</v>
      </c>
      <c r="U5" s="57"/>
      <c r="V5" s="57" t="s">
        <v>30</v>
      </c>
      <c r="W5" s="57"/>
      <c r="X5" s="57" t="s">
        <v>31</v>
      </c>
      <c r="Y5" s="57"/>
      <c r="Z5" s="57" t="s">
        <v>32</v>
      </c>
      <c r="AA5" s="57"/>
      <c r="AB5" s="57" t="s">
        <v>33</v>
      </c>
      <c r="AC5" s="57"/>
    </row>
    <row r="6" spans="1:29" x14ac:dyDescent="0.35">
      <c r="A6" s="12" t="s">
        <v>35</v>
      </c>
      <c r="B6" s="58">
        <v>1166.595</v>
      </c>
      <c r="C6" s="59">
        <v>1</v>
      </c>
      <c r="D6" s="58">
        <v>2238.9839999999999</v>
      </c>
      <c r="E6" s="59">
        <v>1</v>
      </c>
      <c r="F6" s="58">
        <v>2943.1880000000001</v>
      </c>
      <c r="G6" s="59">
        <v>1</v>
      </c>
      <c r="H6" s="58">
        <v>4275.2619999999997</v>
      </c>
      <c r="I6" s="59">
        <v>1</v>
      </c>
      <c r="J6" s="58">
        <v>8896.7710000000006</v>
      </c>
      <c r="K6" s="59">
        <v>1</v>
      </c>
      <c r="L6" s="58">
        <v>15471.505999999999</v>
      </c>
      <c r="M6" s="59">
        <v>1</v>
      </c>
      <c r="N6" s="58">
        <v>19519.017</v>
      </c>
      <c r="O6" s="59">
        <v>1</v>
      </c>
      <c r="P6" s="58">
        <v>27804.793000000001</v>
      </c>
      <c r="Q6" s="59">
        <v>1</v>
      </c>
      <c r="R6" s="58">
        <v>31907.366000000002</v>
      </c>
      <c r="S6" s="59">
        <v>1</v>
      </c>
      <c r="T6" s="58">
        <v>40004.637999999999</v>
      </c>
      <c r="U6" s="59">
        <v>1</v>
      </c>
      <c r="V6" s="58">
        <v>65019.955999999998</v>
      </c>
      <c r="W6" s="59">
        <v>1</v>
      </c>
      <c r="X6" s="58">
        <v>15082.269</v>
      </c>
      <c r="Y6" s="59">
        <v>1</v>
      </c>
      <c r="Z6" s="58">
        <v>6852.2160000000003</v>
      </c>
      <c r="AA6" s="59">
        <v>1</v>
      </c>
      <c r="AB6" s="58">
        <v>3142.9140000000002</v>
      </c>
      <c r="AC6" s="59">
        <v>1</v>
      </c>
    </row>
    <row r="7" spans="1:29" x14ac:dyDescent="0.35">
      <c r="A7" s="14" t="s">
        <v>317</v>
      </c>
      <c r="B7" s="60" t="s">
        <v>37</v>
      </c>
      <c r="C7" s="61"/>
      <c r="D7" s="60" t="s">
        <v>37</v>
      </c>
      <c r="E7" s="61"/>
      <c r="F7" s="60" t="s">
        <v>37</v>
      </c>
      <c r="G7" s="61"/>
      <c r="H7" s="60" t="s">
        <v>37</v>
      </c>
      <c r="I7" s="61"/>
      <c r="J7" s="60" t="s">
        <v>37</v>
      </c>
      <c r="K7" s="61"/>
      <c r="L7" s="60" t="s">
        <v>37</v>
      </c>
      <c r="M7" s="61"/>
      <c r="N7" s="60" t="s">
        <v>37</v>
      </c>
      <c r="O7" s="61"/>
      <c r="P7" s="60">
        <v>11934.794</v>
      </c>
      <c r="Q7" s="61">
        <v>0.42923513223061899</v>
      </c>
      <c r="R7" s="60">
        <v>17089.263999999999</v>
      </c>
      <c r="S7" s="61">
        <v>0.53558993243127595</v>
      </c>
      <c r="T7" s="60">
        <v>25783.25</v>
      </c>
      <c r="U7" s="61">
        <v>0.64450653557986304</v>
      </c>
      <c r="V7" s="60">
        <v>58747.180999999997</v>
      </c>
      <c r="W7" s="61">
        <v>0.90352538842074903</v>
      </c>
      <c r="X7" s="60">
        <v>15082.269</v>
      </c>
      <c r="Y7" s="61">
        <v>1</v>
      </c>
      <c r="Z7" s="60">
        <v>6852.2160000000003</v>
      </c>
      <c r="AA7" s="61">
        <v>1</v>
      </c>
      <c r="AB7" s="60">
        <v>3142.9140000000002</v>
      </c>
      <c r="AC7" s="61">
        <v>1</v>
      </c>
    </row>
    <row r="8" spans="1:29" x14ac:dyDescent="0.35">
      <c r="A8" s="14" t="s">
        <v>318</v>
      </c>
      <c r="B8" s="60" t="s">
        <v>37</v>
      </c>
      <c r="C8" s="61"/>
      <c r="D8" s="60" t="s">
        <v>37</v>
      </c>
      <c r="E8" s="61"/>
      <c r="F8" s="60" t="s">
        <v>37</v>
      </c>
      <c r="G8" s="61"/>
      <c r="H8" s="60" t="s">
        <v>37</v>
      </c>
      <c r="I8" s="61"/>
      <c r="J8" s="60" t="s">
        <v>37</v>
      </c>
      <c r="K8" s="61"/>
      <c r="L8" s="60" t="s">
        <v>37</v>
      </c>
      <c r="M8" s="61"/>
      <c r="N8" s="60" t="s">
        <v>37</v>
      </c>
      <c r="O8" s="61"/>
      <c r="P8" s="60">
        <v>15869.999</v>
      </c>
      <c r="Q8" s="61">
        <v>0.57076486776938096</v>
      </c>
      <c r="R8" s="60">
        <v>14818.102000000001</v>
      </c>
      <c r="S8" s="61">
        <v>0.46441006756872399</v>
      </c>
      <c r="T8" s="60">
        <v>14221.387000000001</v>
      </c>
      <c r="U8" s="61">
        <v>0.35549346442013702</v>
      </c>
      <c r="V8" s="60">
        <v>6272.7749999999996</v>
      </c>
      <c r="W8" s="61">
        <v>9.6474611579251093E-2</v>
      </c>
      <c r="X8" s="60" t="s">
        <v>37</v>
      </c>
      <c r="Y8" s="61"/>
      <c r="Z8" s="60" t="s">
        <v>37</v>
      </c>
      <c r="AA8" s="61"/>
      <c r="AB8" s="60" t="s">
        <v>37</v>
      </c>
      <c r="AC8" s="61"/>
    </row>
    <row r="9" spans="1:29" x14ac:dyDescent="0.35">
      <c r="A9" s="14" t="s">
        <v>319</v>
      </c>
      <c r="B9" s="60" t="s">
        <v>37</v>
      </c>
      <c r="C9" s="61"/>
      <c r="D9" s="60" t="s">
        <v>37</v>
      </c>
      <c r="E9" s="61"/>
      <c r="F9" s="60" t="s">
        <v>37</v>
      </c>
      <c r="G9" s="61"/>
      <c r="H9" s="60" t="s">
        <v>37</v>
      </c>
      <c r="I9" s="61"/>
      <c r="J9" s="60" t="s">
        <v>37</v>
      </c>
      <c r="K9" s="61"/>
      <c r="L9" s="60" t="s">
        <v>37</v>
      </c>
      <c r="M9" s="61"/>
      <c r="N9" s="60" t="s">
        <v>37</v>
      </c>
      <c r="O9" s="61"/>
      <c r="P9" s="60" t="s">
        <v>37</v>
      </c>
      <c r="Q9" s="61"/>
      <c r="R9" s="60" t="s">
        <v>37</v>
      </c>
      <c r="S9" s="61"/>
      <c r="T9" s="60">
        <v>1E-3</v>
      </c>
      <c r="U9" s="61"/>
      <c r="V9" s="60" t="s">
        <v>37</v>
      </c>
      <c r="W9" s="61"/>
      <c r="X9" s="60" t="s">
        <v>37</v>
      </c>
      <c r="Y9" s="61"/>
      <c r="Z9" s="60" t="s">
        <v>37</v>
      </c>
      <c r="AA9" s="61"/>
      <c r="AB9" s="60" t="s">
        <v>37</v>
      </c>
      <c r="AC9" s="61"/>
    </row>
    <row r="10" spans="1:29" x14ac:dyDescent="0.35">
      <c r="A10" s="14" t="s">
        <v>320</v>
      </c>
      <c r="B10" s="60">
        <v>1166.595</v>
      </c>
      <c r="C10" s="61">
        <v>1</v>
      </c>
      <c r="D10" s="60">
        <v>2238.9839999999999</v>
      </c>
      <c r="E10" s="61">
        <v>1</v>
      </c>
      <c r="F10" s="60">
        <v>2943.1880000000001</v>
      </c>
      <c r="G10" s="61">
        <v>1</v>
      </c>
      <c r="H10" s="60">
        <v>4275.2619999999997</v>
      </c>
      <c r="I10" s="61">
        <v>1</v>
      </c>
      <c r="J10" s="60">
        <v>8896.7710000000006</v>
      </c>
      <c r="K10" s="61">
        <v>1</v>
      </c>
      <c r="L10" s="60">
        <v>15471.505999999999</v>
      </c>
      <c r="M10" s="61">
        <v>1</v>
      </c>
      <c r="N10" s="60">
        <v>19519.017</v>
      </c>
      <c r="O10" s="61">
        <v>1</v>
      </c>
      <c r="P10" s="60" t="s">
        <v>37</v>
      </c>
      <c r="Q10" s="61"/>
      <c r="R10" s="60" t="s">
        <v>37</v>
      </c>
      <c r="S10" s="61"/>
      <c r="T10" s="60" t="s">
        <v>37</v>
      </c>
      <c r="U10" s="61"/>
      <c r="V10" s="60" t="s">
        <v>37</v>
      </c>
      <c r="W10" s="61"/>
      <c r="X10" s="60" t="s">
        <v>37</v>
      </c>
      <c r="Y10" s="61"/>
      <c r="Z10" s="60" t="s">
        <v>37</v>
      </c>
      <c r="AA10" s="61"/>
      <c r="AB10" s="60" t="s">
        <v>37</v>
      </c>
      <c r="AC10" s="61"/>
    </row>
    <row r="11" spans="1:29" x14ac:dyDescent="0.35">
      <c r="A11" s="12" t="s">
        <v>93</v>
      </c>
      <c r="B11" s="58">
        <v>517.61199999999997</v>
      </c>
      <c r="C11" s="59">
        <v>1</v>
      </c>
      <c r="D11" s="58">
        <v>1017.691</v>
      </c>
      <c r="E11" s="59">
        <v>1</v>
      </c>
      <c r="F11" s="58">
        <v>632.86</v>
      </c>
      <c r="G11" s="59">
        <v>1</v>
      </c>
      <c r="H11" s="58">
        <v>798.24400000000003</v>
      </c>
      <c r="I11" s="59">
        <v>1</v>
      </c>
      <c r="J11" s="58">
        <v>1389.011</v>
      </c>
      <c r="K11" s="59">
        <v>1</v>
      </c>
      <c r="L11" s="58">
        <v>3815.0059999999999</v>
      </c>
      <c r="M11" s="59">
        <v>1</v>
      </c>
      <c r="N11" s="58">
        <v>5346.2790000000005</v>
      </c>
      <c r="O11" s="59">
        <v>1</v>
      </c>
      <c r="P11" s="58" t="s">
        <v>37</v>
      </c>
      <c r="Q11" s="59"/>
      <c r="R11" s="58" t="s">
        <v>37</v>
      </c>
      <c r="S11" s="59"/>
      <c r="T11" s="58" t="s">
        <v>37</v>
      </c>
      <c r="U11" s="59"/>
      <c r="V11" s="58" t="s">
        <v>37</v>
      </c>
      <c r="W11" s="59"/>
      <c r="X11" s="58" t="s">
        <v>37</v>
      </c>
      <c r="Y11" s="59"/>
      <c r="Z11" s="58" t="s">
        <v>37</v>
      </c>
      <c r="AA11" s="59"/>
      <c r="AB11" s="58" t="s">
        <v>37</v>
      </c>
      <c r="AC11" s="59"/>
    </row>
    <row r="12" spans="1:29" x14ac:dyDescent="0.35">
      <c r="A12" s="14" t="s">
        <v>320</v>
      </c>
      <c r="B12" s="60">
        <v>517.61199999999997</v>
      </c>
      <c r="C12" s="61">
        <v>1</v>
      </c>
      <c r="D12" s="60">
        <v>1017.691</v>
      </c>
      <c r="E12" s="61">
        <v>1</v>
      </c>
      <c r="F12" s="60">
        <v>632.86</v>
      </c>
      <c r="G12" s="61">
        <v>1</v>
      </c>
      <c r="H12" s="60">
        <v>798.24400000000003</v>
      </c>
      <c r="I12" s="61">
        <v>1</v>
      </c>
      <c r="J12" s="60">
        <v>1389.011</v>
      </c>
      <c r="K12" s="61">
        <v>1</v>
      </c>
      <c r="L12" s="60">
        <v>3815.0059999999999</v>
      </c>
      <c r="M12" s="61">
        <v>1</v>
      </c>
      <c r="N12" s="60">
        <v>5346.2790000000005</v>
      </c>
      <c r="O12" s="61">
        <v>1</v>
      </c>
      <c r="P12" s="60" t="s">
        <v>37</v>
      </c>
      <c r="Q12" s="61"/>
      <c r="R12" s="60" t="s">
        <v>37</v>
      </c>
      <c r="S12" s="61"/>
      <c r="T12" s="60" t="s">
        <v>37</v>
      </c>
      <c r="U12" s="61"/>
      <c r="V12" s="60" t="s">
        <v>37</v>
      </c>
      <c r="W12" s="61"/>
      <c r="X12" s="60" t="s">
        <v>37</v>
      </c>
      <c r="Y12" s="61"/>
      <c r="Z12" s="60" t="s">
        <v>37</v>
      </c>
      <c r="AA12" s="61"/>
      <c r="AB12" s="60" t="s">
        <v>37</v>
      </c>
      <c r="AC12" s="61"/>
    </row>
    <row r="13" spans="1:29" x14ac:dyDescent="0.35">
      <c r="A13" s="12" t="s">
        <v>321</v>
      </c>
      <c r="B13" s="58">
        <v>368.02499999999998</v>
      </c>
      <c r="C13" s="59">
        <v>1</v>
      </c>
      <c r="D13" s="58">
        <v>724.37099999999998</v>
      </c>
      <c r="E13" s="59">
        <v>1</v>
      </c>
      <c r="F13" s="58">
        <v>101.05500000000001</v>
      </c>
      <c r="G13" s="59">
        <v>1</v>
      </c>
      <c r="H13" s="58">
        <v>378.411</v>
      </c>
      <c r="I13" s="59">
        <v>1</v>
      </c>
      <c r="J13" s="58">
        <v>838.95100000000002</v>
      </c>
      <c r="K13" s="59">
        <v>1</v>
      </c>
      <c r="L13" s="58">
        <v>2244.384</v>
      </c>
      <c r="M13" s="59">
        <v>1</v>
      </c>
      <c r="N13" s="58">
        <v>3537.5509999999999</v>
      </c>
      <c r="O13" s="59">
        <v>1</v>
      </c>
      <c r="P13" s="58" t="s">
        <v>37</v>
      </c>
      <c r="Q13" s="59"/>
      <c r="R13" s="58" t="s">
        <v>37</v>
      </c>
      <c r="S13" s="59"/>
      <c r="T13" s="58" t="s">
        <v>37</v>
      </c>
      <c r="U13" s="59"/>
      <c r="V13" s="58" t="s">
        <v>37</v>
      </c>
      <c r="W13" s="59"/>
      <c r="X13" s="58" t="s">
        <v>37</v>
      </c>
      <c r="Y13" s="59"/>
      <c r="Z13" s="58">
        <v>92.004000000000005</v>
      </c>
      <c r="AA13" s="59">
        <v>1</v>
      </c>
      <c r="AB13" s="58">
        <v>131.58199999999999</v>
      </c>
      <c r="AC13" s="59">
        <v>1</v>
      </c>
    </row>
    <row r="14" spans="1:29" x14ac:dyDescent="0.35">
      <c r="A14" s="14" t="s">
        <v>317</v>
      </c>
      <c r="B14" s="60" t="s">
        <v>37</v>
      </c>
      <c r="C14" s="61"/>
      <c r="D14" s="60" t="s">
        <v>37</v>
      </c>
      <c r="E14" s="61"/>
      <c r="F14" s="60" t="s">
        <v>37</v>
      </c>
      <c r="G14" s="61"/>
      <c r="H14" s="60" t="s">
        <v>37</v>
      </c>
      <c r="I14" s="61"/>
      <c r="J14" s="60" t="s">
        <v>37</v>
      </c>
      <c r="K14" s="61"/>
      <c r="L14" s="60" t="s">
        <v>37</v>
      </c>
      <c r="M14" s="61"/>
      <c r="N14" s="60" t="s">
        <v>37</v>
      </c>
      <c r="O14" s="61"/>
      <c r="P14" s="60" t="s">
        <v>37</v>
      </c>
      <c r="Q14" s="61"/>
      <c r="R14" s="60" t="s">
        <v>37</v>
      </c>
      <c r="S14" s="61"/>
      <c r="T14" s="60" t="s">
        <v>37</v>
      </c>
      <c r="U14" s="61"/>
      <c r="V14" s="60" t="s">
        <v>37</v>
      </c>
      <c r="W14" s="61"/>
      <c r="X14" s="60" t="s">
        <v>37</v>
      </c>
      <c r="Y14" s="61"/>
      <c r="Z14" s="60">
        <v>92.004000000000005</v>
      </c>
      <c r="AA14" s="61">
        <v>1</v>
      </c>
      <c r="AB14" s="60">
        <v>131.58199999999999</v>
      </c>
      <c r="AC14" s="61">
        <v>1</v>
      </c>
    </row>
    <row r="15" spans="1:29" x14ac:dyDescent="0.35">
      <c r="A15" s="14" t="s">
        <v>320</v>
      </c>
      <c r="B15" s="60">
        <v>368.02499999999998</v>
      </c>
      <c r="C15" s="61">
        <v>1</v>
      </c>
      <c r="D15" s="60">
        <v>724.37099999999998</v>
      </c>
      <c r="E15" s="61">
        <v>1</v>
      </c>
      <c r="F15" s="60">
        <v>101.05500000000001</v>
      </c>
      <c r="G15" s="61">
        <v>1</v>
      </c>
      <c r="H15" s="60">
        <v>378.411</v>
      </c>
      <c r="I15" s="61">
        <v>1</v>
      </c>
      <c r="J15" s="60">
        <v>838.95100000000002</v>
      </c>
      <c r="K15" s="61">
        <v>1</v>
      </c>
      <c r="L15" s="60">
        <v>2244.384</v>
      </c>
      <c r="M15" s="61">
        <v>1</v>
      </c>
      <c r="N15" s="60">
        <v>3537.5509999999999</v>
      </c>
      <c r="O15" s="61">
        <v>1</v>
      </c>
      <c r="P15" s="60" t="s">
        <v>37</v>
      </c>
      <c r="Q15" s="61"/>
      <c r="R15" s="60" t="s">
        <v>37</v>
      </c>
      <c r="S15" s="61"/>
      <c r="T15" s="60" t="s">
        <v>37</v>
      </c>
      <c r="U15" s="61"/>
      <c r="V15" s="60" t="s">
        <v>37</v>
      </c>
      <c r="W15" s="61"/>
      <c r="X15" s="60" t="s">
        <v>37</v>
      </c>
      <c r="Y15" s="61"/>
      <c r="Z15" s="60" t="s">
        <v>37</v>
      </c>
      <c r="AA15" s="61"/>
      <c r="AB15" s="60" t="s">
        <v>37</v>
      </c>
      <c r="AC15" s="61"/>
    </row>
    <row r="16" spans="1:29" x14ac:dyDescent="0.35">
      <c r="A16" s="12" t="s">
        <v>322</v>
      </c>
      <c r="B16" s="58" t="s">
        <v>37</v>
      </c>
      <c r="C16" s="59"/>
      <c r="D16" s="58" t="s">
        <v>37</v>
      </c>
      <c r="E16" s="59"/>
      <c r="F16" s="58">
        <v>31.946999999999999</v>
      </c>
      <c r="G16" s="59">
        <v>1</v>
      </c>
      <c r="H16" s="58">
        <v>65.866</v>
      </c>
      <c r="I16" s="59">
        <v>1</v>
      </c>
      <c r="J16" s="58">
        <v>176.065</v>
      </c>
      <c r="K16" s="59">
        <v>1</v>
      </c>
      <c r="L16" s="58">
        <v>791.86599999999999</v>
      </c>
      <c r="M16" s="59">
        <v>1</v>
      </c>
      <c r="N16" s="58">
        <v>718.024</v>
      </c>
      <c r="O16" s="59">
        <v>1</v>
      </c>
      <c r="P16" s="58" t="s">
        <v>37</v>
      </c>
      <c r="Q16" s="59"/>
      <c r="R16" s="58" t="s">
        <v>37</v>
      </c>
      <c r="S16" s="59"/>
      <c r="T16" s="58" t="s">
        <v>37</v>
      </c>
      <c r="U16" s="59"/>
      <c r="V16" s="58" t="s">
        <v>37</v>
      </c>
      <c r="W16" s="59"/>
      <c r="X16" s="58" t="s">
        <v>37</v>
      </c>
      <c r="Y16" s="59"/>
      <c r="Z16" s="58">
        <v>0</v>
      </c>
      <c r="AA16" s="59"/>
      <c r="AB16" s="58">
        <v>0</v>
      </c>
      <c r="AC16" s="59"/>
    </row>
    <row r="17" spans="1:29" x14ac:dyDescent="0.35">
      <c r="A17" s="14" t="s">
        <v>317</v>
      </c>
      <c r="B17" s="60" t="s">
        <v>37</v>
      </c>
      <c r="C17" s="61"/>
      <c r="D17" s="60" t="s">
        <v>37</v>
      </c>
      <c r="E17" s="61"/>
      <c r="F17" s="60" t="s">
        <v>37</v>
      </c>
      <c r="G17" s="61"/>
      <c r="H17" s="60" t="s">
        <v>37</v>
      </c>
      <c r="I17" s="61"/>
      <c r="J17" s="60" t="s">
        <v>37</v>
      </c>
      <c r="K17" s="61"/>
      <c r="L17" s="60" t="s">
        <v>37</v>
      </c>
      <c r="M17" s="61"/>
      <c r="N17" s="60" t="s">
        <v>37</v>
      </c>
      <c r="O17" s="61"/>
      <c r="P17" s="60" t="s">
        <v>37</v>
      </c>
      <c r="Q17" s="61"/>
      <c r="R17" s="60" t="s">
        <v>37</v>
      </c>
      <c r="S17" s="61"/>
      <c r="T17" s="60" t="s">
        <v>37</v>
      </c>
      <c r="U17" s="61"/>
      <c r="V17" s="60" t="s">
        <v>37</v>
      </c>
      <c r="W17" s="61"/>
      <c r="X17" s="60" t="s">
        <v>37</v>
      </c>
      <c r="Y17" s="61"/>
      <c r="Z17" s="60">
        <v>0</v>
      </c>
      <c r="AA17" s="61"/>
      <c r="AB17" s="60">
        <v>0</v>
      </c>
      <c r="AC17" s="61"/>
    </row>
    <row r="18" spans="1:29" x14ac:dyDescent="0.35">
      <c r="A18" s="14" t="s">
        <v>320</v>
      </c>
      <c r="B18" s="60" t="s">
        <v>37</v>
      </c>
      <c r="C18" s="61"/>
      <c r="D18" s="60" t="s">
        <v>37</v>
      </c>
      <c r="E18" s="61"/>
      <c r="F18" s="60">
        <v>31.946999999999999</v>
      </c>
      <c r="G18" s="61">
        <v>1</v>
      </c>
      <c r="H18" s="60">
        <v>65.866</v>
      </c>
      <c r="I18" s="61">
        <v>1</v>
      </c>
      <c r="J18" s="60">
        <v>176.065</v>
      </c>
      <c r="K18" s="61">
        <v>1</v>
      </c>
      <c r="L18" s="60">
        <v>791.86599999999999</v>
      </c>
      <c r="M18" s="61">
        <v>1</v>
      </c>
      <c r="N18" s="60">
        <v>718.024</v>
      </c>
      <c r="O18" s="61">
        <v>1</v>
      </c>
      <c r="P18" s="60" t="s">
        <v>37</v>
      </c>
      <c r="Q18" s="61"/>
      <c r="R18" s="60" t="s">
        <v>37</v>
      </c>
      <c r="S18" s="61"/>
      <c r="T18" s="60" t="s">
        <v>37</v>
      </c>
      <c r="U18" s="61"/>
      <c r="V18" s="60" t="s">
        <v>37</v>
      </c>
      <c r="W18" s="61"/>
      <c r="X18" s="60" t="s">
        <v>37</v>
      </c>
      <c r="Y18" s="61"/>
      <c r="Z18" s="60" t="s">
        <v>37</v>
      </c>
      <c r="AA18" s="61"/>
      <c r="AB18" s="60" t="s">
        <v>37</v>
      </c>
      <c r="AC18" s="61"/>
    </row>
    <row r="19" spans="1:29" x14ac:dyDescent="0.35">
      <c r="A19" s="12" t="s">
        <v>323</v>
      </c>
      <c r="B19" s="58">
        <v>3.31</v>
      </c>
      <c r="C19" s="59">
        <v>1</v>
      </c>
      <c r="D19" s="58">
        <v>3.2229999999999999</v>
      </c>
      <c r="E19" s="59">
        <v>1</v>
      </c>
      <c r="F19" s="58">
        <v>3.585</v>
      </c>
      <c r="G19" s="59">
        <v>1</v>
      </c>
      <c r="H19" s="58">
        <v>1.444</v>
      </c>
      <c r="I19" s="59">
        <v>1</v>
      </c>
      <c r="J19" s="58">
        <v>5.0190000000000001</v>
      </c>
      <c r="K19" s="59">
        <v>1</v>
      </c>
      <c r="L19" s="58">
        <v>27.030999999999999</v>
      </c>
      <c r="M19" s="59">
        <v>1</v>
      </c>
      <c r="N19" s="58">
        <v>24.645</v>
      </c>
      <c r="O19" s="59">
        <v>1</v>
      </c>
      <c r="P19" s="58" t="s">
        <v>37</v>
      </c>
      <c r="Q19" s="59"/>
      <c r="R19" s="58" t="s">
        <v>37</v>
      </c>
      <c r="S19" s="59"/>
      <c r="T19" s="58" t="s">
        <v>37</v>
      </c>
      <c r="U19" s="59"/>
      <c r="V19" s="58" t="s">
        <v>37</v>
      </c>
      <c r="W19" s="59"/>
      <c r="X19" s="58" t="s">
        <v>37</v>
      </c>
      <c r="Y19" s="59"/>
      <c r="Z19" s="58">
        <v>751.65099999999995</v>
      </c>
      <c r="AA19" s="59">
        <v>1</v>
      </c>
      <c r="AB19" s="58">
        <v>694.82500000000005</v>
      </c>
      <c r="AC19" s="59">
        <v>1</v>
      </c>
    </row>
    <row r="20" spans="1:29" x14ac:dyDescent="0.35">
      <c r="A20" s="14" t="s">
        <v>317</v>
      </c>
      <c r="B20" s="60" t="s">
        <v>37</v>
      </c>
      <c r="C20" s="61"/>
      <c r="D20" s="60" t="s">
        <v>37</v>
      </c>
      <c r="E20" s="61"/>
      <c r="F20" s="60" t="s">
        <v>37</v>
      </c>
      <c r="G20" s="61"/>
      <c r="H20" s="60" t="s">
        <v>37</v>
      </c>
      <c r="I20" s="61"/>
      <c r="J20" s="60" t="s">
        <v>37</v>
      </c>
      <c r="K20" s="61"/>
      <c r="L20" s="60" t="s">
        <v>37</v>
      </c>
      <c r="M20" s="61"/>
      <c r="N20" s="60" t="s">
        <v>37</v>
      </c>
      <c r="O20" s="61"/>
      <c r="P20" s="60" t="s">
        <v>37</v>
      </c>
      <c r="Q20" s="61"/>
      <c r="R20" s="60" t="s">
        <v>37</v>
      </c>
      <c r="S20" s="61"/>
      <c r="T20" s="60" t="s">
        <v>37</v>
      </c>
      <c r="U20" s="61"/>
      <c r="V20" s="60" t="s">
        <v>37</v>
      </c>
      <c r="W20" s="61"/>
      <c r="X20" s="60" t="s">
        <v>37</v>
      </c>
      <c r="Y20" s="61"/>
      <c r="Z20" s="60">
        <v>751.65099999999995</v>
      </c>
      <c r="AA20" s="61">
        <v>1</v>
      </c>
      <c r="AB20" s="60">
        <v>694.82500000000005</v>
      </c>
      <c r="AC20" s="61">
        <v>1</v>
      </c>
    </row>
    <row r="21" spans="1:29" x14ac:dyDescent="0.35">
      <c r="A21" s="14" t="s">
        <v>320</v>
      </c>
      <c r="B21" s="60">
        <v>3.31</v>
      </c>
      <c r="C21" s="61">
        <v>1</v>
      </c>
      <c r="D21" s="60">
        <v>3.2229999999999999</v>
      </c>
      <c r="E21" s="61">
        <v>1</v>
      </c>
      <c r="F21" s="60">
        <v>3.585</v>
      </c>
      <c r="G21" s="61">
        <v>1</v>
      </c>
      <c r="H21" s="60">
        <v>1.444</v>
      </c>
      <c r="I21" s="61">
        <v>1</v>
      </c>
      <c r="J21" s="60">
        <v>5.0190000000000001</v>
      </c>
      <c r="K21" s="61">
        <v>1</v>
      </c>
      <c r="L21" s="60">
        <v>27.030999999999999</v>
      </c>
      <c r="M21" s="61">
        <v>1</v>
      </c>
      <c r="N21" s="60">
        <v>24.645</v>
      </c>
      <c r="O21" s="61">
        <v>1</v>
      </c>
      <c r="P21" s="60" t="s">
        <v>37</v>
      </c>
      <c r="Q21" s="61"/>
      <c r="R21" s="60" t="s">
        <v>37</v>
      </c>
      <c r="S21" s="61"/>
      <c r="T21" s="60" t="s">
        <v>37</v>
      </c>
      <c r="U21" s="61"/>
      <c r="V21" s="60" t="s">
        <v>37</v>
      </c>
      <c r="W21" s="61"/>
      <c r="X21" s="60" t="s">
        <v>37</v>
      </c>
      <c r="Y21" s="61"/>
      <c r="Z21" s="60" t="s">
        <v>37</v>
      </c>
      <c r="AA21" s="61"/>
      <c r="AB21" s="60" t="s">
        <v>37</v>
      </c>
      <c r="AC21" s="61"/>
    </row>
    <row r="22" spans="1:29" x14ac:dyDescent="0.35">
      <c r="A22" s="12" t="s">
        <v>324</v>
      </c>
      <c r="B22" s="58" t="s">
        <v>37</v>
      </c>
      <c r="C22" s="59"/>
      <c r="D22" s="58" t="s">
        <v>37</v>
      </c>
      <c r="E22" s="59"/>
      <c r="F22" s="58" t="s">
        <v>37</v>
      </c>
      <c r="G22" s="59"/>
      <c r="H22" s="58" t="s">
        <v>37</v>
      </c>
      <c r="I22" s="59"/>
      <c r="J22" s="58" t="s">
        <v>37</v>
      </c>
      <c r="K22" s="59"/>
      <c r="L22" s="58" t="s">
        <v>37</v>
      </c>
      <c r="M22" s="59"/>
      <c r="N22" s="58" t="s">
        <v>37</v>
      </c>
      <c r="O22" s="59"/>
      <c r="P22" s="58">
        <v>7192.6409999999996</v>
      </c>
      <c r="Q22" s="59">
        <v>1</v>
      </c>
      <c r="R22" s="58">
        <v>8220.2630000000008</v>
      </c>
      <c r="S22" s="59">
        <v>1</v>
      </c>
      <c r="T22" s="58">
        <v>9460.1</v>
      </c>
      <c r="U22" s="59">
        <v>1</v>
      </c>
      <c r="V22" s="58">
        <v>10066.370000000001</v>
      </c>
      <c r="W22" s="59">
        <v>1</v>
      </c>
      <c r="X22" s="58">
        <v>583.02300000000002</v>
      </c>
      <c r="Y22" s="59">
        <v>1</v>
      </c>
      <c r="Z22" s="58" t="s">
        <v>37</v>
      </c>
      <c r="AA22" s="59"/>
      <c r="AB22" s="58" t="s">
        <v>37</v>
      </c>
      <c r="AC22" s="59"/>
    </row>
    <row r="23" spans="1:29" x14ac:dyDescent="0.35">
      <c r="A23" s="14" t="s">
        <v>318</v>
      </c>
      <c r="B23" s="60" t="s">
        <v>37</v>
      </c>
      <c r="C23" s="61"/>
      <c r="D23" s="60" t="s">
        <v>37</v>
      </c>
      <c r="E23" s="61"/>
      <c r="F23" s="60" t="s">
        <v>37</v>
      </c>
      <c r="G23" s="61"/>
      <c r="H23" s="60" t="s">
        <v>37</v>
      </c>
      <c r="I23" s="61"/>
      <c r="J23" s="60" t="s">
        <v>37</v>
      </c>
      <c r="K23" s="61"/>
      <c r="L23" s="60" t="s">
        <v>37</v>
      </c>
      <c r="M23" s="61"/>
      <c r="N23" s="60" t="s">
        <v>37</v>
      </c>
      <c r="O23" s="61"/>
      <c r="P23" s="60">
        <v>3584.8510000000001</v>
      </c>
      <c r="Q23" s="61">
        <v>0.49840538405851198</v>
      </c>
      <c r="R23" s="60">
        <v>4147.6989999999996</v>
      </c>
      <c r="S23" s="61">
        <v>0.50457010925319501</v>
      </c>
      <c r="T23" s="60">
        <v>3943.098</v>
      </c>
      <c r="U23" s="61">
        <v>0.41681356433864297</v>
      </c>
      <c r="V23" s="60">
        <v>1591.268</v>
      </c>
      <c r="W23" s="61">
        <v>0.158077638711869</v>
      </c>
      <c r="X23" s="60" t="s">
        <v>37</v>
      </c>
      <c r="Y23" s="61"/>
      <c r="Z23" s="60" t="s">
        <v>37</v>
      </c>
      <c r="AA23" s="61"/>
      <c r="AB23" s="60" t="s">
        <v>37</v>
      </c>
      <c r="AC23" s="61"/>
    </row>
    <row r="24" spans="1:29" x14ac:dyDescent="0.35">
      <c r="A24" s="14" t="s">
        <v>317</v>
      </c>
      <c r="B24" s="60" t="s">
        <v>37</v>
      </c>
      <c r="C24" s="61"/>
      <c r="D24" s="60" t="s">
        <v>37</v>
      </c>
      <c r="E24" s="61"/>
      <c r="F24" s="60" t="s">
        <v>37</v>
      </c>
      <c r="G24" s="61"/>
      <c r="H24" s="60" t="s">
        <v>37</v>
      </c>
      <c r="I24" s="61"/>
      <c r="J24" s="60" t="s">
        <v>37</v>
      </c>
      <c r="K24" s="61"/>
      <c r="L24" s="60" t="s">
        <v>37</v>
      </c>
      <c r="M24" s="61"/>
      <c r="N24" s="60" t="s">
        <v>37</v>
      </c>
      <c r="O24" s="61"/>
      <c r="P24" s="60">
        <v>3607.79</v>
      </c>
      <c r="Q24" s="61">
        <v>0.50159461594148802</v>
      </c>
      <c r="R24" s="60">
        <v>4072.5639999999999</v>
      </c>
      <c r="S24" s="61">
        <v>0.49542989074680499</v>
      </c>
      <c r="T24" s="60">
        <v>5517.0020000000004</v>
      </c>
      <c r="U24" s="61">
        <v>0.58318643566135697</v>
      </c>
      <c r="V24" s="60">
        <v>8475.1020000000008</v>
      </c>
      <c r="W24" s="61">
        <v>0.84192236128813103</v>
      </c>
      <c r="X24" s="60">
        <v>583.02300000000002</v>
      </c>
      <c r="Y24" s="61">
        <v>1</v>
      </c>
      <c r="Z24" s="60" t="s">
        <v>37</v>
      </c>
      <c r="AA24" s="61"/>
      <c r="AB24" s="60" t="s">
        <v>37</v>
      </c>
      <c r="AC24" s="61"/>
    </row>
    <row r="25" spans="1:29" x14ac:dyDescent="0.35">
      <c r="A25" s="12" t="s">
        <v>325</v>
      </c>
      <c r="B25" s="58">
        <v>370.72800000000001</v>
      </c>
      <c r="C25" s="59">
        <v>1</v>
      </c>
      <c r="D25" s="58">
        <v>744.03099999999995</v>
      </c>
      <c r="E25" s="59">
        <v>1</v>
      </c>
      <c r="F25" s="58">
        <v>28.582999999999998</v>
      </c>
      <c r="G25" s="59">
        <v>1</v>
      </c>
      <c r="H25" s="58">
        <v>315.93599999999998</v>
      </c>
      <c r="I25" s="59">
        <v>1</v>
      </c>
      <c r="J25" s="58">
        <v>668.11099999999999</v>
      </c>
      <c r="K25" s="59">
        <v>1</v>
      </c>
      <c r="L25" s="58">
        <v>1436.923</v>
      </c>
      <c r="M25" s="59">
        <v>1</v>
      </c>
      <c r="N25" s="58">
        <v>2819.9279999999999</v>
      </c>
      <c r="O25" s="59">
        <v>1</v>
      </c>
      <c r="P25" s="58" t="s">
        <v>37</v>
      </c>
      <c r="Q25" s="59"/>
      <c r="R25" s="58" t="s">
        <v>37</v>
      </c>
      <c r="S25" s="59"/>
      <c r="T25" s="58" t="s">
        <v>37</v>
      </c>
      <c r="U25" s="59"/>
      <c r="V25" s="58" t="s">
        <v>37</v>
      </c>
      <c r="W25" s="59"/>
      <c r="X25" s="58" t="s">
        <v>37</v>
      </c>
      <c r="Y25" s="59"/>
      <c r="Z25" s="58">
        <v>915.52700000000004</v>
      </c>
      <c r="AA25" s="59">
        <v>1</v>
      </c>
      <c r="AB25" s="58">
        <v>828.18100000000004</v>
      </c>
      <c r="AC25" s="59">
        <v>1</v>
      </c>
    </row>
    <row r="26" spans="1:29" x14ac:dyDescent="0.35">
      <c r="A26" s="14" t="s">
        <v>317</v>
      </c>
      <c r="B26" s="60" t="s">
        <v>37</v>
      </c>
      <c r="C26" s="61"/>
      <c r="D26" s="60" t="s">
        <v>37</v>
      </c>
      <c r="E26" s="61"/>
      <c r="F26" s="60" t="s">
        <v>37</v>
      </c>
      <c r="G26" s="61"/>
      <c r="H26" s="60" t="s">
        <v>37</v>
      </c>
      <c r="I26" s="61"/>
      <c r="J26" s="60" t="s">
        <v>37</v>
      </c>
      <c r="K26" s="61"/>
      <c r="L26" s="60" t="s">
        <v>37</v>
      </c>
      <c r="M26" s="61"/>
      <c r="N26" s="60" t="s">
        <v>37</v>
      </c>
      <c r="O26" s="61"/>
      <c r="P26" s="60" t="s">
        <v>37</v>
      </c>
      <c r="Q26" s="61"/>
      <c r="R26" s="60" t="s">
        <v>37</v>
      </c>
      <c r="S26" s="61"/>
      <c r="T26" s="60" t="s">
        <v>37</v>
      </c>
      <c r="U26" s="61"/>
      <c r="V26" s="60" t="s">
        <v>37</v>
      </c>
      <c r="W26" s="61"/>
      <c r="X26" s="60" t="s">
        <v>37</v>
      </c>
      <c r="Y26" s="61"/>
      <c r="Z26" s="60">
        <v>915.52700000000004</v>
      </c>
      <c r="AA26" s="61">
        <v>1</v>
      </c>
      <c r="AB26" s="60">
        <v>828.18100000000004</v>
      </c>
      <c r="AC26" s="61">
        <v>1</v>
      </c>
    </row>
    <row r="27" spans="1:29" x14ac:dyDescent="0.35">
      <c r="A27" s="14" t="s">
        <v>320</v>
      </c>
      <c r="B27" s="60">
        <v>370.72800000000001</v>
      </c>
      <c r="C27" s="61">
        <v>1</v>
      </c>
      <c r="D27" s="60">
        <v>744.03099999999995</v>
      </c>
      <c r="E27" s="61">
        <v>1</v>
      </c>
      <c r="F27" s="60">
        <v>28.582999999999998</v>
      </c>
      <c r="G27" s="61">
        <v>1</v>
      </c>
      <c r="H27" s="60">
        <v>315.93599999999998</v>
      </c>
      <c r="I27" s="61">
        <v>1</v>
      </c>
      <c r="J27" s="60">
        <v>668.11099999999999</v>
      </c>
      <c r="K27" s="61">
        <v>1</v>
      </c>
      <c r="L27" s="60">
        <v>1436.923</v>
      </c>
      <c r="M27" s="61">
        <v>1</v>
      </c>
      <c r="N27" s="60">
        <v>2819.9279999999999</v>
      </c>
      <c r="O27" s="61">
        <v>1</v>
      </c>
      <c r="P27" s="60" t="s">
        <v>37</v>
      </c>
      <c r="Q27" s="61"/>
      <c r="R27" s="60" t="s">
        <v>37</v>
      </c>
      <c r="S27" s="61"/>
      <c r="T27" s="60" t="s">
        <v>37</v>
      </c>
      <c r="U27" s="61"/>
      <c r="V27" s="60" t="s">
        <v>37</v>
      </c>
      <c r="W27" s="61"/>
      <c r="X27" s="60" t="s">
        <v>37</v>
      </c>
      <c r="Y27" s="61"/>
      <c r="Z27" s="60" t="s">
        <v>37</v>
      </c>
      <c r="AA27" s="61"/>
      <c r="AB27" s="60" t="s">
        <v>37</v>
      </c>
      <c r="AC27" s="61"/>
    </row>
    <row r="28" spans="1:29" x14ac:dyDescent="0.35">
      <c r="A28" s="12" t="s">
        <v>326</v>
      </c>
      <c r="B28" s="58">
        <v>127.02500000000001</v>
      </c>
      <c r="C28" s="59">
        <v>1</v>
      </c>
      <c r="D28" s="58">
        <v>244.691</v>
      </c>
      <c r="E28" s="59">
        <v>1</v>
      </c>
      <c r="F28" s="58">
        <v>26.84</v>
      </c>
      <c r="G28" s="59">
        <v>1</v>
      </c>
      <c r="H28" s="58">
        <v>80.441999999999993</v>
      </c>
      <c r="I28" s="59">
        <v>1</v>
      </c>
      <c r="J28" s="58">
        <v>186.70099999999999</v>
      </c>
      <c r="K28" s="59">
        <v>1</v>
      </c>
      <c r="L28" s="58">
        <v>393.642</v>
      </c>
      <c r="M28" s="59">
        <v>1</v>
      </c>
      <c r="N28" s="58">
        <v>1070.123</v>
      </c>
      <c r="O28" s="59">
        <v>1</v>
      </c>
      <c r="P28" s="58" t="s">
        <v>37</v>
      </c>
      <c r="Q28" s="59"/>
      <c r="R28" s="58" t="s">
        <v>37</v>
      </c>
      <c r="S28" s="59"/>
      <c r="T28" s="58" t="s">
        <v>37</v>
      </c>
      <c r="U28" s="59"/>
      <c r="V28" s="58" t="s">
        <v>37</v>
      </c>
      <c r="W28" s="59"/>
      <c r="X28" s="58" t="s">
        <v>37</v>
      </c>
      <c r="Y28" s="59"/>
      <c r="Z28" s="58">
        <v>202.726</v>
      </c>
      <c r="AA28" s="59">
        <v>1</v>
      </c>
      <c r="AB28" s="58">
        <v>200.268</v>
      </c>
      <c r="AC28" s="59">
        <v>1</v>
      </c>
    </row>
    <row r="29" spans="1:29" x14ac:dyDescent="0.35">
      <c r="A29" s="14" t="s">
        <v>317</v>
      </c>
      <c r="B29" s="60" t="s">
        <v>37</v>
      </c>
      <c r="C29" s="61"/>
      <c r="D29" s="60" t="s">
        <v>37</v>
      </c>
      <c r="E29" s="61"/>
      <c r="F29" s="60" t="s">
        <v>37</v>
      </c>
      <c r="G29" s="61"/>
      <c r="H29" s="60" t="s">
        <v>37</v>
      </c>
      <c r="I29" s="61"/>
      <c r="J29" s="60" t="s">
        <v>37</v>
      </c>
      <c r="K29" s="61"/>
      <c r="L29" s="60" t="s">
        <v>37</v>
      </c>
      <c r="M29" s="61"/>
      <c r="N29" s="60" t="s">
        <v>37</v>
      </c>
      <c r="O29" s="61"/>
      <c r="P29" s="60" t="s">
        <v>37</v>
      </c>
      <c r="Q29" s="61"/>
      <c r="R29" s="60" t="s">
        <v>37</v>
      </c>
      <c r="S29" s="61"/>
      <c r="T29" s="60" t="s">
        <v>37</v>
      </c>
      <c r="U29" s="61"/>
      <c r="V29" s="60" t="s">
        <v>37</v>
      </c>
      <c r="W29" s="61"/>
      <c r="X29" s="60" t="s">
        <v>37</v>
      </c>
      <c r="Y29" s="61"/>
      <c r="Z29" s="60">
        <v>202.726</v>
      </c>
      <c r="AA29" s="61">
        <v>1</v>
      </c>
      <c r="AB29" s="60">
        <v>200.268</v>
      </c>
      <c r="AC29" s="61">
        <v>1</v>
      </c>
    </row>
    <row r="30" spans="1:29" x14ac:dyDescent="0.35">
      <c r="A30" s="14" t="s">
        <v>320</v>
      </c>
      <c r="B30" s="60">
        <v>127.02500000000001</v>
      </c>
      <c r="C30" s="61">
        <v>1</v>
      </c>
      <c r="D30" s="60">
        <v>244.691</v>
      </c>
      <c r="E30" s="61">
        <v>1</v>
      </c>
      <c r="F30" s="60">
        <v>26.84</v>
      </c>
      <c r="G30" s="61">
        <v>1</v>
      </c>
      <c r="H30" s="60">
        <v>80.441999999999993</v>
      </c>
      <c r="I30" s="61">
        <v>1</v>
      </c>
      <c r="J30" s="60">
        <v>186.70099999999999</v>
      </c>
      <c r="K30" s="61">
        <v>1</v>
      </c>
      <c r="L30" s="60">
        <v>393.642</v>
      </c>
      <c r="M30" s="61">
        <v>1</v>
      </c>
      <c r="N30" s="60">
        <v>1070.123</v>
      </c>
      <c r="O30" s="61">
        <v>1</v>
      </c>
      <c r="P30" s="60" t="s">
        <v>37</v>
      </c>
      <c r="Q30" s="61"/>
      <c r="R30" s="60" t="s">
        <v>37</v>
      </c>
      <c r="S30" s="61"/>
      <c r="T30" s="60" t="s">
        <v>37</v>
      </c>
      <c r="U30" s="61"/>
      <c r="V30" s="60" t="s">
        <v>37</v>
      </c>
      <c r="W30" s="61"/>
      <c r="X30" s="60" t="s">
        <v>37</v>
      </c>
      <c r="Y30" s="61"/>
      <c r="Z30" s="60" t="s">
        <v>37</v>
      </c>
      <c r="AA30" s="61"/>
      <c r="AB30" s="60" t="s">
        <v>37</v>
      </c>
      <c r="AC30" s="61"/>
    </row>
    <row r="31" spans="1:29" x14ac:dyDescent="0.35">
      <c r="A31" s="12" t="s">
        <v>113</v>
      </c>
      <c r="B31" s="58">
        <v>243.703</v>
      </c>
      <c r="C31" s="59">
        <v>1</v>
      </c>
      <c r="D31" s="58">
        <v>499.34</v>
      </c>
      <c r="E31" s="59">
        <v>1</v>
      </c>
      <c r="F31" s="58">
        <v>1.7430000000000001</v>
      </c>
      <c r="G31" s="59">
        <v>1</v>
      </c>
      <c r="H31" s="58">
        <v>235.49397999999999</v>
      </c>
      <c r="I31" s="59">
        <v>1</v>
      </c>
      <c r="J31" s="58">
        <v>481.41</v>
      </c>
      <c r="K31" s="59">
        <v>1</v>
      </c>
      <c r="L31" s="58">
        <v>1043.2809999999999</v>
      </c>
      <c r="M31" s="59">
        <v>1</v>
      </c>
      <c r="N31" s="58">
        <v>1750.425</v>
      </c>
      <c r="O31" s="59">
        <v>1</v>
      </c>
      <c r="P31" s="58" t="s">
        <v>37</v>
      </c>
      <c r="Q31" s="59"/>
      <c r="R31" s="58" t="s">
        <v>37</v>
      </c>
      <c r="S31" s="59"/>
      <c r="T31" s="58" t="s">
        <v>37</v>
      </c>
      <c r="U31" s="59"/>
      <c r="V31" s="58" t="s">
        <v>37</v>
      </c>
      <c r="W31" s="59"/>
      <c r="X31" s="58" t="s">
        <v>37</v>
      </c>
      <c r="Y31" s="59"/>
      <c r="Z31" s="58">
        <v>712.80100000000004</v>
      </c>
      <c r="AA31" s="59">
        <v>1</v>
      </c>
      <c r="AB31" s="58">
        <v>627.91300000000001</v>
      </c>
      <c r="AC31" s="59">
        <v>1</v>
      </c>
    </row>
    <row r="32" spans="1:29" x14ac:dyDescent="0.35">
      <c r="A32" s="14" t="s">
        <v>317</v>
      </c>
      <c r="B32" s="60" t="s">
        <v>37</v>
      </c>
      <c r="C32" s="61"/>
      <c r="D32" s="60" t="s">
        <v>37</v>
      </c>
      <c r="E32" s="61"/>
      <c r="F32" s="60" t="s">
        <v>37</v>
      </c>
      <c r="G32" s="61"/>
      <c r="H32" s="60" t="s">
        <v>37</v>
      </c>
      <c r="I32" s="61"/>
      <c r="J32" s="60" t="s">
        <v>37</v>
      </c>
      <c r="K32" s="61"/>
      <c r="L32" s="60" t="s">
        <v>37</v>
      </c>
      <c r="M32" s="61"/>
      <c r="N32" s="60" t="s">
        <v>37</v>
      </c>
      <c r="O32" s="61"/>
      <c r="P32" s="60" t="s">
        <v>37</v>
      </c>
      <c r="Q32" s="61"/>
      <c r="R32" s="60" t="s">
        <v>37</v>
      </c>
      <c r="S32" s="61"/>
      <c r="T32" s="60" t="s">
        <v>37</v>
      </c>
      <c r="U32" s="61"/>
      <c r="V32" s="60" t="s">
        <v>37</v>
      </c>
      <c r="W32" s="61"/>
      <c r="X32" s="60" t="s">
        <v>37</v>
      </c>
      <c r="Y32" s="61"/>
      <c r="Z32" s="60">
        <v>712.80100000000004</v>
      </c>
      <c r="AA32" s="61">
        <v>1</v>
      </c>
      <c r="AB32" s="60">
        <v>627.91300000000001</v>
      </c>
      <c r="AC32" s="61">
        <v>1</v>
      </c>
    </row>
    <row r="33" spans="1:29" x14ac:dyDescent="0.35">
      <c r="A33" s="14" t="s">
        <v>320</v>
      </c>
      <c r="B33" s="60">
        <v>243.703</v>
      </c>
      <c r="C33" s="61">
        <v>1</v>
      </c>
      <c r="D33" s="60">
        <v>499.34</v>
      </c>
      <c r="E33" s="61">
        <v>1</v>
      </c>
      <c r="F33" s="60">
        <v>1.7430000000000001</v>
      </c>
      <c r="G33" s="61">
        <v>1</v>
      </c>
      <c r="H33" s="60">
        <v>235.49397999999999</v>
      </c>
      <c r="I33" s="61">
        <v>1</v>
      </c>
      <c r="J33" s="60">
        <v>481.41</v>
      </c>
      <c r="K33" s="61">
        <v>1</v>
      </c>
      <c r="L33" s="60">
        <v>1043.2809999999999</v>
      </c>
      <c r="M33" s="61">
        <v>1</v>
      </c>
      <c r="N33" s="60">
        <v>1750.425</v>
      </c>
      <c r="O33" s="61">
        <v>1</v>
      </c>
      <c r="P33" s="60" t="s">
        <v>37</v>
      </c>
      <c r="Q33" s="61"/>
      <c r="R33" s="60" t="s">
        <v>37</v>
      </c>
      <c r="S33" s="61"/>
      <c r="T33" s="60" t="s">
        <v>37</v>
      </c>
      <c r="U33" s="61"/>
      <c r="V33" s="60" t="s">
        <v>37</v>
      </c>
      <c r="W33" s="61"/>
      <c r="X33" s="60" t="s">
        <v>37</v>
      </c>
      <c r="Y33" s="61"/>
      <c r="Z33" s="60" t="s">
        <v>37</v>
      </c>
      <c r="AA33" s="61"/>
      <c r="AB33" s="60" t="s">
        <v>37</v>
      </c>
      <c r="AC33" s="61"/>
    </row>
    <row r="34" spans="1:29" x14ac:dyDescent="0.35">
      <c r="A34" s="12" t="s">
        <v>327</v>
      </c>
      <c r="B34" s="58">
        <v>1259.5809999999999</v>
      </c>
      <c r="C34" s="59">
        <v>1</v>
      </c>
      <c r="D34" s="58">
        <v>2398.4380000000001</v>
      </c>
      <c r="E34" s="59">
        <v>1</v>
      </c>
      <c r="F34" s="58">
        <v>2157.7950000000001</v>
      </c>
      <c r="G34" s="59">
        <v>1</v>
      </c>
      <c r="H34" s="58">
        <v>2372.6260000000002</v>
      </c>
      <c r="I34" s="59">
        <v>1</v>
      </c>
      <c r="J34" s="58">
        <v>2223.5720000000001</v>
      </c>
      <c r="K34" s="59">
        <v>1</v>
      </c>
      <c r="L34" s="58">
        <v>4371.1909999999998</v>
      </c>
      <c r="M34" s="59">
        <v>1</v>
      </c>
      <c r="N34" s="58">
        <v>4845.3019999999997</v>
      </c>
      <c r="O34" s="59">
        <v>1</v>
      </c>
      <c r="P34" s="58" t="s">
        <v>37</v>
      </c>
      <c r="Q34" s="59"/>
      <c r="R34" s="58" t="s">
        <v>37</v>
      </c>
      <c r="S34" s="59"/>
      <c r="T34" s="58" t="s">
        <v>37</v>
      </c>
      <c r="U34" s="59"/>
      <c r="V34" s="58" t="s">
        <v>37</v>
      </c>
      <c r="W34" s="59"/>
      <c r="X34" s="58" t="s">
        <v>37</v>
      </c>
      <c r="Y34" s="59"/>
      <c r="Z34" s="58">
        <v>1539.6890000000001</v>
      </c>
      <c r="AA34" s="59">
        <v>1</v>
      </c>
      <c r="AB34" s="58">
        <v>1570.453</v>
      </c>
      <c r="AC34" s="59">
        <v>1</v>
      </c>
    </row>
    <row r="35" spans="1:29" x14ac:dyDescent="0.35">
      <c r="A35" s="14" t="s">
        <v>317</v>
      </c>
      <c r="B35" s="60" t="s">
        <v>37</v>
      </c>
      <c r="C35" s="61"/>
      <c r="D35" s="60" t="s">
        <v>37</v>
      </c>
      <c r="E35" s="61"/>
      <c r="F35" s="60" t="s">
        <v>37</v>
      </c>
      <c r="G35" s="61"/>
      <c r="H35" s="60" t="s">
        <v>37</v>
      </c>
      <c r="I35" s="61"/>
      <c r="J35" s="60" t="s">
        <v>37</v>
      </c>
      <c r="K35" s="61"/>
      <c r="L35" s="60" t="s">
        <v>37</v>
      </c>
      <c r="M35" s="61"/>
      <c r="N35" s="60" t="s">
        <v>37</v>
      </c>
      <c r="O35" s="61"/>
      <c r="P35" s="60" t="s">
        <v>37</v>
      </c>
      <c r="Q35" s="61"/>
      <c r="R35" s="60" t="s">
        <v>37</v>
      </c>
      <c r="S35" s="61"/>
      <c r="T35" s="60" t="s">
        <v>37</v>
      </c>
      <c r="U35" s="61"/>
      <c r="V35" s="60" t="s">
        <v>37</v>
      </c>
      <c r="W35" s="61"/>
      <c r="X35" s="60" t="s">
        <v>37</v>
      </c>
      <c r="Y35" s="61"/>
      <c r="Z35" s="60">
        <v>1539.6890000000001</v>
      </c>
      <c r="AA35" s="61">
        <v>1</v>
      </c>
      <c r="AB35" s="60">
        <v>1570.453</v>
      </c>
      <c r="AC35" s="61">
        <v>1</v>
      </c>
    </row>
    <row r="36" spans="1:29" x14ac:dyDescent="0.35">
      <c r="A36" s="14" t="s">
        <v>320</v>
      </c>
      <c r="B36" s="60">
        <v>1259.5809999999999</v>
      </c>
      <c r="C36" s="61">
        <v>1</v>
      </c>
      <c r="D36" s="60">
        <v>2398.4380000000001</v>
      </c>
      <c r="E36" s="61">
        <v>1</v>
      </c>
      <c r="F36" s="60">
        <v>2157.7950000000001</v>
      </c>
      <c r="G36" s="61">
        <v>1</v>
      </c>
      <c r="H36" s="60">
        <v>2372.6260000000002</v>
      </c>
      <c r="I36" s="61">
        <v>1</v>
      </c>
      <c r="J36" s="60">
        <v>2223.5720000000001</v>
      </c>
      <c r="K36" s="61">
        <v>1</v>
      </c>
      <c r="L36" s="60">
        <v>4371.1909999999998</v>
      </c>
      <c r="M36" s="61">
        <v>1</v>
      </c>
      <c r="N36" s="60">
        <v>4845.3019999999997</v>
      </c>
      <c r="O36" s="61">
        <v>1</v>
      </c>
      <c r="P36" s="60" t="s">
        <v>37</v>
      </c>
      <c r="Q36" s="61"/>
      <c r="R36" s="60" t="s">
        <v>37</v>
      </c>
      <c r="S36" s="61"/>
      <c r="T36" s="60" t="s">
        <v>37</v>
      </c>
      <c r="U36" s="61"/>
      <c r="V36" s="60" t="s">
        <v>37</v>
      </c>
      <c r="W36" s="61"/>
      <c r="X36" s="60" t="s">
        <v>37</v>
      </c>
      <c r="Y36" s="61"/>
      <c r="Z36" s="60" t="s">
        <v>37</v>
      </c>
      <c r="AA36" s="61"/>
      <c r="AB36" s="60" t="s">
        <v>37</v>
      </c>
      <c r="AC36" s="61"/>
    </row>
    <row r="37" spans="1:29" x14ac:dyDescent="0.35">
      <c r="A37" s="12" t="s">
        <v>328</v>
      </c>
      <c r="B37" s="58" t="s">
        <v>37</v>
      </c>
      <c r="C37" s="59"/>
      <c r="D37" s="58" t="s">
        <v>37</v>
      </c>
      <c r="E37" s="59"/>
      <c r="F37" s="58" t="s">
        <v>37</v>
      </c>
      <c r="G37" s="59"/>
      <c r="H37" s="58" t="s">
        <v>37</v>
      </c>
      <c r="I37" s="59"/>
      <c r="J37" s="58" t="s">
        <v>37</v>
      </c>
      <c r="K37" s="59"/>
      <c r="L37" s="58" t="s">
        <v>37</v>
      </c>
      <c r="M37" s="59"/>
      <c r="N37" s="58">
        <v>0</v>
      </c>
      <c r="O37" s="59"/>
      <c r="P37" s="58" t="s">
        <v>37</v>
      </c>
      <c r="Q37" s="59"/>
      <c r="R37" s="58" t="s">
        <v>37</v>
      </c>
      <c r="S37" s="59"/>
      <c r="T37" s="58" t="s">
        <v>37</v>
      </c>
      <c r="U37" s="59"/>
      <c r="V37" s="58" t="s">
        <v>37</v>
      </c>
      <c r="W37" s="59"/>
      <c r="X37" s="58" t="s">
        <v>37</v>
      </c>
      <c r="Y37" s="59"/>
      <c r="Z37" s="58">
        <v>0</v>
      </c>
      <c r="AA37" s="59"/>
      <c r="AB37" s="58">
        <v>0</v>
      </c>
      <c r="AC37" s="59"/>
    </row>
    <row r="38" spans="1:29" x14ac:dyDescent="0.35">
      <c r="A38" s="14" t="s">
        <v>317</v>
      </c>
      <c r="B38" s="60" t="s">
        <v>37</v>
      </c>
      <c r="C38" s="61"/>
      <c r="D38" s="60" t="s">
        <v>37</v>
      </c>
      <c r="E38" s="61"/>
      <c r="F38" s="60" t="s">
        <v>37</v>
      </c>
      <c r="G38" s="61"/>
      <c r="H38" s="60" t="s">
        <v>37</v>
      </c>
      <c r="I38" s="61"/>
      <c r="J38" s="60" t="s">
        <v>37</v>
      </c>
      <c r="K38" s="61"/>
      <c r="L38" s="60" t="s">
        <v>37</v>
      </c>
      <c r="M38" s="61"/>
      <c r="N38" s="60" t="s">
        <v>37</v>
      </c>
      <c r="O38" s="61"/>
      <c r="P38" s="60" t="s">
        <v>37</v>
      </c>
      <c r="Q38" s="61"/>
      <c r="R38" s="60" t="s">
        <v>37</v>
      </c>
      <c r="S38" s="61"/>
      <c r="T38" s="60" t="s">
        <v>37</v>
      </c>
      <c r="U38" s="61"/>
      <c r="V38" s="60" t="s">
        <v>37</v>
      </c>
      <c r="W38" s="61"/>
      <c r="X38" s="60" t="s">
        <v>37</v>
      </c>
      <c r="Y38" s="61"/>
      <c r="Z38" s="60">
        <v>0</v>
      </c>
      <c r="AA38" s="61"/>
      <c r="AB38" s="60">
        <v>0</v>
      </c>
      <c r="AC38" s="61"/>
    </row>
    <row r="39" spans="1:29" x14ac:dyDescent="0.35">
      <c r="A39" s="14" t="s">
        <v>320</v>
      </c>
      <c r="B39" s="60" t="s">
        <v>37</v>
      </c>
      <c r="C39" s="61"/>
      <c r="D39" s="60" t="s">
        <v>37</v>
      </c>
      <c r="E39" s="61"/>
      <c r="F39" s="60" t="s">
        <v>37</v>
      </c>
      <c r="G39" s="61"/>
      <c r="H39" s="60" t="s">
        <v>37</v>
      </c>
      <c r="I39" s="61"/>
      <c r="J39" s="60" t="s">
        <v>37</v>
      </c>
      <c r="K39" s="61"/>
      <c r="L39" s="60" t="s">
        <v>37</v>
      </c>
      <c r="M39" s="61"/>
      <c r="N39" s="60">
        <v>0</v>
      </c>
      <c r="O39" s="61"/>
      <c r="P39" s="60" t="s">
        <v>37</v>
      </c>
      <c r="Q39" s="61"/>
      <c r="R39" s="60" t="s">
        <v>37</v>
      </c>
      <c r="S39" s="61"/>
      <c r="T39" s="60" t="s">
        <v>37</v>
      </c>
      <c r="U39" s="61"/>
      <c r="V39" s="60" t="s">
        <v>37</v>
      </c>
      <c r="W39" s="61"/>
      <c r="X39" s="60" t="s">
        <v>37</v>
      </c>
      <c r="Y39" s="61"/>
      <c r="Z39" s="60" t="s">
        <v>37</v>
      </c>
      <c r="AA39" s="61"/>
      <c r="AB39" s="60" t="s">
        <v>37</v>
      </c>
      <c r="AC39" s="61"/>
    </row>
    <row r="40" spans="1:29" x14ac:dyDescent="0.35">
      <c r="A40" s="12" t="s">
        <v>329</v>
      </c>
      <c r="B40" s="58">
        <v>2130.415</v>
      </c>
      <c r="C40" s="59">
        <v>1</v>
      </c>
      <c r="D40" s="58">
        <v>3498.0390000000002</v>
      </c>
      <c r="E40" s="59">
        <v>1</v>
      </c>
      <c r="F40" s="58">
        <v>3411.1109999999999</v>
      </c>
      <c r="G40" s="59">
        <v>1</v>
      </c>
      <c r="H40" s="58">
        <v>5039.5469999999996</v>
      </c>
      <c r="I40" s="59">
        <v>1</v>
      </c>
      <c r="J40" s="58">
        <v>6858.326</v>
      </c>
      <c r="K40" s="59">
        <v>1</v>
      </c>
      <c r="L40" s="58">
        <v>13825.911</v>
      </c>
      <c r="M40" s="59">
        <v>1</v>
      </c>
      <c r="N40" s="58">
        <v>17246.190999999999</v>
      </c>
      <c r="O40" s="59">
        <v>1</v>
      </c>
      <c r="P40" s="58" t="s">
        <v>37</v>
      </c>
      <c r="Q40" s="59"/>
      <c r="R40" s="58" t="s">
        <v>37</v>
      </c>
      <c r="S40" s="59"/>
      <c r="T40" s="58" t="s">
        <v>37</v>
      </c>
      <c r="U40" s="59"/>
      <c r="V40" s="58" t="s">
        <v>37</v>
      </c>
      <c r="W40" s="59"/>
      <c r="X40" s="58" t="s">
        <v>37</v>
      </c>
      <c r="Y40" s="59"/>
      <c r="Z40" s="58">
        <v>28189.360000000001</v>
      </c>
      <c r="AA40" s="59">
        <v>1</v>
      </c>
      <c r="AB40" s="58">
        <v>28756.335999999999</v>
      </c>
      <c r="AC40" s="59">
        <v>1</v>
      </c>
    </row>
    <row r="41" spans="1:29" x14ac:dyDescent="0.35">
      <c r="A41" s="14" t="s">
        <v>317</v>
      </c>
      <c r="B41" s="60" t="s">
        <v>37</v>
      </c>
      <c r="C41" s="61"/>
      <c r="D41" s="60" t="s">
        <v>37</v>
      </c>
      <c r="E41" s="61"/>
      <c r="F41" s="60" t="s">
        <v>37</v>
      </c>
      <c r="G41" s="61"/>
      <c r="H41" s="60" t="s">
        <v>37</v>
      </c>
      <c r="I41" s="61"/>
      <c r="J41" s="60" t="s">
        <v>37</v>
      </c>
      <c r="K41" s="61"/>
      <c r="L41" s="60" t="s">
        <v>37</v>
      </c>
      <c r="M41" s="61"/>
      <c r="N41" s="60" t="s">
        <v>37</v>
      </c>
      <c r="O41" s="61"/>
      <c r="P41" s="60" t="s">
        <v>37</v>
      </c>
      <c r="Q41" s="61"/>
      <c r="R41" s="60" t="s">
        <v>37</v>
      </c>
      <c r="S41" s="61"/>
      <c r="T41" s="60" t="s">
        <v>37</v>
      </c>
      <c r="U41" s="61"/>
      <c r="V41" s="60" t="s">
        <v>37</v>
      </c>
      <c r="W41" s="61"/>
      <c r="X41" s="60" t="s">
        <v>37</v>
      </c>
      <c r="Y41" s="61"/>
      <c r="Z41" s="60">
        <v>28189.360000000001</v>
      </c>
      <c r="AA41" s="61">
        <v>1</v>
      </c>
      <c r="AB41" s="60">
        <v>28756.335999999999</v>
      </c>
      <c r="AC41" s="61">
        <v>1</v>
      </c>
    </row>
    <row r="42" spans="1:29" x14ac:dyDescent="0.35">
      <c r="A42" s="14" t="s">
        <v>320</v>
      </c>
      <c r="B42" s="60">
        <v>2130.415</v>
      </c>
      <c r="C42" s="61">
        <v>1</v>
      </c>
      <c r="D42" s="60">
        <v>3498.0390000000002</v>
      </c>
      <c r="E42" s="61">
        <v>1</v>
      </c>
      <c r="F42" s="60">
        <v>3411.1109999999999</v>
      </c>
      <c r="G42" s="61">
        <v>1</v>
      </c>
      <c r="H42" s="60">
        <v>5039.5469999999996</v>
      </c>
      <c r="I42" s="61">
        <v>1</v>
      </c>
      <c r="J42" s="60">
        <v>6858.326</v>
      </c>
      <c r="K42" s="61">
        <v>1</v>
      </c>
      <c r="L42" s="60">
        <v>13825.911</v>
      </c>
      <c r="M42" s="61">
        <v>1</v>
      </c>
      <c r="N42" s="60">
        <v>17246.190999999999</v>
      </c>
      <c r="O42" s="61">
        <v>1</v>
      </c>
      <c r="P42" s="60" t="s">
        <v>37</v>
      </c>
      <c r="Q42" s="61"/>
      <c r="R42" s="60" t="s">
        <v>37</v>
      </c>
      <c r="S42" s="61"/>
      <c r="T42" s="60" t="s">
        <v>37</v>
      </c>
      <c r="U42" s="61"/>
      <c r="V42" s="60" t="s">
        <v>37</v>
      </c>
      <c r="W42" s="61"/>
      <c r="X42" s="60" t="s">
        <v>37</v>
      </c>
      <c r="Y42" s="61"/>
      <c r="Z42" s="60" t="s">
        <v>37</v>
      </c>
      <c r="AA42" s="61"/>
      <c r="AB42" s="60" t="s">
        <v>37</v>
      </c>
      <c r="AC42" s="61"/>
    </row>
    <row r="43" spans="1:29" x14ac:dyDescent="0.35">
      <c r="A43" s="12" t="s">
        <v>330</v>
      </c>
      <c r="B43" s="58">
        <v>1259.5809999999999</v>
      </c>
      <c r="C43" s="59">
        <v>1</v>
      </c>
      <c r="D43" s="58">
        <v>2419.4380000000001</v>
      </c>
      <c r="E43" s="59">
        <v>1</v>
      </c>
      <c r="F43" s="58">
        <v>2178.7950000000001</v>
      </c>
      <c r="G43" s="59">
        <v>1</v>
      </c>
      <c r="H43" s="58">
        <v>2393.6260000000002</v>
      </c>
      <c r="I43" s="59">
        <v>1</v>
      </c>
      <c r="J43" s="58">
        <v>2257.08</v>
      </c>
      <c r="K43" s="59">
        <v>1</v>
      </c>
      <c r="L43" s="58">
        <v>4394.1909999999998</v>
      </c>
      <c r="M43" s="59">
        <v>1</v>
      </c>
      <c r="N43" s="58">
        <v>4870.8019999999997</v>
      </c>
      <c r="O43" s="59">
        <v>1</v>
      </c>
      <c r="P43" s="58" t="s">
        <v>37</v>
      </c>
      <c r="Q43" s="59"/>
      <c r="R43" s="58" t="s">
        <v>37</v>
      </c>
      <c r="S43" s="59"/>
      <c r="T43" s="58" t="s">
        <v>37</v>
      </c>
      <c r="U43" s="59"/>
      <c r="V43" s="58" t="s">
        <v>37</v>
      </c>
      <c r="W43" s="59"/>
      <c r="X43" s="58" t="s">
        <v>37</v>
      </c>
      <c r="Y43" s="59"/>
      <c r="Z43" s="58" t="s">
        <v>37</v>
      </c>
      <c r="AA43" s="59"/>
      <c r="AB43" s="58" t="s">
        <v>37</v>
      </c>
      <c r="AC43" s="59"/>
    </row>
    <row r="44" spans="1:29" x14ac:dyDescent="0.35">
      <c r="A44" s="14" t="s">
        <v>320</v>
      </c>
      <c r="B44" s="60">
        <v>1259.5809999999999</v>
      </c>
      <c r="C44" s="61">
        <v>1</v>
      </c>
      <c r="D44" s="60">
        <v>2419.4380000000001</v>
      </c>
      <c r="E44" s="61">
        <v>1</v>
      </c>
      <c r="F44" s="60">
        <v>2178.7950000000001</v>
      </c>
      <c r="G44" s="61">
        <v>1</v>
      </c>
      <c r="H44" s="60">
        <v>2393.6260000000002</v>
      </c>
      <c r="I44" s="61">
        <v>1</v>
      </c>
      <c r="J44" s="60">
        <v>2257.08</v>
      </c>
      <c r="K44" s="61">
        <v>1</v>
      </c>
      <c r="L44" s="60">
        <v>4394.1909999999998</v>
      </c>
      <c r="M44" s="61">
        <v>1</v>
      </c>
      <c r="N44" s="60">
        <v>4870.8019999999997</v>
      </c>
      <c r="O44" s="61">
        <v>1</v>
      </c>
      <c r="P44" s="60" t="s">
        <v>37</v>
      </c>
      <c r="Q44" s="61"/>
      <c r="R44" s="60" t="s">
        <v>37</v>
      </c>
      <c r="S44" s="61"/>
      <c r="T44" s="60" t="s">
        <v>37</v>
      </c>
      <c r="U44" s="61"/>
      <c r="V44" s="60" t="s">
        <v>37</v>
      </c>
      <c r="W44" s="61"/>
      <c r="X44" s="60" t="s">
        <v>37</v>
      </c>
      <c r="Y44" s="61"/>
      <c r="Z44" s="60" t="s">
        <v>37</v>
      </c>
      <c r="AA44" s="61"/>
      <c r="AB44" s="60" t="s">
        <v>37</v>
      </c>
      <c r="AC44" s="61"/>
    </row>
    <row r="45" spans="1:29" x14ac:dyDescent="0.35">
      <c r="A45" s="12" t="s">
        <v>331</v>
      </c>
      <c r="B45" s="58">
        <v>341.59</v>
      </c>
      <c r="C45" s="59">
        <v>1</v>
      </c>
      <c r="D45" s="58">
        <v>788.01700000000005</v>
      </c>
      <c r="E45" s="59">
        <v>1</v>
      </c>
      <c r="F45" s="58">
        <v>724.04200000000003</v>
      </c>
      <c r="G45" s="59">
        <v>1</v>
      </c>
      <c r="H45" s="58">
        <v>2037.3610000000001</v>
      </c>
      <c r="I45" s="59">
        <v>1</v>
      </c>
      <c r="J45" s="58">
        <v>3301.3960000000002</v>
      </c>
      <c r="K45" s="59">
        <v>1</v>
      </c>
      <c r="L45" s="58">
        <v>8659.2350000000006</v>
      </c>
      <c r="M45" s="59">
        <v>1</v>
      </c>
      <c r="N45" s="58">
        <v>9451.2389999999996</v>
      </c>
      <c r="O45" s="59">
        <v>1</v>
      </c>
      <c r="P45" s="58" t="s">
        <v>37</v>
      </c>
      <c r="Q45" s="59"/>
      <c r="R45" s="58" t="s">
        <v>37</v>
      </c>
      <c r="S45" s="59"/>
      <c r="T45" s="58" t="s">
        <v>37</v>
      </c>
      <c r="U45" s="59"/>
      <c r="V45" s="58" t="s">
        <v>37</v>
      </c>
      <c r="W45" s="59"/>
      <c r="X45" s="58" t="s">
        <v>37</v>
      </c>
      <c r="Y45" s="59"/>
      <c r="Z45" s="58">
        <v>1816.31</v>
      </c>
      <c r="AA45" s="59">
        <v>1</v>
      </c>
      <c r="AB45" s="58">
        <v>2115.5320000000002</v>
      </c>
      <c r="AC45" s="59">
        <v>1</v>
      </c>
    </row>
    <row r="46" spans="1:29" x14ac:dyDescent="0.35">
      <c r="A46" s="14" t="s">
        <v>317</v>
      </c>
      <c r="B46" s="60" t="s">
        <v>37</v>
      </c>
      <c r="C46" s="61"/>
      <c r="D46" s="60" t="s">
        <v>37</v>
      </c>
      <c r="E46" s="61"/>
      <c r="F46" s="60" t="s">
        <v>37</v>
      </c>
      <c r="G46" s="61"/>
      <c r="H46" s="60" t="s">
        <v>37</v>
      </c>
      <c r="I46" s="61"/>
      <c r="J46" s="60" t="s">
        <v>37</v>
      </c>
      <c r="K46" s="61"/>
      <c r="L46" s="60" t="s">
        <v>37</v>
      </c>
      <c r="M46" s="61"/>
      <c r="N46" s="60" t="s">
        <v>37</v>
      </c>
      <c r="O46" s="61"/>
      <c r="P46" s="60" t="s">
        <v>37</v>
      </c>
      <c r="Q46" s="61"/>
      <c r="R46" s="60" t="s">
        <v>37</v>
      </c>
      <c r="S46" s="61"/>
      <c r="T46" s="60" t="s">
        <v>37</v>
      </c>
      <c r="U46" s="61"/>
      <c r="V46" s="60" t="s">
        <v>37</v>
      </c>
      <c r="W46" s="61"/>
      <c r="X46" s="60" t="s">
        <v>37</v>
      </c>
      <c r="Y46" s="61"/>
      <c r="Z46" s="60">
        <v>1816.31</v>
      </c>
      <c r="AA46" s="61">
        <v>1</v>
      </c>
      <c r="AB46" s="60">
        <v>2115.5320000000002</v>
      </c>
      <c r="AC46" s="61">
        <v>1</v>
      </c>
    </row>
    <row r="47" spans="1:29" x14ac:dyDescent="0.35">
      <c r="A47" s="14" t="s">
        <v>320</v>
      </c>
      <c r="B47" s="60">
        <v>341.59</v>
      </c>
      <c r="C47" s="61">
        <v>1</v>
      </c>
      <c r="D47" s="60">
        <v>788.01700000000005</v>
      </c>
      <c r="E47" s="61">
        <v>1</v>
      </c>
      <c r="F47" s="60">
        <v>724.04200000000003</v>
      </c>
      <c r="G47" s="61">
        <v>1</v>
      </c>
      <c r="H47" s="60">
        <v>2037.3610000000001</v>
      </c>
      <c r="I47" s="61">
        <v>1</v>
      </c>
      <c r="J47" s="60">
        <v>3301.3960000000002</v>
      </c>
      <c r="K47" s="61">
        <v>1</v>
      </c>
      <c r="L47" s="60">
        <v>8659.2350000000006</v>
      </c>
      <c r="M47" s="61">
        <v>1</v>
      </c>
      <c r="N47" s="60">
        <v>9451.2389999999996</v>
      </c>
      <c r="O47" s="61">
        <v>1</v>
      </c>
      <c r="P47" s="60" t="s">
        <v>37</v>
      </c>
      <c r="Q47" s="61"/>
      <c r="R47" s="60" t="s">
        <v>37</v>
      </c>
      <c r="S47" s="61"/>
      <c r="T47" s="60" t="s">
        <v>37</v>
      </c>
      <c r="U47" s="61"/>
      <c r="V47" s="60" t="s">
        <v>37</v>
      </c>
      <c r="W47" s="61"/>
      <c r="X47" s="60" t="s">
        <v>37</v>
      </c>
      <c r="Y47" s="61"/>
      <c r="Z47" s="60" t="s">
        <v>37</v>
      </c>
      <c r="AA47" s="61"/>
      <c r="AB47" s="60" t="s">
        <v>37</v>
      </c>
      <c r="AC47" s="61"/>
    </row>
    <row r="48" spans="1:29" x14ac:dyDescent="0.35">
      <c r="A48" s="12" t="s">
        <v>332</v>
      </c>
      <c r="B48" s="58">
        <v>149.58699999999999</v>
      </c>
      <c r="C48" s="59">
        <v>1</v>
      </c>
      <c r="D48" s="58">
        <v>293.32</v>
      </c>
      <c r="E48" s="59">
        <v>1</v>
      </c>
      <c r="F48" s="58">
        <v>531.80499999999995</v>
      </c>
      <c r="G48" s="59">
        <v>1</v>
      </c>
      <c r="H48" s="58">
        <v>419.83300000000003</v>
      </c>
      <c r="I48" s="59">
        <v>1</v>
      </c>
      <c r="J48" s="58">
        <v>550.05999999999995</v>
      </c>
      <c r="K48" s="59">
        <v>1</v>
      </c>
      <c r="L48" s="58">
        <v>1570.6220000000001</v>
      </c>
      <c r="M48" s="59">
        <v>1</v>
      </c>
      <c r="N48" s="58">
        <v>1808.7280000000001</v>
      </c>
      <c r="O48" s="59">
        <v>1</v>
      </c>
      <c r="P48" s="58" t="s">
        <v>37</v>
      </c>
      <c r="Q48" s="59"/>
      <c r="R48" s="58" t="s">
        <v>37</v>
      </c>
      <c r="S48" s="59"/>
      <c r="T48" s="58" t="s">
        <v>37</v>
      </c>
      <c r="U48" s="59"/>
      <c r="V48" s="58" t="s">
        <v>37</v>
      </c>
      <c r="W48" s="59"/>
      <c r="X48" s="58" t="s">
        <v>37</v>
      </c>
      <c r="Y48" s="59"/>
      <c r="Z48" s="58">
        <v>147.26</v>
      </c>
      <c r="AA48" s="59">
        <v>1</v>
      </c>
      <c r="AB48" s="58">
        <v>148.05099999999999</v>
      </c>
      <c r="AC48" s="59">
        <v>1</v>
      </c>
    </row>
    <row r="49" spans="1:29" x14ac:dyDescent="0.35">
      <c r="A49" s="14" t="s">
        <v>317</v>
      </c>
      <c r="B49" s="60" t="s">
        <v>37</v>
      </c>
      <c r="C49" s="61"/>
      <c r="D49" s="60" t="s">
        <v>37</v>
      </c>
      <c r="E49" s="61"/>
      <c r="F49" s="60" t="s">
        <v>37</v>
      </c>
      <c r="G49" s="61"/>
      <c r="H49" s="60" t="s">
        <v>37</v>
      </c>
      <c r="I49" s="61"/>
      <c r="J49" s="60" t="s">
        <v>37</v>
      </c>
      <c r="K49" s="61"/>
      <c r="L49" s="60" t="s">
        <v>37</v>
      </c>
      <c r="M49" s="61"/>
      <c r="N49" s="60" t="s">
        <v>37</v>
      </c>
      <c r="O49" s="61"/>
      <c r="P49" s="60" t="s">
        <v>37</v>
      </c>
      <c r="Q49" s="61"/>
      <c r="R49" s="60" t="s">
        <v>37</v>
      </c>
      <c r="S49" s="61"/>
      <c r="T49" s="60" t="s">
        <v>37</v>
      </c>
      <c r="U49" s="61"/>
      <c r="V49" s="60" t="s">
        <v>37</v>
      </c>
      <c r="W49" s="61"/>
      <c r="X49" s="60" t="s">
        <v>37</v>
      </c>
      <c r="Y49" s="61"/>
      <c r="Z49" s="60">
        <v>147.26</v>
      </c>
      <c r="AA49" s="61">
        <v>1</v>
      </c>
      <c r="AB49" s="60">
        <v>148.05099999999999</v>
      </c>
      <c r="AC49" s="61">
        <v>1</v>
      </c>
    </row>
    <row r="50" spans="1:29" x14ac:dyDescent="0.35">
      <c r="A50" s="14" t="s">
        <v>320</v>
      </c>
      <c r="B50" s="60">
        <v>149.58699999999999</v>
      </c>
      <c r="C50" s="61">
        <v>1</v>
      </c>
      <c r="D50" s="60">
        <v>293.32</v>
      </c>
      <c r="E50" s="61">
        <v>1</v>
      </c>
      <c r="F50" s="60">
        <v>531.80499999999995</v>
      </c>
      <c r="G50" s="61">
        <v>1</v>
      </c>
      <c r="H50" s="60">
        <v>419.83300000000003</v>
      </c>
      <c r="I50" s="61">
        <v>1</v>
      </c>
      <c r="J50" s="60">
        <v>550.05999999999995</v>
      </c>
      <c r="K50" s="61">
        <v>1</v>
      </c>
      <c r="L50" s="60">
        <v>1570.6220000000001</v>
      </c>
      <c r="M50" s="61">
        <v>1</v>
      </c>
      <c r="N50" s="60">
        <v>1808.7280000000001</v>
      </c>
      <c r="O50" s="61">
        <v>1</v>
      </c>
      <c r="P50" s="60" t="s">
        <v>37</v>
      </c>
      <c r="Q50" s="61"/>
      <c r="R50" s="60" t="s">
        <v>37</v>
      </c>
      <c r="S50" s="61"/>
      <c r="T50" s="60" t="s">
        <v>37</v>
      </c>
      <c r="U50" s="61"/>
      <c r="V50" s="60" t="s">
        <v>37</v>
      </c>
      <c r="W50" s="61"/>
      <c r="X50" s="60" t="s">
        <v>37</v>
      </c>
      <c r="Y50" s="61"/>
      <c r="Z50" s="60" t="s">
        <v>37</v>
      </c>
      <c r="AA50" s="61"/>
      <c r="AB50" s="60" t="s">
        <v>37</v>
      </c>
      <c r="AC50" s="61"/>
    </row>
    <row r="51" spans="1:29" x14ac:dyDescent="0.35">
      <c r="A51" s="12" t="s">
        <v>333</v>
      </c>
      <c r="B51" s="58">
        <v>149.58699999999999</v>
      </c>
      <c r="C51" s="59">
        <v>1</v>
      </c>
      <c r="D51" s="58">
        <v>293.32</v>
      </c>
      <c r="E51" s="59">
        <v>1</v>
      </c>
      <c r="F51" s="58">
        <v>531.80499999999995</v>
      </c>
      <c r="G51" s="59">
        <v>1</v>
      </c>
      <c r="H51" s="58">
        <v>419.83300000000003</v>
      </c>
      <c r="I51" s="59">
        <v>1</v>
      </c>
      <c r="J51" s="58">
        <v>550.05999999999995</v>
      </c>
      <c r="K51" s="59">
        <v>1</v>
      </c>
      <c r="L51" s="58">
        <v>1570.6220000000001</v>
      </c>
      <c r="M51" s="59">
        <v>1</v>
      </c>
      <c r="N51" s="58">
        <v>1808.7280000000001</v>
      </c>
      <c r="O51" s="59">
        <v>1</v>
      </c>
      <c r="P51" s="58" t="s">
        <v>37</v>
      </c>
      <c r="Q51" s="59"/>
      <c r="R51" s="58" t="s">
        <v>37</v>
      </c>
      <c r="S51" s="59"/>
      <c r="T51" s="58" t="s">
        <v>37</v>
      </c>
      <c r="U51" s="59"/>
      <c r="V51" s="58" t="s">
        <v>37</v>
      </c>
      <c r="W51" s="59"/>
      <c r="X51" s="58" t="s">
        <v>37</v>
      </c>
      <c r="Y51" s="59"/>
      <c r="Z51" s="58">
        <v>147.00399999999999</v>
      </c>
      <c r="AA51" s="59">
        <v>1</v>
      </c>
      <c r="AB51" s="58">
        <v>148.05099999999999</v>
      </c>
      <c r="AC51" s="59">
        <v>1</v>
      </c>
    </row>
    <row r="52" spans="1:29" x14ac:dyDescent="0.35">
      <c r="A52" s="14" t="s">
        <v>317</v>
      </c>
      <c r="B52" s="60" t="s">
        <v>37</v>
      </c>
      <c r="C52" s="61"/>
      <c r="D52" s="60" t="s">
        <v>37</v>
      </c>
      <c r="E52" s="61"/>
      <c r="F52" s="60" t="s">
        <v>37</v>
      </c>
      <c r="G52" s="61"/>
      <c r="H52" s="60" t="s">
        <v>37</v>
      </c>
      <c r="I52" s="61"/>
      <c r="J52" s="60" t="s">
        <v>37</v>
      </c>
      <c r="K52" s="61"/>
      <c r="L52" s="60" t="s">
        <v>37</v>
      </c>
      <c r="M52" s="61"/>
      <c r="N52" s="60" t="s">
        <v>37</v>
      </c>
      <c r="O52" s="61"/>
      <c r="P52" s="60" t="s">
        <v>37</v>
      </c>
      <c r="Q52" s="61"/>
      <c r="R52" s="60" t="s">
        <v>37</v>
      </c>
      <c r="S52" s="61"/>
      <c r="T52" s="60" t="s">
        <v>37</v>
      </c>
      <c r="U52" s="61"/>
      <c r="V52" s="60" t="s">
        <v>37</v>
      </c>
      <c r="W52" s="61"/>
      <c r="X52" s="60" t="s">
        <v>37</v>
      </c>
      <c r="Y52" s="61"/>
      <c r="Z52" s="60">
        <v>147.00399999999999</v>
      </c>
      <c r="AA52" s="61">
        <v>1</v>
      </c>
      <c r="AB52" s="60">
        <v>148.05099999999999</v>
      </c>
      <c r="AC52" s="61">
        <v>1</v>
      </c>
    </row>
    <row r="53" spans="1:29" x14ac:dyDescent="0.35">
      <c r="A53" s="14" t="s">
        <v>320</v>
      </c>
      <c r="B53" s="60">
        <v>149.58699999999999</v>
      </c>
      <c r="C53" s="61">
        <v>1</v>
      </c>
      <c r="D53" s="60">
        <v>293.32</v>
      </c>
      <c r="E53" s="61">
        <v>1</v>
      </c>
      <c r="F53" s="60">
        <v>531.80499999999995</v>
      </c>
      <c r="G53" s="61">
        <v>1</v>
      </c>
      <c r="H53" s="60">
        <v>419.83300000000003</v>
      </c>
      <c r="I53" s="61">
        <v>1</v>
      </c>
      <c r="J53" s="60">
        <v>550.05999999999995</v>
      </c>
      <c r="K53" s="61">
        <v>1</v>
      </c>
      <c r="L53" s="60">
        <v>1570.6220000000001</v>
      </c>
      <c r="M53" s="61">
        <v>1</v>
      </c>
      <c r="N53" s="60">
        <v>1808.7280000000001</v>
      </c>
      <c r="O53" s="61">
        <v>1</v>
      </c>
      <c r="P53" s="60" t="s">
        <v>37</v>
      </c>
      <c r="Q53" s="61"/>
      <c r="R53" s="60" t="s">
        <v>37</v>
      </c>
      <c r="S53" s="61"/>
      <c r="T53" s="60" t="s">
        <v>37</v>
      </c>
      <c r="U53" s="61"/>
      <c r="V53" s="60" t="s">
        <v>37</v>
      </c>
      <c r="W53" s="61"/>
      <c r="X53" s="60" t="s">
        <v>37</v>
      </c>
      <c r="Y53" s="61"/>
      <c r="Z53" s="60" t="s">
        <v>37</v>
      </c>
      <c r="AA53" s="61"/>
      <c r="AB53" s="60" t="s">
        <v>37</v>
      </c>
      <c r="AC53" s="61"/>
    </row>
    <row r="54" spans="1:29" x14ac:dyDescent="0.35">
      <c r="A54" s="12" t="s">
        <v>334</v>
      </c>
      <c r="B54" s="58" t="s">
        <v>37</v>
      </c>
      <c r="C54" s="59"/>
      <c r="D54" s="58" t="s">
        <v>37</v>
      </c>
      <c r="E54" s="59"/>
      <c r="F54" s="58">
        <v>0</v>
      </c>
      <c r="G54" s="59"/>
      <c r="H54" s="58">
        <v>0</v>
      </c>
      <c r="I54" s="59"/>
      <c r="J54" s="58">
        <v>0</v>
      </c>
      <c r="K54" s="59"/>
      <c r="L54" s="58">
        <v>0</v>
      </c>
      <c r="M54" s="59"/>
      <c r="N54" s="58">
        <v>0</v>
      </c>
      <c r="O54" s="59"/>
      <c r="P54" s="58" t="s">
        <v>37</v>
      </c>
      <c r="Q54" s="59"/>
      <c r="R54" s="58" t="s">
        <v>37</v>
      </c>
      <c r="S54" s="59"/>
      <c r="T54" s="58" t="s">
        <v>37</v>
      </c>
      <c r="U54" s="59"/>
      <c r="V54" s="58" t="s">
        <v>37</v>
      </c>
      <c r="W54" s="59"/>
      <c r="X54" s="58" t="s">
        <v>37</v>
      </c>
      <c r="Y54" s="59"/>
      <c r="Z54" s="58">
        <v>0</v>
      </c>
      <c r="AA54" s="59"/>
      <c r="AB54" s="58">
        <v>0</v>
      </c>
      <c r="AC54" s="59"/>
    </row>
    <row r="55" spans="1:29" x14ac:dyDescent="0.35">
      <c r="A55" s="14" t="s">
        <v>317</v>
      </c>
      <c r="B55" s="60" t="s">
        <v>37</v>
      </c>
      <c r="C55" s="61"/>
      <c r="D55" s="60" t="s">
        <v>37</v>
      </c>
      <c r="E55" s="61"/>
      <c r="F55" s="60" t="s">
        <v>37</v>
      </c>
      <c r="G55" s="61"/>
      <c r="H55" s="60" t="s">
        <v>37</v>
      </c>
      <c r="I55" s="61"/>
      <c r="J55" s="60" t="s">
        <v>37</v>
      </c>
      <c r="K55" s="61"/>
      <c r="L55" s="60" t="s">
        <v>37</v>
      </c>
      <c r="M55" s="61"/>
      <c r="N55" s="60" t="s">
        <v>37</v>
      </c>
      <c r="O55" s="61"/>
      <c r="P55" s="60" t="s">
        <v>37</v>
      </c>
      <c r="Q55" s="61"/>
      <c r="R55" s="60" t="s">
        <v>37</v>
      </c>
      <c r="S55" s="61"/>
      <c r="T55" s="60" t="s">
        <v>37</v>
      </c>
      <c r="U55" s="61"/>
      <c r="V55" s="60" t="s">
        <v>37</v>
      </c>
      <c r="W55" s="61"/>
      <c r="X55" s="60" t="s">
        <v>37</v>
      </c>
      <c r="Y55" s="61"/>
      <c r="Z55" s="60">
        <v>0</v>
      </c>
      <c r="AA55" s="61"/>
      <c r="AB55" s="60">
        <v>0</v>
      </c>
      <c r="AC55" s="61"/>
    </row>
    <row r="56" spans="1:29" x14ac:dyDescent="0.35">
      <c r="A56" s="14" t="s">
        <v>320</v>
      </c>
      <c r="B56" s="60" t="s">
        <v>37</v>
      </c>
      <c r="C56" s="61"/>
      <c r="D56" s="60" t="s">
        <v>37</v>
      </c>
      <c r="E56" s="61"/>
      <c r="F56" s="60">
        <v>0</v>
      </c>
      <c r="G56" s="61"/>
      <c r="H56" s="60">
        <v>0</v>
      </c>
      <c r="I56" s="61"/>
      <c r="J56" s="60">
        <v>0</v>
      </c>
      <c r="K56" s="61"/>
      <c r="L56" s="60">
        <v>0</v>
      </c>
      <c r="M56" s="61"/>
      <c r="N56" s="60">
        <v>0</v>
      </c>
      <c r="O56" s="61"/>
      <c r="P56" s="60" t="s">
        <v>37</v>
      </c>
      <c r="Q56" s="61"/>
      <c r="R56" s="60" t="s">
        <v>37</v>
      </c>
      <c r="S56" s="61"/>
      <c r="T56" s="60" t="s">
        <v>37</v>
      </c>
      <c r="U56" s="61"/>
      <c r="V56" s="60" t="s">
        <v>37</v>
      </c>
      <c r="W56" s="61"/>
      <c r="X56" s="60" t="s">
        <v>37</v>
      </c>
      <c r="Y56" s="61"/>
      <c r="Z56" s="60" t="s">
        <v>37</v>
      </c>
      <c r="AA56" s="61"/>
      <c r="AB56" s="60" t="s">
        <v>37</v>
      </c>
      <c r="AC56" s="61"/>
    </row>
    <row r="57" spans="1:29" x14ac:dyDescent="0.35">
      <c r="A57" s="12" t="s">
        <v>285</v>
      </c>
      <c r="B57" s="58">
        <v>-1065.875</v>
      </c>
      <c r="C57" s="59"/>
      <c r="D57" s="58">
        <v>-1480.7550000000001</v>
      </c>
      <c r="E57" s="59"/>
      <c r="F57" s="58">
        <v>-810.47299999999996</v>
      </c>
      <c r="G57" s="59"/>
      <c r="H57" s="58">
        <v>-641.22699999999998</v>
      </c>
      <c r="I57" s="59"/>
      <c r="J57" s="58">
        <v>-604.64300000000003</v>
      </c>
      <c r="K57" s="59"/>
      <c r="L57" s="58">
        <v>-930.28800000000001</v>
      </c>
      <c r="M57" s="59"/>
      <c r="N57" s="58">
        <v>-2283.8879999999999</v>
      </c>
      <c r="O57" s="59"/>
      <c r="P57" s="58" t="s">
        <v>37</v>
      </c>
      <c r="Q57" s="59"/>
      <c r="R57" s="58" t="s">
        <v>37</v>
      </c>
      <c r="S57" s="59"/>
      <c r="T57" s="58" t="s">
        <v>37</v>
      </c>
      <c r="U57" s="59"/>
      <c r="V57" s="58" t="s">
        <v>37</v>
      </c>
      <c r="W57" s="59"/>
      <c r="X57" s="58" t="s">
        <v>37</v>
      </c>
      <c r="Y57" s="59"/>
      <c r="Z57" s="58">
        <v>-215.00200000000001</v>
      </c>
      <c r="AA57" s="59"/>
      <c r="AB57" s="58">
        <v>-213.297</v>
      </c>
      <c r="AC57" s="59"/>
    </row>
    <row r="58" spans="1:29" x14ac:dyDescent="0.35">
      <c r="A58" s="14" t="s">
        <v>317</v>
      </c>
      <c r="B58" s="60" t="s">
        <v>37</v>
      </c>
      <c r="C58" s="61"/>
      <c r="D58" s="60" t="s">
        <v>37</v>
      </c>
      <c r="E58" s="61"/>
      <c r="F58" s="60" t="s">
        <v>37</v>
      </c>
      <c r="G58" s="61"/>
      <c r="H58" s="60" t="s">
        <v>37</v>
      </c>
      <c r="I58" s="61"/>
      <c r="J58" s="60" t="s">
        <v>37</v>
      </c>
      <c r="K58" s="61"/>
      <c r="L58" s="60" t="s">
        <v>37</v>
      </c>
      <c r="M58" s="61"/>
      <c r="N58" s="60" t="s">
        <v>37</v>
      </c>
      <c r="O58" s="61"/>
      <c r="P58" s="60" t="s">
        <v>37</v>
      </c>
      <c r="Q58" s="61"/>
      <c r="R58" s="60" t="s">
        <v>37</v>
      </c>
      <c r="S58" s="61"/>
      <c r="T58" s="60" t="s">
        <v>37</v>
      </c>
      <c r="U58" s="61"/>
      <c r="V58" s="60" t="s">
        <v>37</v>
      </c>
      <c r="W58" s="61"/>
      <c r="X58" s="60" t="s">
        <v>37</v>
      </c>
      <c r="Y58" s="61"/>
      <c r="Z58" s="60">
        <v>-215.00200000000001</v>
      </c>
      <c r="AA58" s="61">
        <v>1</v>
      </c>
      <c r="AB58" s="60">
        <v>-213.297</v>
      </c>
      <c r="AC58" s="61">
        <v>1</v>
      </c>
    </row>
    <row r="59" spans="1:29" x14ac:dyDescent="0.35">
      <c r="A59" s="14" t="s">
        <v>320</v>
      </c>
      <c r="B59" s="60">
        <v>-1065.875</v>
      </c>
      <c r="C59" s="61">
        <v>1</v>
      </c>
      <c r="D59" s="60">
        <v>-1480.7550000000001</v>
      </c>
      <c r="E59" s="61">
        <v>1</v>
      </c>
      <c r="F59" s="60">
        <v>-810.47299999999996</v>
      </c>
      <c r="G59" s="61">
        <v>1</v>
      </c>
      <c r="H59" s="60">
        <v>-641.22699999999998</v>
      </c>
      <c r="I59" s="61">
        <v>1</v>
      </c>
      <c r="J59" s="60">
        <v>-604.64300000000003</v>
      </c>
      <c r="K59" s="61">
        <v>1</v>
      </c>
      <c r="L59" s="60">
        <v>-930.28800000000001</v>
      </c>
      <c r="M59" s="61">
        <v>1</v>
      </c>
      <c r="N59" s="60">
        <v>-2283.8879999999999</v>
      </c>
      <c r="O59" s="61">
        <v>1</v>
      </c>
      <c r="P59" s="60" t="s">
        <v>37</v>
      </c>
      <c r="Q59" s="61"/>
      <c r="R59" s="60" t="s">
        <v>37</v>
      </c>
      <c r="S59" s="61"/>
      <c r="T59" s="60" t="s">
        <v>37</v>
      </c>
      <c r="U59" s="61"/>
      <c r="V59" s="60" t="s">
        <v>37</v>
      </c>
      <c r="W59" s="61"/>
      <c r="X59" s="60" t="s">
        <v>37</v>
      </c>
      <c r="Y59" s="61"/>
      <c r="Z59" s="60" t="s">
        <v>37</v>
      </c>
      <c r="AA59" s="61"/>
      <c r="AB59" s="60" t="s">
        <v>37</v>
      </c>
      <c r="AC59" s="61"/>
    </row>
    <row r="60" spans="1:29" x14ac:dyDescent="0.3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DAE1-057D-405F-AD2B-91950A1E2464}">
  <dimension ref="A1:P68"/>
  <sheetViews>
    <sheetView showGridLines="0" topLeftCell="A23" workbookViewId="0">
      <selection activeCell="G40" sqref="G40"/>
    </sheetView>
  </sheetViews>
  <sheetFormatPr defaultRowHeight="14.5" x14ac:dyDescent="0.35"/>
  <cols>
    <col min="1" max="1" width="32.36328125" customWidth="1"/>
  </cols>
  <sheetData>
    <row r="1" spans="1:16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0" x14ac:dyDescent="0.35">
      <c r="A2" s="6" t="s">
        <v>209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5">
      <c r="A4" s="8" t="s">
        <v>7</v>
      </c>
      <c r="B4" s="9" t="s">
        <v>11</v>
      </c>
      <c r="C4" s="9" t="s">
        <v>12</v>
      </c>
      <c r="D4" s="9" t="s">
        <v>13</v>
      </c>
      <c r="E4" s="9" t="s">
        <v>0</v>
      </c>
      <c r="F4" s="9" t="s">
        <v>1</v>
      </c>
      <c r="G4" s="9" t="s">
        <v>2</v>
      </c>
      <c r="H4" s="9" t="s">
        <v>3</v>
      </c>
      <c r="I4" s="9" t="s">
        <v>4</v>
      </c>
      <c r="J4" s="9" t="s">
        <v>5</v>
      </c>
      <c r="K4" s="9" t="s">
        <v>6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</row>
    <row r="5" spans="1:16" x14ac:dyDescent="0.35">
      <c r="A5" s="10" t="s">
        <v>19</v>
      </c>
      <c r="B5" s="11" t="s">
        <v>20</v>
      </c>
      <c r="C5" s="11" t="s">
        <v>21</v>
      </c>
      <c r="D5" s="11" t="s">
        <v>22</v>
      </c>
      <c r="E5" s="11" t="s">
        <v>23</v>
      </c>
      <c r="F5" s="11" t="s">
        <v>24</v>
      </c>
      <c r="G5" s="11" t="s">
        <v>25</v>
      </c>
      <c r="H5" s="11" t="s">
        <v>26</v>
      </c>
      <c r="I5" s="11" t="s">
        <v>27</v>
      </c>
      <c r="J5" s="11" t="s">
        <v>28</v>
      </c>
      <c r="K5" s="11" t="s">
        <v>29</v>
      </c>
      <c r="L5" s="11" t="s">
        <v>30</v>
      </c>
      <c r="M5" s="11" t="s">
        <v>31</v>
      </c>
      <c r="N5" s="11" t="s">
        <v>32</v>
      </c>
      <c r="O5" s="11" t="s">
        <v>33</v>
      </c>
      <c r="P5" s="11" t="s">
        <v>34</v>
      </c>
    </row>
    <row r="6" spans="1:16" x14ac:dyDescent="0.35">
      <c r="A6" s="12" t="s">
        <v>210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1:16" x14ac:dyDescent="0.35">
      <c r="A7" s="14" t="s">
        <v>211</v>
      </c>
      <c r="B7" s="15">
        <v>499.34</v>
      </c>
      <c r="C7" s="15">
        <v>44.027000000000001</v>
      </c>
      <c r="D7" s="15">
        <v>235.19399999999999</v>
      </c>
      <c r="E7" s="15">
        <v>481.40899999999999</v>
      </c>
      <c r="F7" s="15">
        <v>708.71400000000006</v>
      </c>
      <c r="G7" s="15">
        <v>1043.2809999999999</v>
      </c>
      <c r="H7" s="15">
        <v>1750.425</v>
      </c>
      <c r="I7" s="15">
        <v>3218.4290000000001</v>
      </c>
      <c r="J7" s="15">
        <v>3948.5680000000002</v>
      </c>
      <c r="K7" s="15">
        <v>5307.9520000000002</v>
      </c>
      <c r="L7" s="15">
        <v>6804.5640000000003</v>
      </c>
      <c r="M7" s="15">
        <v>252.26300000000001</v>
      </c>
      <c r="N7" s="15">
        <v>712.80100000000004</v>
      </c>
      <c r="O7" s="15">
        <v>627.91300000000001</v>
      </c>
      <c r="P7" s="16">
        <v>876.61099999999999</v>
      </c>
    </row>
    <row r="8" spans="1:16" x14ac:dyDescent="0.35">
      <c r="A8" s="14" t="s">
        <v>107</v>
      </c>
      <c r="B8" s="15">
        <v>293.32</v>
      </c>
      <c r="C8" s="15">
        <v>531.80499999999995</v>
      </c>
      <c r="D8" s="15">
        <v>419.83300000000003</v>
      </c>
      <c r="E8" s="15">
        <v>550.05999999999995</v>
      </c>
      <c r="F8" s="15">
        <v>874.44200000000001</v>
      </c>
      <c r="G8" s="15">
        <v>1570.6220000000001</v>
      </c>
      <c r="H8" s="15">
        <v>1808.7280000000001</v>
      </c>
      <c r="I8" s="15">
        <v>1648.5609999999999</v>
      </c>
      <c r="J8" s="15">
        <v>1640.43</v>
      </c>
      <c r="K8" s="15">
        <v>733.87199999999996</v>
      </c>
      <c r="L8" s="15">
        <v>41.704000000000001</v>
      </c>
      <c r="M8" s="15">
        <v>87.353999999999999</v>
      </c>
      <c r="N8" s="15">
        <v>147.26</v>
      </c>
      <c r="O8" s="15">
        <v>148.05099999999999</v>
      </c>
      <c r="P8" s="16">
        <v>136.54</v>
      </c>
    </row>
    <row r="9" spans="1:16" x14ac:dyDescent="0.35">
      <c r="A9" s="14" t="s">
        <v>212</v>
      </c>
      <c r="B9" s="15">
        <v>198.04400000000001</v>
      </c>
      <c r="C9" s="15">
        <v>-108.96899999999999</v>
      </c>
      <c r="D9" s="15">
        <v>69.504999999999995</v>
      </c>
      <c r="E9" s="15">
        <v>80.741</v>
      </c>
      <c r="F9" s="15">
        <v>103.29</v>
      </c>
      <c r="G9" s="15">
        <v>159.35</v>
      </c>
      <c r="H9" s="15">
        <v>120.70399999999999</v>
      </c>
      <c r="I9" s="15">
        <v>245.34399999999999</v>
      </c>
      <c r="J9" s="15">
        <v>-1347.972</v>
      </c>
      <c r="K9" s="15">
        <v>181.904</v>
      </c>
      <c r="L9" s="15">
        <v>-7374.2030000000004</v>
      </c>
      <c r="M9" s="15">
        <v>-3598.223</v>
      </c>
      <c r="N9" s="15">
        <v>3442.7220000000002</v>
      </c>
      <c r="O9" s="15">
        <v>2131.9470000000001</v>
      </c>
      <c r="P9" s="16"/>
    </row>
    <row r="10" spans="1:16" x14ac:dyDescent="0.35">
      <c r="A10" s="14" t="s">
        <v>213</v>
      </c>
      <c r="B10" s="15" t="s">
        <v>37</v>
      </c>
      <c r="C10" s="15" t="s">
        <v>37</v>
      </c>
      <c r="D10" s="15" t="s">
        <v>37</v>
      </c>
      <c r="E10" s="15" t="s">
        <v>37</v>
      </c>
      <c r="F10" s="15" t="s">
        <v>37</v>
      </c>
      <c r="G10" s="15" t="s">
        <v>37</v>
      </c>
      <c r="H10" s="15" t="s">
        <v>37</v>
      </c>
      <c r="I10" s="15" t="s">
        <v>37</v>
      </c>
      <c r="J10" s="15">
        <v>-7.9180000000000001</v>
      </c>
      <c r="K10" s="15">
        <v>32.673999999999999</v>
      </c>
      <c r="L10" s="15">
        <v>162.637</v>
      </c>
      <c r="M10" s="15">
        <v>166.142</v>
      </c>
      <c r="N10" s="15">
        <v>-66.356999999999999</v>
      </c>
      <c r="O10" s="15">
        <v>-104.158</v>
      </c>
      <c r="P10" s="16"/>
    </row>
    <row r="11" spans="1:16" x14ac:dyDescent="0.35">
      <c r="A11" s="14" t="s">
        <v>214</v>
      </c>
      <c r="B11" s="15">
        <v>198.04400000000001</v>
      </c>
      <c r="C11" s="15">
        <v>-108.96899999999999</v>
      </c>
      <c r="D11" s="15">
        <v>69.504999999999995</v>
      </c>
      <c r="E11" s="15">
        <v>80.741</v>
      </c>
      <c r="F11" s="15">
        <v>103.29</v>
      </c>
      <c r="G11" s="15">
        <v>159.35</v>
      </c>
      <c r="H11" s="15">
        <v>120.70399999999999</v>
      </c>
      <c r="I11" s="15">
        <v>245.34399999999999</v>
      </c>
      <c r="J11" s="15">
        <v>-1340.0540000000001</v>
      </c>
      <c r="K11" s="15">
        <v>149.22999999999999</v>
      </c>
      <c r="L11" s="15">
        <v>-7536.84</v>
      </c>
      <c r="M11" s="15">
        <v>-3764.3649999999998</v>
      </c>
      <c r="N11" s="15">
        <v>3509.0790000000002</v>
      </c>
      <c r="O11" s="15">
        <v>2236.105</v>
      </c>
      <c r="P11" s="16"/>
    </row>
    <row r="12" spans="1:16" x14ac:dyDescent="0.35">
      <c r="A12" s="14" t="s">
        <v>215</v>
      </c>
      <c r="B12" s="15">
        <v>4.7439999999999998</v>
      </c>
      <c r="C12" s="15">
        <v>-355.31200000000001</v>
      </c>
      <c r="D12" s="15">
        <v>-579.80799999999999</v>
      </c>
      <c r="E12" s="15">
        <v>-1734.604</v>
      </c>
      <c r="F12" s="15">
        <v>-4.7039999999999997</v>
      </c>
      <c r="G12" s="15">
        <v>-2801.587</v>
      </c>
      <c r="H12" s="15">
        <v>-2098.607</v>
      </c>
      <c r="I12" s="15">
        <v>-5769.652</v>
      </c>
      <c r="J12" s="15">
        <v>-2057.0880000000002</v>
      </c>
      <c r="K12" s="15">
        <v>-16.992999999999999</v>
      </c>
      <c r="L12" s="15">
        <v>6024.8789999999999</v>
      </c>
      <c r="M12" s="15">
        <v>-3057.712</v>
      </c>
      <c r="N12" s="15">
        <v>-4059.0329999999999</v>
      </c>
      <c r="O12" s="15">
        <v>-2519.36</v>
      </c>
      <c r="P12" s="16"/>
    </row>
    <row r="13" spans="1:16" x14ac:dyDescent="0.35">
      <c r="A13" s="14" t="s">
        <v>216</v>
      </c>
      <c r="B13" s="15">
        <v>-191.14</v>
      </c>
      <c r="C13" s="15">
        <v>-40.863999999999997</v>
      </c>
      <c r="D13" s="15">
        <v>-1271.3050000000001</v>
      </c>
      <c r="E13" s="15">
        <v>-1465.9570000000001</v>
      </c>
      <c r="F13" s="15">
        <v>-1709.6590000000001</v>
      </c>
      <c r="G13" s="15">
        <v>-2072.5369999999998</v>
      </c>
      <c r="H13" s="15">
        <v>-1155.6120000000001</v>
      </c>
      <c r="I13" s="15">
        <v>-4310.2569999999996</v>
      </c>
      <c r="J13" s="15">
        <v>3343.509</v>
      </c>
      <c r="K13" s="15">
        <v>259.21600000000001</v>
      </c>
      <c r="L13" s="15">
        <v>-4756.1030000000001</v>
      </c>
      <c r="M13" s="15">
        <v>-107.43</v>
      </c>
      <c r="N13" s="15">
        <v>-492.52300000000002</v>
      </c>
      <c r="O13" s="15">
        <v>2478.8220000000001</v>
      </c>
      <c r="P13" s="16"/>
    </row>
    <row r="14" spans="1:16" x14ac:dyDescent="0.35">
      <c r="A14" s="14" t="s">
        <v>217</v>
      </c>
      <c r="B14" s="15">
        <v>-29.056999999999999</v>
      </c>
      <c r="C14" s="15">
        <v>-125.206</v>
      </c>
      <c r="D14" s="15">
        <v>-67.694999999999993</v>
      </c>
      <c r="E14" s="15">
        <v>31.052</v>
      </c>
      <c r="F14" s="15">
        <v>-66.840999999999994</v>
      </c>
      <c r="G14" s="15">
        <v>-293.34300000000002</v>
      </c>
      <c r="H14" s="15">
        <v>-1087.1769999999999</v>
      </c>
      <c r="I14" s="15">
        <v>-68.774000000000001</v>
      </c>
      <c r="J14" s="15">
        <v>-3376.9430000000002</v>
      </c>
      <c r="K14" s="15">
        <v>78.682000000000002</v>
      </c>
      <c r="L14" s="15">
        <v>4820.4250000000002</v>
      </c>
      <c r="M14" s="15">
        <v>130.39599999999999</v>
      </c>
      <c r="N14" s="15">
        <v>-37.070999999999998</v>
      </c>
      <c r="O14" s="15">
        <v>28.416</v>
      </c>
      <c r="P14" s="16"/>
    </row>
    <row r="15" spans="1:16" x14ac:dyDescent="0.35">
      <c r="A15" s="14" t="s">
        <v>218</v>
      </c>
      <c r="B15" s="15" t="s">
        <v>37</v>
      </c>
      <c r="C15" s="15" t="s">
        <v>37</v>
      </c>
      <c r="D15" s="15" t="s">
        <v>37</v>
      </c>
      <c r="E15" s="15">
        <v>399.38</v>
      </c>
      <c r="F15" s="15">
        <v>350.08</v>
      </c>
      <c r="G15" s="15">
        <v>536.43399999999997</v>
      </c>
      <c r="H15" s="15">
        <v>769.55700000000002</v>
      </c>
      <c r="I15" s="15">
        <v>-392.99400000000003</v>
      </c>
      <c r="J15" s="15">
        <v>-981.26599999999996</v>
      </c>
      <c r="K15" s="15">
        <v>-859.01599999999996</v>
      </c>
      <c r="L15" s="15">
        <v>3194.21</v>
      </c>
      <c r="M15" s="15">
        <v>-3064.3220000000001</v>
      </c>
      <c r="N15" s="15">
        <v>346.96</v>
      </c>
      <c r="O15" s="15">
        <v>-377.11799999999999</v>
      </c>
      <c r="P15" s="16"/>
    </row>
    <row r="16" spans="1:16" x14ac:dyDescent="0.35">
      <c r="A16" s="14" t="s">
        <v>219</v>
      </c>
      <c r="B16" s="15">
        <v>224.941</v>
      </c>
      <c r="C16" s="15">
        <v>-189.24199999999999</v>
      </c>
      <c r="D16" s="15">
        <v>759.19200000000001</v>
      </c>
      <c r="E16" s="15">
        <v>-699.07899999999995</v>
      </c>
      <c r="F16" s="15">
        <v>1421.7159999999999</v>
      </c>
      <c r="G16" s="15">
        <v>-972.14099999999996</v>
      </c>
      <c r="H16" s="15">
        <v>-625.375</v>
      </c>
      <c r="I16" s="15">
        <v>-997.62699999999995</v>
      </c>
      <c r="J16" s="15">
        <v>-1042.3879999999999</v>
      </c>
      <c r="K16" s="15">
        <v>504.125</v>
      </c>
      <c r="L16" s="15">
        <v>2766.3470000000002</v>
      </c>
      <c r="M16" s="15">
        <v>-16.356000000000002</v>
      </c>
      <c r="N16" s="15">
        <v>-3876.3989999999999</v>
      </c>
      <c r="O16" s="15">
        <v>-4649.4799999999996</v>
      </c>
      <c r="P16" s="16"/>
    </row>
    <row r="17" spans="1:16" x14ac:dyDescent="0.35">
      <c r="A17" s="14" t="s">
        <v>220</v>
      </c>
      <c r="B17" s="15" t="s">
        <v>37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6">
        <v>0</v>
      </c>
    </row>
    <row r="18" spans="1:16" x14ac:dyDescent="0.35">
      <c r="A18" s="12" t="s">
        <v>210</v>
      </c>
      <c r="B18" s="3">
        <v>995.44799999999998</v>
      </c>
      <c r="C18" s="3">
        <v>111.551</v>
      </c>
      <c r="D18" s="3">
        <v>144.72399999999999</v>
      </c>
      <c r="E18" s="3">
        <v>-622.39400000000001</v>
      </c>
      <c r="F18" s="3">
        <v>1681.742</v>
      </c>
      <c r="G18" s="3">
        <v>-28.334</v>
      </c>
      <c r="H18" s="3">
        <v>1581.25</v>
      </c>
      <c r="I18" s="3">
        <v>-657.31799999999998</v>
      </c>
      <c r="J18" s="3">
        <v>2183.9380000000001</v>
      </c>
      <c r="K18" s="3">
        <v>6206.7349999999997</v>
      </c>
      <c r="L18" s="3">
        <v>5496.9440000000004</v>
      </c>
      <c r="M18" s="3">
        <v>-6316.3180000000002</v>
      </c>
      <c r="N18" s="3">
        <v>243.75</v>
      </c>
      <c r="O18" s="3">
        <v>388.55099999999999</v>
      </c>
      <c r="P18" s="13"/>
    </row>
    <row r="19" spans="1:16" x14ac:dyDescent="0.35">
      <c r="A19" s="12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1"/>
    </row>
    <row r="20" spans="1:16" x14ac:dyDescent="0.35">
      <c r="A20" s="12" t="s">
        <v>221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/>
    </row>
    <row r="21" spans="1:16" x14ac:dyDescent="0.35">
      <c r="A21" s="14" t="s">
        <v>222</v>
      </c>
      <c r="B21" s="15">
        <v>-1460.6849999999999</v>
      </c>
      <c r="C21" s="15">
        <v>-291.16199999999998</v>
      </c>
      <c r="D21" s="15">
        <v>-636.44899999999996</v>
      </c>
      <c r="E21" s="15">
        <v>-400.88299999999998</v>
      </c>
      <c r="F21" s="15">
        <v>-3636.904</v>
      </c>
      <c r="G21" s="15">
        <v>-924.33799999999997</v>
      </c>
      <c r="H21" s="15">
        <v>-2283.125</v>
      </c>
      <c r="I21" s="15">
        <v>-31.494</v>
      </c>
      <c r="J21" s="15">
        <v>-119.94199999999999</v>
      </c>
      <c r="K21" s="15">
        <v>363.93200000000002</v>
      </c>
      <c r="L21" s="15">
        <v>-711.84199999999998</v>
      </c>
      <c r="M21" s="15">
        <v>-701.91499999999996</v>
      </c>
      <c r="N21" s="15">
        <v>-76.247</v>
      </c>
      <c r="O21" s="15">
        <v>-213.27500000000001</v>
      </c>
      <c r="P21" s="16"/>
    </row>
    <row r="22" spans="1:16" x14ac:dyDescent="0.35">
      <c r="A22" s="14" t="s">
        <v>223</v>
      </c>
      <c r="B22" s="15">
        <v>20.07</v>
      </c>
      <c r="C22" s="15">
        <v>519.31100000000004</v>
      </c>
      <c r="D22" s="15">
        <v>4.7780000000000005</v>
      </c>
      <c r="E22" s="15">
        <v>203.76</v>
      </c>
      <c r="F22" s="15">
        <v>107.999</v>
      </c>
      <c r="G22" s="15">
        <v>5.95</v>
      </c>
      <c r="H22" s="15">
        <v>0.76300000000000001</v>
      </c>
      <c r="I22" s="15">
        <v>12.117000000000001</v>
      </c>
      <c r="J22" s="15">
        <v>13.613</v>
      </c>
      <c r="K22" s="15">
        <v>475.49900000000002</v>
      </c>
      <c r="L22" s="15">
        <v>0</v>
      </c>
      <c r="M22" s="15">
        <v>21.766999999999999</v>
      </c>
      <c r="N22" s="15">
        <v>138.755</v>
      </c>
      <c r="O22" s="15">
        <v>2.1999999999999999E-2</v>
      </c>
      <c r="P22" s="16"/>
    </row>
    <row r="23" spans="1:16" x14ac:dyDescent="0.35">
      <c r="A23" s="17" t="s">
        <v>224</v>
      </c>
      <c r="B23" s="18" t="s">
        <v>37</v>
      </c>
      <c r="C23" s="18">
        <v>519.31100000000004</v>
      </c>
      <c r="D23" s="18">
        <v>4.7780000000000005</v>
      </c>
      <c r="E23" s="18">
        <v>203.76</v>
      </c>
      <c r="F23" s="18">
        <v>107.999</v>
      </c>
      <c r="G23" s="18">
        <v>5.95</v>
      </c>
      <c r="H23" s="18">
        <v>0.76300000000000001</v>
      </c>
      <c r="I23" s="18">
        <v>12.117000000000001</v>
      </c>
      <c r="J23" s="18">
        <v>13.613</v>
      </c>
      <c r="K23" s="18">
        <v>475.49900000000002</v>
      </c>
      <c r="L23" s="18">
        <v>0</v>
      </c>
      <c r="M23" s="18">
        <v>21.766999999999999</v>
      </c>
      <c r="N23" s="18">
        <v>138.755</v>
      </c>
      <c r="O23" s="18">
        <v>2.1999999999999999E-2</v>
      </c>
      <c r="P23" s="19"/>
    </row>
    <row r="24" spans="1:16" x14ac:dyDescent="0.35">
      <c r="A24" s="17" t="s">
        <v>225</v>
      </c>
      <c r="B24" s="18" t="s">
        <v>37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9"/>
    </row>
    <row r="25" spans="1:16" x14ac:dyDescent="0.35">
      <c r="A25" s="14" t="s">
        <v>226</v>
      </c>
      <c r="B25" s="15">
        <v>-1480.7550000000001</v>
      </c>
      <c r="C25" s="15">
        <v>-810.47299999999996</v>
      </c>
      <c r="D25" s="15">
        <v>-641.22699999999998</v>
      </c>
      <c r="E25" s="15">
        <v>-604.64300000000003</v>
      </c>
      <c r="F25" s="15">
        <v>-3744.9029999999998</v>
      </c>
      <c r="G25" s="15">
        <v>-930.28800000000001</v>
      </c>
      <c r="H25" s="15">
        <v>-2283.8879999999999</v>
      </c>
      <c r="I25" s="15">
        <v>-43.610999999999997</v>
      </c>
      <c r="J25" s="15">
        <v>-133.55500000000001</v>
      </c>
      <c r="K25" s="15">
        <v>-111.56699999999999</v>
      </c>
      <c r="L25" s="15">
        <v>-711.84199999999998</v>
      </c>
      <c r="M25" s="15">
        <v>-723.68200000000002</v>
      </c>
      <c r="N25" s="15">
        <v>-215.00200000000001</v>
      </c>
      <c r="O25" s="15">
        <v>-213.297</v>
      </c>
      <c r="P25" s="16"/>
    </row>
    <row r="26" spans="1:16" x14ac:dyDescent="0.35">
      <c r="A26" s="17" t="s">
        <v>227</v>
      </c>
      <c r="B26" s="18" t="s">
        <v>37</v>
      </c>
      <c r="C26" s="18">
        <v>-810.47299999999996</v>
      </c>
      <c r="D26" s="18">
        <v>-641.22699999999998</v>
      </c>
      <c r="E26" s="18">
        <v>-604.64300000000003</v>
      </c>
      <c r="F26" s="18">
        <v>-3744.9029999999998</v>
      </c>
      <c r="G26" s="18">
        <v>-930.28800000000001</v>
      </c>
      <c r="H26" s="18">
        <v>-2283.8879999999999</v>
      </c>
      <c r="I26" s="18">
        <v>-43.610999999999997</v>
      </c>
      <c r="J26" s="18">
        <v>-133.55500000000001</v>
      </c>
      <c r="K26" s="18">
        <v>-111.56699999999999</v>
      </c>
      <c r="L26" s="18">
        <v>-711.84199999999998</v>
      </c>
      <c r="M26" s="18">
        <v>-723.68200000000002</v>
      </c>
      <c r="N26" s="18">
        <v>-215.00200000000001</v>
      </c>
      <c r="O26" s="18">
        <v>-213.297</v>
      </c>
      <c r="P26" s="19"/>
    </row>
    <row r="27" spans="1:16" x14ac:dyDescent="0.35">
      <c r="A27" s="17" t="s">
        <v>228</v>
      </c>
      <c r="B27" s="18" t="s">
        <v>37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9"/>
    </row>
    <row r="28" spans="1:16" x14ac:dyDescent="0.35">
      <c r="A28" s="14" t="s">
        <v>229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2.4670000000000001</v>
      </c>
      <c r="K28" s="15">
        <v>1.4E-2</v>
      </c>
      <c r="L28" s="15">
        <v>-572.31100000000004</v>
      </c>
      <c r="M28" s="15">
        <v>259.48399999999998</v>
      </c>
      <c r="N28" s="15">
        <v>3.323</v>
      </c>
      <c r="O28" s="15">
        <v>20.952999999999999</v>
      </c>
      <c r="P28" s="16"/>
    </row>
    <row r="29" spans="1:16" x14ac:dyDescent="0.35">
      <c r="A29" s="14" t="s">
        <v>230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6.4610000000000003</v>
      </c>
      <c r="K29" s="15">
        <v>1.214</v>
      </c>
      <c r="L29" s="15">
        <v>3540.451</v>
      </c>
      <c r="M29" s="15">
        <v>259.48399999999998</v>
      </c>
      <c r="N29" s="15">
        <v>3.323</v>
      </c>
      <c r="O29" s="15">
        <v>20.952999999999999</v>
      </c>
      <c r="P29" s="16"/>
    </row>
    <row r="30" spans="1:16" x14ac:dyDescent="0.35">
      <c r="A30" s="14" t="s">
        <v>231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-3.9939999999999998</v>
      </c>
      <c r="K30" s="15">
        <v>-1.2</v>
      </c>
      <c r="L30" s="15">
        <v>-4112.7619999999997</v>
      </c>
      <c r="M30" s="15">
        <v>0</v>
      </c>
      <c r="N30" s="15">
        <v>0</v>
      </c>
      <c r="O30" s="15" t="s">
        <v>37</v>
      </c>
      <c r="P30" s="16"/>
    </row>
    <row r="31" spans="1:16" x14ac:dyDescent="0.35">
      <c r="A31" s="14" t="s">
        <v>232</v>
      </c>
      <c r="B31" s="15" t="s">
        <v>37</v>
      </c>
      <c r="C31" s="15">
        <v>0</v>
      </c>
      <c r="D31" s="15">
        <v>0</v>
      </c>
      <c r="E31" s="15">
        <v>0</v>
      </c>
      <c r="F31" s="15">
        <v>0</v>
      </c>
      <c r="G31" s="15">
        <v>500.8</v>
      </c>
      <c r="H31" s="15">
        <v>81.5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6"/>
    </row>
    <row r="32" spans="1:16" x14ac:dyDescent="0.35">
      <c r="A32" s="14" t="s">
        <v>233</v>
      </c>
      <c r="B32" s="15" t="s">
        <v>37</v>
      </c>
      <c r="C32" s="15">
        <v>0</v>
      </c>
      <c r="D32" s="15">
        <v>0</v>
      </c>
      <c r="E32" s="15">
        <v>0</v>
      </c>
      <c r="F32" s="15">
        <v>0</v>
      </c>
      <c r="G32" s="15">
        <v>500.8</v>
      </c>
      <c r="H32" s="15">
        <v>81.5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6"/>
    </row>
    <row r="33" spans="1:16" x14ac:dyDescent="0.35">
      <c r="A33" s="14" t="s">
        <v>234</v>
      </c>
      <c r="B33" s="15" t="s">
        <v>37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6"/>
    </row>
    <row r="34" spans="1:16" x14ac:dyDescent="0.35">
      <c r="A34" s="14" t="s">
        <v>235</v>
      </c>
      <c r="B34" s="15" t="s">
        <v>37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6"/>
    </row>
    <row r="35" spans="1:16" x14ac:dyDescent="0.35">
      <c r="A35" s="14" t="s">
        <v>236</v>
      </c>
      <c r="B35" s="15">
        <v>-3.9529999999999998</v>
      </c>
      <c r="C35" s="15">
        <v>9.375</v>
      </c>
      <c r="D35" s="15">
        <v>-62.261000000000003</v>
      </c>
      <c r="E35" s="15">
        <v>-13.36</v>
      </c>
      <c r="F35" s="15">
        <v>4.181</v>
      </c>
      <c r="G35" s="15">
        <v>-1.887</v>
      </c>
      <c r="H35" s="15">
        <v>-84.287999999999997</v>
      </c>
      <c r="I35" s="15">
        <v>-1.462</v>
      </c>
      <c r="J35" s="15">
        <v>-1.5470000000000002</v>
      </c>
      <c r="K35" s="15">
        <v>152.81100000000001</v>
      </c>
      <c r="L35" s="15">
        <v>-6.08</v>
      </c>
      <c r="M35" s="15">
        <v>25.937999999999999</v>
      </c>
      <c r="N35" s="15">
        <v>3.5920000000000001</v>
      </c>
      <c r="O35" s="15">
        <v>-7.3999999999999996E-2</v>
      </c>
      <c r="P35" s="16"/>
    </row>
    <row r="36" spans="1:16" x14ac:dyDescent="0.35">
      <c r="A36" s="14" t="s">
        <v>220</v>
      </c>
      <c r="B36" s="15" t="s">
        <v>37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6"/>
    </row>
    <row r="37" spans="1:16" x14ac:dyDescent="0.35">
      <c r="A37" s="12" t="s">
        <v>221</v>
      </c>
      <c r="B37" s="3">
        <v>-1464.6379999999999</v>
      </c>
      <c r="C37" s="3">
        <v>-281.78699999999998</v>
      </c>
      <c r="D37" s="3">
        <v>-698.71</v>
      </c>
      <c r="E37" s="3">
        <v>-414.24299999999999</v>
      </c>
      <c r="F37" s="3">
        <v>-3632.723</v>
      </c>
      <c r="G37" s="3">
        <v>-425.42500000000001</v>
      </c>
      <c r="H37" s="3">
        <v>-2285.913</v>
      </c>
      <c r="I37" s="3">
        <v>-32.956000000000003</v>
      </c>
      <c r="J37" s="3">
        <v>-119.02200000000001</v>
      </c>
      <c r="K37" s="3">
        <v>516.75699999999995</v>
      </c>
      <c r="L37" s="3">
        <v>-1290.2329999999999</v>
      </c>
      <c r="M37" s="3">
        <v>-416.49299999999999</v>
      </c>
      <c r="N37" s="3">
        <v>-69.331999999999994</v>
      </c>
      <c r="O37" s="3">
        <v>-192.39599999999999</v>
      </c>
      <c r="P37" s="13"/>
    </row>
    <row r="38" spans="1:16" x14ac:dyDescent="0.35">
      <c r="A38" s="12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1"/>
    </row>
    <row r="39" spans="1:16" x14ac:dyDescent="0.35">
      <c r="A39" s="12" t="s">
        <v>237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1"/>
    </row>
    <row r="40" spans="1:16" x14ac:dyDescent="0.35">
      <c r="A40" s="14" t="s">
        <v>238</v>
      </c>
      <c r="B40" s="15">
        <v>-28.719000000000001</v>
      </c>
      <c r="C40" s="15">
        <v>-42.792000000000002</v>
      </c>
      <c r="D40" s="15">
        <v>-21.396000000000001</v>
      </c>
      <c r="E40" s="15">
        <v>-39.347999999999999</v>
      </c>
      <c r="F40" s="15">
        <v>-58.03</v>
      </c>
      <c r="G40" s="15">
        <v>-116.334</v>
      </c>
      <c r="H40" s="15">
        <v>-118.886</v>
      </c>
      <c r="I40" s="15">
        <v>-151.03800000000001</v>
      </c>
      <c r="J40" s="15">
        <v>-158.739</v>
      </c>
      <c r="K40" s="15">
        <v>-796.16</v>
      </c>
      <c r="L40" s="15">
        <v>-1274.3499999999999</v>
      </c>
      <c r="M40" s="15">
        <v>-319.11099999999999</v>
      </c>
      <c r="N40" s="15">
        <v>-319.29199999999997</v>
      </c>
      <c r="O40" s="15">
        <v>-264.851</v>
      </c>
      <c r="P40" s="16"/>
    </row>
    <row r="41" spans="1:16" x14ac:dyDescent="0.35">
      <c r="A41" s="14" t="s">
        <v>239</v>
      </c>
      <c r="B41" s="15">
        <v>0</v>
      </c>
      <c r="C41" s="15">
        <v>210.041</v>
      </c>
      <c r="D41" s="15">
        <v>461.04199999999997</v>
      </c>
      <c r="E41" s="15">
        <v>1073.827</v>
      </c>
      <c r="F41" s="15">
        <v>2081.252</v>
      </c>
      <c r="G41" s="15">
        <v>593.53099999999995</v>
      </c>
      <c r="H41" s="15">
        <v>-230.673</v>
      </c>
      <c r="I41" s="15">
        <v>-548.56399999999996</v>
      </c>
      <c r="J41" s="15">
        <v>-406.517</v>
      </c>
      <c r="K41" s="15">
        <v>-122.19799999999999</v>
      </c>
      <c r="L41" s="15">
        <v>0</v>
      </c>
      <c r="M41" s="15">
        <v>0</v>
      </c>
      <c r="N41" s="15">
        <v>0</v>
      </c>
      <c r="O41" s="15">
        <v>0</v>
      </c>
      <c r="P41" s="16"/>
    </row>
    <row r="42" spans="1:16" x14ac:dyDescent="0.35">
      <c r="A42" s="14" t="s">
        <v>240</v>
      </c>
      <c r="B42" s="15" t="s">
        <v>37</v>
      </c>
      <c r="C42" s="15">
        <v>0</v>
      </c>
      <c r="D42" s="15">
        <v>0</v>
      </c>
      <c r="E42" s="15">
        <v>1112.2190000000001</v>
      </c>
      <c r="F42" s="15">
        <v>521.64</v>
      </c>
      <c r="G42" s="15">
        <v>696.28899999999999</v>
      </c>
      <c r="H42" s="15">
        <v>364.07900000000001</v>
      </c>
      <c r="I42" s="15">
        <v>-60.521999999999998</v>
      </c>
      <c r="J42" s="15" t="s">
        <v>37</v>
      </c>
      <c r="K42" s="15" t="s">
        <v>37</v>
      </c>
      <c r="L42" s="15" t="s">
        <v>37</v>
      </c>
      <c r="M42" s="15" t="s">
        <v>37</v>
      </c>
      <c r="N42" s="15" t="s">
        <v>37</v>
      </c>
      <c r="O42" s="15" t="s">
        <v>37</v>
      </c>
      <c r="P42" s="16"/>
    </row>
    <row r="43" spans="1:16" x14ac:dyDescent="0.35">
      <c r="A43" s="14" t="s">
        <v>241</v>
      </c>
      <c r="B43" s="15" t="s">
        <v>37</v>
      </c>
      <c r="C43" s="15">
        <v>210.041</v>
      </c>
      <c r="D43" s="15">
        <v>461.04199999999997</v>
      </c>
      <c r="E43" s="15">
        <v>0</v>
      </c>
      <c r="F43" s="15">
        <v>1559.6120000000001</v>
      </c>
      <c r="G43" s="15">
        <v>0</v>
      </c>
      <c r="H43" s="15">
        <v>0</v>
      </c>
      <c r="I43" s="15">
        <v>0</v>
      </c>
      <c r="J43" s="15" t="s">
        <v>37</v>
      </c>
      <c r="K43" s="15" t="s">
        <v>37</v>
      </c>
      <c r="L43" s="15" t="s">
        <v>37</v>
      </c>
      <c r="M43" s="15" t="s">
        <v>37</v>
      </c>
      <c r="N43" s="15" t="s">
        <v>37</v>
      </c>
      <c r="O43" s="15">
        <v>0</v>
      </c>
      <c r="P43" s="16"/>
    </row>
    <row r="44" spans="1:16" x14ac:dyDescent="0.35">
      <c r="A44" s="14" t="s">
        <v>242</v>
      </c>
      <c r="B44" s="15" t="s">
        <v>37</v>
      </c>
      <c r="C44" s="15">
        <v>0</v>
      </c>
      <c r="D44" s="15">
        <v>0</v>
      </c>
      <c r="E44" s="15">
        <v>-38.392000000000003</v>
      </c>
      <c r="F44" s="15">
        <v>0</v>
      </c>
      <c r="G44" s="15">
        <v>-102.758</v>
      </c>
      <c r="H44" s="15">
        <v>-594.75199999999995</v>
      </c>
      <c r="I44" s="15">
        <v>-488.04199999999997</v>
      </c>
      <c r="J44" s="15">
        <v>-406.517</v>
      </c>
      <c r="K44" s="15">
        <v>-122.19799999999999</v>
      </c>
      <c r="L44" s="15" t="s">
        <v>37</v>
      </c>
      <c r="M44" s="15" t="s">
        <v>37</v>
      </c>
      <c r="N44" s="15" t="s">
        <v>37</v>
      </c>
      <c r="O44" s="15" t="s">
        <v>37</v>
      </c>
      <c r="P44" s="16"/>
    </row>
    <row r="45" spans="1:16" x14ac:dyDescent="0.35">
      <c r="A45" s="14" t="s">
        <v>243</v>
      </c>
      <c r="B45" s="15">
        <v>542.25</v>
      </c>
      <c r="C45" s="15">
        <v>0</v>
      </c>
      <c r="D45" s="15">
        <v>118.47499999999999</v>
      </c>
      <c r="E45" s="15">
        <v>129.12299999999999</v>
      </c>
      <c r="F45" s="15">
        <v>35.959000000000003</v>
      </c>
      <c r="G45" s="15">
        <v>11.33</v>
      </c>
      <c r="H45" s="15">
        <v>1022.4880000000001</v>
      </c>
      <c r="I45" s="15">
        <v>1478.4949999999999</v>
      </c>
      <c r="J45" s="15">
        <v>7.383</v>
      </c>
      <c r="K45" s="15">
        <v>0.72499999999999998</v>
      </c>
      <c r="L45" s="15">
        <v>12.426</v>
      </c>
      <c r="M45" s="15">
        <v>0</v>
      </c>
      <c r="N45" s="15">
        <v>18.425000000000001</v>
      </c>
      <c r="O45" s="15">
        <v>0</v>
      </c>
      <c r="P45" s="16"/>
    </row>
    <row r="46" spans="1:16" x14ac:dyDescent="0.35">
      <c r="A46" s="14" t="s">
        <v>244</v>
      </c>
      <c r="B46" s="15">
        <v>542.25</v>
      </c>
      <c r="C46" s="15">
        <v>0</v>
      </c>
      <c r="D46" s="15">
        <v>118.47499999999999</v>
      </c>
      <c r="E46" s="15">
        <v>129.12299999999999</v>
      </c>
      <c r="F46" s="15">
        <v>35.959000000000003</v>
      </c>
      <c r="G46" s="15">
        <v>11.33</v>
      </c>
      <c r="H46" s="15">
        <v>1022.4880000000001</v>
      </c>
      <c r="I46" s="15">
        <v>1478.4949999999999</v>
      </c>
      <c r="J46" s="15">
        <v>7.383</v>
      </c>
      <c r="K46" s="15">
        <v>0.72499999999999998</v>
      </c>
      <c r="L46" s="15">
        <v>12.426</v>
      </c>
      <c r="M46" s="15">
        <v>0</v>
      </c>
      <c r="N46" s="15">
        <v>18.425000000000001</v>
      </c>
      <c r="O46" s="15">
        <v>0</v>
      </c>
      <c r="P46" s="16"/>
    </row>
    <row r="47" spans="1:16" x14ac:dyDescent="0.35">
      <c r="A47" s="14" t="s">
        <v>245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6"/>
    </row>
    <row r="48" spans="1:16" x14ac:dyDescent="0.35">
      <c r="A48" s="14" t="s">
        <v>246</v>
      </c>
      <c r="B48" s="15">
        <v>-54.225000000000001</v>
      </c>
      <c r="C48" s="15">
        <v>5.0000000000000001E-3</v>
      </c>
      <c r="D48" s="15">
        <v>-5.0000000000000001E-3</v>
      </c>
      <c r="E48" s="15">
        <v>0</v>
      </c>
      <c r="F48" s="15">
        <v>0</v>
      </c>
      <c r="G48" s="15">
        <v>0</v>
      </c>
      <c r="H48" s="15">
        <v>6.29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6"/>
    </row>
    <row r="49" spans="1:16" x14ac:dyDescent="0.35">
      <c r="A49" s="14" t="s">
        <v>220</v>
      </c>
      <c r="B49" s="15" t="s">
        <v>37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6"/>
    </row>
    <row r="50" spans="1:16" x14ac:dyDescent="0.35">
      <c r="A50" s="12" t="s">
        <v>237</v>
      </c>
      <c r="B50" s="3">
        <v>459.30599999999998</v>
      </c>
      <c r="C50" s="3">
        <v>167.25399999999999</v>
      </c>
      <c r="D50" s="3">
        <v>558.11599999999999</v>
      </c>
      <c r="E50" s="3">
        <v>1163.6020000000001</v>
      </c>
      <c r="F50" s="3">
        <v>2059.181</v>
      </c>
      <c r="G50" s="3">
        <v>488.52699999999999</v>
      </c>
      <c r="H50" s="3">
        <v>679.21900000000005</v>
      </c>
      <c r="I50" s="3">
        <v>778.89300000000003</v>
      </c>
      <c r="J50" s="3">
        <v>-557.87300000000005</v>
      </c>
      <c r="K50" s="3">
        <v>-917.63300000000004</v>
      </c>
      <c r="L50" s="3">
        <v>-1261.924</v>
      </c>
      <c r="M50" s="3">
        <v>-319.11099999999999</v>
      </c>
      <c r="N50" s="3">
        <v>-300.86700000000002</v>
      </c>
      <c r="O50" s="3">
        <v>-264.851</v>
      </c>
      <c r="P50" s="13"/>
    </row>
    <row r="51" spans="1:16" x14ac:dyDescent="0.35">
      <c r="A51" s="12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1"/>
    </row>
    <row r="52" spans="1:16" x14ac:dyDescent="0.35">
      <c r="A52" s="14" t="s">
        <v>247</v>
      </c>
      <c r="B52" s="15" t="s">
        <v>37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-3.5999999999999997E-2</v>
      </c>
      <c r="K52" s="15">
        <v>-1.6E-2</v>
      </c>
      <c r="L52" s="15">
        <v>-3.4000000000000002E-2</v>
      </c>
      <c r="M52" s="15">
        <v>0</v>
      </c>
      <c r="N52" s="15">
        <v>-1.6E-2</v>
      </c>
      <c r="O52" s="15">
        <v>5.0000000000000001E-3</v>
      </c>
      <c r="P52" s="16"/>
    </row>
    <row r="53" spans="1:16" x14ac:dyDescent="0.35">
      <c r="A53" s="12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1"/>
    </row>
    <row r="54" spans="1:16" x14ac:dyDescent="0.35">
      <c r="A54" s="12" t="s">
        <v>248</v>
      </c>
      <c r="B54" s="3">
        <v>-9.8840000000000003</v>
      </c>
      <c r="C54" s="3">
        <v>-2.9820000000000002</v>
      </c>
      <c r="D54" s="3">
        <v>4.13</v>
      </c>
      <c r="E54" s="3">
        <v>126.965</v>
      </c>
      <c r="F54" s="3">
        <v>108.2</v>
      </c>
      <c r="G54" s="3">
        <v>34.768000000000001</v>
      </c>
      <c r="H54" s="3">
        <v>-25.443999999999999</v>
      </c>
      <c r="I54" s="3">
        <v>88.619</v>
      </c>
      <c r="J54" s="3">
        <v>1507.0070000000001</v>
      </c>
      <c r="K54" s="3">
        <v>5805.8429999999998</v>
      </c>
      <c r="L54" s="3">
        <v>2944.7530000000002</v>
      </c>
      <c r="M54" s="3">
        <v>-7051.9219999999996</v>
      </c>
      <c r="N54" s="3">
        <v>-126.465</v>
      </c>
      <c r="O54" s="3">
        <v>-68.691000000000003</v>
      </c>
      <c r="P54" s="13"/>
    </row>
    <row r="55" spans="1:16" x14ac:dyDescent="0.35">
      <c r="A55" s="12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1"/>
    </row>
    <row r="56" spans="1:16" x14ac:dyDescent="0.35">
      <c r="A56" s="12" t="s">
        <v>249</v>
      </c>
      <c r="B56" s="3">
        <v>46.201000000000001</v>
      </c>
      <c r="C56" s="3">
        <v>93.525000000000006</v>
      </c>
      <c r="D56" s="3">
        <v>13.025</v>
      </c>
      <c r="E56" s="3">
        <v>108.52200000000001</v>
      </c>
      <c r="F56" s="3">
        <v>199.346</v>
      </c>
      <c r="G56" s="3">
        <v>264.34500000000003</v>
      </c>
      <c r="H56" s="3">
        <v>974.61900000000003</v>
      </c>
      <c r="I56" s="3">
        <v>1421.951</v>
      </c>
      <c r="J56" s="3">
        <v>2921.721</v>
      </c>
      <c r="K56" s="3">
        <v>2944.9659999999999</v>
      </c>
      <c r="L56" s="3">
        <v>3841.596</v>
      </c>
      <c r="M56" s="3">
        <v>213.708</v>
      </c>
      <c r="N56" s="3">
        <v>142.44900000000001</v>
      </c>
      <c r="O56" s="3">
        <v>39.027000000000001</v>
      </c>
      <c r="P56" s="13"/>
    </row>
    <row r="57" spans="1:16" x14ac:dyDescent="0.35">
      <c r="A57" s="12" t="s">
        <v>250</v>
      </c>
      <c r="B57" s="3" t="s">
        <v>37</v>
      </c>
      <c r="C57" s="3">
        <v>31.946000000000002</v>
      </c>
      <c r="D57" s="3">
        <v>65.866</v>
      </c>
      <c r="E57" s="3">
        <v>176.065</v>
      </c>
      <c r="F57" s="3">
        <v>498.24099999999999</v>
      </c>
      <c r="G57" s="3">
        <v>791.86599999999999</v>
      </c>
      <c r="H57" s="3">
        <v>718.024</v>
      </c>
      <c r="I57" s="3">
        <v>676.87300000000005</v>
      </c>
      <c r="J57" s="3">
        <v>563.16800000000001</v>
      </c>
      <c r="K57" s="3">
        <v>500.92099999999999</v>
      </c>
      <c r="L57" s="3">
        <v>103.054</v>
      </c>
      <c r="M57" s="3">
        <v>0</v>
      </c>
      <c r="N57" s="3">
        <v>0</v>
      </c>
      <c r="O57" s="3">
        <v>0</v>
      </c>
      <c r="P57" s="13"/>
    </row>
    <row r="58" spans="1:16" x14ac:dyDescent="0.35">
      <c r="A58" s="12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1"/>
    </row>
    <row r="59" spans="1:16" x14ac:dyDescent="0.35">
      <c r="A59" s="12" t="s">
        <v>90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1"/>
    </row>
    <row r="60" spans="1:16" x14ac:dyDescent="0.35">
      <c r="A60" s="14" t="s">
        <v>93</v>
      </c>
      <c r="B60" s="15">
        <v>1017.691</v>
      </c>
      <c r="C60" s="15">
        <v>630.41200000000003</v>
      </c>
      <c r="D60" s="15">
        <v>796.06</v>
      </c>
      <c r="E60" s="15">
        <v>1388.414</v>
      </c>
      <c r="F60" s="15">
        <v>2419.6979999999999</v>
      </c>
      <c r="G60" s="15">
        <v>3815.0059999999999</v>
      </c>
      <c r="H60" s="15">
        <v>5345.9989999999998</v>
      </c>
      <c r="I60" s="15">
        <v>7232.1949999999997</v>
      </c>
      <c r="J60" s="15">
        <v>8207.5149999999994</v>
      </c>
      <c r="K60" s="15">
        <v>9460.1</v>
      </c>
      <c r="L60" s="15">
        <v>10038.609</v>
      </c>
      <c r="M60" s="15">
        <v>-216.68799999999999</v>
      </c>
      <c r="N60" s="15">
        <v>239.26400000000001</v>
      </c>
      <c r="O60" s="15">
        <v>279.63299999999998</v>
      </c>
      <c r="P60" s="16">
        <v>906.846</v>
      </c>
    </row>
    <row r="61" spans="1:16" x14ac:dyDescent="0.35">
      <c r="A61" s="14" t="s">
        <v>251</v>
      </c>
      <c r="B61" s="26">
        <v>45.453299999999999</v>
      </c>
      <c r="C61" s="26">
        <v>21.4194</v>
      </c>
      <c r="D61" s="26">
        <v>18.620100000000001</v>
      </c>
      <c r="E61" s="26">
        <v>15.6058</v>
      </c>
      <c r="F61" s="26">
        <v>17.881499999999999</v>
      </c>
      <c r="G61" s="26">
        <v>24.6585</v>
      </c>
      <c r="H61" s="26">
        <v>27.3887</v>
      </c>
      <c r="I61" s="26">
        <v>26.0106</v>
      </c>
      <c r="J61" s="26">
        <v>25.722899999999999</v>
      </c>
      <c r="K61" s="26">
        <v>23.647500000000001</v>
      </c>
      <c r="L61" s="26">
        <v>15.439299999999999</v>
      </c>
      <c r="M61" s="26">
        <v>-1.4367000000000001</v>
      </c>
      <c r="N61" s="26">
        <v>3.4918</v>
      </c>
      <c r="O61" s="26">
        <v>8.8972999999999995</v>
      </c>
      <c r="P61" s="27">
        <v>16.8740586974587</v>
      </c>
    </row>
    <row r="62" spans="1:16" x14ac:dyDescent="0.35">
      <c r="A62" s="14" t="s">
        <v>252</v>
      </c>
      <c r="B62" s="15" t="s">
        <v>37</v>
      </c>
      <c r="C62" s="15">
        <v>-3.585</v>
      </c>
      <c r="D62" s="15">
        <v>1.444</v>
      </c>
      <c r="E62" s="15">
        <v>5.3609999999999998</v>
      </c>
      <c r="F62" s="15">
        <v>15.654999999999999</v>
      </c>
      <c r="G62" s="15">
        <v>27.030999999999999</v>
      </c>
      <c r="H62" s="15">
        <v>24.645</v>
      </c>
      <c r="I62" s="15">
        <v>30.527999999999999</v>
      </c>
      <c r="J62" s="15">
        <v>28.387</v>
      </c>
      <c r="K62" s="15">
        <v>20.164000000000001</v>
      </c>
      <c r="L62" s="15">
        <v>296.38200000000001</v>
      </c>
      <c r="M62" s="15">
        <v>766.75099999999998</v>
      </c>
      <c r="N62" s="15">
        <v>751.65099999999995</v>
      </c>
      <c r="O62" s="15">
        <v>694.82500000000005</v>
      </c>
      <c r="P62" s="16"/>
    </row>
    <row r="63" spans="1:16" x14ac:dyDescent="0.35">
      <c r="A63" s="14" t="s">
        <v>253</v>
      </c>
      <c r="B63" s="15">
        <v>-485.30700000000002</v>
      </c>
      <c r="C63" s="15">
        <v>-698.92200000000003</v>
      </c>
      <c r="D63" s="15">
        <v>-496.50299999999999</v>
      </c>
      <c r="E63" s="15">
        <v>-1227.037</v>
      </c>
      <c r="F63" s="15">
        <v>-2063.1610000000001</v>
      </c>
      <c r="G63" s="15">
        <v>-958.62199999999996</v>
      </c>
      <c r="H63" s="15">
        <v>-702.63800000000003</v>
      </c>
      <c r="I63" s="15">
        <v>-700.92899999999997</v>
      </c>
      <c r="J63" s="15">
        <v>2050.3829999999998</v>
      </c>
      <c r="K63" s="15">
        <v>6095.1679999999997</v>
      </c>
      <c r="L63" s="15">
        <v>4785.1019999999999</v>
      </c>
      <c r="M63" s="15">
        <v>-7040</v>
      </c>
      <c r="N63" s="15">
        <v>28.748000000000001</v>
      </c>
      <c r="O63" s="15">
        <v>175.25399999999999</v>
      </c>
      <c r="P63" s="16"/>
    </row>
    <row r="64" spans="1:16" x14ac:dyDescent="0.35">
      <c r="A64" s="14" t="s">
        <v>254</v>
      </c>
      <c r="B64" s="15" t="s">
        <v>37</v>
      </c>
      <c r="C64" s="15">
        <v>-679.07449999999994</v>
      </c>
      <c r="D64" s="15">
        <v>-447.42340000000002</v>
      </c>
      <c r="E64" s="15">
        <v>-1112.7103999999999</v>
      </c>
      <c r="F64" s="15">
        <v>-1720.0579</v>
      </c>
      <c r="G64" s="15">
        <v>-383.68599999999998</v>
      </c>
      <c r="H64" s="15">
        <v>-257.09320000000002</v>
      </c>
      <c r="I64" s="15">
        <v>-255.7328</v>
      </c>
      <c r="J64" s="15">
        <v>2406.7042999999999</v>
      </c>
      <c r="K64" s="15">
        <v>6394.7300999999998</v>
      </c>
      <c r="L64" s="15">
        <v>4839.2130999999999</v>
      </c>
      <c r="M64" s="15">
        <v>-7040</v>
      </c>
      <c r="N64" s="15">
        <v>28.748000000000001</v>
      </c>
      <c r="O64" s="15">
        <v>175.25399999999999</v>
      </c>
      <c r="P64" s="16"/>
    </row>
    <row r="65" spans="1:16" x14ac:dyDescent="0.35">
      <c r="A65" s="14" t="s">
        <v>255</v>
      </c>
      <c r="B65" s="15">
        <v>-465.23700000000002</v>
      </c>
      <c r="C65" s="15">
        <v>30.43</v>
      </c>
      <c r="D65" s="15">
        <v>-30.683</v>
      </c>
      <c r="E65" s="15">
        <v>50.55</v>
      </c>
      <c r="F65" s="15">
        <v>126.09</v>
      </c>
      <c r="G65" s="15">
        <v>-359.14100000000002</v>
      </c>
      <c r="H65" s="15">
        <v>-932.548</v>
      </c>
      <c r="I65" s="15">
        <v>-1237.376</v>
      </c>
      <c r="J65" s="15">
        <v>1657.479</v>
      </c>
      <c r="K65" s="15">
        <v>6448.4690000000001</v>
      </c>
      <c r="L65" s="15">
        <v>4785.1019999999999</v>
      </c>
      <c r="M65" s="15">
        <v>-7018.2330000000002</v>
      </c>
      <c r="N65" s="15">
        <v>167.50299999999999</v>
      </c>
      <c r="O65" s="15">
        <v>175.27600000000001</v>
      </c>
      <c r="P65" s="16"/>
    </row>
    <row r="66" spans="1:16" x14ac:dyDescent="0.35">
      <c r="A66" s="14" t="s">
        <v>256</v>
      </c>
      <c r="B66" s="26">
        <v>-0.62980000000000003</v>
      </c>
      <c r="C66" s="26">
        <v>-0.81659999999999999</v>
      </c>
      <c r="D66" s="26">
        <v>-0.57989999999999997</v>
      </c>
      <c r="E66" s="26">
        <v>-6.8099999999999994E-2</v>
      </c>
      <c r="F66" s="26">
        <v>-0.1032</v>
      </c>
      <c r="G66" s="26">
        <v>-0.95579999999999998</v>
      </c>
      <c r="H66" s="26">
        <v>-0.69850000000000001</v>
      </c>
      <c r="I66" s="26">
        <v>-0.69610000000000005</v>
      </c>
      <c r="J66" s="26">
        <v>1.9722</v>
      </c>
      <c r="K66" s="26">
        <v>5.7587000000000002</v>
      </c>
      <c r="L66" s="26">
        <v>4.5194999999999999</v>
      </c>
      <c r="M66" s="26">
        <v>-6.649</v>
      </c>
      <c r="N66" s="26">
        <v>2.7099999999999999E-2</v>
      </c>
      <c r="O66" s="26">
        <v>0.16539999999999999</v>
      </c>
      <c r="P66" s="27"/>
    </row>
    <row r="67" spans="1:16" x14ac:dyDescent="0.35">
      <c r="A67" s="14" t="s">
        <v>257</v>
      </c>
      <c r="B67" s="26" t="s">
        <v>37</v>
      </c>
      <c r="C67" s="26" t="s">
        <v>37</v>
      </c>
      <c r="D67" s="26" t="s">
        <v>37</v>
      </c>
      <c r="E67" s="26" t="s">
        <v>37</v>
      </c>
      <c r="F67" s="26" t="s">
        <v>37</v>
      </c>
      <c r="G67" s="26" t="s">
        <v>37</v>
      </c>
      <c r="H67" s="26" t="s">
        <v>37</v>
      </c>
      <c r="I67" s="26" t="s">
        <v>37</v>
      </c>
      <c r="J67" s="26">
        <v>50.2361</v>
      </c>
      <c r="K67" s="26">
        <v>28.5609</v>
      </c>
      <c r="L67" s="26">
        <v>48.977200000000003</v>
      </c>
      <c r="M67" s="26" t="s">
        <v>37</v>
      </c>
      <c r="N67" s="26">
        <v>733.30610000000001</v>
      </c>
      <c r="O67" s="26">
        <v>338.82080000000002</v>
      </c>
      <c r="P67" s="27">
        <v>267.79237559049898</v>
      </c>
    </row>
    <row r="68" spans="1:16" x14ac:dyDescent="0.35">
      <c r="A68" s="14" t="s">
        <v>258</v>
      </c>
      <c r="B68" s="26">
        <v>1.9935</v>
      </c>
      <c r="C68" s="26">
        <v>2.5337000000000001</v>
      </c>
      <c r="D68" s="26">
        <v>0.61529999999999996</v>
      </c>
      <c r="E68" s="26">
        <v>-1.2928999999999999</v>
      </c>
      <c r="F68" s="26">
        <v>2.3729</v>
      </c>
      <c r="G68" s="26">
        <v>-2.7199999999999998E-2</v>
      </c>
      <c r="H68" s="26">
        <v>0.90329999999999999</v>
      </c>
      <c r="I68" s="26">
        <v>-0.20419999999999999</v>
      </c>
      <c r="J68" s="26">
        <v>0.55310000000000004</v>
      </c>
      <c r="K68" s="26">
        <v>1.1693</v>
      </c>
      <c r="L68" s="26">
        <v>0.80779999999999996</v>
      </c>
      <c r="M68" s="26">
        <v>-25.038599999999999</v>
      </c>
      <c r="N68" s="26">
        <v>0.34200000000000003</v>
      </c>
      <c r="O68" s="26">
        <v>0.61880000000000002</v>
      </c>
      <c r="P68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t X l Y U 4 G i 8 V W j A A A A 9 Q A A A B I A H A B D b 2 5 m a W c v U G F j a 2 F n Z S 5 4 b W w g o h g A K K A U A A A A A A A A A A A A A A A A A A A A A A A A A A A A h Y + x D o I w F E V / h X S n D 2 F Q y a M M T i a S m G i M a 1 M q N E I x t F j + z c F P 8 h e E K O r m e O 8 5 w 7 2 P 2 x 3 T v q 6 8 q 2 y N a n R C Z j Q g n t S i y Z U u E t L Z k 7 8 g K c M t F 2 d e S G + Q t Y l 7 k y e k t P Y S A z j n q I t o 0 x Y Q B s E M j t l m J 0 p Z c / K R 1 X / Z V 9 p Y r o U k D A + v M S y k y z m N w m E S w t R h p v S X j 2 y k P y W u u s p 2 r W T K + u s 9 w h Q R 3 h f Y E 1 B L A w Q U A A I A C A C 1 e V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X l Y U w v j 0 V W u A A A A J g E A A B M A H A B G b 3 J t d W x h c y 9 T Z W N 0 a W 9 u M S 5 t I K I Y A C i g F A A A A A A A A A A A A A A A A A A A A A A A A A A A A H W O P w u D M B D F 9 0 C + Q 0 g X C 0 H Q d h M n 6 d p F o Y M 4 R H u t Y k x K / k C L + N 0 b G 7 q U e s v B + 7 1 7 7 w x 0 d l C S l G E n G U Y Y m Z 5 r u J K K t w J S k h M B F i P i p 1 R O d + C V 0 7 M D E R d O a 5 D 2 o v T Y K j V G + 7 k + 8 w l y G i 5 p s 9 S F k t Z b G h Y C d r T o u b y v 4 a 8 H U J / 0 s c a V 5 t L c l J 4 K J d w k V 2 i i 0 M b m m Q Y 1 o Y x Y T 4 h 0 U w t 6 Y e R L 0 k 1 y 2 C T H H 7 L s M R r k 3 z e z N 1 B L A Q I t A B Q A A g A I A L V 5 W F O B o v F V o w A A A P U A A A A S A A A A A A A A A A A A A A A A A A A A A A B D b 2 5 m a W c v U G F j a 2 F n Z S 5 4 b W x Q S w E C L Q A U A A I A C A C 1 e V h T D 8 r p q 6 Q A A A D p A A A A E w A A A A A A A A A A A A A A A A D v A A A A W 0 N v b n R l b n R f V H l w Z X N d L n h t b F B L A Q I t A B Q A A g A I A L V 5 W F M L 4 9 F V r g A A A C Y B A A A T A A A A A A A A A A A A A A A A A O A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J A A A A A A A A h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E z O j A 4 O j E 3 L j k y M z I 0 M z N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D b 2 x 1 b W 4 y L D F 9 J n F 1 b 3 Q 7 L C Z x d W 9 0 O 1 N l Y 3 R p b 2 4 x L 1 R h Y m x l M i 9 B d X R v U m V t b 3 Z l Z E N v b H V t b n M x L n t D b 2 x 1 b W 4 z L D J 9 J n F 1 b 3 Q 7 L C Z x d W 9 0 O 1 N l Y 3 R p b 2 4 x L 1 R h Y m x l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D b 2 x 1 b W 4 y L D F 9 J n F 1 b 3 Q 7 L C Z x d W 9 0 O 1 N l Y 3 R p b 2 4 x L 1 R h Y m x l M i 9 B d X R v U m V t b 3 Z l Z E N v b H V t b n M x L n t D b 2 x 1 b W 4 z L D J 9 J n F 1 b 3 Q 7 L C Z x d W 9 0 O 1 N l Y 3 R p b 2 4 x L 1 R h Y m x l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9 N d m + e K l 9 N m T F y 9 W p C k F w A A A A A A g A A A A A A E G Y A A A A B A A A g A A A A J r 0 c g j E P E 2 9 M Y E Z 9 8 A r s W B m 6 o 4 M w z F s + H a / N 2 7 F q H r E A A A A A D o A A A A A C A A A g A A A A p e h z Q H Z W K S V I 9 n z O s A k Z 3 / m 0 L G 3 m z L G Q n / F U i K U w C Y d Q A A A A C W 1 A y G u 6 u R q 1 M L L F r K F F p + x C v 9 Y k 4 y l v p + l 1 I x S m X G Z Z 5 R v I L L q V V k o W E 0 f 2 3 z l E g X 5 8 x L e Z H k z F H u u q S v N 8 r P C 7 d d a 4 E I + k w + y 1 9 Z 3 4 2 1 N A A A A A H z N M j R e B y E l V b o B r I r b / 1 3 l k 1 P R S D F 3 M n N S a e G W P N n O 3 h t S V I R x Y O 9 H R 6 m 1 g p p I Q U L 6 y 3 Y I U 5 z V t 0 y V T q Q N d t g = = < / D a t a M a s h u p > 
</file>

<file path=customXml/itemProps1.xml><?xml version="1.0" encoding="utf-8"?>
<ds:datastoreItem xmlns:ds="http://schemas.openxmlformats.org/officeDocument/2006/customXml" ds:itemID="{2BF0864B-3619-4C29-9FE7-29C67C7074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Legend</vt:lpstr>
      <vt:lpstr>Estimate</vt:lpstr>
      <vt:lpstr>Analysis</vt:lpstr>
      <vt:lpstr>Ratios</vt:lpstr>
      <vt:lpstr>WACC</vt:lpstr>
      <vt:lpstr>Balance Sheet</vt:lpstr>
      <vt:lpstr>Income Statement</vt:lpstr>
      <vt:lpstr>Segment</vt:lpstr>
      <vt:lpstr>Cash flow</vt:lpstr>
      <vt:lpstr>Key Fin</vt:lpstr>
      <vt:lpstr>Historical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Minelli</dc:creator>
  <cp:lastModifiedBy>Ettore Minelli</cp:lastModifiedBy>
  <dcterms:created xsi:type="dcterms:W3CDTF">2015-06-05T18:17:20Z</dcterms:created>
  <dcterms:modified xsi:type="dcterms:W3CDTF">2021-10-31T17:46:33Z</dcterms:modified>
</cp:coreProperties>
</file>