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3" activeTab="8"/>
  </bookViews>
  <sheets>
    <sheet name="Sheet1" sheetId="1" r:id="rId1"/>
    <sheet name="Sheet2" sheetId="2" r:id="rId2"/>
    <sheet name="Sheet3" sheetId="3" r:id="rId3"/>
    <sheet name="Summary" sheetId="10" r:id="rId4"/>
    <sheet name="Sheet7" sheetId="15" r:id="rId5"/>
    <sheet name="Database" sheetId="5" r:id="rId6"/>
    <sheet name="Sheet5" sheetId="8" r:id="rId7"/>
    <sheet name="Sales" sheetId="9" r:id="rId8"/>
    <sheet name="Sheet4" sheetId="11" r:id="rId9"/>
    <sheet name="IcecreamWaterSftDrnks" sheetId="12" r:id="rId10"/>
    <sheet name="Gas" sheetId="13" r:id="rId11"/>
    <sheet name="Sheet6" sheetId="14" r:id="rId12"/>
  </sheets>
  <definedNames>
    <definedName name="_xlnm._FilterDatabase" localSheetId="5" hidden="1">Database!$A$1:$XFA$2673</definedName>
    <definedName name="_xlnm._FilterDatabase" localSheetId="0" hidden="1">Sheet1!$A$1:$D$109</definedName>
    <definedName name="_xlnm._FilterDatabase" localSheetId="2" hidden="1">Sheet3!$A$1:$D$158</definedName>
  </definedNames>
  <calcPr calcId="124519"/>
  <pivotCaches>
    <pivotCache cacheId="0" r:id="rId13"/>
    <pivotCache cacheId="7" r:id="rId14"/>
  </pivotCaches>
</workbook>
</file>

<file path=xl/calcChain.xml><?xml version="1.0" encoding="utf-8"?>
<calcChain xmlns="http://schemas.openxmlformats.org/spreadsheetml/2006/main">
  <c r="G2742" i="5"/>
  <c r="AB20" i="9"/>
  <c r="AB19"/>
  <c r="AB16"/>
  <c r="AB15"/>
  <c r="AB14"/>
  <c r="AB13"/>
  <c r="AB12"/>
  <c r="AB11"/>
  <c r="AB10"/>
  <c r="AB9"/>
  <c r="AB8"/>
  <c r="AB7"/>
  <c r="AB6"/>
  <c r="AB5"/>
  <c r="AB4"/>
  <c r="AB3"/>
  <c r="AA12"/>
  <c r="AA3"/>
  <c r="AC10"/>
  <c r="AC8"/>
  <c r="AC20"/>
  <c r="AC14"/>
  <c r="AC13"/>
  <c r="AC11"/>
  <c r="AC7"/>
  <c r="AC6"/>
  <c r="AC5"/>
  <c r="AC4"/>
  <c r="AC15"/>
  <c r="G2741" i="5"/>
  <c r="G2740"/>
  <c r="G2739"/>
  <c r="G2738"/>
  <c r="G2737"/>
  <c r="G2736"/>
  <c r="G2735"/>
  <c r="G2734"/>
  <c r="G2733"/>
  <c r="G2732"/>
  <c r="G2731"/>
  <c r="G2730"/>
  <c r="G2729"/>
  <c r="G2728"/>
  <c r="G2727"/>
  <c r="G2726"/>
  <c r="G2725"/>
  <c r="G2724"/>
  <c r="G2723"/>
  <c r="G2722"/>
  <c r="G2721"/>
  <c r="G2720"/>
  <c r="C2776"/>
  <c r="C2775"/>
  <c r="C2774"/>
  <c r="C2773"/>
  <c r="C2772"/>
  <c r="C2771"/>
  <c r="C2770"/>
  <c r="C2769"/>
  <c r="C2768"/>
  <c r="C2767"/>
  <c r="C2766"/>
  <c r="C2765"/>
  <c r="C2764"/>
  <c r="C2763"/>
  <c r="C2762"/>
  <c r="C2761"/>
  <c r="C2760"/>
  <c r="C2759"/>
  <c r="C2758"/>
  <c r="C2757"/>
  <c r="C2756"/>
  <c r="C2755"/>
  <c r="C2754"/>
  <c r="C2753"/>
  <c r="C2752"/>
  <c r="C2751"/>
  <c r="C2750"/>
  <c r="C2749"/>
  <c r="C2748"/>
  <c r="C2747"/>
  <c r="C2746"/>
  <c r="C2745"/>
  <c r="C2744"/>
  <c r="C2743"/>
  <c r="C2742"/>
  <c r="C2741"/>
  <c r="C2740"/>
  <c r="C2739"/>
  <c r="C2738"/>
  <c r="C2737"/>
  <c r="C2736"/>
  <c r="C2735"/>
  <c r="C2734"/>
  <c r="C2733"/>
  <c r="C2732"/>
  <c r="C2731"/>
  <c r="C2730"/>
  <c r="C2729"/>
  <c r="C2728"/>
  <c r="C2727"/>
  <c r="C2726"/>
  <c r="C2725"/>
  <c r="C2724"/>
  <c r="C2723"/>
  <c r="C2722"/>
  <c r="C2721"/>
  <c r="C2720"/>
  <c r="C2719"/>
  <c r="G2719" s="1"/>
  <c r="C2718"/>
  <c r="G2718" s="1"/>
  <c r="C2717"/>
  <c r="G2717" s="1"/>
  <c r="C2716"/>
  <c r="G2716" s="1"/>
  <c r="C2715"/>
  <c r="G2715" s="1"/>
  <c r="C2714"/>
  <c r="G2714" s="1"/>
  <c r="C2713"/>
  <c r="G2713" s="1"/>
  <c r="C2712"/>
  <c r="G2712" s="1"/>
  <c r="C2711"/>
  <c r="G2711" s="1"/>
  <c r="C2710"/>
  <c r="G2710" s="1"/>
  <c r="C2709"/>
  <c r="G2709" s="1"/>
  <c r="C2708"/>
  <c r="G2708" s="1"/>
  <c r="C2707"/>
  <c r="G2707" s="1"/>
  <c r="C2706"/>
  <c r="C2705"/>
  <c r="G2705" s="1"/>
  <c r="C2704"/>
  <c r="G2704" s="1"/>
  <c r="C2703"/>
  <c r="G2703" s="1"/>
  <c r="C2702"/>
  <c r="G2702" s="1"/>
  <c r="C2701"/>
  <c r="C2700"/>
  <c r="G2700" s="1"/>
  <c r="C2699"/>
  <c r="C2698"/>
  <c r="G2698" s="1"/>
  <c r="C2697"/>
  <c r="C2696"/>
  <c r="G2696" s="1"/>
  <c r="C2695"/>
  <c r="G2695" s="1"/>
  <c r="C2694"/>
  <c r="G2694" s="1"/>
  <c r="C2693"/>
  <c r="C2692"/>
  <c r="G2692" s="1"/>
  <c r="C2691"/>
  <c r="G2691" s="1"/>
  <c r="C2690"/>
  <c r="G2690" s="1"/>
  <c r="C2689"/>
  <c r="C2688"/>
  <c r="G2688" s="1"/>
  <c r="C2687"/>
  <c r="G2687" s="1"/>
  <c r="C2686"/>
  <c r="G2686" s="1"/>
  <c r="C2685"/>
  <c r="C2684"/>
  <c r="G2684" s="1"/>
  <c r="C2683"/>
  <c r="C2682"/>
  <c r="G2682" s="1"/>
  <c r="C2681"/>
  <c r="C2680"/>
  <c r="G2680" s="1"/>
  <c r="C2679"/>
  <c r="G2679" s="1"/>
  <c r="G2706"/>
  <c r="G2701"/>
  <c r="G2699"/>
  <c r="G2697"/>
  <c r="G2693"/>
  <c r="G2689"/>
  <c r="G2685"/>
  <c r="G2683"/>
  <c r="G2681"/>
  <c r="C2678"/>
  <c r="G2678" s="1"/>
  <c r="C2677"/>
  <c r="G2677" s="1"/>
  <c r="C2676"/>
  <c r="G2676" s="1"/>
  <c r="C2675"/>
  <c r="G2675" s="1"/>
  <c r="C2674"/>
  <c r="G2674" s="1"/>
  <c r="D2663"/>
  <c r="W21" i="13"/>
  <c r="W20"/>
  <c r="AC13" i="11"/>
  <c r="AA13"/>
  <c r="AA21" i="9" l="1"/>
  <c r="AF4"/>
  <c r="AG4" s="1"/>
  <c r="AF6"/>
  <c r="AG6" s="1"/>
  <c r="AF5"/>
  <c r="AG5" s="1"/>
  <c r="Z3"/>
  <c r="Z12"/>
  <c r="W17" i="13"/>
  <c r="W16"/>
  <c r="W15"/>
  <c r="W11"/>
  <c r="W10"/>
  <c r="W9"/>
  <c r="W8"/>
  <c r="W7"/>
  <c r="W6"/>
  <c r="W5"/>
  <c r="W3"/>
  <c r="J7" i="15"/>
  <c r="L6"/>
  <c r="M5"/>
  <c r="L5"/>
  <c r="G7"/>
  <c r="H7" s="1"/>
  <c r="I7" s="1"/>
  <c r="H8"/>
  <c r="D2623" i="5"/>
  <c r="Z13" i="11"/>
  <c r="Y13"/>
  <c r="AC19" i="9"/>
  <c r="AC16"/>
  <c r="AC12"/>
  <c r="AC9"/>
  <c r="AC3"/>
  <c r="Y3"/>
  <c r="Y12"/>
  <c r="X3"/>
  <c r="X12"/>
  <c r="W12"/>
  <c r="W3"/>
  <c r="V12"/>
  <c r="V3"/>
  <c r="U3"/>
  <c r="U21" s="1"/>
  <c r="U12"/>
  <c r="T21"/>
  <c r="T10"/>
  <c r="T12"/>
  <c r="T3"/>
  <c r="D2466" i="5"/>
  <c r="D2459"/>
  <c r="C2673"/>
  <c r="G2673" s="1"/>
  <c r="C2672"/>
  <c r="G2672" s="1"/>
  <c r="C2671"/>
  <c r="G2671" s="1"/>
  <c r="C2670"/>
  <c r="G2670" s="1"/>
  <c r="C2669"/>
  <c r="G2669" s="1"/>
  <c r="C2668"/>
  <c r="G2668" s="1"/>
  <c r="C2667"/>
  <c r="G2667" s="1"/>
  <c r="C2666"/>
  <c r="G2666" s="1"/>
  <c r="C2665"/>
  <c r="G2665" s="1"/>
  <c r="C2664"/>
  <c r="G2664" s="1"/>
  <c r="C2663"/>
  <c r="G2663" s="1"/>
  <c r="C2662"/>
  <c r="G2662" s="1"/>
  <c r="C2661"/>
  <c r="G2661" s="1"/>
  <c r="C2660"/>
  <c r="G2660" s="1"/>
  <c r="C2659"/>
  <c r="G2659" s="1"/>
  <c r="C2658"/>
  <c r="G2658" s="1"/>
  <c r="C2657"/>
  <c r="G2657" s="1"/>
  <c r="C2656"/>
  <c r="G2656" s="1"/>
  <c r="C2655"/>
  <c r="G2655" s="1"/>
  <c r="C2654"/>
  <c r="G2654" s="1"/>
  <c r="C2653"/>
  <c r="G2653" s="1"/>
  <c r="C2652"/>
  <c r="G2652" s="1"/>
  <c r="C2651"/>
  <c r="G2651" s="1"/>
  <c r="C2650"/>
  <c r="G2650" s="1"/>
  <c r="C2649"/>
  <c r="G2649" s="1"/>
  <c r="C2648"/>
  <c r="G2648" s="1"/>
  <c r="C2647"/>
  <c r="G2647" s="1"/>
  <c r="C2646"/>
  <c r="G2646" s="1"/>
  <c r="C2645"/>
  <c r="G2645" s="1"/>
  <c r="C2644"/>
  <c r="G2644" s="1"/>
  <c r="C2643"/>
  <c r="G2643" s="1"/>
  <c r="C2642"/>
  <c r="G2642" s="1"/>
  <c r="C2641"/>
  <c r="G2641" s="1"/>
  <c r="C2640"/>
  <c r="G2640" s="1"/>
  <c r="C2639"/>
  <c r="G2639" s="1"/>
  <c r="C2638"/>
  <c r="G2638" s="1"/>
  <c r="C2637"/>
  <c r="G2637" s="1"/>
  <c r="C2636"/>
  <c r="G2636" s="1"/>
  <c r="C2635"/>
  <c r="G2635" s="1"/>
  <c r="C2634"/>
  <c r="G2634" s="1"/>
  <c r="C2633"/>
  <c r="G2633" s="1"/>
  <c r="C2632"/>
  <c r="G2632" s="1"/>
  <c r="C2631"/>
  <c r="G2631" s="1"/>
  <c r="C2630"/>
  <c r="G2630" s="1"/>
  <c r="C2629"/>
  <c r="G2629" s="1"/>
  <c r="C2628"/>
  <c r="G2628" s="1"/>
  <c r="C2627"/>
  <c r="G2627" s="1"/>
  <c r="C2626"/>
  <c r="G2626" s="1"/>
  <c r="C2625"/>
  <c r="G2625" s="1"/>
  <c r="C2624"/>
  <c r="G2624" s="1"/>
  <c r="C2623"/>
  <c r="G2623" s="1"/>
  <c r="C2622"/>
  <c r="G2622" s="1"/>
  <c r="C2621"/>
  <c r="G2621" s="1"/>
  <c r="C2620"/>
  <c r="G2620" s="1"/>
  <c r="C2619"/>
  <c r="G2619" s="1"/>
  <c r="C2618"/>
  <c r="G2618" s="1"/>
  <c r="C2617"/>
  <c r="G2617" s="1"/>
  <c r="C2616"/>
  <c r="G2616" s="1"/>
  <c r="C2615"/>
  <c r="G2615" s="1"/>
  <c r="C2614"/>
  <c r="G2614" s="1"/>
  <c r="C2613"/>
  <c r="G2613" s="1"/>
  <c r="C2612"/>
  <c r="G2612" s="1"/>
  <c r="C2611"/>
  <c r="G2611" s="1"/>
  <c r="C2610"/>
  <c r="G2610" s="1"/>
  <c r="C2609"/>
  <c r="G2609" s="1"/>
  <c r="C2608"/>
  <c r="G2608" s="1"/>
  <c r="C2607"/>
  <c r="G2607" s="1"/>
  <c r="C2606"/>
  <c r="G2606" s="1"/>
  <c r="C2605"/>
  <c r="G2605" s="1"/>
  <c r="C2604"/>
  <c r="G2604" s="1"/>
  <c r="C2603"/>
  <c r="G2603" s="1"/>
  <c r="C2602"/>
  <c r="G2602" s="1"/>
  <c r="C2601"/>
  <c r="G2601" s="1"/>
  <c r="C2600"/>
  <c r="G2600" s="1"/>
  <c r="C2599"/>
  <c r="G2599" s="1"/>
  <c r="C2598"/>
  <c r="G2598" s="1"/>
  <c r="C2597"/>
  <c r="G2597" s="1"/>
  <c r="C2596"/>
  <c r="G2596" s="1"/>
  <c r="C2595"/>
  <c r="G2595" s="1"/>
  <c r="C2594"/>
  <c r="G2594" s="1"/>
  <c r="C2593"/>
  <c r="G2593" s="1"/>
  <c r="C2592"/>
  <c r="G2592" s="1"/>
  <c r="C2591"/>
  <c r="G2591" s="1"/>
  <c r="C2590"/>
  <c r="G2590" s="1"/>
  <c r="C2589"/>
  <c r="G2589" s="1"/>
  <c r="C2588"/>
  <c r="G2588" s="1"/>
  <c r="C2587"/>
  <c r="G2587" s="1"/>
  <c r="C2586"/>
  <c r="G2586" s="1"/>
  <c r="C2585"/>
  <c r="G2585" s="1"/>
  <c r="C2584"/>
  <c r="G2584" s="1"/>
  <c r="C2583"/>
  <c r="G2583" s="1"/>
  <c r="C2582"/>
  <c r="G2582" s="1"/>
  <c r="C2581"/>
  <c r="G2581" s="1"/>
  <c r="C2580"/>
  <c r="G2580" s="1"/>
  <c r="C2579"/>
  <c r="G2579" s="1"/>
  <c r="C2578"/>
  <c r="G2578" s="1"/>
  <c r="C2577"/>
  <c r="G2577" s="1"/>
  <c r="C2576"/>
  <c r="G2576" s="1"/>
  <c r="C2575"/>
  <c r="G2575" s="1"/>
  <c r="C2574"/>
  <c r="G2574" s="1"/>
  <c r="C2573"/>
  <c r="G2573" s="1"/>
  <c r="C2572"/>
  <c r="G2572" s="1"/>
  <c r="C2571"/>
  <c r="G2571" s="1"/>
  <c r="C2570"/>
  <c r="G2570" s="1"/>
  <c r="C2569"/>
  <c r="G2569" s="1"/>
  <c r="C2568"/>
  <c r="G2568" s="1"/>
  <c r="C2567"/>
  <c r="G2567" s="1"/>
  <c r="C2566"/>
  <c r="G2566" s="1"/>
  <c r="C2565"/>
  <c r="G2565" s="1"/>
  <c r="C2564"/>
  <c r="G2564" s="1"/>
  <c r="C2563"/>
  <c r="G2563" s="1"/>
  <c r="C2562"/>
  <c r="G2562" s="1"/>
  <c r="C2561"/>
  <c r="G2561" s="1"/>
  <c r="C2560"/>
  <c r="G2560" s="1"/>
  <c r="C2559"/>
  <c r="G2559" s="1"/>
  <c r="C2558"/>
  <c r="G2558" s="1"/>
  <c r="C2557"/>
  <c r="G2557" s="1"/>
  <c r="C2556"/>
  <c r="G2556" s="1"/>
  <c r="C2555"/>
  <c r="G2555" s="1"/>
  <c r="C2554"/>
  <c r="G2554" s="1"/>
  <c r="C2553"/>
  <c r="G2553" s="1"/>
  <c r="C2552"/>
  <c r="G2552" s="1"/>
  <c r="C2551"/>
  <c r="G2551" s="1"/>
  <c r="C2550"/>
  <c r="G2550" s="1"/>
  <c r="C2549"/>
  <c r="G2549" s="1"/>
  <c r="C2548"/>
  <c r="G2548" s="1"/>
  <c r="C2547"/>
  <c r="G2547" s="1"/>
  <c r="C2546"/>
  <c r="G2546" s="1"/>
  <c r="C2545"/>
  <c r="G2545" s="1"/>
  <c r="C2544"/>
  <c r="G2544" s="1"/>
  <c r="C2543"/>
  <c r="G2543" s="1"/>
  <c r="C2542"/>
  <c r="G2542" s="1"/>
  <c r="C2541"/>
  <c r="G2541" s="1"/>
  <c r="C2540"/>
  <c r="G2540" s="1"/>
  <c r="C2539"/>
  <c r="G2539" s="1"/>
  <c r="C2538"/>
  <c r="G2538" s="1"/>
  <c r="C2537"/>
  <c r="G2537" s="1"/>
  <c r="C2536"/>
  <c r="G2536" s="1"/>
  <c r="C2535"/>
  <c r="G2535" s="1"/>
  <c r="C2534"/>
  <c r="G2534" s="1"/>
  <c r="C2533"/>
  <c r="G2533" s="1"/>
  <c r="C2532"/>
  <c r="G2532" s="1"/>
  <c r="C2531"/>
  <c r="G2531" s="1"/>
  <c r="C2530"/>
  <c r="G2530" s="1"/>
  <c r="C2529"/>
  <c r="G2529" s="1"/>
  <c r="C2528"/>
  <c r="G2528" s="1"/>
  <c r="C2527"/>
  <c r="G2527" s="1"/>
  <c r="C2526"/>
  <c r="G2526" s="1"/>
  <c r="C2525"/>
  <c r="G2525" s="1"/>
  <c r="C2524"/>
  <c r="G2524" s="1"/>
  <c r="C2523"/>
  <c r="G2523" s="1"/>
  <c r="C2522"/>
  <c r="G2522" s="1"/>
  <c r="C2521"/>
  <c r="G2521" s="1"/>
  <c r="C2520"/>
  <c r="G2520" s="1"/>
  <c r="C2519"/>
  <c r="G2519" s="1"/>
  <c r="C2518"/>
  <c r="G2518" s="1"/>
  <c r="C2517"/>
  <c r="G2517" s="1"/>
  <c r="C2516"/>
  <c r="G2516" s="1"/>
  <c r="C2515"/>
  <c r="G2515" s="1"/>
  <c r="C2514"/>
  <c r="G2514" s="1"/>
  <c r="C2513"/>
  <c r="G2513" s="1"/>
  <c r="C2512"/>
  <c r="G2512" s="1"/>
  <c r="C2511"/>
  <c r="G2511" s="1"/>
  <c r="C2510"/>
  <c r="G2510" s="1"/>
  <c r="C2509"/>
  <c r="G2509" s="1"/>
  <c r="C2508"/>
  <c r="G2508" s="1"/>
  <c r="C2507"/>
  <c r="C2506"/>
  <c r="C2505"/>
  <c r="G2505" s="1"/>
  <c r="C2504"/>
  <c r="G2504" s="1"/>
  <c r="C2503"/>
  <c r="G2503" s="1"/>
  <c r="C2502"/>
  <c r="G2502" s="1"/>
  <c r="C2501"/>
  <c r="G2501" s="1"/>
  <c r="C2500"/>
  <c r="G2500" s="1"/>
  <c r="C2499"/>
  <c r="C2498"/>
  <c r="G2498" s="1"/>
  <c r="C2497"/>
  <c r="G2497" s="1"/>
  <c r="C2496"/>
  <c r="G2496" s="1"/>
  <c r="C2495"/>
  <c r="G2495" s="1"/>
  <c r="C2494"/>
  <c r="G2494" s="1"/>
  <c r="C2493"/>
  <c r="G2493" s="1"/>
  <c r="C2492"/>
  <c r="G2492" s="1"/>
  <c r="C2491"/>
  <c r="G2491" s="1"/>
  <c r="C2490"/>
  <c r="G2490" s="1"/>
  <c r="C2489"/>
  <c r="G2489" s="1"/>
  <c r="C2488"/>
  <c r="G2488" s="1"/>
  <c r="C2487"/>
  <c r="G2487" s="1"/>
  <c r="C2486"/>
  <c r="C2485"/>
  <c r="G2485" s="1"/>
  <c r="C2484"/>
  <c r="G2484" s="1"/>
  <c r="C2483"/>
  <c r="G2483" s="1"/>
  <c r="C2482"/>
  <c r="G2482" s="1"/>
  <c r="C2481"/>
  <c r="G2481" s="1"/>
  <c r="C2480"/>
  <c r="G2480" s="1"/>
  <c r="C2479"/>
  <c r="G2479" s="1"/>
  <c r="C2478"/>
  <c r="G2478" s="1"/>
  <c r="C2477"/>
  <c r="G2477" s="1"/>
  <c r="C2476"/>
  <c r="G2476" s="1"/>
  <c r="C2475"/>
  <c r="G2475" s="1"/>
  <c r="C2474"/>
  <c r="G2474" s="1"/>
  <c r="C2473"/>
  <c r="G2473" s="1"/>
  <c r="C2472"/>
  <c r="G2472" s="1"/>
  <c r="C2471"/>
  <c r="C2470"/>
  <c r="G2470" s="1"/>
  <c r="C2469"/>
  <c r="G2469" s="1"/>
  <c r="C2468"/>
  <c r="G2468" s="1"/>
  <c r="C2467"/>
  <c r="G2467" s="1"/>
  <c r="C2466"/>
  <c r="C2465"/>
  <c r="G2465" s="1"/>
  <c r="C2464"/>
  <c r="G2464" s="1"/>
  <c r="C2463"/>
  <c r="G2463" s="1"/>
  <c r="C2462"/>
  <c r="C2461"/>
  <c r="G2461" s="1"/>
  <c r="C2460"/>
  <c r="G2460" s="1"/>
  <c r="C2459"/>
  <c r="C2458"/>
  <c r="G2458" s="1"/>
  <c r="C2457"/>
  <c r="G2457" s="1"/>
  <c r="C2456"/>
  <c r="G2456" s="1"/>
  <c r="C2455"/>
  <c r="C2454"/>
  <c r="G2454" s="1"/>
  <c r="C2453"/>
  <c r="G2453" s="1"/>
  <c r="C2452"/>
  <c r="G2452" s="1"/>
  <c r="C2451"/>
  <c r="G2451" s="1"/>
  <c r="C2450"/>
  <c r="G2450" s="1"/>
  <c r="C2449"/>
  <c r="G2449" s="1"/>
  <c r="C2448"/>
  <c r="G2448" s="1"/>
  <c r="C2447"/>
  <c r="G2447" s="1"/>
  <c r="C2446"/>
  <c r="G2446" s="1"/>
  <c r="C2445"/>
  <c r="G2445" s="1"/>
  <c r="C2444"/>
  <c r="G2444" s="1"/>
  <c r="C2443"/>
  <c r="C2442"/>
  <c r="G2442" s="1"/>
  <c r="C2441"/>
  <c r="G2441" s="1"/>
  <c r="C2440"/>
  <c r="G2440" s="1"/>
  <c r="C2439"/>
  <c r="C2438"/>
  <c r="G2438" s="1"/>
  <c r="C2437"/>
  <c r="G2437" s="1"/>
  <c r="C2436"/>
  <c r="G2436" s="1"/>
  <c r="C2435"/>
  <c r="G2435" s="1"/>
  <c r="C2434"/>
  <c r="G2434" s="1"/>
  <c r="C2433"/>
  <c r="G2433" s="1"/>
  <c r="C2432"/>
  <c r="G2432" s="1"/>
  <c r="C2431"/>
  <c r="G2431" s="1"/>
  <c r="C2430"/>
  <c r="G2430" s="1"/>
  <c r="C2429"/>
  <c r="G2429" s="1"/>
  <c r="C2428"/>
  <c r="G2428" s="1"/>
  <c r="C2427"/>
  <c r="C2426"/>
  <c r="G2426" s="1"/>
  <c r="C2425"/>
  <c r="G2425" s="1"/>
  <c r="C2424"/>
  <c r="G2424" s="1"/>
  <c r="C2423"/>
  <c r="C2422"/>
  <c r="G2422" s="1"/>
  <c r="C2421"/>
  <c r="G2421" s="1"/>
  <c r="C2420"/>
  <c r="G2420" s="1"/>
  <c r="C2419"/>
  <c r="G2419" s="1"/>
  <c r="C2418"/>
  <c r="G2418" s="1"/>
  <c r="C2417"/>
  <c r="G2417" s="1"/>
  <c r="C2416"/>
  <c r="C2415"/>
  <c r="G2415" s="1"/>
  <c r="C2414"/>
  <c r="G2414" s="1"/>
  <c r="D2416"/>
  <c r="D2372"/>
  <c r="D2369"/>
  <c r="C2413"/>
  <c r="G2413" s="1"/>
  <c r="C2412"/>
  <c r="G2412" s="1"/>
  <c r="C2411"/>
  <c r="G2411" s="1"/>
  <c r="C2410"/>
  <c r="G2410" s="1"/>
  <c r="C2409"/>
  <c r="G2409" s="1"/>
  <c r="C2408"/>
  <c r="G2408" s="1"/>
  <c r="C2407"/>
  <c r="G2407" s="1"/>
  <c r="C2406"/>
  <c r="G2406" s="1"/>
  <c r="C2405"/>
  <c r="G2405" s="1"/>
  <c r="C2404"/>
  <c r="G2404" s="1"/>
  <c r="C2403"/>
  <c r="G2403" s="1"/>
  <c r="C2402"/>
  <c r="G2402" s="1"/>
  <c r="C2401"/>
  <c r="G2401" s="1"/>
  <c r="C2400"/>
  <c r="G2400" s="1"/>
  <c r="C2399"/>
  <c r="G2399" s="1"/>
  <c r="C2398"/>
  <c r="G2398" s="1"/>
  <c r="C2397"/>
  <c r="G2397" s="1"/>
  <c r="C2396"/>
  <c r="G2396" s="1"/>
  <c r="D2295"/>
  <c r="T11" i="13"/>
  <c r="T10"/>
  <c r="T9"/>
  <c r="T8"/>
  <c r="T6"/>
  <c r="T5"/>
  <c r="T4"/>
  <c r="T3"/>
  <c r="G2507" i="5"/>
  <c r="G2506"/>
  <c r="G2499"/>
  <c r="G2486"/>
  <c r="G2471"/>
  <c r="G2462"/>
  <c r="G2455"/>
  <c r="G2443"/>
  <c r="G2439"/>
  <c r="G2427"/>
  <c r="G2423"/>
  <c r="D2302"/>
  <c r="D2298"/>
  <c r="C1437"/>
  <c r="G1437" s="1"/>
  <c r="C2395"/>
  <c r="G2395" s="1"/>
  <c r="C2394"/>
  <c r="G2394" s="1"/>
  <c r="C2393"/>
  <c r="G2393" s="1"/>
  <c r="C2392"/>
  <c r="G2392" s="1"/>
  <c r="C2391"/>
  <c r="G2391" s="1"/>
  <c r="C2390"/>
  <c r="G2390" s="1"/>
  <c r="C2389"/>
  <c r="G2389" s="1"/>
  <c r="C2388"/>
  <c r="G2388" s="1"/>
  <c r="C2387"/>
  <c r="G2387" s="1"/>
  <c r="C2386"/>
  <c r="G2386" s="1"/>
  <c r="C2385"/>
  <c r="G2385" s="1"/>
  <c r="C2384"/>
  <c r="G2384" s="1"/>
  <c r="C2383"/>
  <c r="G2383" s="1"/>
  <c r="C2382"/>
  <c r="G2382" s="1"/>
  <c r="C2381"/>
  <c r="G2381" s="1"/>
  <c r="C2380"/>
  <c r="G2380" s="1"/>
  <c r="C2379"/>
  <c r="G2379" s="1"/>
  <c r="C2378"/>
  <c r="G2378" s="1"/>
  <c r="C2377"/>
  <c r="G2377" s="1"/>
  <c r="C2376"/>
  <c r="G2376" s="1"/>
  <c r="C2375"/>
  <c r="G2375" s="1"/>
  <c r="C2374"/>
  <c r="G2374" s="1"/>
  <c r="C2373"/>
  <c r="G2373" s="1"/>
  <c r="C2372"/>
  <c r="C2371"/>
  <c r="G2371" s="1"/>
  <c r="C2370"/>
  <c r="G2370" s="1"/>
  <c r="C2369"/>
  <c r="C2368"/>
  <c r="G2368" s="1"/>
  <c r="C2367"/>
  <c r="G2367" s="1"/>
  <c r="C2366"/>
  <c r="G2366" s="1"/>
  <c r="C2365"/>
  <c r="G2365" s="1"/>
  <c r="C2364"/>
  <c r="G2364" s="1"/>
  <c r="C2363"/>
  <c r="G2363" s="1"/>
  <c r="C2362"/>
  <c r="G2362" s="1"/>
  <c r="C2361"/>
  <c r="G2361" s="1"/>
  <c r="C2360"/>
  <c r="G2360" s="1"/>
  <c r="C2359"/>
  <c r="G2359" s="1"/>
  <c r="C2358"/>
  <c r="G2358" s="1"/>
  <c r="C2357"/>
  <c r="G2357" s="1"/>
  <c r="C2356"/>
  <c r="G2356" s="1"/>
  <c r="C2355"/>
  <c r="G2355" s="1"/>
  <c r="C2354"/>
  <c r="G2354" s="1"/>
  <c r="C2353"/>
  <c r="G2353" s="1"/>
  <c r="C2352"/>
  <c r="G2352" s="1"/>
  <c r="C2351"/>
  <c r="G2351" s="1"/>
  <c r="C2350"/>
  <c r="G2350" s="1"/>
  <c r="C2349"/>
  <c r="G2349" s="1"/>
  <c r="C2348"/>
  <c r="G2348" s="1"/>
  <c r="C2347"/>
  <c r="G2347" s="1"/>
  <c r="C2346"/>
  <c r="G2346" s="1"/>
  <c r="C2345"/>
  <c r="G2345" s="1"/>
  <c r="C2344"/>
  <c r="G2344" s="1"/>
  <c r="C2343"/>
  <c r="G2343" s="1"/>
  <c r="C2342"/>
  <c r="G2342" s="1"/>
  <c r="C2341"/>
  <c r="G2341" s="1"/>
  <c r="C2340"/>
  <c r="G2340" s="1"/>
  <c r="C2339"/>
  <c r="G2339" s="1"/>
  <c r="C2338"/>
  <c r="G2338" s="1"/>
  <c r="C2337"/>
  <c r="G2337" s="1"/>
  <c r="C2336"/>
  <c r="G2336" s="1"/>
  <c r="C2335"/>
  <c r="G2335" s="1"/>
  <c r="C2334"/>
  <c r="G2334" s="1"/>
  <c r="C2333"/>
  <c r="G2333" s="1"/>
  <c r="C2332"/>
  <c r="G2332" s="1"/>
  <c r="C2331"/>
  <c r="G2331" s="1"/>
  <c r="C2330"/>
  <c r="G2330" s="1"/>
  <c r="C2329"/>
  <c r="G2329" s="1"/>
  <c r="C2328"/>
  <c r="G2328" s="1"/>
  <c r="C2327"/>
  <c r="G2327" s="1"/>
  <c r="C2326"/>
  <c r="G2326" s="1"/>
  <c r="C2325"/>
  <c r="G2325" s="1"/>
  <c r="C2324"/>
  <c r="G2324" s="1"/>
  <c r="C2323"/>
  <c r="G2323" s="1"/>
  <c r="C2322"/>
  <c r="G2322" s="1"/>
  <c r="C2321"/>
  <c r="G2321" s="1"/>
  <c r="C2320"/>
  <c r="G2320" s="1"/>
  <c r="C2319"/>
  <c r="G2319" s="1"/>
  <c r="C2318"/>
  <c r="G2318" s="1"/>
  <c r="C2317"/>
  <c r="G2317" s="1"/>
  <c r="C2316"/>
  <c r="G2316" s="1"/>
  <c r="C2315"/>
  <c r="G2315" s="1"/>
  <c r="C2314"/>
  <c r="G2314" s="1"/>
  <c r="C2313"/>
  <c r="G2313" s="1"/>
  <c r="C2312"/>
  <c r="G2312" s="1"/>
  <c r="C2311"/>
  <c r="G2311" s="1"/>
  <c r="C2310"/>
  <c r="G2310" s="1"/>
  <c r="C2309"/>
  <c r="G2309" s="1"/>
  <c r="C2308"/>
  <c r="G2308" s="1"/>
  <c r="C2307"/>
  <c r="G2307" s="1"/>
  <c r="C2306"/>
  <c r="G2306" s="1"/>
  <c r="C2305"/>
  <c r="G2305" s="1"/>
  <c r="C2304"/>
  <c r="G2304" s="1"/>
  <c r="C2303"/>
  <c r="G2303" s="1"/>
  <c r="C2302"/>
  <c r="G2302" s="1"/>
  <c r="C2301"/>
  <c r="G2301" s="1"/>
  <c r="C2300"/>
  <c r="G2300" s="1"/>
  <c r="C2299"/>
  <c r="G2299" s="1"/>
  <c r="C2298"/>
  <c r="C2297"/>
  <c r="G2297" s="1"/>
  <c r="C2296"/>
  <c r="G2296" s="1"/>
  <c r="C2295"/>
  <c r="C2294"/>
  <c r="G2294" s="1"/>
  <c r="C2293"/>
  <c r="G2293" s="1"/>
  <c r="C2292"/>
  <c r="G2292" s="1"/>
  <c r="C2291"/>
  <c r="G2291" s="1"/>
  <c r="C2290"/>
  <c r="G2290" s="1"/>
  <c r="C2289"/>
  <c r="G2289" s="1"/>
  <c r="C2288"/>
  <c r="G2288" s="1"/>
  <c r="C2287"/>
  <c r="G2287" s="1"/>
  <c r="C2286"/>
  <c r="G2286" s="1"/>
  <c r="C2285"/>
  <c r="G2285" s="1"/>
  <c r="C2284"/>
  <c r="G2284" s="1"/>
  <c r="C2283"/>
  <c r="G2283" s="1"/>
  <c r="C2282"/>
  <c r="G2282" s="1"/>
  <c r="C2281"/>
  <c r="G2281" s="1"/>
  <c r="C2280"/>
  <c r="G2280" s="1"/>
  <c r="C2279"/>
  <c r="G2279" s="1"/>
  <c r="C2278"/>
  <c r="G2278" s="1"/>
  <c r="C2277"/>
  <c r="G2277" s="1"/>
  <c r="C2276"/>
  <c r="G2276" s="1"/>
  <c r="C2275"/>
  <c r="G2275" s="1"/>
  <c r="C2274"/>
  <c r="G2274" s="1"/>
  <c r="C2273"/>
  <c r="G2273" s="1"/>
  <c r="C2272"/>
  <c r="G2272" s="1"/>
  <c r="C2271"/>
  <c r="G2271" s="1"/>
  <c r="C2270"/>
  <c r="G2270" s="1"/>
  <c r="C2269"/>
  <c r="G2269" s="1"/>
  <c r="C2268"/>
  <c r="G2268" s="1"/>
  <c r="C2267"/>
  <c r="G2267" s="1"/>
  <c r="C2266"/>
  <c r="G2266" s="1"/>
  <c r="C2265"/>
  <c r="G2265" s="1"/>
  <c r="C2264"/>
  <c r="G2264" s="1"/>
  <c r="C2263"/>
  <c r="G2263" s="1"/>
  <c r="C2262"/>
  <c r="G2262" s="1"/>
  <c r="C2261"/>
  <c r="G2261" s="1"/>
  <c r="C2260"/>
  <c r="G2260" s="1"/>
  <c r="C2259"/>
  <c r="G2259" s="1"/>
  <c r="C2258"/>
  <c r="G2258" s="1"/>
  <c r="C2257"/>
  <c r="G2257" s="1"/>
  <c r="C2256"/>
  <c r="G2256" s="1"/>
  <c r="C2255"/>
  <c r="G2255" s="1"/>
  <c r="C2254"/>
  <c r="G2254" s="1"/>
  <c r="C2253"/>
  <c r="G2253" s="1"/>
  <c r="C2252"/>
  <c r="G2252" s="1"/>
  <c r="C2251"/>
  <c r="G2251" s="1"/>
  <c r="C2250"/>
  <c r="G2250" s="1"/>
  <c r="C2249"/>
  <c r="G2249" s="1"/>
  <c r="C2248"/>
  <c r="G2248" s="1"/>
  <c r="C2247"/>
  <c r="G2247" s="1"/>
  <c r="C2246"/>
  <c r="G2246" s="1"/>
  <c r="C2245"/>
  <c r="G2245" s="1"/>
  <c r="C2244"/>
  <c r="G2244" s="1"/>
  <c r="C2243"/>
  <c r="G2243" s="1"/>
  <c r="C2242"/>
  <c r="G2242" s="1"/>
  <c r="C2241"/>
  <c r="G2241" s="1"/>
  <c r="C2240"/>
  <c r="G2240" s="1"/>
  <c r="C2239"/>
  <c r="G2239" s="1"/>
  <c r="C2238"/>
  <c r="G2238" s="1"/>
  <c r="C2237"/>
  <c r="G2237" s="1"/>
  <c r="C2236"/>
  <c r="G2236" s="1"/>
  <c r="C2235"/>
  <c r="G2235" s="1"/>
  <c r="C2234"/>
  <c r="G2234" s="1"/>
  <c r="C2233"/>
  <c r="G2233" s="1"/>
  <c r="C2232"/>
  <c r="G2232" s="1"/>
  <c r="C2231"/>
  <c r="G2231" s="1"/>
  <c r="C2230"/>
  <c r="G2230" s="1"/>
  <c r="C2229"/>
  <c r="G2229" s="1"/>
  <c r="C2228"/>
  <c r="G2228" s="1"/>
  <c r="C2227"/>
  <c r="G2227" s="1"/>
  <c r="C2226"/>
  <c r="G2226" s="1"/>
  <c r="C2225"/>
  <c r="G2225" s="1"/>
  <c r="C2224"/>
  <c r="G2224" s="1"/>
  <c r="C2223"/>
  <c r="G2223" s="1"/>
  <c r="C2222"/>
  <c r="G2222" s="1"/>
  <c r="C2221"/>
  <c r="G2221" s="1"/>
  <c r="C2220"/>
  <c r="G2220" s="1"/>
  <c r="C2219"/>
  <c r="G2219" s="1"/>
  <c r="C2218"/>
  <c r="G2218" s="1"/>
  <c r="C2217"/>
  <c r="G2217" s="1"/>
  <c r="C2216"/>
  <c r="G2216" s="1"/>
  <c r="C2215"/>
  <c r="G2215" s="1"/>
  <c r="C2214"/>
  <c r="G2214" s="1"/>
  <c r="C2213"/>
  <c r="G2213" s="1"/>
  <c r="C2212"/>
  <c r="G2212" s="1"/>
  <c r="C2211"/>
  <c r="G2211" s="1"/>
  <c r="C2210"/>
  <c r="G2210" s="1"/>
  <c r="C2209"/>
  <c r="G2209" s="1"/>
  <c r="C2208"/>
  <c r="G2208" s="1"/>
  <c r="C2207"/>
  <c r="G2207" s="1"/>
  <c r="C2206"/>
  <c r="G2206" s="1"/>
  <c r="C2205"/>
  <c r="G2205" s="1"/>
  <c r="C2204"/>
  <c r="G2204" s="1"/>
  <c r="C2203"/>
  <c r="G2203" s="1"/>
  <c r="C2202"/>
  <c r="G2202" s="1"/>
  <c r="C2201"/>
  <c r="G2201" s="1"/>
  <c r="C2200"/>
  <c r="G2200" s="1"/>
  <c r="C2199"/>
  <c r="G2199" s="1"/>
  <c r="C2198"/>
  <c r="G2198" s="1"/>
  <c r="C2197"/>
  <c r="G2197" s="1"/>
  <c r="C2196"/>
  <c r="G2196" s="1"/>
  <c r="C2195"/>
  <c r="G2195" s="1"/>
  <c r="C2194"/>
  <c r="G2194" s="1"/>
  <c r="C2193"/>
  <c r="G2193" s="1"/>
  <c r="C2192"/>
  <c r="G2192" s="1"/>
  <c r="C2191"/>
  <c r="G2191" s="1"/>
  <c r="C2190"/>
  <c r="G2190" s="1"/>
  <c r="C2189"/>
  <c r="G2189" s="1"/>
  <c r="C2188"/>
  <c r="G2188" s="1"/>
  <c r="C2187"/>
  <c r="G2187" s="1"/>
  <c r="C2186"/>
  <c r="G2186" s="1"/>
  <c r="C2185"/>
  <c r="G2185" s="1"/>
  <c r="C2184"/>
  <c r="G2184" s="1"/>
  <c r="C2183"/>
  <c r="G2183" s="1"/>
  <c r="C2182"/>
  <c r="G2182" s="1"/>
  <c r="C2181"/>
  <c r="G2181" s="1"/>
  <c r="C2180"/>
  <c r="G2180" s="1"/>
  <c r="C2179"/>
  <c r="G2179" s="1"/>
  <c r="C2178"/>
  <c r="G2178" s="1"/>
  <c r="C2177"/>
  <c r="G2177" s="1"/>
  <c r="C2176"/>
  <c r="G2176" s="1"/>
  <c r="C2175"/>
  <c r="G2175" s="1"/>
  <c r="C2174"/>
  <c r="G2174" s="1"/>
  <c r="C2173"/>
  <c r="G2173" s="1"/>
  <c r="C2172"/>
  <c r="G2172" s="1"/>
  <c r="C2171"/>
  <c r="G2171" s="1"/>
  <c r="C2170"/>
  <c r="G2170" s="1"/>
  <c r="C2169"/>
  <c r="G2169" s="1"/>
  <c r="C2168"/>
  <c r="G2168" s="1"/>
  <c r="C2167"/>
  <c r="G2167" s="1"/>
  <c r="C2166"/>
  <c r="G2166" s="1"/>
  <c r="C2165"/>
  <c r="G2165" s="1"/>
  <c r="C2164"/>
  <c r="G2164" s="1"/>
  <c r="C2163"/>
  <c r="G2163" s="1"/>
  <c r="C2162"/>
  <c r="G2162" s="1"/>
  <c r="C2161"/>
  <c r="G2161" s="1"/>
  <c r="C2160"/>
  <c r="G2160" s="1"/>
  <c r="C2159"/>
  <c r="G2159" s="1"/>
  <c r="D2158"/>
  <c r="C2158"/>
  <c r="C2157"/>
  <c r="C2156"/>
  <c r="G2156" s="1"/>
  <c r="C2155"/>
  <c r="G2155" s="1"/>
  <c r="C2154"/>
  <c r="G2154" s="1"/>
  <c r="G2157"/>
  <c r="G2145"/>
  <c r="C2153"/>
  <c r="G2153" s="1"/>
  <c r="C2152"/>
  <c r="G2152" s="1"/>
  <c r="C2151"/>
  <c r="G2151" s="1"/>
  <c r="C2150"/>
  <c r="G2150" s="1"/>
  <c r="C2149"/>
  <c r="G2149" s="1"/>
  <c r="C2148"/>
  <c r="G2148" s="1"/>
  <c r="C2147"/>
  <c r="G2147" s="1"/>
  <c r="C2146"/>
  <c r="G2146" s="1"/>
  <c r="C2145"/>
  <c r="C2144"/>
  <c r="G2144" s="1"/>
  <c r="C2143"/>
  <c r="G2143" s="1"/>
  <c r="C2142"/>
  <c r="G2142" s="1"/>
  <c r="C2141"/>
  <c r="G2141" s="1"/>
  <c r="C2140"/>
  <c r="G2140" s="1"/>
  <c r="C2139"/>
  <c r="G2139" s="1"/>
  <c r="C2138"/>
  <c r="G2138" s="1"/>
  <c r="C2137"/>
  <c r="G2137" s="1"/>
  <c r="C2136"/>
  <c r="G2136" s="1"/>
  <c r="C2135"/>
  <c r="G2135" s="1"/>
  <c r="C2134"/>
  <c r="G2134" s="1"/>
  <c r="C2133"/>
  <c r="G2133" s="1"/>
  <c r="C2132"/>
  <c r="G2132" s="1"/>
  <c r="C2131"/>
  <c r="G2131" s="1"/>
  <c r="C2130"/>
  <c r="G2130" s="1"/>
  <c r="C2129"/>
  <c r="G2129" s="1"/>
  <c r="C2128"/>
  <c r="G2128" s="1"/>
  <c r="C2127"/>
  <c r="G2127" s="1"/>
  <c r="C2126"/>
  <c r="G2126" s="1"/>
  <c r="C2125"/>
  <c r="G2125" s="1"/>
  <c r="C2124"/>
  <c r="G2124" s="1"/>
  <c r="C2123"/>
  <c r="G2123" s="1"/>
  <c r="C2122"/>
  <c r="G2122" s="1"/>
  <c r="C2121"/>
  <c r="G2121" s="1"/>
  <c r="C2120"/>
  <c r="G2120" s="1"/>
  <c r="D2061"/>
  <c r="Q14" i="13"/>
  <c r="Q13"/>
  <c r="Q12"/>
  <c r="Q11"/>
  <c r="Q10"/>
  <c r="Q9"/>
  <c r="Q8"/>
  <c r="Q7"/>
  <c r="Q6"/>
  <c r="Q5"/>
  <c r="Q4"/>
  <c r="Q3"/>
  <c r="J13"/>
  <c r="J14"/>
  <c r="J12"/>
  <c r="J11"/>
  <c r="J10"/>
  <c r="J9"/>
  <c r="J8"/>
  <c r="J7"/>
  <c r="J6"/>
  <c r="J5"/>
  <c r="J4"/>
  <c r="J3"/>
  <c r="C2119" i="5"/>
  <c r="G2119" s="1"/>
  <c r="C2118"/>
  <c r="G2118" s="1"/>
  <c r="C2117"/>
  <c r="G2117" s="1"/>
  <c r="C2116"/>
  <c r="G2116" s="1"/>
  <c r="C2115"/>
  <c r="G2115" s="1"/>
  <c r="C2114"/>
  <c r="G2114" s="1"/>
  <c r="C2113"/>
  <c r="G2113" s="1"/>
  <c r="C2112"/>
  <c r="G2112" s="1"/>
  <c r="C2111"/>
  <c r="G2111" s="1"/>
  <c r="C2110"/>
  <c r="G2110" s="1"/>
  <c r="C2109"/>
  <c r="G2109" s="1"/>
  <c r="C2108"/>
  <c r="G2108" s="1"/>
  <c r="C2107"/>
  <c r="G2107" s="1"/>
  <c r="C2106"/>
  <c r="G2106" s="1"/>
  <c r="C2105"/>
  <c r="G2105" s="1"/>
  <c r="C2104"/>
  <c r="G2104" s="1"/>
  <c r="C2103"/>
  <c r="G2103" s="1"/>
  <c r="C2102"/>
  <c r="G2102" s="1"/>
  <c r="C2101"/>
  <c r="G2101" s="1"/>
  <c r="C2100"/>
  <c r="G2100" s="1"/>
  <c r="C2099"/>
  <c r="G2099" s="1"/>
  <c r="C2098"/>
  <c r="G2098" s="1"/>
  <c r="C2097"/>
  <c r="G2097" s="1"/>
  <c r="C2096"/>
  <c r="G2096" s="1"/>
  <c r="C2095"/>
  <c r="G2095" s="1"/>
  <c r="C2094"/>
  <c r="C2093"/>
  <c r="G2093" s="1"/>
  <c r="C2092"/>
  <c r="G2092" s="1"/>
  <c r="C2091"/>
  <c r="G2091" s="1"/>
  <c r="C2090"/>
  <c r="G2090" s="1"/>
  <c r="C2089"/>
  <c r="G2089" s="1"/>
  <c r="C2088"/>
  <c r="G2088" s="1"/>
  <c r="C2087"/>
  <c r="G2087" s="1"/>
  <c r="C2086"/>
  <c r="G2086" s="1"/>
  <c r="C2085"/>
  <c r="G2085" s="1"/>
  <c r="C2084"/>
  <c r="G2084" s="1"/>
  <c r="C2083"/>
  <c r="G2083" s="1"/>
  <c r="C2082"/>
  <c r="G2082" s="1"/>
  <c r="C2081"/>
  <c r="G2081" s="1"/>
  <c r="C2080"/>
  <c r="G2080" s="1"/>
  <c r="C2079"/>
  <c r="G2079" s="1"/>
  <c r="C2078"/>
  <c r="C2077"/>
  <c r="G2077" s="1"/>
  <c r="C2076"/>
  <c r="G2076" s="1"/>
  <c r="C2075"/>
  <c r="G2075" s="1"/>
  <c r="C2074"/>
  <c r="G2074" s="1"/>
  <c r="C2073"/>
  <c r="G2073" s="1"/>
  <c r="C2072"/>
  <c r="G2072" s="1"/>
  <c r="C2071"/>
  <c r="G2071" s="1"/>
  <c r="C2070"/>
  <c r="G2070" s="1"/>
  <c r="C2069"/>
  <c r="G2069" s="1"/>
  <c r="C2068"/>
  <c r="G2068" s="1"/>
  <c r="C2067"/>
  <c r="G2067" s="1"/>
  <c r="C2066"/>
  <c r="G2066" s="1"/>
  <c r="C2065"/>
  <c r="G2065" s="1"/>
  <c r="C2064"/>
  <c r="G2064" s="1"/>
  <c r="C2063"/>
  <c r="G2063" s="1"/>
  <c r="C2062"/>
  <c r="C2061"/>
  <c r="C2060"/>
  <c r="G2060" s="1"/>
  <c r="C2059"/>
  <c r="G2059" s="1"/>
  <c r="C2058"/>
  <c r="G2058" s="1"/>
  <c r="C2057"/>
  <c r="G2057" s="1"/>
  <c r="C2056"/>
  <c r="G2056" s="1"/>
  <c r="C2055"/>
  <c r="G2055" s="1"/>
  <c r="C2054"/>
  <c r="G2054" s="1"/>
  <c r="C2053"/>
  <c r="G2053" s="1"/>
  <c r="C2052"/>
  <c r="G2052" s="1"/>
  <c r="C2051"/>
  <c r="G2051" s="1"/>
  <c r="C2050"/>
  <c r="G2050" s="1"/>
  <c r="C2049"/>
  <c r="G2049" s="1"/>
  <c r="C2048"/>
  <c r="G2048" s="1"/>
  <c r="C2047"/>
  <c r="G2047" s="1"/>
  <c r="C2046"/>
  <c r="G2046" s="1"/>
  <c r="C2045"/>
  <c r="G2045" s="1"/>
  <c r="C2044"/>
  <c r="G2044" s="1"/>
  <c r="C2043"/>
  <c r="G2043" s="1"/>
  <c r="C2042"/>
  <c r="G2042" s="1"/>
  <c r="C2041"/>
  <c r="G2041" s="1"/>
  <c r="C2040"/>
  <c r="G2040" s="1"/>
  <c r="C2039"/>
  <c r="G2039" s="1"/>
  <c r="C2038"/>
  <c r="G2038" s="1"/>
  <c r="C2037"/>
  <c r="G2037" s="1"/>
  <c r="C2036"/>
  <c r="G2036" s="1"/>
  <c r="C2035"/>
  <c r="G2035" s="1"/>
  <c r="C2034"/>
  <c r="G2034" s="1"/>
  <c r="C2033"/>
  <c r="G2033" s="1"/>
  <c r="C2032"/>
  <c r="G2032" s="1"/>
  <c r="C2031"/>
  <c r="G2031" s="1"/>
  <c r="C2030"/>
  <c r="G2030" s="1"/>
  <c r="C2029"/>
  <c r="G2029" s="1"/>
  <c r="C2028"/>
  <c r="G2028" s="1"/>
  <c r="C2027"/>
  <c r="G2027" s="1"/>
  <c r="C2026"/>
  <c r="G2026" s="1"/>
  <c r="C2025"/>
  <c r="G2025" s="1"/>
  <c r="C2024"/>
  <c r="G2024" s="1"/>
  <c r="C2023"/>
  <c r="G2023" s="1"/>
  <c r="C2022"/>
  <c r="G2022" s="1"/>
  <c r="C2021"/>
  <c r="G2021" s="1"/>
  <c r="C2020"/>
  <c r="G2020" s="1"/>
  <c r="C2019"/>
  <c r="G2019" s="1"/>
  <c r="C2018"/>
  <c r="G2018" s="1"/>
  <c r="C2017"/>
  <c r="G2017" s="1"/>
  <c r="C2016"/>
  <c r="G2016" s="1"/>
  <c r="C2015"/>
  <c r="G2015" s="1"/>
  <c r="C2014"/>
  <c r="G2014" s="1"/>
  <c r="C2013"/>
  <c r="G2013" s="1"/>
  <c r="C2012"/>
  <c r="G2012" s="1"/>
  <c r="C2011"/>
  <c r="G2011" s="1"/>
  <c r="C2010"/>
  <c r="G2010" s="1"/>
  <c r="C2009"/>
  <c r="G2009" s="1"/>
  <c r="C2008"/>
  <c r="G2008" s="1"/>
  <c r="C2007"/>
  <c r="G2007" s="1"/>
  <c r="C2006"/>
  <c r="G2006" s="1"/>
  <c r="C2005"/>
  <c r="G2005" s="1"/>
  <c r="C2004"/>
  <c r="G2004" s="1"/>
  <c r="C2003"/>
  <c r="G2003" s="1"/>
  <c r="C2002"/>
  <c r="G2002" s="1"/>
  <c r="C2001"/>
  <c r="G2001" s="1"/>
  <c r="C2000"/>
  <c r="G2000" s="1"/>
  <c r="C1999"/>
  <c r="G1999" s="1"/>
  <c r="C1998"/>
  <c r="G1998" s="1"/>
  <c r="C1997"/>
  <c r="G1997" s="1"/>
  <c r="C1996"/>
  <c r="G1996" s="1"/>
  <c r="C1995"/>
  <c r="G1995" s="1"/>
  <c r="C1994"/>
  <c r="G1994" s="1"/>
  <c r="C1993"/>
  <c r="G1993" s="1"/>
  <c r="C1992"/>
  <c r="G1992" s="1"/>
  <c r="C1991"/>
  <c r="G1991" s="1"/>
  <c r="C1990"/>
  <c r="G1990" s="1"/>
  <c r="C1989"/>
  <c r="G1989" s="1"/>
  <c r="C1988"/>
  <c r="G1988" s="1"/>
  <c r="C1987"/>
  <c r="G1987" s="1"/>
  <c r="C1986"/>
  <c r="G1986" s="1"/>
  <c r="C1985"/>
  <c r="G1985" s="1"/>
  <c r="C1984"/>
  <c r="G1984" s="1"/>
  <c r="C1983"/>
  <c r="G1983" s="1"/>
  <c r="C1982"/>
  <c r="G1982" s="1"/>
  <c r="C1981"/>
  <c r="G1981" s="1"/>
  <c r="C1980"/>
  <c r="G1980" s="1"/>
  <c r="C1979"/>
  <c r="G1979" s="1"/>
  <c r="C1978"/>
  <c r="G1978" s="1"/>
  <c r="C1977"/>
  <c r="G1977" s="1"/>
  <c r="C1976"/>
  <c r="G1976" s="1"/>
  <c r="C1975"/>
  <c r="G1975" s="1"/>
  <c r="C1974"/>
  <c r="G1974" s="1"/>
  <c r="C1973"/>
  <c r="G1973" s="1"/>
  <c r="C1972"/>
  <c r="G1972" s="1"/>
  <c r="C1971"/>
  <c r="G1971" s="1"/>
  <c r="G2094"/>
  <c r="G2078"/>
  <c r="G2062"/>
  <c r="C1970"/>
  <c r="G1970" s="1"/>
  <c r="H1970"/>
  <c r="C1969"/>
  <c r="G1969" s="1"/>
  <c r="H1969"/>
  <c r="C1968"/>
  <c r="G1968" s="1"/>
  <c r="H1968"/>
  <c r="C1967"/>
  <c r="G1967" s="1"/>
  <c r="H1967"/>
  <c r="C1966"/>
  <c r="G1966" s="1"/>
  <c r="H1966"/>
  <c r="C1965"/>
  <c r="G1965" s="1"/>
  <c r="H1965"/>
  <c r="C1964"/>
  <c r="G1964" s="1"/>
  <c r="H1964"/>
  <c r="C1963"/>
  <c r="G1963" s="1"/>
  <c r="H1963"/>
  <c r="C1962"/>
  <c r="G1962" s="1"/>
  <c r="H1962"/>
  <c r="C1961"/>
  <c r="G1961" s="1"/>
  <c r="H1961"/>
  <c r="C1960"/>
  <c r="G1960" s="1"/>
  <c r="H1960"/>
  <c r="C1959"/>
  <c r="G1959" s="1"/>
  <c r="H1959"/>
  <c r="C1958"/>
  <c r="G1958" s="1"/>
  <c r="H1958"/>
  <c r="C1957"/>
  <c r="G1957" s="1"/>
  <c r="H1957"/>
  <c r="C1956"/>
  <c r="G1956" s="1"/>
  <c r="H1956"/>
  <c r="C1955"/>
  <c r="G1955" s="1"/>
  <c r="H1955"/>
  <c r="C1954"/>
  <c r="G1954" s="1"/>
  <c r="H1954"/>
  <c r="C1953"/>
  <c r="G1953" s="1"/>
  <c r="H1953"/>
  <c r="C1952"/>
  <c r="G1952" s="1"/>
  <c r="H1952"/>
  <c r="C1951"/>
  <c r="G1951" s="1"/>
  <c r="H1951"/>
  <c r="C1950"/>
  <c r="G1950" s="1"/>
  <c r="H1950"/>
  <c r="C1949"/>
  <c r="G1949" s="1"/>
  <c r="H1949"/>
  <c r="C1948"/>
  <c r="G1948" s="1"/>
  <c r="H1948"/>
  <c r="C1947"/>
  <c r="G1947" s="1"/>
  <c r="H1947"/>
  <c r="C1946"/>
  <c r="G1946" s="1"/>
  <c r="H1946"/>
  <c r="C1945"/>
  <c r="G1945" s="1"/>
  <c r="H1945"/>
  <c r="C1944"/>
  <c r="G1944" s="1"/>
  <c r="H1944"/>
  <c r="C1943"/>
  <c r="G1943" s="1"/>
  <c r="H1943"/>
  <c r="C1942"/>
  <c r="G1942" s="1"/>
  <c r="H1942"/>
  <c r="C1941"/>
  <c r="G1941" s="1"/>
  <c r="H1941"/>
  <c r="C1940"/>
  <c r="H1940"/>
  <c r="C1939"/>
  <c r="G1939" s="1"/>
  <c r="H1939"/>
  <c r="C1938"/>
  <c r="G1938" s="1"/>
  <c r="H1938"/>
  <c r="C1937"/>
  <c r="G1937" s="1"/>
  <c r="H1937"/>
  <c r="C1936"/>
  <c r="H1936"/>
  <c r="C1935"/>
  <c r="G1935" s="1"/>
  <c r="H1935"/>
  <c r="C1934"/>
  <c r="G1934" s="1"/>
  <c r="H1934"/>
  <c r="C1933"/>
  <c r="G1933" s="1"/>
  <c r="H1933"/>
  <c r="C1932"/>
  <c r="G1932" s="1"/>
  <c r="H1932"/>
  <c r="C1931"/>
  <c r="G1931" s="1"/>
  <c r="H1931"/>
  <c r="C1930"/>
  <c r="G1930" s="1"/>
  <c r="H1930"/>
  <c r="G1940"/>
  <c r="G1936"/>
  <c r="C1929"/>
  <c r="G1929" s="1"/>
  <c r="H1929"/>
  <c r="C1928"/>
  <c r="G1928" s="1"/>
  <c r="H1928"/>
  <c r="C1927"/>
  <c r="G1927" s="1"/>
  <c r="H1927"/>
  <c r="C1926"/>
  <c r="G1926" s="1"/>
  <c r="H1926"/>
  <c r="C1925"/>
  <c r="G1925" s="1"/>
  <c r="H1925"/>
  <c r="C1924"/>
  <c r="G1924" s="1"/>
  <c r="H1924"/>
  <c r="C1923"/>
  <c r="G1923" s="1"/>
  <c r="H1923"/>
  <c r="C1922"/>
  <c r="G1922" s="1"/>
  <c r="H1922"/>
  <c r="C1921"/>
  <c r="G1921" s="1"/>
  <c r="H1921"/>
  <c r="C1920"/>
  <c r="G1920" s="1"/>
  <c r="H1920"/>
  <c r="C1919"/>
  <c r="G1919" s="1"/>
  <c r="H1919"/>
  <c r="C1918"/>
  <c r="G1918" s="1"/>
  <c r="H1918"/>
  <c r="C1917"/>
  <c r="G1917" s="1"/>
  <c r="H1917"/>
  <c r="C1916"/>
  <c r="G1916" s="1"/>
  <c r="H1916"/>
  <c r="C1915"/>
  <c r="G1915" s="1"/>
  <c r="H1915"/>
  <c r="C1914"/>
  <c r="G1914" s="1"/>
  <c r="H1914"/>
  <c r="C1913"/>
  <c r="G1913" s="1"/>
  <c r="H1913"/>
  <c r="C1912"/>
  <c r="G1912" s="1"/>
  <c r="H1912"/>
  <c r="C1911"/>
  <c r="G1911" s="1"/>
  <c r="H1911"/>
  <c r="C1910"/>
  <c r="G1910" s="1"/>
  <c r="H1910"/>
  <c r="C1909"/>
  <c r="G1909" s="1"/>
  <c r="H1909"/>
  <c r="C1908"/>
  <c r="G1908" s="1"/>
  <c r="H1908"/>
  <c r="C1907"/>
  <c r="G1907" s="1"/>
  <c r="H1907"/>
  <c r="C1906"/>
  <c r="G1906" s="1"/>
  <c r="H1906"/>
  <c r="C1905"/>
  <c r="G1905" s="1"/>
  <c r="H1905"/>
  <c r="H1904"/>
  <c r="H1903"/>
  <c r="H1902"/>
  <c r="H1901"/>
  <c r="H1900"/>
  <c r="H1899"/>
  <c r="H1898"/>
  <c r="H1897"/>
  <c r="H1896"/>
  <c r="H1895"/>
  <c r="H1894"/>
  <c r="H1893"/>
  <c r="H1892"/>
  <c r="H1891"/>
  <c r="H1890"/>
  <c r="H1889"/>
  <c r="H1888"/>
  <c r="H1887"/>
  <c r="H1886"/>
  <c r="H1885"/>
  <c r="H1884"/>
  <c r="H1883"/>
  <c r="H1882"/>
  <c r="G9" i="13"/>
  <c r="G13"/>
  <c r="G12"/>
  <c r="G10"/>
  <c r="G8"/>
  <c r="G7"/>
  <c r="G6"/>
  <c r="G5"/>
  <c r="G4"/>
  <c r="G3"/>
  <c r="S21" i="9"/>
  <c r="S3"/>
  <c r="R6" i="12"/>
  <c r="H1881" i="5"/>
  <c r="H1880"/>
  <c r="H1879"/>
  <c r="H1878"/>
  <c r="H1877"/>
  <c r="H1876"/>
  <c r="H1875"/>
  <c r="C1786"/>
  <c r="G1786" s="1"/>
  <c r="C1785"/>
  <c r="G1785" s="1"/>
  <c r="C1784"/>
  <c r="G1784" s="1"/>
  <c r="C1783"/>
  <c r="G1783" s="1"/>
  <c r="C1782"/>
  <c r="G1782" s="1"/>
  <c r="C1781"/>
  <c r="G1781" s="1"/>
  <c r="C1780"/>
  <c r="G1780" s="1"/>
  <c r="C1779"/>
  <c r="G1779" s="1"/>
  <c r="C1778"/>
  <c r="G1778" s="1"/>
  <c r="C1777"/>
  <c r="G1777" s="1"/>
  <c r="C1776"/>
  <c r="G1776" s="1"/>
  <c r="C1775"/>
  <c r="G1775" s="1"/>
  <c r="C1774"/>
  <c r="G1774" s="1"/>
  <c r="C1773"/>
  <c r="G1773" s="1"/>
  <c r="C1772"/>
  <c r="G1772" s="1"/>
  <c r="C1771"/>
  <c r="G1771" s="1"/>
  <c r="C1770"/>
  <c r="G1770" s="1"/>
  <c r="C1769"/>
  <c r="G1769" s="1"/>
  <c r="C1768"/>
  <c r="G1768" s="1"/>
  <c r="C1767"/>
  <c r="G1767" s="1"/>
  <c r="AB18" i="8"/>
  <c r="AC18" s="1"/>
  <c r="AC19" s="1"/>
  <c r="AG14"/>
  <c r="AG18" s="1"/>
  <c r="AG20"/>
  <c r="AG13"/>
  <c r="H1874" i="5"/>
  <c r="H1873"/>
  <c r="H1872"/>
  <c r="H1871"/>
  <c r="H1870"/>
  <c r="H1869"/>
  <c r="H1868"/>
  <c r="H1867"/>
  <c r="H1866"/>
  <c r="H1865"/>
  <c r="H1864"/>
  <c r="H1863"/>
  <c r="H1862"/>
  <c r="H1861"/>
  <c r="H1860"/>
  <c r="H1859"/>
  <c r="H1858"/>
  <c r="H1857"/>
  <c r="H1856"/>
  <c r="H1855"/>
  <c r="H1854"/>
  <c r="H1853"/>
  <c r="H1852"/>
  <c r="H1851"/>
  <c r="H1850"/>
  <c r="H1849"/>
  <c r="H1848"/>
  <c r="H1847"/>
  <c r="H1846"/>
  <c r="H1845"/>
  <c r="H1844"/>
  <c r="H1843"/>
  <c r="H1842"/>
  <c r="H1841"/>
  <c r="H1840"/>
  <c r="H1839"/>
  <c r="H1838"/>
  <c r="H1837"/>
  <c r="H1836"/>
  <c r="H1835"/>
  <c r="H1834"/>
  <c r="H1833"/>
  <c r="H1832"/>
  <c r="H1831"/>
  <c r="H1830"/>
  <c r="H1829"/>
  <c r="H1828"/>
  <c r="H1827"/>
  <c r="H1826"/>
  <c r="H1825"/>
  <c r="H1824"/>
  <c r="H1823"/>
  <c r="H1822"/>
  <c r="H1821"/>
  <c r="H1820"/>
  <c r="H1819"/>
  <c r="H1818"/>
  <c r="H1817"/>
  <c r="H1816"/>
  <c r="H1815"/>
  <c r="H1814"/>
  <c r="H1813"/>
  <c r="H1812"/>
  <c r="H1811"/>
  <c r="H1810"/>
  <c r="H1809"/>
  <c r="H1808"/>
  <c r="H1807"/>
  <c r="H1806"/>
  <c r="H1805"/>
  <c r="H1804"/>
  <c r="H1803"/>
  <c r="H1802"/>
  <c r="H1801"/>
  <c r="H1800"/>
  <c r="H1799"/>
  <c r="H1798"/>
  <c r="H1797"/>
  <c r="H1796"/>
  <c r="H1795"/>
  <c r="H1794"/>
  <c r="H1793"/>
  <c r="H1792"/>
  <c r="H1791"/>
  <c r="H1790"/>
  <c r="H1789"/>
  <c r="H1788"/>
  <c r="H1787"/>
  <c r="H1786"/>
  <c r="H1785"/>
  <c r="H1784"/>
  <c r="H1783"/>
  <c r="H1782"/>
  <c r="H1781"/>
  <c r="H1780"/>
  <c r="H1779"/>
  <c r="H1778"/>
  <c r="H1777"/>
  <c r="H1776"/>
  <c r="H1775"/>
  <c r="H1774"/>
  <c r="H1773"/>
  <c r="H1772"/>
  <c r="H1771"/>
  <c r="H1770"/>
  <c r="H1769"/>
  <c r="H1768"/>
  <c r="H1767"/>
  <c r="H1766"/>
  <c r="H1765"/>
  <c r="H1764"/>
  <c r="H1763"/>
  <c r="H1762"/>
  <c r="H1761"/>
  <c r="H1760"/>
  <c r="H1759"/>
  <c r="H1758"/>
  <c r="H1757"/>
  <c r="H1756"/>
  <c r="H1755"/>
  <c r="H1754"/>
  <c r="H1753"/>
  <c r="H1752"/>
  <c r="H1751"/>
  <c r="H1750"/>
  <c r="H1749"/>
  <c r="H1748"/>
  <c r="H1747"/>
  <c r="C1904"/>
  <c r="G1904" s="1"/>
  <c r="C1903"/>
  <c r="G1903" s="1"/>
  <c r="C1902"/>
  <c r="G1902" s="1"/>
  <c r="C1901"/>
  <c r="G1901" s="1"/>
  <c r="C1900"/>
  <c r="G1900" s="1"/>
  <c r="C1899"/>
  <c r="G1899" s="1"/>
  <c r="C1898"/>
  <c r="G1898" s="1"/>
  <c r="C1897"/>
  <c r="G1897" s="1"/>
  <c r="C1896"/>
  <c r="G1896" s="1"/>
  <c r="C1895"/>
  <c r="G1895" s="1"/>
  <c r="C1894"/>
  <c r="G1894" s="1"/>
  <c r="C1893"/>
  <c r="G1893" s="1"/>
  <c r="C1892"/>
  <c r="G1892" s="1"/>
  <c r="C1891"/>
  <c r="G1891" s="1"/>
  <c r="C1890"/>
  <c r="G1890" s="1"/>
  <c r="C1889"/>
  <c r="G1889" s="1"/>
  <c r="C1888"/>
  <c r="G1888" s="1"/>
  <c r="C1887"/>
  <c r="G1887" s="1"/>
  <c r="C1886"/>
  <c r="G1886" s="1"/>
  <c r="C1885"/>
  <c r="G1885" s="1"/>
  <c r="C1884"/>
  <c r="G1884" s="1"/>
  <c r="C1883"/>
  <c r="G1883" s="1"/>
  <c r="C1882"/>
  <c r="G1882" s="1"/>
  <c r="C1881"/>
  <c r="G1881" s="1"/>
  <c r="C1880"/>
  <c r="G1880" s="1"/>
  <c r="C1879"/>
  <c r="G1879" s="1"/>
  <c r="C1878"/>
  <c r="G1878" s="1"/>
  <c r="C1877"/>
  <c r="G1877" s="1"/>
  <c r="C1876"/>
  <c r="G1876" s="1"/>
  <c r="C1875"/>
  <c r="G1875" s="1"/>
  <c r="C1874"/>
  <c r="G1874" s="1"/>
  <c r="C1873"/>
  <c r="G1873" s="1"/>
  <c r="C1872"/>
  <c r="G1872" s="1"/>
  <c r="C1871"/>
  <c r="G1871" s="1"/>
  <c r="C1870"/>
  <c r="G1870" s="1"/>
  <c r="C1869"/>
  <c r="G1869" s="1"/>
  <c r="C1868"/>
  <c r="G1868" s="1"/>
  <c r="C1867"/>
  <c r="G1867" s="1"/>
  <c r="C1866"/>
  <c r="G1866" s="1"/>
  <c r="C1865"/>
  <c r="G1865" s="1"/>
  <c r="C1864"/>
  <c r="G1864" s="1"/>
  <c r="C1863"/>
  <c r="G1863" s="1"/>
  <c r="C1862"/>
  <c r="G1862" s="1"/>
  <c r="C1861"/>
  <c r="G1861" s="1"/>
  <c r="C1860"/>
  <c r="G1860" s="1"/>
  <c r="C1859"/>
  <c r="G1859" s="1"/>
  <c r="C1858"/>
  <c r="G1858" s="1"/>
  <c r="C1857"/>
  <c r="G1857" s="1"/>
  <c r="C1856"/>
  <c r="G1856" s="1"/>
  <c r="C1855"/>
  <c r="G1855" s="1"/>
  <c r="C1854"/>
  <c r="G1854" s="1"/>
  <c r="C1853"/>
  <c r="G1853" s="1"/>
  <c r="C1852"/>
  <c r="G1852" s="1"/>
  <c r="C1851"/>
  <c r="G1851" s="1"/>
  <c r="C1850"/>
  <c r="G1850" s="1"/>
  <c r="C1849"/>
  <c r="G1849" s="1"/>
  <c r="C1848"/>
  <c r="G1848" s="1"/>
  <c r="C1847"/>
  <c r="G1847" s="1"/>
  <c r="C1846"/>
  <c r="G1846" s="1"/>
  <c r="C1845"/>
  <c r="G1845" s="1"/>
  <c r="C1844"/>
  <c r="G1844" s="1"/>
  <c r="C1843"/>
  <c r="G1843" s="1"/>
  <c r="C1842"/>
  <c r="G1842" s="1"/>
  <c r="C1841"/>
  <c r="G1841" s="1"/>
  <c r="C1840"/>
  <c r="G1840" s="1"/>
  <c r="C1839"/>
  <c r="G1839" s="1"/>
  <c r="C1838"/>
  <c r="G1838" s="1"/>
  <c r="C1837"/>
  <c r="G1837" s="1"/>
  <c r="C1836"/>
  <c r="G1836" s="1"/>
  <c r="C1835"/>
  <c r="G1835" s="1"/>
  <c r="C1834"/>
  <c r="G1834" s="1"/>
  <c r="C1833"/>
  <c r="G1833" s="1"/>
  <c r="C1832"/>
  <c r="G1832" s="1"/>
  <c r="C1831"/>
  <c r="G1831" s="1"/>
  <c r="C1830"/>
  <c r="G1830" s="1"/>
  <c r="C1829"/>
  <c r="G1829" s="1"/>
  <c r="C1828"/>
  <c r="G1828" s="1"/>
  <c r="C1827"/>
  <c r="G1827" s="1"/>
  <c r="C1826"/>
  <c r="G1826" s="1"/>
  <c r="C1825"/>
  <c r="G1825" s="1"/>
  <c r="C1824"/>
  <c r="G1824" s="1"/>
  <c r="C1823"/>
  <c r="G1823" s="1"/>
  <c r="C1822"/>
  <c r="G1822" s="1"/>
  <c r="C1821"/>
  <c r="G1821" s="1"/>
  <c r="C1820"/>
  <c r="G1820" s="1"/>
  <c r="C1819"/>
  <c r="G1819" s="1"/>
  <c r="C1818"/>
  <c r="G1818" s="1"/>
  <c r="C1817"/>
  <c r="G1817" s="1"/>
  <c r="C1816"/>
  <c r="G1816" s="1"/>
  <c r="C1815"/>
  <c r="G1815" s="1"/>
  <c r="C1814"/>
  <c r="G1814" s="1"/>
  <c r="C1813"/>
  <c r="G1813" s="1"/>
  <c r="C1812"/>
  <c r="G1812" s="1"/>
  <c r="C1811"/>
  <c r="G1811" s="1"/>
  <c r="C1810"/>
  <c r="G1810" s="1"/>
  <c r="C1809"/>
  <c r="G1809" s="1"/>
  <c r="C1808"/>
  <c r="G1808" s="1"/>
  <c r="C1807"/>
  <c r="G1807" s="1"/>
  <c r="C1806"/>
  <c r="G1806" s="1"/>
  <c r="C1805"/>
  <c r="G1805" s="1"/>
  <c r="C1804"/>
  <c r="G1804" s="1"/>
  <c r="C1803"/>
  <c r="G1803" s="1"/>
  <c r="C1802"/>
  <c r="G1802" s="1"/>
  <c r="C1801"/>
  <c r="G1801" s="1"/>
  <c r="C1800"/>
  <c r="G1800" s="1"/>
  <c r="C1799"/>
  <c r="G1799" s="1"/>
  <c r="C1798"/>
  <c r="G1798" s="1"/>
  <c r="C1797"/>
  <c r="G1797" s="1"/>
  <c r="C1796"/>
  <c r="G1796" s="1"/>
  <c r="C1795"/>
  <c r="G1795" s="1"/>
  <c r="C1794"/>
  <c r="G1794" s="1"/>
  <c r="C1793"/>
  <c r="G1793" s="1"/>
  <c r="C1792"/>
  <c r="G1792" s="1"/>
  <c r="C1791"/>
  <c r="G1791" s="1"/>
  <c r="C1790"/>
  <c r="G1790" s="1"/>
  <c r="C1789"/>
  <c r="G1789" s="1"/>
  <c r="C1788"/>
  <c r="G1788" s="1"/>
  <c r="C1787"/>
  <c r="G1787" s="1"/>
  <c r="C1766"/>
  <c r="G1766" s="1"/>
  <c r="C1765"/>
  <c r="G1765" s="1"/>
  <c r="C1764"/>
  <c r="G1764" s="1"/>
  <c r="C1763"/>
  <c r="G1763" s="1"/>
  <c r="C1762"/>
  <c r="G1762" s="1"/>
  <c r="C1761"/>
  <c r="G1761" s="1"/>
  <c r="C1760"/>
  <c r="G1760" s="1"/>
  <c r="C1759"/>
  <c r="G1759" s="1"/>
  <c r="C1758"/>
  <c r="G1758" s="1"/>
  <c r="C1757"/>
  <c r="G1757" s="1"/>
  <c r="C1756"/>
  <c r="G1756" s="1"/>
  <c r="C1755"/>
  <c r="G1755" s="1"/>
  <c r="C1754"/>
  <c r="G1754" s="1"/>
  <c r="C1753"/>
  <c r="G1753" s="1"/>
  <c r="C1752"/>
  <c r="G1752" s="1"/>
  <c r="C1751"/>
  <c r="G1751" s="1"/>
  <c r="C1750"/>
  <c r="G1750" s="1"/>
  <c r="C1749"/>
  <c r="G1749" s="1"/>
  <c r="C1748"/>
  <c r="G1748" s="1"/>
  <c r="C1747"/>
  <c r="G1747" s="1"/>
  <c r="C1746"/>
  <c r="G1746" s="1"/>
  <c r="C1745"/>
  <c r="G1745" s="1"/>
  <c r="C1744"/>
  <c r="G1744" s="1"/>
  <c r="C1743"/>
  <c r="G1743" s="1"/>
  <c r="C1742"/>
  <c r="G1742" s="1"/>
  <c r="C1741"/>
  <c r="G1741" s="1"/>
  <c r="C1740"/>
  <c r="G1740" s="1"/>
  <c r="C1739"/>
  <c r="G1739" s="1"/>
  <c r="C1738"/>
  <c r="G1738" s="1"/>
  <c r="C1737"/>
  <c r="G1737" s="1"/>
  <c r="C1736"/>
  <c r="G1736" s="1"/>
  <c r="C1735"/>
  <c r="G1735" s="1"/>
  <c r="R21" i="9"/>
  <c r="Q21"/>
  <c r="P21"/>
  <c r="O21"/>
  <c r="N21"/>
  <c r="M21"/>
  <c r="L21"/>
  <c r="K21"/>
  <c r="J21"/>
  <c r="I21"/>
  <c r="H21"/>
  <c r="G21"/>
  <c r="F21"/>
  <c r="E21"/>
  <c r="D21"/>
  <c r="C21"/>
  <c r="R3"/>
  <c r="R12"/>
  <c r="H1746" i="5"/>
  <c r="H1745"/>
  <c r="H1744"/>
  <c r="H1743"/>
  <c r="H1742"/>
  <c r="H1741"/>
  <c r="H1740"/>
  <c r="H1739"/>
  <c r="H1738"/>
  <c r="H1737"/>
  <c r="H1736"/>
  <c r="H1735"/>
  <c r="H1734"/>
  <c r="H1733"/>
  <c r="H1732"/>
  <c r="H1731"/>
  <c r="H1730"/>
  <c r="H1729"/>
  <c r="H1728"/>
  <c r="H1727"/>
  <c r="H1726"/>
  <c r="H1725"/>
  <c r="H1724"/>
  <c r="H1723"/>
  <c r="H1722"/>
  <c r="H1721"/>
  <c r="H1720"/>
  <c r="H1719"/>
  <c r="H1718"/>
  <c r="H1717"/>
  <c r="H1716"/>
  <c r="H1715"/>
  <c r="H1714"/>
  <c r="H1713"/>
  <c r="H1712"/>
  <c r="H1711"/>
  <c r="H1710"/>
  <c r="H1709"/>
  <c r="H1708"/>
  <c r="H1707"/>
  <c r="H1706"/>
  <c r="H1705"/>
  <c r="H1704"/>
  <c r="H1703"/>
  <c r="H1702"/>
  <c r="H1701"/>
  <c r="H1700"/>
  <c r="H1699"/>
  <c r="H1698"/>
  <c r="H1697"/>
  <c r="H1696"/>
  <c r="H1695"/>
  <c r="H1694"/>
  <c r="H1693"/>
  <c r="H1692"/>
  <c r="H1691"/>
  <c r="H1690"/>
  <c r="H1689"/>
  <c r="H1688"/>
  <c r="H1687"/>
  <c r="H1686"/>
  <c r="H1685"/>
  <c r="H1684"/>
  <c r="H1683"/>
  <c r="H1682"/>
  <c r="H1681"/>
  <c r="H1680"/>
  <c r="H1679"/>
  <c r="H1678"/>
  <c r="H1677"/>
  <c r="H1676"/>
  <c r="H1675"/>
  <c r="H1674"/>
  <c r="H1673"/>
  <c r="H1672"/>
  <c r="H1671"/>
  <c r="H1670"/>
  <c r="H1669"/>
  <c r="H1668"/>
  <c r="H1667"/>
  <c r="H1666"/>
  <c r="H1665"/>
  <c r="H1664"/>
  <c r="H1663"/>
  <c r="H1662"/>
  <c r="H1661"/>
  <c r="H1660"/>
  <c r="H1659"/>
  <c r="C1734"/>
  <c r="G1734" s="1"/>
  <c r="C1733"/>
  <c r="G1733" s="1"/>
  <c r="C1732"/>
  <c r="G1732" s="1"/>
  <c r="C1731"/>
  <c r="G1731" s="1"/>
  <c r="C1730"/>
  <c r="G1730" s="1"/>
  <c r="C1729"/>
  <c r="G1729" s="1"/>
  <c r="C1728"/>
  <c r="G1728" s="1"/>
  <c r="C1727"/>
  <c r="G1727" s="1"/>
  <c r="C1726"/>
  <c r="G1726" s="1"/>
  <c r="C1725"/>
  <c r="G1725" s="1"/>
  <c r="C1724"/>
  <c r="G1724" s="1"/>
  <c r="C1723"/>
  <c r="G1723" s="1"/>
  <c r="C1722"/>
  <c r="G1722" s="1"/>
  <c r="C1721"/>
  <c r="G1721" s="1"/>
  <c r="C1720"/>
  <c r="G1720" s="1"/>
  <c r="C1719"/>
  <c r="G1719" s="1"/>
  <c r="C1718"/>
  <c r="G1718" s="1"/>
  <c r="C1717"/>
  <c r="G1717" s="1"/>
  <c r="C1716"/>
  <c r="G1716" s="1"/>
  <c r="C1715"/>
  <c r="G1715" s="1"/>
  <c r="C1714"/>
  <c r="G1714" s="1"/>
  <c r="C1713"/>
  <c r="G1713" s="1"/>
  <c r="C1712"/>
  <c r="G1712" s="1"/>
  <c r="C1711"/>
  <c r="G1711" s="1"/>
  <c r="C1710"/>
  <c r="G1710" s="1"/>
  <c r="C1709"/>
  <c r="G1709" s="1"/>
  <c r="C1708"/>
  <c r="G1708" s="1"/>
  <c r="C1707"/>
  <c r="G1707" s="1"/>
  <c r="C1706"/>
  <c r="G1706" s="1"/>
  <c r="C1705"/>
  <c r="G1705" s="1"/>
  <c r="C1704"/>
  <c r="G1704" s="1"/>
  <c r="C1703"/>
  <c r="G1703" s="1"/>
  <c r="C1702"/>
  <c r="G1702" s="1"/>
  <c r="C1701"/>
  <c r="G1701" s="1"/>
  <c r="C1700"/>
  <c r="G1700" s="1"/>
  <c r="C1699"/>
  <c r="G1699" s="1"/>
  <c r="C1698"/>
  <c r="G1698" s="1"/>
  <c r="C1697"/>
  <c r="G1697" s="1"/>
  <c r="C1696"/>
  <c r="G1696" s="1"/>
  <c r="C1695"/>
  <c r="G1695" s="1"/>
  <c r="C1694"/>
  <c r="G1694" s="1"/>
  <c r="C1693"/>
  <c r="G1693" s="1"/>
  <c r="C1692"/>
  <c r="G1692" s="1"/>
  <c r="C1691"/>
  <c r="G1691" s="1"/>
  <c r="C1690"/>
  <c r="G1690" s="1"/>
  <c r="C1689"/>
  <c r="G1689" s="1"/>
  <c r="C1688"/>
  <c r="G1688" s="1"/>
  <c r="C1687"/>
  <c r="G1687" s="1"/>
  <c r="C1686"/>
  <c r="G1686" s="1"/>
  <c r="C1685"/>
  <c r="G1685" s="1"/>
  <c r="C1684"/>
  <c r="G1684" s="1"/>
  <c r="C1683"/>
  <c r="G1683" s="1"/>
  <c r="C1682"/>
  <c r="G1682" s="1"/>
  <c r="C1681"/>
  <c r="G1681" s="1"/>
  <c r="C1680"/>
  <c r="G1680" s="1"/>
  <c r="C1679"/>
  <c r="G1679" s="1"/>
  <c r="C1678"/>
  <c r="G1678" s="1"/>
  <c r="C1677"/>
  <c r="G1677" s="1"/>
  <c r="C1676"/>
  <c r="G1676" s="1"/>
  <c r="C1675"/>
  <c r="G1675" s="1"/>
  <c r="C1674"/>
  <c r="G1674" s="1"/>
  <c r="C1673"/>
  <c r="G1673" s="1"/>
  <c r="C1672"/>
  <c r="G1672" s="1"/>
  <c r="C1671"/>
  <c r="G1671" s="1"/>
  <c r="C1670"/>
  <c r="G1670" s="1"/>
  <c r="C1669"/>
  <c r="G1669" s="1"/>
  <c r="C1668"/>
  <c r="G1668" s="1"/>
  <c r="C1667"/>
  <c r="G1667" s="1"/>
  <c r="C1666"/>
  <c r="G1666" s="1"/>
  <c r="C1665"/>
  <c r="G1665" s="1"/>
  <c r="C1664"/>
  <c r="G1664" s="1"/>
  <c r="C1663"/>
  <c r="G1663" s="1"/>
  <c r="C1662"/>
  <c r="G1662" s="1"/>
  <c r="C1661"/>
  <c r="G1661" s="1"/>
  <c r="C1660"/>
  <c r="G1660" s="1"/>
  <c r="C1659"/>
  <c r="G1659" s="1"/>
  <c r="C1658"/>
  <c r="G1658" s="1"/>
  <c r="H1658"/>
  <c r="C1657"/>
  <c r="G1657" s="1"/>
  <c r="H1657"/>
  <c r="C1656"/>
  <c r="G1656" s="1"/>
  <c r="H1656"/>
  <c r="C1655"/>
  <c r="G1655" s="1"/>
  <c r="H1655"/>
  <c r="C1654"/>
  <c r="G1654" s="1"/>
  <c r="H1654"/>
  <c r="C1653"/>
  <c r="G1653" s="1"/>
  <c r="H1653"/>
  <c r="C1652"/>
  <c r="G1652" s="1"/>
  <c r="H1652"/>
  <c r="D1611"/>
  <c r="C1651"/>
  <c r="G1651" s="1"/>
  <c r="H1651"/>
  <c r="C1650"/>
  <c r="G1650" s="1"/>
  <c r="C1649"/>
  <c r="G1649" s="1"/>
  <c r="C1648"/>
  <c r="G1648" s="1"/>
  <c r="C1647"/>
  <c r="G1647" s="1"/>
  <c r="C1646"/>
  <c r="G1646" s="1"/>
  <c r="C1645"/>
  <c r="G1645" s="1"/>
  <c r="C1644"/>
  <c r="G1644" s="1"/>
  <c r="C1643"/>
  <c r="G1643" s="1"/>
  <c r="C1642"/>
  <c r="G1642" s="1"/>
  <c r="C1641"/>
  <c r="G1641" s="1"/>
  <c r="C1640"/>
  <c r="G1640" s="1"/>
  <c r="C1639"/>
  <c r="G1639" s="1"/>
  <c r="C1638"/>
  <c r="G1638" s="1"/>
  <c r="C1637"/>
  <c r="G1637" s="1"/>
  <c r="C1636"/>
  <c r="G1636" s="1"/>
  <c r="C1635"/>
  <c r="G1635" s="1"/>
  <c r="C1634"/>
  <c r="G1634" s="1"/>
  <c r="C1633"/>
  <c r="G1633" s="1"/>
  <c r="C1632"/>
  <c r="G1632" s="1"/>
  <c r="C1631"/>
  <c r="G1631" s="1"/>
  <c r="C1630"/>
  <c r="G1630" s="1"/>
  <c r="C1629"/>
  <c r="G1629" s="1"/>
  <c r="C1628"/>
  <c r="G1628" s="1"/>
  <c r="C1627"/>
  <c r="G1627" s="1"/>
  <c r="C1626"/>
  <c r="G1626" s="1"/>
  <c r="C1625"/>
  <c r="G1625" s="1"/>
  <c r="C1624"/>
  <c r="G1624" s="1"/>
  <c r="C1623"/>
  <c r="G1623" s="1"/>
  <c r="C1622"/>
  <c r="G1622" s="1"/>
  <c r="C1621"/>
  <c r="G1621" s="1"/>
  <c r="C1620"/>
  <c r="G1620" s="1"/>
  <c r="C1619"/>
  <c r="G1619" s="1"/>
  <c r="C1618"/>
  <c r="G1618" s="1"/>
  <c r="C1617"/>
  <c r="G1617" s="1"/>
  <c r="C1616"/>
  <c r="G1616" s="1"/>
  <c r="C1615"/>
  <c r="G1615" s="1"/>
  <c r="C1614"/>
  <c r="G1614" s="1"/>
  <c r="C1613"/>
  <c r="G1613" s="1"/>
  <c r="C1612"/>
  <c r="G1612" s="1"/>
  <c r="C1611"/>
  <c r="C1610"/>
  <c r="G1610" s="1"/>
  <c r="C1609"/>
  <c r="G1609" s="1"/>
  <c r="C1608"/>
  <c r="G1608" s="1"/>
  <c r="C1607"/>
  <c r="G1607" s="1"/>
  <c r="C1606"/>
  <c r="G1606" s="1"/>
  <c r="C1605"/>
  <c r="G1605" s="1"/>
  <c r="C1604"/>
  <c r="G1604" s="1"/>
  <c r="H1650"/>
  <c r="H1649"/>
  <c r="H1648"/>
  <c r="H1647"/>
  <c r="H1646"/>
  <c r="H1645"/>
  <c r="H1644"/>
  <c r="H1643"/>
  <c r="H1642"/>
  <c r="H1641"/>
  <c r="H1640"/>
  <c r="H1639"/>
  <c r="H1638"/>
  <c r="H1637"/>
  <c r="H1636"/>
  <c r="H1635"/>
  <c r="H1634"/>
  <c r="H1633"/>
  <c r="H1632"/>
  <c r="H1631"/>
  <c r="H1630"/>
  <c r="H1629"/>
  <c r="H1628"/>
  <c r="H1627"/>
  <c r="H1626"/>
  <c r="H1625"/>
  <c r="H1624"/>
  <c r="H1623"/>
  <c r="H1622"/>
  <c r="H1621"/>
  <c r="H1620"/>
  <c r="H1619"/>
  <c r="H1618"/>
  <c r="H1617"/>
  <c r="H1616"/>
  <c r="H1615"/>
  <c r="H1614"/>
  <c r="H1613"/>
  <c r="H1612"/>
  <c r="H1611"/>
  <c r="H1610"/>
  <c r="H1609"/>
  <c r="H1608"/>
  <c r="H1607"/>
  <c r="H1606"/>
  <c r="H1605"/>
  <c r="H1604"/>
  <c r="C1603"/>
  <c r="G1603" s="1"/>
  <c r="H1603"/>
  <c r="C1602"/>
  <c r="G1602" s="1"/>
  <c r="H1602"/>
  <c r="C1601"/>
  <c r="G1601" s="1"/>
  <c r="H1601"/>
  <c r="C1600"/>
  <c r="G1600" s="1"/>
  <c r="H1600"/>
  <c r="D1581"/>
  <c r="C1599"/>
  <c r="G1599" s="1"/>
  <c r="H1599"/>
  <c r="C1598"/>
  <c r="G1598" s="1"/>
  <c r="H1598"/>
  <c r="C1597"/>
  <c r="G1597" s="1"/>
  <c r="H1597"/>
  <c r="C1596"/>
  <c r="G1596" s="1"/>
  <c r="H1596"/>
  <c r="C1595"/>
  <c r="G1595" s="1"/>
  <c r="H1595"/>
  <c r="C1594"/>
  <c r="G1594" s="1"/>
  <c r="H1594"/>
  <c r="C1593"/>
  <c r="G1593" s="1"/>
  <c r="C1592"/>
  <c r="G1592" s="1"/>
  <c r="C1591"/>
  <c r="G1591" s="1"/>
  <c r="C1590"/>
  <c r="G1590" s="1"/>
  <c r="C1589"/>
  <c r="G1589" s="1"/>
  <c r="C1588"/>
  <c r="G1588" s="1"/>
  <c r="C1587"/>
  <c r="G1587" s="1"/>
  <c r="C1586"/>
  <c r="G1586" s="1"/>
  <c r="C1585"/>
  <c r="G1585" s="1"/>
  <c r="C1584"/>
  <c r="G1584" s="1"/>
  <c r="C1583"/>
  <c r="G1583" s="1"/>
  <c r="C1582"/>
  <c r="G1582" s="1"/>
  <c r="C1581"/>
  <c r="D1572"/>
  <c r="D1526"/>
  <c r="H1593"/>
  <c r="H1592"/>
  <c r="H1591"/>
  <c r="H1590"/>
  <c r="H1589"/>
  <c r="H1588"/>
  <c r="H1587"/>
  <c r="H1586"/>
  <c r="H1585"/>
  <c r="H1584"/>
  <c r="H1583"/>
  <c r="H1582"/>
  <c r="H1581"/>
  <c r="H1580"/>
  <c r="H1579"/>
  <c r="H1578"/>
  <c r="H1577"/>
  <c r="H1576"/>
  <c r="H1575"/>
  <c r="H1574"/>
  <c r="H1573"/>
  <c r="H1572"/>
  <c r="H1571"/>
  <c r="H1570"/>
  <c r="H1569"/>
  <c r="H1568"/>
  <c r="H1567"/>
  <c r="H1566"/>
  <c r="H1565"/>
  <c r="H1564"/>
  <c r="H1563"/>
  <c r="H1562"/>
  <c r="H1561"/>
  <c r="H1560"/>
  <c r="H1559"/>
  <c r="H1558"/>
  <c r="H1557"/>
  <c r="H1556"/>
  <c r="H1555"/>
  <c r="H1554"/>
  <c r="H1553"/>
  <c r="H1552"/>
  <c r="H1551"/>
  <c r="H1550"/>
  <c r="H1549"/>
  <c r="H1548"/>
  <c r="H1547"/>
  <c r="H1546"/>
  <c r="H1545"/>
  <c r="H1544"/>
  <c r="H1543"/>
  <c r="H1542"/>
  <c r="H1541"/>
  <c r="H1540"/>
  <c r="H1539"/>
  <c r="H1538"/>
  <c r="H1537"/>
  <c r="H1536"/>
  <c r="H1535"/>
  <c r="H1534"/>
  <c r="H1533"/>
  <c r="H1532"/>
  <c r="H1531"/>
  <c r="H1530"/>
  <c r="H1529"/>
  <c r="H1528"/>
  <c r="H1527"/>
  <c r="H1526"/>
  <c r="H1525"/>
  <c r="H1524"/>
  <c r="H1523"/>
  <c r="H1522"/>
  <c r="H1521"/>
  <c r="H1520"/>
  <c r="H1519"/>
  <c r="H1518"/>
  <c r="H1517"/>
  <c r="H1516"/>
  <c r="H1515"/>
  <c r="H1514"/>
  <c r="H1513"/>
  <c r="H1512"/>
  <c r="H1511"/>
  <c r="H1510"/>
  <c r="H1509"/>
  <c r="H1508"/>
  <c r="H1507"/>
  <c r="H1506"/>
  <c r="H1505"/>
  <c r="H1504"/>
  <c r="H1503"/>
  <c r="H1502"/>
  <c r="H1501"/>
  <c r="H1500"/>
  <c r="O18" i="10"/>
  <c r="N18"/>
  <c r="O17"/>
  <c r="N17"/>
  <c r="O16"/>
  <c r="N16"/>
  <c r="O15"/>
  <c r="N15"/>
  <c r="O14"/>
  <c r="N14"/>
  <c r="O13"/>
  <c r="N13"/>
  <c r="O12"/>
  <c r="N12"/>
  <c r="O11"/>
  <c r="N11"/>
  <c r="O10"/>
  <c r="N10"/>
  <c r="O9"/>
  <c r="N9"/>
  <c r="O8"/>
  <c r="N8"/>
  <c r="O7"/>
  <c r="N7"/>
  <c r="O6"/>
  <c r="N6"/>
  <c r="O5"/>
  <c r="N5"/>
  <c r="H1499" i="5"/>
  <c r="H1498"/>
  <c r="H1497"/>
  <c r="H1496"/>
  <c r="H1495"/>
  <c r="H1494"/>
  <c r="H1493"/>
  <c r="H1492"/>
  <c r="H1491"/>
  <c r="H1490"/>
  <c r="H1489"/>
  <c r="H1488"/>
  <c r="H1487"/>
  <c r="H1486"/>
  <c r="H1485"/>
  <c r="H1484"/>
  <c r="H1483"/>
  <c r="H1482"/>
  <c r="H1481"/>
  <c r="H1480"/>
  <c r="H1479"/>
  <c r="H1478"/>
  <c r="H1477"/>
  <c r="H1476"/>
  <c r="H1475"/>
  <c r="H1474"/>
  <c r="H1473"/>
  <c r="H1472"/>
  <c r="H1471"/>
  <c r="H1470"/>
  <c r="H1469"/>
  <c r="H1468"/>
  <c r="H1467"/>
  <c r="H1466"/>
  <c r="H1465"/>
  <c r="H1464"/>
  <c r="H1463"/>
  <c r="H1462"/>
  <c r="H1461"/>
  <c r="H1460"/>
  <c r="H1459"/>
  <c r="H1458"/>
  <c r="H1457"/>
  <c r="H1456"/>
  <c r="H1455"/>
  <c r="H1454"/>
  <c r="H1453"/>
  <c r="H1452"/>
  <c r="H1451"/>
  <c r="H1450"/>
  <c r="H1449"/>
  <c r="H1448"/>
  <c r="H1447"/>
  <c r="H1446"/>
  <c r="H1445"/>
  <c r="H1444"/>
  <c r="H1443"/>
  <c r="H1442"/>
  <c r="H1441"/>
  <c r="H1440"/>
  <c r="H1439"/>
  <c r="H1438"/>
  <c r="H1437"/>
  <c r="H1436"/>
  <c r="H1435"/>
  <c r="H1434"/>
  <c r="H1433"/>
  <c r="H1432"/>
  <c r="H1431"/>
  <c r="H1430"/>
  <c r="H1429"/>
  <c r="H1428"/>
  <c r="H1427"/>
  <c r="H1426"/>
  <c r="H1425"/>
  <c r="H1424"/>
  <c r="H1423"/>
  <c r="H1422"/>
  <c r="H1421"/>
  <c r="H1420"/>
  <c r="H1419"/>
  <c r="H1418"/>
  <c r="H1417"/>
  <c r="H1416"/>
  <c r="H1415"/>
  <c r="H1414"/>
  <c r="H1413"/>
  <c r="H1412"/>
  <c r="H1411"/>
  <c r="H1410"/>
  <c r="H1409"/>
  <c r="H1408"/>
  <c r="H1407"/>
  <c r="H1406"/>
  <c r="H1405"/>
  <c r="H1404"/>
  <c r="H1403"/>
  <c r="H1402"/>
  <c r="H1401"/>
  <c r="H1400"/>
  <c r="H1399"/>
  <c r="H1398"/>
  <c r="H1397"/>
  <c r="H1396"/>
  <c r="H1395"/>
  <c r="H1394"/>
  <c r="H1393"/>
  <c r="H1392"/>
  <c r="H1391"/>
  <c r="H1390"/>
  <c r="H1389"/>
  <c r="H1388"/>
  <c r="H1387"/>
  <c r="H1386"/>
  <c r="H1385"/>
  <c r="H1384"/>
  <c r="H1383"/>
  <c r="H1382"/>
  <c r="H1381"/>
  <c r="H1380"/>
  <c r="H1379"/>
  <c r="H1378"/>
  <c r="H1377"/>
  <c r="H1376"/>
  <c r="H1375"/>
  <c r="H1374"/>
  <c r="H1373"/>
  <c r="H1372"/>
  <c r="H1371"/>
  <c r="H1370"/>
  <c r="H1369"/>
  <c r="H1368"/>
  <c r="H1367"/>
  <c r="H1366"/>
  <c r="H1365"/>
  <c r="D1438"/>
  <c r="D1437"/>
  <c r="H1364"/>
  <c r="H1363"/>
  <c r="H1362"/>
  <c r="H1361"/>
  <c r="H1360"/>
  <c r="H1359"/>
  <c r="H1358"/>
  <c r="D1334"/>
  <c r="D1309"/>
  <c r="C1580"/>
  <c r="G1580" s="1"/>
  <c r="C1579"/>
  <c r="G1579" s="1"/>
  <c r="C1578"/>
  <c r="G1578" s="1"/>
  <c r="C1577"/>
  <c r="G1577" s="1"/>
  <c r="C1576"/>
  <c r="G1576" s="1"/>
  <c r="C1575"/>
  <c r="G1575" s="1"/>
  <c r="C1574"/>
  <c r="G1574" s="1"/>
  <c r="C1573"/>
  <c r="G1573" s="1"/>
  <c r="C1572"/>
  <c r="G1572" s="1"/>
  <c r="C1571"/>
  <c r="G1571" s="1"/>
  <c r="C1570"/>
  <c r="G1570" s="1"/>
  <c r="C1569"/>
  <c r="G1569" s="1"/>
  <c r="C1568"/>
  <c r="G1568" s="1"/>
  <c r="C1567"/>
  <c r="G1567" s="1"/>
  <c r="C1566"/>
  <c r="G1566" s="1"/>
  <c r="C1565"/>
  <c r="G1565" s="1"/>
  <c r="C1564"/>
  <c r="G1564" s="1"/>
  <c r="C1563"/>
  <c r="G1563" s="1"/>
  <c r="C1562"/>
  <c r="G1562" s="1"/>
  <c r="C1561"/>
  <c r="G1561" s="1"/>
  <c r="C1560"/>
  <c r="G1560" s="1"/>
  <c r="C1559"/>
  <c r="G1559" s="1"/>
  <c r="C1558"/>
  <c r="G1558" s="1"/>
  <c r="C1557"/>
  <c r="G1557" s="1"/>
  <c r="C1556"/>
  <c r="G1556" s="1"/>
  <c r="C1555"/>
  <c r="G1555" s="1"/>
  <c r="C1554"/>
  <c r="G1554" s="1"/>
  <c r="C1553"/>
  <c r="G1553" s="1"/>
  <c r="C1552"/>
  <c r="G1552" s="1"/>
  <c r="C1551"/>
  <c r="G1551" s="1"/>
  <c r="C1550"/>
  <c r="G1550" s="1"/>
  <c r="C1549"/>
  <c r="G1549" s="1"/>
  <c r="C1548"/>
  <c r="G1548" s="1"/>
  <c r="C1547"/>
  <c r="G1547" s="1"/>
  <c r="C1546"/>
  <c r="G1546" s="1"/>
  <c r="C1545"/>
  <c r="G1545" s="1"/>
  <c r="C1544"/>
  <c r="G1544" s="1"/>
  <c r="C1543"/>
  <c r="G1543" s="1"/>
  <c r="C1542"/>
  <c r="G1542" s="1"/>
  <c r="C1541"/>
  <c r="G1541" s="1"/>
  <c r="C1540"/>
  <c r="G1540" s="1"/>
  <c r="C1539"/>
  <c r="G1539" s="1"/>
  <c r="C1538"/>
  <c r="G1538" s="1"/>
  <c r="C1537"/>
  <c r="G1537" s="1"/>
  <c r="C1536"/>
  <c r="G1536" s="1"/>
  <c r="C1535"/>
  <c r="G1535" s="1"/>
  <c r="C1534"/>
  <c r="G1534" s="1"/>
  <c r="C1533"/>
  <c r="G1533" s="1"/>
  <c r="C1532"/>
  <c r="G1532" s="1"/>
  <c r="C1531"/>
  <c r="G1531" s="1"/>
  <c r="C1530"/>
  <c r="G1530" s="1"/>
  <c r="C1529"/>
  <c r="G1529" s="1"/>
  <c r="C1528"/>
  <c r="G1528" s="1"/>
  <c r="C1527"/>
  <c r="G1527" s="1"/>
  <c r="C1526"/>
  <c r="C1525"/>
  <c r="G1525" s="1"/>
  <c r="C1524"/>
  <c r="G1524" s="1"/>
  <c r="C1523"/>
  <c r="G1523" s="1"/>
  <c r="C1522"/>
  <c r="G1522" s="1"/>
  <c r="C1521"/>
  <c r="G1521" s="1"/>
  <c r="C1520"/>
  <c r="G1520" s="1"/>
  <c r="C1519"/>
  <c r="G1519" s="1"/>
  <c r="C1518"/>
  <c r="G1518" s="1"/>
  <c r="C1517"/>
  <c r="G1517" s="1"/>
  <c r="C1516"/>
  <c r="G1516" s="1"/>
  <c r="C1515"/>
  <c r="G1515" s="1"/>
  <c r="C1514"/>
  <c r="G1514" s="1"/>
  <c r="C1513"/>
  <c r="G1513" s="1"/>
  <c r="C1512"/>
  <c r="G1512" s="1"/>
  <c r="C1511"/>
  <c r="G1511" s="1"/>
  <c r="C1510"/>
  <c r="G1510" s="1"/>
  <c r="C1509"/>
  <c r="G1509" s="1"/>
  <c r="C1508"/>
  <c r="G1508" s="1"/>
  <c r="C1507"/>
  <c r="G1507" s="1"/>
  <c r="C1506"/>
  <c r="G1506" s="1"/>
  <c r="C1505"/>
  <c r="G1505" s="1"/>
  <c r="C1504"/>
  <c r="G1504" s="1"/>
  <c r="C1503"/>
  <c r="G1503" s="1"/>
  <c r="C1502"/>
  <c r="G1502" s="1"/>
  <c r="C1501"/>
  <c r="G1501" s="1"/>
  <c r="C1500"/>
  <c r="G1500" s="1"/>
  <c r="C1499"/>
  <c r="G1499" s="1"/>
  <c r="C1498"/>
  <c r="G1498" s="1"/>
  <c r="C1497"/>
  <c r="G1497" s="1"/>
  <c r="C1496"/>
  <c r="G1496" s="1"/>
  <c r="C1495"/>
  <c r="G1495" s="1"/>
  <c r="C1494"/>
  <c r="G1494" s="1"/>
  <c r="C1493"/>
  <c r="G1493" s="1"/>
  <c r="C1492"/>
  <c r="G1492" s="1"/>
  <c r="C1491"/>
  <c r="G1491" s="1"/>
  <c r="C1490"/>
  <c r="G1490" s="1"/>
  <c r="C1489"/>
  <c r="G1489" s="1"/>
  <c r="C1488"/>
  <c r="G1488" s="1"/>
  <c r="C1487"/>
  <c r="G1487" s="1"/>
  <c r="C1486"/>
  <c r="G1486" s="1"/>
  <c r="C1485"/>
  <c r="G1485" s="1"/>
  <c r="C1484"/>
  <c r="G1484" s="1"/>
  <c r="C1483"/>
  <c r="G1483" s="1"/>
  <c r="C1482"/>
  <c r="G1482" s="1"/>
  <c r="C1481"/>
  <c r="G1481" s="1"/>
  <c r="C1480"/>
  <c r="G1480" s="1"/>
  <c r="C1479"/>
  <c r="G1479" s="1"/>
  <c r="C1478"/>
  <c r="G1478" s="1"/>
  <c r="C1477"/>
  <c r="G1477" s="1"/>
  <c r="C1476"/>
  <c r="G1476" s="1"/>
  <c r="C1475"/>
  <c r="G1475" s="1"/>
  <c r="C1474"/>
  <c r="G1474" s="1"/>
  <c r="C1473"/>
  <c r="G1473" s="1"/>
  <c r="C1472"/>
  <c r="G1472" s="1"/>
  <c r="C1471"/>
  <c r="G1471" s="1"/>
  <c r="C1470"/>
  <c r="G1470" s="1"/>
  <c r="C1469"/>
  <c r="G1469" s="1"/>
  <c r="C1468"/>
  <c r="G1468" s="1"/>
  <c r="C1467"/>
  <c r="G1467" s="1"/>
  <c r="C1466"/>
  <c r="G1466" s="1"/>
  <c r="C1465"/>
  <c r="G1465" s="1"/>
  <c r="C1464"/>
  <c r="G1464" s="1"/>
  <c r="C1463"/>
  <c r="G1463" s="1"/>
  <c r="C1462"/>
  <c r="G1462" s="1"/>
  <c r="C1461"/>
  <c r="G1461" s="1"/>
  <c r="C1460"/>
  <c r="G1460" s="1"/>
  <c r="C1459"/>
  <c r="G1459" s="1"/>
  <c r="C1458"/>
  <c r="G1458" s="1"/>
  <c r="C1457"/>
  <c r="G1457" s="1"/>
  <c r="C1456"/>
  <c r="G1456" s="1"/>
  <c r="C1455"/>
  <c r="G1455" s="1"/>
  <c r="C1454"/>
  <c r="G1454" s="1"/>
  <c r="C1453"/>
  <c r="G1453" s="1"/>
  <c r="C1452"/>
  <c r="G1452" s="1"/>
  <c r="C1451"/>
  <c r="G1451" s="1"/>
  <c r="C1450"/>
  <c r="G1450" s="1"/>
  <c r="C1449"/>
  <c r="G1449" s="1"/>
  <c r="C1448"/>
  <c r="G1448" s="1"/>
  <c r="C1447"/>
  <c r="G1447" s="1"/>
  <c r="C1446"/>
  <c r="G1446" s="1"/>
  <c r="C1445"/>
  <c r="G1445" s="1"/>
  <c r="C1444"/>
  <c r="G1444" s="1"/>
  <c r="C1443"/>
  <c r="G1443" s="1"/>
  <c r="C1442"/>
  <c r="G1442" s="1"/>
  <c r="C1441"/>
  <c r="G1441" s="1"/>
  <c r="C1440"/>
  <c r="G1440" s="1"/>
  <c r="C1439"/>
  <c r="G1439" s="1"/>
  <c r="C1438"/>
  <c r="C1436"/>
  <c r="G1436" s="1"/>
  <c r="C1435"/>
  <c r="G1435" s="1"/>
  <c r="C1434"/>
  <c r="G1434" s="1"/>
  <c r="C1433"/>
  <c r="G1433" s="1"/>
  <c r="C1432"/>
  <c r="G1432" s="1"/>
  <c r="C1431"/>
  <c r="G1431" s="1"/>
  <c r="C1430"/>
  <c r="G1430" s="1"/>
  <c r="C1429"/>
  <c r="G1429" s="1"/>
  <c r="C1428"/>
  <c r="G1428" s="1"/>
  <c r="C1427"/>
  <c r="G1427" s="1"/>
  <c r="C1426"/>
  <c r="G1426" s="1"/>
  <c r="C1425"/>
  <c r="G1425" s="1"/>
  <c r="C1424"/>
  <c r="G1424" s="1"/>
  <c r="C1423"/>
  <c r="G1423" s="1"/>
  <c r="C1422"/>
  <c r="G1422" s="1"/>
  <c r="C1421"/>
  <c r="G1421" s="1"/>
  <c r="C1420"/>
  <c r="G1420" s="1"/>
  <c r="C1419"/>
  <c r="G1419" s="1"/>
  <c r="C1418"/>
  <c r="G1418" s="1"/>
  <c r="C1417"/>
  <c r="G1417" s="1"/>
  <c r="C1416"/>
  <c r="G1416" s="1"/>
  <c r="C1415"/>
  <c r="G1415" s="1"/>
  <c r="C1414"/>
  <c r="C1413"/>
  <c r="G1413" s="1"/>
  <c r="C1412"/>
  <c r="G1412" s="1"/>
  <c r="C1411"/>
  <c r="G1411" s="1"/>
  <c r="C1410"/>
  <c r="G1410" s="1"/>
  <c r="C1409"/>
  <c r="G1409" s="1"/>
  <c r="C1408"/>
  <c r="G1408" s="1"/>
  <c r="C1407"/>
  <c r="G1407" s="1"/>
  <c r="C1406"/>
  <c r="G1406" s="1"/>
  <c r="C1405"/>
  <c r="G1405" s="1"/>
  <c r="C1404"/>
  <c r="G1404" s="1"/>
  <c r="C1403"/>
  <c r="G1403" s="1"/>
  <c r="C1402"/>
  <c r="G1402" s="1"/>
  <c r="C1401"/>
  <c r="G1401" s="1"/>
  <c r="C1400"/>
  <c r="G1400" s="1"/>
  <c r="C1399"/>
  <c r="G1399" s="1"/>
  <c r="C1398"/>
  <c r="G1398" s="1"/>
  <c r="C1397"/>
  <c r="G1397" s="1"/>
  <c r="C1396"/>
  <c r="G1396" s="1"/>
  <c r="C1395"/>
  <c r="G1395" s="1"/>
  <c r="G1414"/>
  <c r="H1357"/>
  <c r="H1287"/>
  <c r="C1287"/>
  <c r="G1287" s="1"/>
  <c r="H1356"/>
  <c r="H1355"/>
  <c r="H1354"/>
  <c r="H1353"/>
  <c r="H1352"/>
  <c r="H1351"/>
  <c r="H1350"/>
  <c r="H1349"/>
  <c r="H1348"/>
  <c r="H1347"/>
  <c r="H1346"/>
  <c r="H1345"/>
  <c r="H1344"/>
  <c r="H1343"/>
  <c r="H1342"/>
  <c r="H1341"/>
  <c r="H1340"/>
  <c r="H1339"/>
  <c r="H1338"/>
  <c r="H1337"/>
  <c r="H1336"/>
  <c r="H1335"/>
  <c r="H1334"/>
  <c r="H1333"/>
  <c r="H1332"/>
  <c r="H1331"/>
  <c r="H1330"/>
  <c r="H1329"/>
  <c r="H1328"/>
  <c r="H1327"/>
  <c r="H1326"/>
  <c r="H1325"/>
  <c r="H1324"/>
  <c r="H1323"/>
  <c r="H1322"/>
  <c r="H1321"/>
  <c r="H1320"/>
  <c r="H1319"/>
  <c r="H1318"/>
  <c r="H1317"/>
  <c r="H1316"/>
  <c r="H1315"/>
  <c r="H1314"/>
  <c r="H1313"/>
  <c r="H1312"/>
  <c r="H1311"/>
  <c r="H1310"/>
  <c r="H1309"/>
  <c r="H1308"/>
  <c r="H1307"/>
  <c r="H1306"/>
  <c r="H1286"/>
  <c r="C1286"/>
  <c r="G1286" s="1"/>
  <c r="R9" i="10"/>
  <c r="C1394" i="5"/>
  <c r="G1394" s="1"/>
  <c r="C1393"/>
  <c r="G1393" s="1"/>
  <c r="C1392"/>
  <c r="G1392" s="1"/>
  <c r="C1391"/>
  <c r="G1391" s="1"/>
  <c r="C1390"/>
  <c r="G1390" s="1"/>
  <c r="C1389"/>
  <c r="G1389" s="1"/>
  <c r="C1388"/>
  <c r="G1388" s="1"/>
  <c r="C1387"/>
  <c r="G1387" s="1"/>
  <c r="C1386"/>
  <c r="G1386" s="1"/>
  <c r="C1385"/>
  <c r="G1385" s="1"/>
  <c r="C1384"/>
  <c r="G1384" s="1"/>
  <c r="C1383"/>
  <c r="G1383" s="1"/>
  <c r="C1382"/>
  <c r="G1382" s="1"/>
  <c r="C1381"/>
  <c r="G1381" s="1"/>
  <c r="C1380"/>
  <c r="G1380" s="1"/>
  <c r="C1379"/>
  <c r="G1379" s="1"/>
  <c r="C1378"/>
  <c r="G1378" s="1"/>
  <c r="C1377"/>
  <c r="G1377" s="1"/>
  <c r="C1376"/>
  <c r="G1376" s="1"/>
  <c r="C1375"/>
  <c r="G1375" s="1"/>
  <c r="C1374"/>
  <c r="G1374" s="1"/>
  <c r="C1373"/>
  <c r="G1373" s="1"/>
  <c r="C1372"/>
  <c r="G1372" s="1"/>
  <c r="C1371"/>
  <c r="G1371" s="1"/>
  <c r="C1370"/>
  <c r="G1370" s="1"/>
  <c r="C1369"/>
  <c r="G1369" s="1"/>
  <c r="C1368"/>
  <c r="G1368" s="1"/>
  <c r="C1367"/>
  <c r="G1367" s="1"/>
  <c r="C1366"/>
  <c r="G1366" s="1"/>
  <c r="C1365"/>
  <c r="G1365" s="1"/>
  <c r="C1364"/>
  <c r="G1364" s="1"/>
  <c r="C1363"/>
  <c r="G1363" s="1"/>
  <c r="C1362"/>
  <c r="G1362" s="1"/>
  <c r="C1361"/>
  <c r="G1361" s="1"/>
  <c r="C1360"/>
  <c r="G1360" s="1"/>
  <c r="C1359"/>
  <c r="G1359" s="1"/>
  <c r="C1358"/>
  <c r="G1358" s="1"/>
  <c r="C1357"/>
  <c r="G1357" s="1"/>
  <c r="C1356"/>
  <c r="G1356" s="1"/>
  <c r="C1355"/>
  <c r="G1355" s="1"/>
  <c r="C1354"/>
  <c r="G1354" s="1"/>
  <c r="C1353"/>
  <c r="G1353" s="1"/>
  <c r="C1352"/>
  <c r="G1352" s="1"/>
  <c r="C1351"/>
  <c r="G1351" s="1"/>
  <c r="C1350"/>
  <c r="G1350" s="1"/>
  <c r="C1349"/>
  <c r="G1349" s="1"/>
  <c r="C1348"/>
  <c r="G1348" s="1"/>
  <c r="C1347"/>
  <c r="G1347" s="1"/>
  <c r="C1346"/>
  <c r="G1346" s="1"/>
  <c r="C1345"/>
  <c r="G1345" s="1"/>
  <c r="C1344"/>
  <c r="G1344" s="1"/>
  <c r="C1343"/>
  <c r="G1343" s="1"/>
  <c r="C1342"/>
  <c r="G1342" s="1"/>
  <c r="C1341"/>
  <c r="C1340"/>
  <c r="G1340" s="1"/>
  <c r="C1339"/>
  <c r="G1339" s="1"/>
  <c r="C1338"/>
  <c r="G1338" s="1"/>
  <c r="C1337"/>
  <c r="G1337" s="1"/>
  <c r="C1336"/>
  <c r="G1336" s="1"/>
  <c r="C1335"/>
  <c r="G1335" s="1"/>
  <c r="C1334"/>
  <c r="C1333"/>
  <c r="G1333" s="1"/>
  <c r="C1332"/>
  <c r="G1332" s="1"/>
  <c r="C1331"/>
  <c r="G1331" s="1"/>
  <c r="C1330"/>
  <c r="G1330" s="1"/>
  <c r="C1329"/>
  <c r="G1329" s="1"/>
  <c r="C1328"/>
  <c r="G1328" s="1"/>
  <c r="C1327"/>
  <c r="G1327" s="1"/>
  <c r="C1326"/>
  <c r="G1326" s="1"/>
  <c r="C1325"/>
  <c r="G1325" s="1"/>
  <c r="C1324"/>
  <c r="G1324" s="1"/>
  <c r="C1323"/>
  <c r="G1323" s="1"/>
  <c r="C1322"/>
  <c r="G1322" s="1"/>
  <c r="C1321"/>
  <c r="G1321" s="1"/>
  <c r="C1320"/>
  <c r="G1320" s="1"/>
  <c r="C1319"/>
  <c r="G1319" s="1"/>
  <c r="C1318"/>
  <c r="G1318" s="1"/>
  <c r="C1317"/>
  <c r="G1317" s="1"/>
  <c r="C1316"/>
  <c r="G1316" s="1"/>
  <c r="C1315"/>
  <c r="G1315" s="1"/>
  <c r="C1314"/>
  <c r="G1314" s="1"/>
  <c r="C1313"/>
  <c r="G1313" s="1"/>
  <c r="C1312"/>
  <c r="G1312" s="1"/>
  <c r="C1311"/>
  <c r="G1311" s="1"/>
  <c r="C1310"/>
  <c r="G1310" s="1"/>
  <c r="C1309"/>
  <c r="C1308"/>
  <c r="G1308" s="1"/>
  <c r="C1307"/>
  <c r="G1307" s="1"/>
  <c r="C1306"/>
  <c r="G1306" s="1"/>
  <c r="C1305"/>
  <c r="G1305" s="1"/>
  <c r="C1304"/>
  <c r="G1304" s="1"/>
  <c r="C1303"/>
  <c r="G1303" s="1"/>
  <c r="C1302"/>
  <c r="G1302" s="1"/>
  <c r="C1301"/>
  <c r="G1301" s="1"/>
  <c r="C1300"/>
  <c r="G1300" s="1"/>
  <c r="C1299"/>
  <c r="G1299" s="1"/>
  <c r="C1298"/>
  <c r="G1298" s="1"/>
  <c r="C1297"/>
  <c r="G1297" s="1"/>
  <c r="C1296"/>
  <c r="G1296" s="1"/>
  <c r="C1295"/>
  <c r="G1295" s="1"/>
  <c r="C1294"/>
  <c r="G1294" s="1"/>
  <c r="C1293"/>
  <c r="G1293" s="1"/>
  <c r="C1292"/>
  <c r="G1292" s="1"/>
  <c r="C1291"/>
  <c r="G1291" s="1"/>
  <c r="C1290"/>
  <c r="G1290" s="1"/>
  <c r="C1289"/>
  <c r="G1289" s="1"/>
  <c r="C1288"/>
  <c r="G1288" s="1"/>
  <c r="C1285"/>
  <c r="G1285" s="1"/>
  <c r="C1284"/>
  <c r="G1284" s="1"/>
  <c r="G1341"/>
  <c r="C1283"/>
  <c r="G1283" s="1"/>
  <c r="C1282"/>
  <c r="G1282" s="1"/>
  <c r="C1281"/>
  <c r="G1281" s="1"/>
  <c r="C1280"/>
  <c r="G1280" s="1"/>
  <c r="C1279"/>
  <c r="G1279" s="1"/>
  <c r="C1278"/>
  <c r="G1278" s="1"/>
  <c r="C1277"/>
  <c r="G1277" s="1"/>
  <c r="C1276"/>
  <c r="G1276" s="1"/>
  <c r="C1275"/>
  <c r="G1275" s="1"/>
  <c r="C1274"/>
  <c r="G1274" s="1"/>
  <c r="C1273"/>
  <c r="G1273" s="1"/>
  <c r="C1272"/>
  <c r="G1272" s="1"/>
  <c r="C1271"/>
  <c r="G1271" s="1"/>
  <c r="C1270"/>
  <c r="G1270" s="1"/>
  <c r="C1269"/>
  <c r="G1269" s="1"/>
  <c r="C1268"/>
  <c r="G1268" s="1"/>
  <c r="C1267"/>
  <c r="G1267" s="1"/>
  <c r="C1266"/>
  <c r="G1266" s="1"/>
  <c r="C1265"/>
  <c r="G1265" s="1"/>
  <c r="C1264"/>
  <c r="G1264" s="1"/>
  <c r="C1263"/>
  <c r="G1263" s="1"/>
  <c r="C1262"/>
  <c r="G1262" s="1"/>
  <c r="C1261"/>
  <c r="G1261" s="1"/>
  <c r="C1260"/>
  <c r="G1260" s="1"/>
  <c r="C1259"/>
  <c r="G1259" s="1"/>
  <c r="C1258"/>
  <c r="G1258" s="1"/>
  <c r="C1257"/>
  <c r="G1257" s="1"/>
  <c r="C1256"/>
  <c r="G1256" s="1"/>
  <c r="C1255"/>
  <c r="G1255" s="1"/>
  <c r="C1254"/>
  <c r="G1254" s="1"/>
  <c r="C1253"/>
  <c r="G1253" s="1"/>
  <c r="C1252"/>
  <c r="G1252" s="1"/>
  <c r="N11" i="11"/>
  <c r="N10"/>
  <c r="N9"/>
  <c r="N6"/>
  <c r="N5"/>
  <c r="P3" i="9"/>
  <c r="Q12"/>
  <c r="Q3"/>
  <c r="D1233" i="5"/>
  <c r="D1232"/>
  <c r="D1229"/>
  <c r="D1228"/>
  <c r="D1227"/>
  <c r="D1223"/>
  <c r="D1222"/>
  <c r="C1251"/>
  <c r="G1251" s="1"/>
  <c r="C1250"/>
  <c r="G1250" s="1"/>
  <c r="C1249"/>
  <c r="G1249" s="1"/>
  <c r="C1248"/>
  <c r="G1248" s="1"/>
  <c r="C1247"/>
  <c r="G1247" s="1"/>
  <c r="C1246"/>
  <c r="G1246" s="1"/>
  <c r="C1245"/>
  <c r="G1245" s="1"/>
  <c r="C1244"/>
  <c r="G1244" s="1"/>
  <c r="C1243"/>
  <c r="G1243" s="1"/>
  <c r="C1242"/>
  <c r="G1242" s="1"/>
  <c r="C1241"/>
  <c r="G1241" s="1"/>
  <c r="C1240"/>
  <c r="G1240" s="1"/>
  <c r="C1239"/>
  <c r="G1239" s="1"/>
  <c r="C1238"/>
  <c r="G1238" s="1"/>
  <c r="C1237"/>
  <c r="G1237" s="1"/>
  <c r="C1236"/>
  <c r="G1236" s="1"/>
  <c r="C1235"/>
  <c r="G1235" s="1"/>
  <c r="C1234"/>
  <c r="G1234" s="1"/>
  <c r="C1233"/>
  <c r="G1233" s="1"/>
  <c r="C1232"/>
  <c r="C1231"/>
  <c r="G1231" s="1"/>
  <c r="C1230"/>
  <c r="G1230" s="1"/>
  <c r="C1229"/>
  <c r="C1228"/>
  <c r="C1227"/>
  <c r="C1226"/>
  <c r="G1226" s="1"/>
  <c r="C1225"/>
  <c r="G1225" s="1"/>
  <c r="C1224"/>
  <c r="G1224" s="1"/>
  <c r="C1223"/>
  <c r="C1222"/>
  <c r="C1221"/>
  <c r="C1220"/>
  <c r="G1220" s="1"/>
  <c r="C1219"/>
  <c r="G1219" s="1"/>
  <c r="C1218"/>
  <c r="G1218" s="1"/>
  <c r="C1217"/>
  <c r="G1217" s="1"/>
  <c r="C1216"/>
  <c r="G1216" s="1"/>
  <c r="C1215"/>
  <c r="G1215" s="1"/>
  <c r="C1214"/>
  <c r="G1214" s="1"/>
  <c r="C1213"/>
  <c r="G1213" s="1"/>
  <c r="C1212"/>
  <c r="G1212" s="1"/>
  <c r="C1211"/>
  <c r="G1211" s="1"/>
  <c r="C1210"/>
  <c r="G1210" s="1"/>
  <c r="C1209"/>
  <c r="G1209" s="1"/>
  <c r="C1208"/>
  <c r="G1208" s="1"/>
  <c r="C1207"/>
  <c r="G1207" s="1"/>
  <c r="C1206"/>
  <c r="G1206" s="1"/>
  <c r="C1205"/>
  <c r="G1205" s="1"/>
  <c r="C1204"/>
  <c r="G1204" s="1"/>
  <c r="C1203"/>
  <c r="G1203" s="1"/>
  <c r="C1202"/>
  <c r="G1202" s="1"/>
  <c r="C1201"/>
  <c r="G1201" s="1"/>
  <c r="C1200"/>
  <c r="G1200" s="1"/>
  <c r="C1199"/>
  <c r="G1199" s="1"/>
  <c r="C1198"/>
  <c r="G1198" s="1"/>
  <c r="C1197"/>
  <c r="G1197" s="1"/>
  <c r="C1196"/>
  <c r="G1196" s="1"/>
  <c r="C1195"/>
  <c r="G1195" s="1"/>
  <c r="C1194"/>
  <c r="G1194" s="1"/>
  <c r="C1193"/>
  <c r="G1193" s="1"/>
  <c r="C1192"/>
  <c r="G1192" s="1"/>
  <c r="C1191"/>
  <c r="G1191" s="1"/>
  <c r="C1190"/>
  <c r="G1190" s="1"/>
  <c r="C1189"/>
  <c r="G1189" s="1"/>
  <c r="C1188"/>
  <c r="G1188" s="1"/>
  <c r="C1187"/>
  <c r="G1187" s="1"/>
  <c r="C1186"/>
  <c r="G1186" s="1"/>
  <c r="C1185"/>
  <c r="G1185" s="1"/>
  <c r="C1184"/>
  <c r="G1184" s="1"/>
  <c r="C1183"/>
  <c r="G1183" s="1"/>
  <c r="C1182"/>
  <c r="G1182" s="1"/>
  <c r="C1181"/>
  <c r="G1181" s="1"/>
  <c r="C1180"/>
  <c r="G1180" s="1"/>
  <c r="C1179"/>
  <c r="G1179" s="1"/>
  <c r="C1178"/>
  <c r="G1178" s="1"/>
  <c r="C1177"/>
  <c r="G1177" s="1"/>
  <c r="C1176"/>
  <c r="G1176" s="1"/>
  <c r="C1175"/>
  <c r="G1175" s="1"/>
  <c r="C1174"/>
  <c r="G1174" s="1"/>
  <c r="C1173"/>
  <c r="G1173" s="1"/>
  <c r="C1172"/>
  <c r="G1172" s="1"/>
  <c r="C1171"/>
  <c r="G1171" s="1"/>
  <c r="C1170"/>
  <c r="G1170" s="1"/>
  <c r="C1169"/>
  <c r="G1169" s="1"/>
  <c r="C1168"/>
  <c r="G1168" s="1"/>
  <c r="O3" i="9"/>
  <c r="O12"/>
  <c r="N12"/>
  <c r="N3"/>
  <c r="U6" i="10"/>
  <c r="U9" s="1"/>
  <c r="B21" i="9"/>
  <c r="R8" i="10"/>
  <c r="R7"/>
  <c r="R6"/>
  <c r="AB5"/>
  <c r="R5"/>
  <c r="H1305" i="5"/>
  <c r="H1304"/>
  <c r="H1303"/>
  <c r="H1302"/>
  <c r="H1301"/>
  <c r="H1300"/>
  <c r="H1299"/>
  <c r="H1298"/>
  <c r="H1297"/>
  <c r="H1296"/>
  <c r="H1295"/>
  <c r="H1294"/>
  <c r="H1293"/>
  <c r="H1292"/>
  <c r="H1291"/>
  <c r="H1290"/>
  <c r="H1289"/>
  <c r="H1288"/>
  <c r="H1285"/>
  <c r="H1284"/>
  <c r="H1283"/>
  <c r="H1282"/>
  <c r="H1281"/>
  <c r="H1280"/>
  <c r="H1279"/>
  <c r="H1278"/>
  <c r="H1277"/>
  <c r="H1276"/>
  <c r="H1275"/>
  <c r="H1274"/>
  <c r="H1273"/>
  <c r="H1272"/>
  <c r="H1271"/>
  <c r="H1270"/>
  <c r="H1269"/>
  <c r="H1268"/>
  <c r="H1267"/>
  <c r="H1266"/>
  <c r="H1265"/>
  <c r="H1264"/>
  <c r="H1263"/>
  <c r="H1262"/>
  <c r="H1261"/>
  <c r="H1260"/>
  <c r="H1259"/>
  <c r="H1258"/>
  <c r="H1257"/>
  <c r="H1256"/>
  <c r="H1255"/>
  <c r="H1254"/>
  <c r="H1253"/>
  <c r="H1252"/>
  <c r="H1251"/>
  <c r="H1250"/>
  <c r="H1249"/>
  <c r="H1248"/>
  <c r="H1247"/>
  <c r="H1246"/>
  <c r="H1245"/>
  <c r="H1244"/>
  <c r="H1243"/>
  <c r="H1242"/>
  <c r="H1241"/>
  <c r="H1240"/>
  <c r="H1239"/>
  <c r="H1238"/>
  <c r="H1237"/>
  <c r="H1236"/>
  <c r="H1235"/>
  <c r="H1234"/>
  <c r="H1233"/>
  <c r="H1232"/>
  <c r="H1231"/>
  <c r="H1230"/>
  <c r="H1229"/>
  <c r="H1228"/>
  <c r="H1227"/>
  <c r="H1226"/>
  <c r="H1225"/>
  <c r="H1224"/>
  <c r="H1223"/>
  <c r="H1222"/>
  <c r="H1221"/>
  <c r="H1220"/>
  <c r="H1219"/>
  <c r="H1218"/>
  <c r="H1217"/>
  <c r="H1216"/>
  <c r="H1215"/>
  <c r="H1214"/>
  <c r="H1213"/>
  <c r="H1212"/>
  <c r="H1211"/>
  <c r="H1210"/>
  <c r="H1209"/>
  <c r="H1208"/>
  <c r="H1207"/>
  <c r="H1206"/>
  <c r="H1205"/>
  <c r="H1204"/>
  <c r="H1203"/>
  <c r="H1202"/>
  <c r="H1201"/>
  <c r="H1200"/>
  <c r="H1199"/>
  <c r="H1198"/>
  <c r="H1197"/>
  <c r="H1196"/>
  <c r="H1195"/>
  <c r="H1194"/>
  <c r="H1193"/>
  <c r="H1192"/>
  <c r="H1191"/>
  <c r="H1190"/>
  <c r="H1189"/>
  <c r="H1188"/>
  <c r="H1187"/>
  <c r="H1186"/>
  <c r="H1185"/>
  <c r="H1184"/>
  <c r="H1183"/>
  <c r="H1182"/>
  <c r="H1181"/>
  <c r="H1180"/>
  <c r="H1179"/>
  <c r="H1178"/>
  <c r="H1177"/>
  <c r="H1176"/>
  <c r="H1175"/>
  <c r="H1174"/>
  <c r="H1173"/>
  <c r="H1172"/>
  <c r="H1171"/>
  <c r="H1170"/>
  <c r="H1169"/>
  <c r="H1168"/>
  <c r="H1167"/>
  <c r="H1166"/>
  <c r="H1165"/>
  <c r="H1164"/>
  <c r="H1163"/>
  <c r="H1162"/>
  <c r="H1161"/>
  <c r="H1160"/>
  <c r="H1159"/>
  <c r="H1158"/>
  <c r="H1157"/>
  <c r="H1156"/>
  <c r="H1155"/>
  <c r="H1154"/>
  <c r="H1153"/>
  <c r="H1152"/>
  <c r="H1151"/>
  <c r="H1150"/>
  <c r="H1149"/>
  <c r="H1148"/>
  <c r="H1147"/>
  <c r="H1146"/>
  <c r="H1145"/>
  <c r="H1144"/>
  <c r="H1143"/>
  <c r="H1142"/>
  <c r="H1141"/>
  <c r="H1140"/>
  <c r="H1139"/>
  <c r="H1138"/>
  <c r="H1137"/>
  <c r="H1136"/>
  <c r="H1135"/>
  <c r="H1134"/>
  <c r="H1133"/>
  <c r="H1132"/>
  <c r="H1131"/>
  <c r="H1130"/>
  <c r="H1129"/>
  <c r="H1128"/>
  <c r="H1127"/>
  <c r="H1126"/>
  <c r="H1125"/>
  <c r="H1124"/>
  <c r="H1123"/>
  <c r="H1122"/>
  <c r="H1121"/>
  <c r="H1120"/>
  <c r="H1119"/>
  <c r="H1118"/>
  <c r="H1117"/>
  <c r="H1116"/>
  <c r="H1115"/>
  <c r="H1114"/>
  <c r="H1113"/>
  <c r="H1112"/>
  <c r="H1111"/>
  <c r="H1110"/>
  <c r="H1109"/>
  <c r="H1108"/>
  <c r="H1107"/>
  <c r="H1106"/>
  <c r="H1105"/>
  <c r="H1104"/>
  <c r="H1103"/>
  <c r="H1102"/>
  <c r="H1101"/>
  <c r="H1100"/>
  <c r="H1099"/>
  <c r="H1098"/>
  <c r="H1097"/>
  <c r="H1096"/>
  <c r="H1095"/>
  <c r="H1094"/>
  <c r="H1093"/>
  <c r="H1092"/>
  <c r="H1091"/>
  <c r="H1090"/>
  <c r="H1089"/>
  <c r="H1088"/>
  <c r="H1087"/>
  <c r="H1086"/>
  <c r="H1085"/>
  <c r="H1084"/>
  <c r="H1083"/>
  <c r="H1082"/>
  <c r="H1081"/>
  <c r="H1080"/>
  <c r="H1079"/>
  <c r="H1078"/>
  <c r="H1077"/>
  <c r="H1076"/>
  <c r="H1075"/>
  <c r="H1074"/>
  <c r="H1073"/>
  <c r="H1072"/>
  <c r="H1071"/>
  <c r="H1070"/>
  <c r="H1069"/>
  <c r="H1068"/>
  <c r="H1067"/>
  <c r="H1066"/>
  <c r="H1065"/>
  <c r="H1064"/>
  <c r="H1063"/>
  <c r="H1062"/>
  <c r="H1061"/>
  <c r="H1060"/>
  <c r="H1059"/>
  <c r="H1058"/>
  <c r="H1057"/>
  <c r="H1056"/>
  <c r="H1055"/>
  <c r="H1054"/>
  <c r="H1053"/>
  <c r="H1052"/>
  <c r="H1051"/>
  <c r="H1050"/>
  <c r="H1049"/>
  <c r="H1048"/>
  <c r="H1047"/>
  <c r="H1046"/>
  <c r="H1045"/>
  <c r="H1044"/>
  <c r="H1043"/>
  <c r="H1042"/>
  <c r="H1041"/>
  <c r="H1040"/>
  <c r="H1039"/>
  <c r="H1038"/>
  <c r="H1037"/>
  <c r="H1036"/>
  <c r="H1035"/>
  <c r="H1034"/>
  <c r="H1033"/>
  <c r="H1032"/>
  <c r="H1031"/>
  <c r="H1030"/>
  <c r="H1029"/>
  <c r="H1028"/>
  <c r="H1027"/>
  <c r="H1026"/>
  <c r="H1025"/>
  <c r="H1024"/>
  <c r="H1023"/>
  <c r="H1022"/>
  <c r="H1021"/>
  <c r="H1020"/>
  <c r="H1019"/>
  <c r="H1018"/>
  <c r="H1017"/>
  <c r="H1016"/>
  <c r="H1015"/>
  <c r="H1014"/>
  <c r="H1013"/>
  <c r="H1012"/>
  <c r="H1011"/>
  <c r="H1010"/>
  <c r="H1009"/>
  <c r="H1008"/>
  <c r="H1007"/>
  <c r="H1006"/>
  <c r="H1005"/>
  <c r="H1004"/>
  <c r="H1003"/>
  <c r="H1002"/>
  <c r="H1001"/>
  <c r="H1000"/>
  <c r="H999"/>
  <c r="H998"/>
  <c r="H997"/>
  <c r="H996"/>
  <c r="H995"/>
  <c r="H994"/>
  <c r="H993"/>
  <c r="H992"/>
  <c r="H991"/>
  <c r="H990"/>
  <c r="H989"/>
  <c r="H988"/>
  <c r="H987"/>
  <c r="H986"/>
  <c r="H985"/>
  <c r="H984"/>
  <c r="H983"/>
  <c r="H982"/>
  <c r="H981"/>
  <c r="H980"/>
  <c r="H979"/>
  <c r="H978"/>
  <c r="H977"/>
  <c r="H976"/>
  <c r="H975"/>
  <c r="H974"/>
  <c r="H973"/>
  <c r="H972"/>
  <c r="H971"/>
  <c r="H970"/>
  <c r="H969"/>
  <c r="H968"/>
  <c r="H967"/>
  <c r="H966"/>
  <c r="H965"/>
  <c r="H964"/>
  <c r="H963"/>
  <c r="H962"/>
  <c r="H961"/>
  <c r="H960"/>
  <c r="H959"/>
  <c r="H958"/>
  <c r="H957"/>
  <c r="H956"/>
  <c r="H955"/>
  <c r="H954"/>
  <c r="H953"/>
  <c r="H952"/>
  <c r="H951"/>
  <c r="H950"/>
  <c r="H949"/>
  <c r="H948"/>
  <c r="H947"/>
  <c r="H946"/>
  <c r="H945"/>
  <c r="H944"/>
  <c r="H943"/>
  <c r="H942"/>
  <c r="H941"/>
  <c r="H940"/>
  <c r="H939"/>
  <c r="H938"/>
  <c r="H937"/>
  <c r="H936"/>
  <c r="H935"/>
  <c r="H934"/>
  <c r="H933"/>
  <c r="H932"/>
  <c r="H931"/>
  <c r="H930"/>
  <c r="H929"/>
  <c r="H928"/>
  <c r="H927"/>
  <c r="H926"/>
  <c r="H925"/>
  <c r="H924"/>
  <c r="H923"/>
  <c r="H922"/>
  <c r="H921"/>
  <c r="H920"/>
  <c r="H919"/>
  <c r="H918"/>
  <c r="H917"/>
  <c r="H916"/>
  <c r="H915"/>
  <c r="H914"/>
  <c r="H913"/>
  <c r="H912"/>
  <c r="H911"/>
  <c r="H910"/>
  <c r="H909"/>
  <c r="H908"/>
  <c r="H907"/>
  <c r="H906"/>
  <c r="H905"/>
  <c r="H904"/>
  <c r="H903"/>
  <c r="H902"/>
  <c r="H901"/>
  <c r="H900"/>
  <c r="H899"/>
  <c r="H898"/>
  <c r="H897"/>
  <c r="H896"/>
  <c r="H895"/>
  <c r="H894"/>
  <c r="H893"/>
  <c r="H892"/>
  <c r="H891"/>
  <c r="H890"/>
  <c r="H889"/>
  <c r="H888"/>
  <c r="H887"/>
  <c r="H886"/>
  <c r="H885"/>
  <c r="H884"/>
  <c r="H883"/>
  <c r="H882"/>
  <c r="H881"/>
  <c r="H880"/>
  <c r="H879"/>
  <c r="H878"/>
  <c r="H877"/>
  <c r="H876"/>
  <c r="H875"/>
  <c r="H874"/>
  <c r="H873"/>
  <c r="H872"/>
  <c r="H871"/>
  <c r="H870"/>
  <c r="H869"/>
  <c r="H868"/>
  <c r="H867"/>
  <c r="H866"/>
  <c r="H865"/>
  <c r="H864"/>
  <c r="H863"/>
  <c r="H862"/>
  <c r="H861"/>
  <c r="H860"/>
  <c r="H859"/>
  <c r="H858"/>
  <c r="H857"/>
  <c r="H856"/>
  <c r="H855"/>
  <c r="H854"/>
  <c r="H853"/>
  <c r="H852"/>
  <c r="H851"/>
  <c r="H850"/>
  <c r="H849"/>
  <c r="H848"/>
  <c r="H847"/>
  <c r="H846"/>
  <c r="H845"/>
  <c r="H844"/>
  <c r="H843"/>
  <c r="H842"/>
  <c r="H841"/>
  <c r="H840"/>
  <c r="H839"/>
  <c r="H838"/>
  <c r="H837"/>
  <c r="H836"/>
  <c r="H835"/>
  <c r="H834"/>
  <c r="H833"/>
  <c r="H832"/>
  <c r="H831"/>
  <c r="H830"/>
  <c r="H829"/>
  <c r="H828"/>
  <c r="H827"/>
  <c r="H826"/>
  <c r="H825"/>
  <c r="H824"/>
  <c r="H823"/>
  <c r="H822"/>
  <c r="H821"/>
  <c r="H820"/>
  <c r="H819"/>
  <c r="H818"/>
  <c r="H817"/>
  <c r="H816"/>
  <c r="H815"/>
  <c r="H814"/>
  <c r="H813"/>
  <c r="H812"/>
  <c r="H811"/>
  <c r="H810"/>
  <c r="H809"/>
  <c r="H808"/>
  <c r="H807"/>
  <c r="H806"/>
  <c r="H805"/>
  <c r="H804"/>
  <c r="H803"/>
  <c r="H802"/>
  <c r="H801"/>
  <c r="H800"/>
  <c r="H799"/>
  <c r="H798"/>
  <c r="H797"/>
  <c r="H796"/>
  <c r="H795"/>
  <c r="H794"/>
  <c r="H793"/>
  <c r="H792"/>
  <c r="H791"/>
  <c r="H790"/>
  <c r="H789"/>
  <c r="H788"/>
  <c r="H787"/>
  <c r="H786"/>
  <c r="H785"/>
  <c r="H784"/>
  <c r="H783"/>
  <c r="H782"/>
  <c r="H781"/>
  <c r="H780"/>
  <c r="H779"/>
  <c r="H778"/>
  <c r="H777"/>
  <c r="H776"/>
  <c r="H775"/>
  <c r="H774"/>
  <c r="H773"/>
  <c r="H772"/>
  <c r="H771"/>
  <c r="H770"/>
  <c r="H769"/>
  <c r="H768"/>
  <c r="H767"/>
  <c r="H766"/>
  <c r="H765"/>
  <c r="H764"/>
  <c r="H763"/>
  <c r="H762"/>
  <c r="H761"/>
  <c r="H760"/>
  <c r="H759"/>
  <c r="H758"/>
  <c r="H757"/>
  <c r="H756"/>
  <c r="H755"/>
  <c r="H754"/>
  <c r="H753"/>
  <c r="H752"/>
  <c r="H751"/>
  <c r="H750"/>
  <c r="H749"/>
  <c r="H748"/>
  <c r="H747"/>
  <c r="H746"/>
  <c r="H745"/>
  <c r="H744"/>
  <c r="H743"/>
  <c r="H742"/>
  <c r="H741"/>
  <c r="H740"/>
  <c r="H739"/>
  <c r="H738"/>
  <c r="H737"/>
  <c r="H736"/>
  <c r="H735"/>
  <c r="H734"/>
  <c r="H733"/>
  <c r="H732"/>
  <c r="H731"/>
  <c r="H730"/>
  <c r="H729"/>
  <c r="H728"/>
  <c r="H727"/>
  <c r="H726"/>
  <c r="H725"/>
  <c r="H724"/>
  <c r="H723"/>
  <c r="H722"/>
  <c r="H721"/>
  <c r="H720"/>
  <c r="H719"/>
  <c r="H718"/>
  <c r="H717"/>
  <c r="H716"/>
  <c r="H715"/>
  <c r="H714"/>
  <c r="H713"/>
  <c r="H712"/>
  <c r="H711"/>
  <c r="H710"/>
  <c r="H709"/>
  <c r="H708"/>
  <c r="H707"/>
  <c r="H706"/>
  <c r="H705"/>
  <c r="H704"/>
  <c r="H703"/>
  <c r="H702"/>
  <c r="H701"/>
  <c r="H700"/>
  <c r="H699"/>
  <c r="H698"/>
  <c r="H697"/>
  <c r="H696"/>
  <c r="H695"/>
  <c r="H694"/>
  <c r="H693"/>
  <c r="H692"/>
  <c r="H691"/>
  <c r="H690"/>
  <c r="H689"/>
  <c r="H688"/>
  <c r="H687"/>
  <c r="H686"/>
  <c r="H685"/>
  <c r="H684"/>
  <c r="H683"/>
  <c r="H682"/>
  <c r="H681"/>
  <c r="H680"/>
  <c r="H679"/>
  <c r="H678"/>
  <c r="H677"/>
  <c r="H676"/>
  <c r="H675"/>
  <c r="H674"/>
  <c r="H673"/>
  <c r="H672"/>
  <c r="H671"/>
  <c r="H670"/>
  <c r="H669"/>
  <c r="H668"/>
  <c r="H667"/>
  <c r="H666"/>
  <c r="H665"/>
  <c r="H664"/>
  <c r="H663"/>
  <c r="H662"/>
  <c r="H661"/>
  <c r="H660"/>
  <c r="H659"/>
  <c r="H658"/>
  <c r="H657"/>
  <c r="H656"/>
  <c r="H655"/>
  <c r="H654"/>
  <c r="H653"/>
  <c r="H652"/>
  <c r="H651"/>
  <c r="H650"/>
  <c r="H649"/>
  <c r="H648"/>
  <c r="H647"/>
  <c r="H646"/>
  <c r="H645"/>
  <c r="H644"/>
  <c r="H643"/>
  <c r="H642"/>
  <c r="H641"/>
  <c r="H640"/>
  <c r="H639"/>
  <c r="H638"/>
  <c r="H637"/>
  <c r="H636"/>
  <c r="H635"/>
  <c r="H634"/>
  <c r="H633"/>
  <c r="H632"/>
  <c r="H631"/>
  <c r="H630"/>
  <c r="H629"/>
  <c r="H628"/>
  <c r="H627"/>
  <c r="H626"/>
  <c r="H625"/>
  <c r="H624"/>
  <c r="H623"/>
  <c r="H622"/>
  <c r="H621"/>
  <c r="H620"/>
  <c r="H619"/>
  <c r="H618"/>
  <c r="H617"/>
  <c r="H616"/>
  <c r="H615"/>
  <c r="H614"/>
  <c r="H613"/>
  <c r="H612"/>
  <c r="H611"/>
  <c r="H610"/>
  <c r="H609"/>
  <c r="H608"/>
  <c r="H607"/>
  <c r="H606"/>
  <c r="H605"/>
  <c r="H604"/>
  <c r="H603"/>
  <c r="H602"/>
  <c r="H601"/>
  <c r="H600"/>
  <c r="H599"/>
  <c r="H598"/>
  <c r="H597"/>
  <c r="H596"/>
  <c r="H595"/>
  <c r="H594"/>
  <c r="H593"/>
  <c r="H592"/>
  <c r="H591"/>
  <c r="H590"/>
  <c r="H589"/>
  <c r="H588"/>
  <c r="H587"/>
  <c r="H586"/>
  <c r="H585"/>
  <c r="H584"/>
  <c r="H583"/>
  <c r="H582"/>
  <c r="H581"/>
  <c r="H580"/>
  <c r="H579"/>
  <c r="H578"/>
  <c r="H577"/>
  <c r="H576"/>
  <c r="H575"/>
  <c r="H574"/>
  <c r="H573"/>
  <c r="H572"/>
  <c r="H571"/>
  <c r="H570"/>
  <c r="H569"/>
  <c r="H568"/>
  <c r="H567"/>
  <c r="H566"/>
  <c r="H565"/>
  <c r="H564"/>
  <c r="H563"/>
  <c r="H562"/>
  <c r="H561"/>
  <c r="H560"/>
  <c r="H559"/>
  <c r="H558"/>
  <c r="H557"/>
  <c r="H556"/>
  <c r="H555"/>
  <c r="H554"/>
  <c r="H553"/>
  <c r="H552"/>
  <c r="H551"/>
  <c r="H550"/>
  <c r="H549"/>
  <c r="H548"/>
  <c r="H547"/>
  <c r="H546"/>
  <c r="H545"/>
  <c r="H544"/>
  <c r="H543"/>
  <c r="H542"/>
  <c r="H541"/>
  <c r="H540"/>
  <c r="H539"/>
  <c r="H538"/>
  <c r="H537"/>
  <c r="H536"/>
  <c r="H535"/>
  <c r="H534"/>
  <c r="H533"/>
  <c r="H532"/>
  <c r="H531"/>
  <c r="H530"/>
  <c r="H529"/>
  <c r="H528"/>
  <c r="H527"/>
  <c r="H526"/>
  <c r="H525"/>
  <c r="H524"/>
  <c r="H523"/>
  <c r="H522"/>
  <c r="H521"/>
  <c r="H520"/>
  <c r="H519"/>
  <c r="H518"/>
  <c r="H517"/>
  <c r="H516"/>
  <c r="H515"/>
  <c r="H514"/>
  <c r="H513"/>
  <c r="H512"/>
  <c r="H511"/>
  <c r="H510"/>
  <c r="H509"/>
  <c r="H508"/>
  <c r="H507"/>
  <c r="H506"/>
  <c r="H505"/>
  <c r="H504"/>
  <c r="H503"/>
  <c r="H502"/>
  <c r="H501"/>
  <c r="H500"/>
  <c r="H499"/>
  <c r="H498"/>
  <c r="H497"/>
  <c r="H496"/>
  <c r="H495"/>
  <c r="H494"/>
  <c r="H493"/>
  <c r="H492"/>
  <c r="H491"/>
  <c r="H490"/>
  <c r="H489"/>
  <c r="H488"/>
  <c r="H487"/>
  <c r="H486"/>
  <c r="H485"/>
  <c r="H484"/>
  <c r="H483"/>
  <c r="H482"/>
  <c r="H481"/>
  <c r="H480"/>
  <c r="H479"/>
  <c r="H478"/>
  <c r="H477"/>
  <c r="H476"/>
  <c r="H475"/>
  <c r="H474"/>
  <c r="H473"/>
  <c r="H472"/>
  <c r="H471"/>
  <c r="H470"/>
  <c r="H469"/>
  <c r="H468"/>
  <c r="H467"/>
  <c r="H466"/>
  <c r="H465"/>
  <c r="H464"/>
  <c r="H463"/>
  <c r="H462"/>
  <c r="H461"/>
  <c r="H460"/>
  <c r="H459"/>
  <c r="H458"/>
  <c r="H457"/>
  <c r="H456"/>
  <c r="H455"/>
  <c r="H454"/>
  <c r="H453"/>
  <c r="H452"/>
  <c r="H451"/>
  <c r="H450"/>
  <c r="H449"/>
  <c r="H448"/>
  <c r="H447"/>
  <c r="H446"/>
  <c r="H445"/>
  <c r="H444"/>
  <c r="H443"/>
  <c r="H442"/>
  <c r="H441"/>
  <c r="H440"/>
  <c r="H439"/>
  <c r="H438"/>
  <c r="H437"/>
  <c r="H436"/>
  <c r="H435"/>
  <c r="H434"/>
  <c r="H433"/>
  <c r="H432"/>
  <c r="H431"/>
  <c r="H430"/>
  <c r="H429"/>
  <c r="H428"/>
  <c r="H427"/>
  <c r="H426"/>
  <c r="H425"/>
  <c r="H424"/>
  <c r="H423"/>
  <c r="H422"/>
  <c r="H421"/>
  <c r="H420"/>
  <c r="H419"/>
  <c r="H418"/>
  <c r="H417"/>
  <c r="H416"/>
  <c r="H415"/>
  <c r="H414"/>
  <c r="H413"/>
  <c r="H412"/>
  <c r="H411"/>
  <c r="H410"/>
  <c r="H409"/>
  <c r="H408"/>
  <c r="H407"/>
  <c r="H406"/>
  <c r="H405"/>
  <c r="H404"/>
  <c r="H403"/>
  <c r="H402"/>
  <c r="H401"/>
  <c r="H400"/>
  <c r="H399"/>
  <c r="H398"/>
  <c r="H397"/>
  <c r="H396"/>
  <c r="H395"/>
  <c r="H394"/>
  <c r="H393"/>
  <c r="H392"/>
  <c r="H391"/>
  <c r="H390"/>
  <c r="H389"/>
  <c r="H388"/>
  <c r="H387"/>
  <c r="H386"/>
  <c r="H385"/>
  <c r="H384"/>
  <c r="H383"/>
  <c r="H382"/>
  <c r="H381"/>
  <c r="H380"/>
  <c r="H379"/>
  <c r="H378"/>
  <c r="H377"/>
  <c r="H376"/>
  <c r="H375"/>
  <c r="H374"/>
  <c r="H373"/>
  <c r="H372"/>
  <c r="H371"/>
  <c r="H370"/>
  <c r="H369"/>
  <c r="H368"/>
  <c r="H367"/>
  <c r="H366"/>
  <c r="H365"/>
  <c r="H364"/>
  <c r="H363"/>
  <c r="H362"/>
  <c r="H361"/>
  <c r="H360"/>
  <c r="H359"/>
  <c r="H358"/>
  <c r="H357"/>
  <c r="H356"/>
  <c r="H355"/>
  <c r="H354"/>
  <c r="H353"/>
  <c r="H352"/>
  <c r="H351"/>
  <c r="H350"/>
  <c r="H349"/>
  <c r="H348"/>
  <c r="H347"/>
  <c r="H346"/>
  <c r="H345"/>
  <c r="H344"/>
  <c r="H343"/>
  <c r="H342"/>
  <c r="H341"/>
  <c r="H340"/>
  <c r="H339"/>
  <c r="H338"/>
  <c r="H337"/>
  <c r="H336"/>
  <c r="H335"/>
  <c r="H334"/>
  <c r="H333"/>
  <c r="H332"/>
  <c r="H331"/>
  <c r="H330"/>
  <c r="H329"/>
  <c r="H328"/>
  <c r="H327"/>
  <c r="H326"/>
  <c r="H325"/>
  <c r="H324"/>
  <c r="H323"/>
  <c r="H322"/>
  <c r="H321"/>
  <c r="H320"/>
  <c r="H319"/>
  <c r="H318"/>
  <c r="H317"/>
  <c r="H316"/>
  <c r="H315"/>
  <c r="H314"/>
  <c r="H313"/>
  <c r="H312"/>
  <c r="H311"/>
  <c r="H310"/>
  <c r="H309"/>
  <c r="H308"/>
  <c r="H307"/>
  <c r="H306"/>
  <c r="H305"/>
  <c r="H304"/>
  <c r="H303"/>
  <c r="H302"/>
  <c r="H301"/>
  <c r="H300"/>
  <c r="H299"/>
  <c r="H298"/>
  <c r="H297"/>
  <c r="H296"/>
  <c r="H295"/>
  <c r="H294"/>
  <c r="H293"/>
  <c r="H292"/>
  <c r="H291"/>
  <c r="H290"/>
  <c r="H289"/>
  <c r="H288"/>
  <c r="H287"/>
  <c r="H286"/>
  <c r="H285"/>
  <c r="H284"/>
  <c r="H283"/>
  <c r="H282"/>
  <c r="H281"/>
  <c r="H280"/>
  <c r="H279"/>
  <c r="H278"/>
  <c r="H277"/>
  <c r="H276"/>
  <c r="H275"/>
  <c r="H274"/>
  <c r="H273"/>
  <c r="H272"/>
  <c r="H271"/>
  <c r="H270"/>
  <c r="H269"/>
  <c r="H268"/>
  <c r="H267"/>
  <c r="H266"/>
  <c r="H265"/>
  <c r="H264"/>
  <c r="H263"/>
  <c r="H262"/>
  <c r="H261"/>
  <c r="H260"/>
  <c r="H259"/>
  <c r="H258"/>
  <c r="H257"/>
  <c r="H256"/>
  <c r="H255"/>
  <c r="H254"/>
  <c r="H253"/>
  <c r="H252"/>
  <c r="H251"/>
  <c r="H250"/>
  <c r="H249"/>
  <c r="H248"/>
  <c r="H247"/>
  <c r="H246"/>
  <c r="H245"/>
  <c r="H244"/>
  <c r="H243"/>
  <c r="H242"/>
  <c r="H241"/>
  <c r="H240"/>
  <c r="H239"/>
  <c r="H238"/>
  <c r="H237"/>
  <c r="H236"/>
  <c r="H235"/>
  <c r="H234"/>
  <c r="H233"/>
  <c r="H232"/>
  <c r="H231"/>
  <c r="H230"/>
  <c r="H229"/>
  <c r="H228"/>
  <c r="H227"/>
  <c r="H226"/>
  <c r="H225"/>
  <c r="H224"/>
  <c r="H223"/>
  <c r="H222"/>
  <c r="H221"/>
  <c r="H220"/>
  <c r="H219"/>
  <c r="H218"/>
  <c r="H217"/>
  <c r="H216"/>
  <c r="H215"/>
  <c r="H214"/>
  <c r="H213"/>
  <c r="H212"/>
  <c r="H211"/>
  <c r="H210"/>
  <c r="H209"/>
  <c r="H208"/>
  <c r="H207"/>
  <c r="H206"/>
  <c r="H205"/>
  <c r="H204"/>
  <c r="H203"/>
  <c r="H202"/>
  <c r="H201"/>
  <c r="H200"/>
  <c r="H199"/>
  <c r="H198"/>
  <c r="H197"/>
  <c r="H196"/>
  <c r="H195"/>
  <c r="H194"/>
  <c r="H193"/>
  <c r="H192"/>
  <c r="H191"/>
  <c r="H190"/>
  <c r="H189"/>
  <c r="H188"/>
  <c r="H187"/>
  <c r="H186"/>
  <c r="H185"/>
  <c r="H184"/>
  <c r="H183"/>
  <c r="H182"/>
  <c r="H181"/>
  <c r="H180"/>
  <c r="H179"/>
  <c r="H178"/>
  <c r="H177"/>
  <c r="H176"/>
  <c r="H175"/>
  <c r="H174"/>
  <c r="H173"/>
  <c r="H172"/>
  <c r="H171"/>
  <c r="H170"/>
  <c r="H169"/>
  <c r="H168"/>
  <c r="H167"/>
  <c r="H166"/>
  <c r="H165"/>
  <c r="H164"/>
  <c r="H163"/>
  <c r="H162"/>
  <c r="H161"/>
  <c r="H160"/>
  <c r="H159"/>
  <c r="H158"/>
  <c r="H157"/>
  <c r="H156"/>
  <c r="H155"/>
  <c r="H154"/>
  <c r="H153"/>
  <c r="H152"/>
  <c r="H151"/>
  <c r="H150"/>
  <c r="H149"/>
  <c r="H148"/>
  <c r="H147"/>
  <c r="H146"/>
  <c r="H145"/>
  <c r="H144"/>
  <c r="H143"/>
  <c r="H142"/>
  <c r="H141"/>
  <c r="H140"/>
  <c r="H139"/>
  <c r="H138"/>
  <c r="H137"/>
  <c r="H136"/>
  <c r="H135"/>
  <c r="H134"/>
  <c r="H133"/>
  <c r="H132"/>
  <c r="H131"/>
  <c r="H130"/>
  <c r="H129"/>
  <c r="H128"/>
  <c r="H127"/>
  <c r="H126"/>
  <c r="H125"/>
  <c r="H124"/>
  <c r="H123"/>
  <c r="H122"/>
  <c r="H121"/>
  <c r="H120"/>
  <c r="H119"/>
  <c r="H118"/>
  <c r="H117"/>
  <c r="H116"/>
  <c r="H115"/>
  <c r="H114"/>
  <c r="H113"/>
  <c r="H112"/>
  <c r="H111"/>
  <c r="H110"/>
  <c r="H109"/>
  <c r="H108"/>
  <c r="H107"/>
  <c r="H106"/>
  <c r="H105"/>
  <c r="H104"/>
  <c r="H103"/>
  <c r="H102"/>
  <c r="H101"/>
  <c r="H100"/>
  <c r="H99"/>
  <c r="H98"/>
  <c r="H97"/>
  <c r="H96"/>
  <c r="H95"/>
  <c r="H94"/>
  <c r="H93"/>
  <c r="H92"/>
  <c r="H91"/>
  <c r="H90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  <c r="H2"/>
  <c r="D1138"/>
  <c r="G1221"/>
  <c r="D1053"/>
  <c r="D1102"/>
  <c r="D1101"/>
  <c r="D1097"/>
  <c r="D1099"/>
  <c r="D1098"/>
  <c r="D1096"/>
  <c r="D1076"/>
  <c r="D1060"/>
  <c r="C1133"/>
  <c r="G1133" s="1"/>
  <c r="C1132"/>
  <c r="G1132" s="1"/>
  <c r="C1131"/>
  <c r="G1131" s="1"/>
  <c r="C1130"/>
  <c r="G1130" s="1"/>
  <c r="C1129"/>
  <c r="G1129" s="1"/>
  <c r="C1128"/>
  <c r="G1128" s="1"/>
  <c r="C1127"/>
  <c r="G1127" s="1"/>
  <c r="C1126"/>
  <c r="G1126" s="1"/>
  <c r="C1125"/>
  <c r="G1125" s="1"/>
  <c r="C1124"/>
  <c r="G1124" s="1"/>
  <c r="C1123"/>
  <c r="G1123" s="1"/>
  <c r="C1122"/>
  <c r="G1122" s="1"/>
  <c r="C1121"/>
  <c r="G1121" s="1"/>
  <c r="C1120"/>
  <c r="G1120" s="1"/>
  <c r="C1119"/>
  <c r="G1119" s="1"/>
  <c r="C1118"/>
  <c r="G1118" s="1"/>
  <c r="C1117"/>
  <c r="G1117" s="1"/>
  <c r="C1116"/>
  <c r="G1116" s="1"/>
  <c r="C1115"/>
  <c r="G1115" s="1"/>
  <c r="C1114"/>
  <c r="G1114" s="1"/>
  <c r="C1113"/>
  <c r="G1113" s="1"/>
  <c r="C1112"/>
  <c r="G1112" s="1"/>
  <c r="C1111"/>
  <c r="G1111" s="1"/>
  <c r="C1110"/>
  <c r="G1110" s="1"/>
  <c r="C1109"/>
  <c r="G1109" s="1"/>
  <c r="C1108"/>
  <c r="G1108" s="1"/>
  <c r="C1107"/>
  <c r="G1107" s="1"/>
  <c r="C1106"/>
  <c r="G1106" s="1"/>
  <c r="C1105"/>
  <c r="G1105" s="1"/>
  <c r="C1104"/>
  <c r="G1104" s="1"/>
  <c r="C1103"/>
  <c r="G1103" s="1"/>
  <c r="C1102"/>
  <c r="G1102" s="1"/>
  <c r="C1101"/>
  <c r="G1101" s="1"/>
  <c r="C1100"/>
  <c r="G1100" s="1"/>
  <c r="C1099"/>
  <c r="G1099" s="1"/>
  <c r="C1098"/>
  <c r="G1098" s="1"/>
  <c r="C1097"/>
  <c r="C1096"/>
  <c r="G1096" s="1"/>
  <c r="C1095"/>
  <c r="G1095" s="1"/>
  <c r="C1094"/>
  <c r="G1094" s="1"/>
  <c r="C1093"/>
  <c r="G1093" s="1"/>
  <c r="C1092"/>
  <c r="G1092" s="1"/>
  <c r="C1091"/>
  <c r="G1091" s="1"/>
  <c r="C1090"/>
  <c r="G1090" s="1"/>
  <c r="C1089"/>
  <c r="G1089" s="1"/>
  <c r="C1088"/>
  <c r="G1088" s="1"/>
  <c r="C1087"/>
  <c r="G1087" s="1"/>
  <c r="C1086"/>
  <c r="G1086" s="1"/>
  <c r="C1085"/>
  <c r="G1085" s="1"/>
  <c r="C1084"/>
  <c r="G1084" s="1"/>
  <c r="C1083"/>
  <c r="G1083" s="1"/>
  <c r="C1082"/>
  <c r="G1082" s="1"/>
  <c r="C1081"/>
  <c r="G1081" s="1"/>
  <c r="C1080"/>
  <c r="G1080" s="1"/>
  <c r="C1079"/>
  <c r="G1079" s="1"/>
  <c r="C1078"/>
  <c r="G1078" s="1"/>
  <c r="C1077"/>
  <c r="G1077" s="1"/>
  <c r="C1076"/>
  <c r="C1075"/>
  <c r="G1075" s="1"/>
  <c r="C1074"/>
  <c r="G1074" s="1"/>
  <c r="C1073"/>
  <c r="G1073" s="1"/>
  <c r="C1072"/>
  <c r="G1072" s="1"/>
  <c r="C1071"/>
  <c r="G1071" s="1"/>
  <c r="C1070"/>
  <c r="G1070" s="1"/>
  <c r="C1069"/>
  <c r="G1069" s="1"/>
  <c r="C1068"/>
  <c r="G1068" s="1"/>
  <c r="C1067"/>
  <c r="G1067" s="1"/>
  <c r="C1066"/>
  <c r="G1066" s="1"/>
  <c r="C1065"/>
  <c r="G1065" s="1"/>
  <c r="C1064"/>
  <c r="G1064" s="1"/>
  <c r="C1151"/>
  <c r="G1151" s="1"/>
  <c r="C1150"/>
  <c r="G1150" s="1"/>
  <c r="C1149"/>
  <c r="G1149" s="1"/>
  <c r="C1148"/>
  <c r="G1148" s="1"/>
  <c r="C1147"/>
  <c r="G1147" s="1"/>
  <c r="C1146"/>
  <c r="G1146" s="1"/>
  <c r="C1145"/>
  <c r="G1145" s="1"/>
  <c r="C1144"/>
  <c r="G1144" s="1"/>
  <c r="C1143"/>
  <c r="G1143" s="1"/>
  <c r="C1142"/>
  <c r="G1142" s="1"/>
  <c r="C1141"/>
  <c r="G1141" s="1"/>
  <c r="C1140"/>
  <c r="G1140" s="1"/>
  <c r="C1139"/>
  <c r="G1139" s="1"/>
  <c r="C1138"/>
  <c r="C1137"/>
  <c r="G1137" s="1"/>
  <c r="C1136"/>
  <c r="G1136" s="1"/>
  <c r="C1135"/>
  <c r="G1135" s="1"/>
  <c r="C1134"/>
  <c r="G1134" s="1"/>
  <c r="C1051"/>
  <c r="G1051" s="1"/>
  <c r="C1050"/>
  <c r="G1050" s="1"/>
  <c r="C1049"/>
  <c r="G1049" s="1"/>
  <c r="C1167"/>
  <c r="G1167" s="1"/>
  <c r="C1166"/>
  <c r="G1166" s="1"/>
  <c r="C1165"/>
  <c r="G1165" s="1"/>
  <c r="C1164"/>
  <c r="G1164" s="1"/>
  <c r="C1163"/>
  <c r="G1163" s="1"/>
  <c r="C1162"/>
  <c r="G1162" s="1"/>
  <c r="C1161"/>
  <c r="G1161" s="1"/>
  <c r="C1160"/>
  <c r="G1160" s="1"/>
  <c r="C1159"/>
  <c r="G1159" s="1"/>
  <c r="C1158"/>
  <c r="G1158" s="1"/>
  <c r="C1157"/>
  <c r="G1157" s="1"/>
  <c r="C1156"/>
  <c r="G1156" s="1"/>
  <c r="C1155"/>
  <c r="G1155" s="1"/>
  <c r="C1154"/>
  <c r="G1154" s="1"/>
  <c r="C1153"/>
  <c r="G1153" s="1"/>
  <c r="C1152"/>
  <c r="G1152" s="1"/>
  <c r="C1063"/>
  <c r="G1063" s="1"/>
  <c r="C1062"/>
  <c r="G1062" s="1"/>
  <c r="C1061"/>
  <c r="G1061" s="1"/>
  <c r="C1060"/>
  <c r="C1059"/>
  <c r="G1059" s="1"/>
  <c r="C1058"/>
  <c r="G1058" s="1"/>
  <c r="C1057"/>
  <c r="G1057" s="1"/>
  <c r="C1056"/>
  <c r="G1056" s="1"/>
  <c r="C1055"/>
  <c r="G1055" s="1"/>
  <c r="C1054"/>
  <c r="G1054" s="1"/>
  <c r="C1053"/>
  <c r="G1053" s="1"/>
  <c r="C1052"/>
  <c r="G1052" s="1"/>
  <c r="C1048"/>
  <c r="G1048" s="1"/>
  <c r="C1047"/>
  <c r="G1047" s="1"/>
  <c r="C1046"/>
  <c r="G1046" s="1"/>
  <c r="C1039"/>
  <c r="G1039" s="1"/>
  <c r="C1045"/>
  <c r="G1045" s="1"/>
  <c r="C1044"/>
  <c r="G1044" s="1"/>
  <c r="C1043"/>
  <c r="G1043" s="1"/>
  <c r="C1042"/>
  <c r="G1042" s="1"/>
  <c r="C1041"/>
  <c r="G1041" s="1"/>
  <c r="C1040"/>
  <c r="G1040" s="1"/>
  <c r="C1038"/>
  <c r="G1038" s="1"/>
  <c r="C1037"/>
  <c r="G1037" s="1"/>
  <c r="C1036"/>
  <c r="G1036" s="1"/>
  <c r="C1035"/>
  <c r="G1035" s="1"/>
  <c r="C1034"/>
  <c r="G1034" s="1"/>
  <c r="C1033"/>
  <c r="G1033" s="1"/>
  <c r="C1032"/>
  <c r="G1032" s="1"/>
  <c r="C1031"/>
  <c r="G1031" s="1"/>
  <c r="C1030"/>
  <c r="G1030" s="1"/>
  <c r="C1029"/>
  <c r="G1029" s="1"/>
  <c r="C1028"/>
  <c r="G1028" s="1"/>
  <c r="C1027"/>
  <c r="G1027" s="1"/>
  <c r="C1026"/>
  <c r="G1026" s="1"/>
  <c r="C1025"/>
  <c r="G1025" s="1"/>
  <c r="C1024"/>
  <c r="G1024" s="1"/>
  <c r="C1023"/>
  <c r="G1023" s="1"/>
  <c r="C1022"/>
  <c r="G1022" s="1"/>
  <c r="C1021"/>
  <c r="G1021" s="1"/>
  <c r="C1020"/>
  <c r="G1020" s="1"/>
  <c r="C1019"/>
  <c r="G1019" s="1"/>
  <c r="C1018"/>
  <c r="G1018" s="1"/>
  <c r="C1017"/>
  <c r="G1017" s="1"/>
  <c r="C1016"/>
  <c r="G1016" s="1"/>
  <c r="C1015"/>
  <c r="G1015" s="1"/>
  <c r="C1014"/>
  <c r="G1014" s="1"/>
  <c r="C1013"/>
  <c r="G1013" s="1"/>
  <c r="C1012"/>
  <c r="G1012" s="1"/>
  <c r="C1011"/>
  <c r="G1011" s="1"/>
  <c r="D1009"/>
  <c r="D1000"/>
  <c r="C1010"/>
  <c r="C1009"/>
  <c r="C1008"/>
  <c r="G1008" s="1"/>
  <c r="C1007"/>
  <c r="G1007" s="1"/>
  <c r="C1006"/>
  <c r="G1006" s="1"/>
  <c r="C1005"/>
  <c r="G1005" s="1"/>
  <c r="C1004"/>
  <c r="G1004" s="1"/>
  <c r="C1003"/>
  <c r="G1003" s="1"/>
  <c r="C1002"/>
  <c r="G1002" s="1"/>
  <c r="C1001"/>
  <c r="G1001" s="1"/>
  <c r="C1000"/>
  <c r="C999"/>
  <c r="G999" s="1"/>
  <c r="C998"/>
  <c r="G998" s="1"/>
  <c r="C997"/>
  <c r="G997" s="1"/>
  <c r="C996"/>
  <c r="G996" s="1"/>
  <c r="C995"/>
  <c r="G995" s="1"/>
  <c r="C994"/>
  <c r="G994" s="1"/>
  <c r="C993"/>
  <c r="G993" s="1"/>
  <c r="C992"/>
  <c r="G992" s="1"/>
  <c r="C991"/>
  <c r="G991" s="1"/>
  <c r="C990"/>
  <c r="G990" s="1"/>
  <c r="C989"/>
  <c r="G989" s="1"/>
  <c r="C988"/>
  <c r="G988" s="1"/>
  <c r="C987"/>
  <c r="G987" s="1"/>
  <c r="C986"/>
  <c r="G986" s="1"/>
  <c r="C985"/>
  <c r="G985" s="1"/>
  <c r="C984"/>
  <c r="G984" s="1"/>
  <c r="C983"/>
  <c r="G983" s="1"/>
  <c r="C982"/>
  <c r="G982" s="1"/>
  <c r="C981"/>
  <c r="G981" s="1"/>
  <c r="C980"/>
  <c r="G980" s="1"/>
  <c r="C979"/>
  <c r="G979" s="1"/>
  <c r="C978"/>
  <c r="G978" s="1"/>
  <c r="C977"/>
  <c r="G977" s="1"/>
  <c r="C976"/>
  <c r="G976" s="1"/>
  <c r="C975"/>
  <c r="G975" s="1"/>
  <c r="N29" i="8"/>
  <c r="N28"/>
  <c r="N22"/>
  <c r="O20"/>
  <c r="O19"/>
  <c r="O18"/>
  <c r="O17"/>
  <c r="O16"/>
  <c r="N21"/>
  <c r="N20"/>
  <c r="N19"/>
  <c r="N18"/>
  <c r="N17"/>
  <c r="N16"/>
  <c r="M20"/>
  <c r="M19"/>
  <c r="M18"/>
  <c r="M17"/>
  <c r="M16"/>
  <c r="H20"/>
  <c r="H19"/>
  <c r="H18"/>
  <c r="H17"/>
  <c r="H16"/>
  <c r="G20"/>
  <c r="G19"/>
  <c r="G18"/>
  <c r="G17"/>
  <c r="G16"/>
  <c r="E23"/>
  <c r="C22"/>
  <c r="B22"/>
  <c r="C21"/>
  <c r="B21"/>
  <c r="C20"/>
  <c r="B20"/>
  <c r="C19"/>
  <c r="B19"/>
  <c r="C18"/>
  <c r="B18"/>
  <c r="C17"/>
  <c r="B17"/>
  <c r="C16"/>
  <c r="B16"/>
  <c r="C974" i="5"/>
  <c r="G974" s="1"/>
  <c r="C973"/>
  <c r="G973" s="1"/>
  <c r="C972"/>
  <c r="G972" s="1"/>
  <c r="C971"/>
  <c r="G971" s="1"/>
  <c r="C970"/>
  <c r="G970" s="1"/>
  <c r="C969"/>
  <c r="G969" s="1"/>
  <c r="C968"/>
  <c r="G968" s="1"/>
  <c r="C967"/>
  <c r="G967" s="1"/>
  <c r="C966"/>
  <c r="G966" s="1"/>
  <c r="C965"/>
  <c r="G965" s="1"/>
  <c r="C964"/>
  <c r="G964" s="1"/>
  <c r="C963"/>
  <c r="G963" s="1"/>
  <c r="C962"/>
  <c r="G962" s="1"/>
  <c r="C961"/>
  <c r="G961" s="1"/>
  <c r="C960"/>
  <c r="G960" s="1"/>
  <c r="C959"/>
  <c r="G959" s="1"/>
  <c r="C958"/>
  <c r="G958" s="1"/>
  <c r="C957"/>
  <c r="G957" s="1"/>
  <c r="C956"/>
  <c r="G956" s="1"/>
  <c r="C955"/>
  <c r="G955" s="1"/>
  <c r="C954"/>
  <c r="G954" s="1"/>
  <c r="C953"/>
  <c r="G953" s="1"/>
  <c r="C952"/>
  <c r="G952" s="1"/>
  <c r="C951"/>
  <c r="G951" s="1"/>
  <c r="C950"/>
  <c r="G950" s="1"/>
  <c r="C949"/>
  <c r="G949" s="1"/>
  <c r="C948"/>
  <c r="G948" s="1"/>
  <c r="C947"/>
  <c r="G947" s="1"/>
  <c r="C946"/>
  <c r="G946" s="1"/>
  <c r="C945"/>
  <c r="G945" s="1"/>
  <c r="C944"/>
  <c r="G944" s="1"/>
  <c r="C943"/>
  <c r="G943" s="1"/>
  <c r="C942"/>
  <c r="G942" s="1"/>
  <c r="C941"/>
  <c r="G941" s="1"/>
  <c r="C940"/>
  <c r="G940" s="1"/>
  <c r="C939"/>
  <c r="G939" s="1"/>
  <c r="C938"/>
  <c r="G938" s="1"/>
  <c r="C937"/>
  <c r="G937" s="1"/>
  <c r="C936"/>
  <c r="G936" s="1"/>
  <c r="C935"/>
  <c r="G935" s="1"/>
  <c r="C934"/>
  <c r="G934" s="1"/>
  <c r="C933"/>
  <c r="G933" s="1"/>
  <c r="C932"/>
  <c r="G932" s="1"/>
  <c r="C931"/>
  <c r="G931" s="1"/>
  <c r="C930"/>
  <c r="G930" s="1"/>
  <c r="C929"/>
  <c r="G929" s="1"/>
  <c r="C928"/>
  <c r="G928" s="1"/>
  <c r="C927"/>
  <c r="G927" s="1"/>
  <c r="C926"/>
  <c r="G926" s="1"/>
  <c r="C925"/>
  <c r="G925" s="1"/>
  <c r="C924"/>
  <c r="G924" s="1"/>
  <c r="C923"/>
  <c r="G923" s="1"/>
  <c r="C922"/>
  <c r="G922" s="1"/>
  <c r="C921"/>
  <c r="G921" s="1"/>
  <c r="C920"/>
  <c r="G920" s="1"/>
  <c r="C919"/>
  <c r="G919" s="1"/>
  <c r="C918"/>
  <c r="G918" s="1"/>
  <c r="C917"/>
  <c r="G917" s="1"/>
  <c r="C916"/>
  <c r="G916" s="1"/>
  <c r="C915"/>
  <c r="G915" s="1"/>
  <c r="C914"/>
  <c r="G914" s="1"/>
  <c r="C913"/>
  <c r="G913" s="1"/>
  <c r="C912"/>
  <c r="G912" s="1"/>
  <c r="C911"/>
  <c r="G911" s="1"/>
  <c r="C910"/>
  <c r="G910" s="1"/>
  <c r="C909"/>
  <c r="G909" s="1"/>
  <c r="C908"/>
  <c r="G908" s="1"/>
  <c r="C907"/>
  <c r="G907" s="1"/>
  <c r="C906"/>
  <c r="G906" s="1"/>
  <c r="C905"/>
  <c r="G905" s="1"/>
  <c r="C904"/>
  <c r="G904" s="1"/>
  <c r="C903"/>
  <c r="G903" s="1"/>
  <c r="C902"/>
  <c r="G902" s="1"/>
  <c r="C901"/>
  <c r="G901" s="1"/>
  <c r="C900"/>
  <c r="G900" s="1"/>
  <c r="C899"/>
  <c r="G899" s="1"/>
  <c r="C898"/>
  <c r="G898" s="1"/>
  <c r="C897"/>
  <c r="G897" s="1"/>
  <c r="C896"/>
  <c r="G896" s="1"/>
  <c r="C895"/>
  <c r="G895" s="1"/>
  <c r="C894"/>
  <c r="G894" s="1"/>
  <c r="C893"/>
  <c r="G893" s="1"/>
  <c r="C892"/>
  <c r="G892" s="1"/>
  <c r="C891"/>
  <c r="G891" s="1"/>
  <c r="C890"/>
  <c r="G890" s="1"/>
  <c r="C889"/>
  <c r="G889" s="1"/>
  <c r="C888"/>
  <c r="G888" s="1"/>
  <c r="C887"/>
  <c r="G887" s="1"/>
  <c r="C886"/>
  <c r="G886" s="1"/>
  <c r="C885"/>
  <c r="G885" s="1"/>
  <c r="C884"/>
  <c r="G884" s="1"/>
  <c r="C883"/>
  <c r="G883" s="1"/>
  <c r="C882"/>
  <c r="G882" s="1"/>
  <c r="C881"/>
  <c r="G881" s="1"/>
  <c r="C880"/>
  <c r="G880" s="1"/>
  <c r="C879"/>
  <c r="G879" s="1"/>
  <c r="C878"/>
  <c r="G878" s="1"/>
  <c r="C877"/>
  <c r="G877" s="1"/>
  <c r="C876"/>
  <c r="G876" s="1"/>
  <c r="C875"/>
  <c r="G875" s="1"/>
  <c r="C874"/>
  <c r="G874" s="1"/>
  <c r="C873"/>
  <c r="G873" s="1"/>
  <c r="C872"/>
  <c r="G872" s="1"/>
  <c r="C871"/>
  <c r="G871" s="1"/>
  <c r="C870"/>
  <c r="G870" s="1"/>
  <c r="C869"/>
  <c r="G869" s="1"/>
  <c r="C868"/>
  <c r="G868" s="1"/>
  <c r="C867"/>
  <c r="G867" s="1"/>
  <c r="C866"/>
  <c r="G866" s="1"/>
  <c r="C865"/>
  <c r="G865" s="1"/>
  <c r="C864"/>
  <c r="G864" s="1"/>
  <c r="C863"/>
  <c r="G863" s="1"/>
  <c r="C862"/>
  <c r="G862" s="1"/>
  <c r="C861"/>
  <c r="G861" s="1"/>
  <c r="C860"/>
  <c r="G860" s="1"/>
  <c r="C859"/>
  <c r="G859" s="1"/>
  <c r="C858"/>
  <c r="G858" s="1"/>
  <c r="C857"/>
  <c r="G857" s="1"/>
  <c r="C856"/>
  <c r="G856" s="1"/>
  <c r="D676"/>
  <c r="C855"/>
  <c r="G855" s="1"/>
  <c r="C854"/>
  <c r="G854" s="1"/>
  <c r="C853"/>
  <c r="G853" s="1"/>
  <c r="C852"/>
  <c r="G852" s="1"/>
  <c r="C851"/>
  <c r="G851" s="1"/>
  <c r="C850"/>
  <c r="G850" s="1"/>
  <c r="C849"/>
  <c r="G849" s="1"/>
  <c r="C848"/>
  <c r="G848" s="1"/>
  <c r="C847"/>
  <c r="G847" s="1"/>
  <c r="C846"/>
  <c r="G846" s="1"/>
  <c r="C845"/>
  <c r="G845" s="1"/>
  <c r="C844"/>
  <c r="G844" s="1"/>
  <c r="C843"/>
  <c r="G843" s="1"/>
  <c r="C842"/>
  <c r="G842" s="1"/>
  <c r="C841"/>
  <c r="G841" s="1"/>
  <c r="C840"/>
  <c r="G840" s="1"/>
  <c r="C839"/>
  <c r="G839" s="1"/>
  <c r="C838"/>
  <c r="G838" s="1"/>
  <c r="C837"/>
  <c r="G837" s="1"/>
  <c r="C836"/>
  <c r="G836" s="1"/>
  <c r="C835"/>
  <c r="G835" s="1"/>
  <c r="C834"/>
  <c r="G834" s="1"/>
  <c r="C833"/>
  <c r="G833" s="1"/>
  <c r="C832"/>
  <c r="G832" s="1"/>
  <c r="C831"/>
  <c r="G831" s="1"/>
  <c r="C830"/>
  <c r="G830" s="1"/>
  <c r="C829"/>
  <c r="G829" s="1"/>
  <c r="C828"/>
  <c r="G828" s="1"/>
  <c r="C827"/>
  <c r="G827" s="1"/>
  <c r="C826"/>
  <c r="G826" s="1"/>
  <c r="C825"/>
  <c r="G825" s="1"/>
  <c r="C824"/>
  <c r="G824" s="1"/>
  <c r="C823"/>
  <c r="G823" s="1"/>
  <c r="C822"/>
  <c r="G822" s="1"/>
  <c r="C821"/>
  <c r="G821" s="1"/>
  <c r="C820"/>
  <c r="G820" s="1"/>
  <c r="C819"/>
  <c r="G819" s="1"/>
  <c r="C818"/>
  <c r="G818" s="1"/>
  <c r="C817"/>
  <c r="G817" s="1"/>
  <c r="C816"/>
  <c r="G816" s="1"/>
  <c r="C815"/>
  <c r="G815" s="1"/>
  <c r="C814"/>
  <c r="G814" s="1"/>
  <c r="C813"/>
  <c r="G813" s="1"/>
  <c r="C812"/>
  <c r="G812" s="1"/>
  <c r="C811"/>
  <c r="G811" s="1"/>
  <c r="C810"/>
  <c r="G810" s="1"/>
  <c r="C809"/>
  <c r="G809" s="1"/>
  <c r="C808"/>
  <c r="G808" s="1"/>
  <c r="C807"/>
  <c r="G807" s="1"/>
  <c r="C806"/>
  <c r="G806" s="1"/>
  <c r="C805"/>
  <c r="G805" s="1"/>
  <c r="C804"/>
  <c r="G804" s="1"/>
  <c r="C803"/>
  <c r="G803" s="1"/>
  <c r="C802"/>
  <c r="G802" s="1"/>
  <c r="C801"/>
  <c r="G801" s="1"/>
  <c r="C800"/>
  <c r="G800" s="1"/>
  <c r="C799"/>
  <c r="G799" s="1"/>
  <c r="C798"/>
  <c r="G798" s="1"/>
  <c r="C797"/>
  <c r="G797" s="1"/>
  <c r="C796"/>
  <c r="G796" s="1"/>
  <c r="C795"/>
  <c r="G795" s="1"/>
  <c r="C794"/>
  <c r="G794" s="1"/>
  <c r="C793"/>
  <c r="G793" s="1"/>
  <c r="C792"/>
  <c r="G792" s="1"/>
  <c r="C791"/>
  <c r="G791" s="1"/>
  <c r="C790"/>
  <c r="G790" s="1"/>
  <c r="C789"/>
  <c r="G789" s="1"/>
  <c r="C788"/>
  <c r="G788" s="1"/>
  <c r="C787"/>
  <c r="G787" s="1"/>
  <c r="C786"/>
  <c r="G786" s="1"/>
  <c r="C785"/>
  <c r="G785" s="1"/>
  <c r="C784"/>
  <c r="G784" s="1"/>
  <c r="C783"/>
  <c r="G783" s="1"/>
  <c r="C782"/>
  <c r="G782" s="1"/>
  <c r="C781"/>
  <c r="G781" s="1"/>
  <c r="C780"/>
  <c r="G780" s="1"/>
  <c r="C779"/>
  <c r="G779" s="1"/>
  <c r="C778"/>
  <c r="G778" s="1"/>
  <c r="C777"/>
  <c r="G777" s="1"/>
  <c r="C776"/>
  <c r="G776" s="1"/>
  <c r="C775"/>
  <c r="G775" s="1"/>
  <c r="C774"/>
  <c r="G774" s="1"/>
  <c r="C773"/>
  <c r="G773" s="1"/>
  <c r="C772"/>
  <c r="G772" s="1"/>
  <c r="C771"/>
  <c r="G771" s="1"/>
  <c r="C770"/>
  <c r="G770" s="1"/>
  <c r="C769"/>
  <c r="G769" s="1"/>
  <c r="C768"/>
  <c r="G768" s="1"/>
  <c r="C767"/>
  <c r="G767" s="1"/>
  <c r="C766"/>
  <c r="G766" s="1"/>
  <c r="C765"/>
  <c r="G765" s="1"/>
  <c r="C764"/>
  <c r="G764" s="1"/>
  <c r="C763"/>
  <c r="G763" s="1"/>
  <c r="C762"/>
  <c r="G762" s="1"/>
  <c r="C761"/>
  <c r="G761" s="1"/>
  <c r="C760"/>
  <c r="G760" s="1"/>
  <c r="C759"/>
  <c r="G759" s="1"/>
  <c r="C758"/>
  <c r="G758" s="1"/>
  <c r="C757"/>
  <c r="G757" s="1"/>
  <c r="C756"/>
  <c r="G756" s="1"/>
  <c r="C755"/>
  <c r="G755" s="1"/>
  <c r="C754"/>
  <c r="G754" s="1"/>
  <c r="C753"/>
  <c r="G753" s="1"/>
  <c r="C752"/>
  <c r="G752" s="1"/>
  <c r="C751"/>
  <c r="G751" s="1"/>
  <c r="C750"/>
  <c r="G750" s="1"/>
  <c r="C749"/>
  <c r="G749" s="1"/>
  <c r="C748"/>
  <c r="G748" s="1"/>
  <c r="C747"/>
  <c r="G747" s="1"/>
  <c r="C746"/>
  <c r="G746" s="1"/>
  <c r="C745"/>
  <c r="G745" s="1"/>
  <c r="C744"/>
  <c r="G744" s="1"/>
  <c r="C743"/>
  <c r="G743" s="1"/>
  <c r="C742"/>
  <c r="G742" s="1"/>
  <c r="C741"/>
  <c r="G741" s="1"/>
  <c r="C740"/>
  <c r="G740" s="1"/>
  <c r="C739"/>
  <c r="G739" s="1"/>
  <c r="C738"/>
  <c r="G738" s="1"/>
  <c r="C737"/>
  <c r="G737" s="1"/>
  <c r="C736"/>
  <c r="G736" s="1"/>
  <c r="C735"/>
  <c r="G735" s="1"/>
  <c r="C734"/>
  <c r="G734" s="1"/>
  <c r="C733"/>
  <c r="G733" s="1"/>
  <c r="C732"/>
  <c r="G732" s="1"/>
  <c r="C731"/>
  <c r="G731" s="1"/>
  <c r="C730"/>
  <c r="G730" s="1"/>
  <c r="C729"/>
  <c r="G729" s="1"/>
  <c r="C728"/>
  <c r="G728" s="1"/>
  <c r="C727"/>
  <c r="G727" s="1"/>
  <c r="C726"/>
  <c r="G726" s="1"/>
  <c r="C725"/>
  <c r="G725" s="1"/>
  <c r="C724"/>
  <c r="G724" s="1"/>
  <c r="C723"/>
  <c r="G723" s="1"/>
  <c r="C722"/>
  <c r="G722" s="1"/>
  <c r="C721"/>
  <c r="G721" s="1"/>
  <c r="C720"/>
  <c r="G720" s="1"/>
  <c r="C719"/>
  <c r="G719" s="1"/>
  <c r="C718"/>
  <c r="G718" s="1"/>
  <c r="C717"/>
  <c r="C716"/>
  <c r="G716" s="1"/>
  <c r="C715"/>
  <c r="G715" s="1"/>
  <c r="C714"/>
  <c r="G714" s="1"/>
  <c r="C713"/>
  <c r="G713" s="1"/>
  <c r="C712"/>
  <c r="G712" s="1"/>
  <c r="C711"/>
  <c r="G711" s="1"/>
  <c r="C710"/>
  <c r="G710" s="1"/>
  <c r="C709"/>
  <c r="G709" s="1"/>
  <c r="C708"/>
  <c r="G708" s="1"/>
  <c r="C707"/>
  <c r="G707" s="1"/>
  <c r="C706"/>
  <c r="G706" s="1"/>
  <c r="C705"/>
  <c r="G705" s="1"/>
  <c r="C704"/>
  <c r="G704" s="1"/>
  <c r="C703"/>
  <c r="G703" s="1"/>
  <c r="C702"/>
  <c r="G702" s="1"/>
  <c r="C701"/>
  <c r="G701" s="1"/>
  <c r="C700"/>
  <c r="G700" s="1"/>
  <c r="C699"/>
  <c r="G699" s="1"/>
  <c r="C698"/>
  <c r="G698" s="1"/>
  <c r="C697"/>
  <c r="G697" s="1"/>
  <c r="C696"/>
  <c r="G696" s="1"/>
  <c r="C695"/>
  <c r="G695" s="1"/>
  <c r="C694"/>
  <c r="G694" s="1"/>
  <c r="C693"/>
  <c r="G693" s="1"/>
  <c r="C692"/>
  <c r="G692" s="1"/>
  <c r="C691"/>
  <c r="G691" s="1"/>
  <c r="C690"/>
  <c r="G690" s="1"/>
  <c r="C689"/>
  <c r="G689" s="1"/>
  <c r="C688"/>
  <c r="G688" s="1"/>
  <c r="C687"/>
  <c r="G687" s="1"/>
  <c r="C686"/>
  <c r="G686" s="1"/>
  <c r="C685"/>
  <c r="G685" s="1"/>
  <c r="C684"/>
  <c r="G684" s="1"/>
  <c r="C683"/>
  <c r="G683" s="1"/>
  <c r="C682"/>
  <c r="G682" s="1"/>
  <c r="C681"/>
  <c r="G681" s="1"/>
  <c r="C680"/>
  <c r="G680" s="1"/>
  <c r="C679"/>
  <c r="G679" s="1"/>
  <c r="C678"/>
  <c r="G678" s="1"/>
  <c r="C677"/>
  <c r="G677" s="1"/>
  <c r="C676"/>
  <c r="G676" s="1"/>
  <c r="C675"/>
  <c r="G675" s="1"/>
  <c r="C674"/>
  <c r="G674" s="1"/>
  <c r="C673"/>
  <c r="G673" s="1"/>
  <c r="C672"/>
  <c r="G672" s="1"/>
  <c r="C671"/>
  <c r="G671" s="1"/>
  <c r="C670"/>
  <c r="G670" s="1"/>
  <c r="C669"/>
  <c r="G669" s="1"/>
  <c r="C668"/>
  <c r="G668" s="1"/>
  <c r="C667"/>
  <c r="G667" s="1"/>
  <c r="C666"/>
  <c r="G666" s="1"/>
  <c r="G717"/>
  <c r="D677"/>
  <c r="C665"/>
  <c r="G665" s="1"/>
  <c r="C664"/>
  <c r="G664" s="1"/>
  <c r="C663"/>
  <c r="G663" s="1"/>
  <c r="D656"/>
  <c r="C662"/>
  <c r="G662" s="1"/>
  <c r="C661"/>
  <c r="G661" s="1"/>
  <c r="C660"/>
  <c r="G660" s="1"/>
  <c r="C659"/>
  <c r="G659" s="1"/>
  <c r="C658"/>
  <c r="G658" s="1"/>
  <c r="C657"/>
  <c r="G657" s="1"/>
  <c r="C656"/>
  <c r="C655"/>
  <c r="G655" s="1"/>
  <c r="D634"/>
  <c r="D633"/>
  <c r="C654"/>
  <c r="G654" s="1"/>
  <c r="C653"/>
  <c r="G653" s="1"/>
  <c r="C652"/>
  <c r="G652" s="1"/>
  <c r="C651"/>
  <c r="G651" s="1"/>
  <c r="C650"/>
  <c r="G650" s="1"/>
  <c r="C649"/>
  <c r="G649" s="1"/>
  <c r="C648"/>
  <c r="G648" s="1"/>
  <c r="C647"/>
  <c r="G647" s="1"/>
  <c r="C646"/>
  <c r="G646" s="1"/>
  <c r="C645"/>
  <c r="G645" s="1"/>
  <c r="C644"/>
  <c r="G644" s="1"/>
  <c r="C643"/>
  <c r="G643" s="1"/>
  <c r="C642"/>
  <c r="G642" s="1"/>
  <c r="C641"/>
  <c r="G641" s="1"/>
  <c r="C640"/>
  <c r="G640" s="1"/>
  <c r="D587"/>
  <c r="D605"/>
  <c r="D505"/>
  <c r="D475"/>
  <c r="C639"/>
  <c r="G639" s="1"/>
  <c r="C638"/>
  <c r="G638" s="1"/>
  <c r="C637"/>
  <c r="G637" s="1"/>
  <c r="C636"/>
  <c r="G636" s="1"/>
  <c r="C635"/>
  <c r="G635" s="1"/>
  <c r="C634"/>
  <c r="G634" s="1"/>
  <c r="C633"/>
  <c r="C632"/>
  <c r="G632" s="1"/>
  <c r="C631"/>
  <c r="G631" s="1"/>
  <c r="C630"/>
  <c r="G630" s="1"/>
  <c r="C629"/>
  <c r="G629" s="1"/>
  <c r="C628"/>
  <c r="G628" s="1"/>
  <c r="C627"/>
  <c r="G627" s="1"/>
  <c r="C626"/>
  <c r="G626" s="1"/>
  <c r="C625"/>
  <c r="G625" s="1"/>
  <c r="C624"/>
  <c r="G624" s="1"/>
  <c r="C623"/>
  <c r="G623" s="1"/>
  <c r="C622"/>
  <c r="G622" s="1"/>
  <c r="C621"/>
  <c r="G621" s="1"/>
  <c r="C620"/>
  <c r="G620" s="1"/>
  <c r="C619"/>
  <c r="G619" s="1"/>
  <c r="C618"/>
  <c r="G618" s="1"/>
  <c r="C617"/>
  <c r="G617" s="1"/>
  <c r="C616"/>
  <c r="G616" s="1"/>
  <c r="C615"/>
  <c r="G615" s="1"/>
  <c r="C614"/>
  <c r="G614" s="1"/>
  <c r="C613"/>
  <c r="G613" s="1"/>
  <c r="C612"/>
  <c r="G612" s="1"/>
  <c r="C611"/>
  <c r="G611" s="1"/>
  <c r="C610"/>
  <c r="G610" s="1"/>
  <c r="C609"/>
  <c r="G609" s="1"/>
  <c r="C608"/>
  <c r="G608" s="1"/>
  <c r="C607"/>
  <c r="G607" s="1"/>
  <c r="C606"/>
  <c r="G606" s="1"/>
  <c r="C605"/>
  <c r="C604"/>
  <c r="G604" s="1"/>
  <c r="C603"/>
  <c r="G603" s="1"/>
  <c r="C602"/>
  <c r="G602" s="1"/>
  <c r="C601"/>
  <c r="G601" s="1"/>
  <c r="C600"/>
  <c r="G600" s="1"/>
  <c r="C599"/>
  <c r="G599" s="1"/>
  <c r="C598"/>
  <c r="G598" s="1"/>
  <c r="C597"/>
  <c r="G597" s="1"/>
  <c r="C596"/>
  <c r="G596" s="1"/>
  <c r="C595"/>
  <c r="G595" s="1"/>
  <c r="C594"/>
  <c r="G594" s="1"/>
  <c r="C593"/>
  <c r="G593" s="1"/>
  <c r="C592"/>
  <c r="G592" s="1"/>
  <c r="C591"/>
  <c r="G591" s="1"/>
  <c r="C590"/>
  <c r="G590" s="1"/>
  <c r="C589"/>
  <c r="G589" s="1"/>
  <c r="C588"/>
  <c r="G588" s="1"/>
  <c r="C587"/>
  <c r="G587" s="1"/>
  <c r="C586"/>
  <c r="G586" s="1"/>
  <c r="C585"/>
  <c r="G585" s="1"/>
  <c r="C584"/>
  <c r="G584" s="1"/>
  <c r="C583"/>
  <c r="G583" s="1"/>
  <c r="C582"/>
  <c r="G582" s="1"/>
  <c r="C581"/>
  <c r="G581" s="1"/>
  <c r="C580"/>
  <c r="G580" s="1"/>
  <c r="C579"/>
  <c r="G579" s="1"/>
  <c r="C578"/>
  <c r="G578" s="1"/>
  <c r="C577"/>
  <c r="G577" s="1"/>
  <c r="C576"/>
  <c r="G576" s="1"/>
  <c r="C575"/>
  <c r="G575" s="1"/>
  <c r="C574"/>
  <c r="G574" s="1"/>
  <c r="C573"/>
  <c r="G573" s="1"/>
  <c r="C572"/>
  <c r="G572" s="1"/>
  <c r="C571"/>
  <c r="G571" s="1"/>
  <c r="C570"/>
  <c r="G570" s="1"/>
  <c r="C569"/>
  <c r="G569" s="1"/>
  <c r="C568"/>
  <c r="G568" s="1"/>
  <c r="C567"/>
  <c r="G567" s="1"/>
  <c r="C566"/>
  <c r="G566" s="1"/>
  <c r="C565"/>
  <c r="G565" s="1"/>
  <c r="C564"/>
  <c r="G564" s="1"/>
  <c r="C563"/>
  <c r="G563" s="1"/>
  <c r="C562"/>
  <c r="G562" s="1"/>
  <c r="C561"/>
  <c r="G561" s="1"/>
  <c r="C560"/>
  <c r="G560" s="1"/>
  <c r="C559"/>
  <c r="G559" s="1"/>
  <c r="C558"/>
  <c r="G558" s="1"/>
  <c r="C557"/>
  <c r="G557" s="1"/>
  <c r="C556"/>
  <c r="G556" s="1"/>
  <c r="C555"/>
  <c r="G555" s="1"/>
  <c r="C554"/>
  <c r="G554" s="1"/>
  <c r="C553"/>
  <c r="G553" s="1"/>
  <c r="C552"/>
  <c r="G552" s="1"/>
  <c r="C551"/>
  <c r="G551" s="1"/>
  <c r="C550"/>
  <c r="G550" s="1"/>
  <c r="C549"/>
  <c r="G549" s="1"/>
  <c r="C548"/>
  <c r="G548" s="1"/>
  <c r="C547"/>
  <c r="G547" s="1"/>
  <c r="C546"/>
  <c r="G546" s="1"/>
  <c r="C545"/>
  <c r="G545" s="1"/>
  <c r="C544"/>
  <c r="G544" s="1"/>
  <c r="C543"/>
  <c r="G543" s="1"/>
  <c r="C542"/>
  <c r="G542" s="1"/>
  <c r="C541"/>
  <c r="G541" s="1"/>
  <c r="C540"/>
  <c r="G540" s="1"/>
  <c r="C539"/>
  <c r="G539" s="1"/>
  <c r="C538"/>
  <c r="G538" s="1"/>
  <c r="C537"/>
  <c r="G537" s="1"/>
  <c r="C536"/>
  <c r="G536" s="1"/>
  <c r="C535"/>
  <c r="G535" s="1"/>
  <c r="C534"/>
  <c r="G534" s="1"/>
  <c r="C533"/>
  <c r="G533" s="1"/>
  <c r="C532"/>
  <c r="G532" s="1"/>
  <c r="C531"/>
  <c r="G531" s="1"/>
  <c r="C530"/>
  <c r="G530" s="1"/>
  <c r="C529"/>
  <c r="G529" s="1"/>
  <c r="C528"/>
  <c r="G528" s="1"/>
  <c r="C527"/>
  <c r="G527" s="1"/>
  <c r="C526"/>
  <c r="G526" s="1"/>
  <c r="C525"/>
  <c r="G525" s="1"/>
  <c r="C524"/>
  <c r="G524" s="1"/>
  <c r="C523"/>
  <c r="G523" s="1"/>
  <c r="C522"/>
  <c r="G522" s="1"/>
  <c r="C521"/>
  <c r="G521" s="1"/>
  <c r="C520"/>
  <c r="G520" s="1"/>
  <c r="C519"/>
  <c r="G519" s="1"/>
  <c r="C518"/>
  <c r="G518" s="1"/>
  <c r="C517"/>
  <c r="G517" s="1"/>
  <c r="C516"/>
  <c r="G516" s="1"/>
  <c r="C515"/>
  <c r="G515" s="1"/>
  <c r="C514"/>
  <c r="G514" s="1"/>
  <c r="C513"/>
  <c r="G513" s="1"/>
  <c r="C512"/>
  <c r="G512" s="1"/>
  <c r="C511"/>
  <c r="G511" s="1"/>
  <c r="C510"/>
  <c r="G510" s="1"/>
  <c r="C509"/>
  <c r="G509" s="1"/>
  <c r="C508"/>
  <c r="G508" s="1"/>
  <c r="C507"/>
  <c r="G507" s="1"/>
  <c r="C506"/>
  <c r="G506" s="1"/>
  <c r="C505"/>
  <c r="C504"/>
  <c r="G504" s="1"/>
  <c r="C503"/>
  <c r="G503" s="1"/>
  <c r="C502"/>
  <c r="G502" s="1"/>
  <c r="C501"/>
  <c r="G501" s="1"/>
  <c r="C500"/>
  <c r="G500" s="1"/>
  <c r="C499"/>
  <c r="G499" s="1"/>
  <c r="C498"/>
  <c r="G498" s="1"/>
  <c r="C497"/>
  <c r="G497" s="1"/>
  <c r="C496"/>
  <c r="G496" s="1"/>
  <c r="C495"/>
  <c r="G495" s="1"/>
  <c r="C494"/>
  <c r="G494" s="1"/>
  <c r="C493"/>
  <c r="G493" s="1"/>
  <c r="C492"/>
  <c r="G492" s="1"/>
  <c r="C491"/>
  <c r="G491" s="1"/>
  <c r="C490"/>
  <c r="G490" s="1"/>
  <c r="C489"/>
  <c r="G489" s="1"/>
  <c r="C488"/>
  <c r="G488" s="1"/>
  <c r="C487"/>
  <c r="G487" s="1"/>
  <c r="C486"/>
  <c r="G486" s="1"/>
  <c r="C485"/>
  <c r="G485" s="1"/>
  <c r="C484"/>
  <c r="G484" s="1"/>
  <c r="C483"/>
  <c r="G483" s="1"/>
  <c r="C482"/>
  <c r="G482" s="1"/>
  <c r="C481"/>
  <c r="G481" s="1"/>
  <c r="C480"/>
  <c r="G480" s="1"/>
  <c r="C479"/>
  <c r="G479" s="1"/>
  <c r="C478"/>
  <c r="G478" s="1"/>
  <c r="C477"/>
  <c r="G477" s="1"/>
  <c r="C476"/>
  <c r="G476" s="1"/>
  <c r="C475"/>
  <c r="C474"/>
  <c r="G474" s="1"/>
  <c r="C473"/>
  <c r="G473" s="1"/>
  <c r="C472"/>
  <c r="G472" s="1"/>
  <c r="C471"/>
  <c r="G471" s="1"/>
  <c r="C470"/>
  <c r="G470" s="1"/>
  <c r="C469"/>
  <c r="G469" s="1"/>
  <c r="C468"/>
  <c r="G468" s="1"/>
  <c r="C467"/>
  <c r="G467" s="1"/>
  <c r="C466"/>
  <c r="G466" s="1"/>
  <c r="C465"/>
  <c r="G465" s="1"/>
  <c r="C464"/>
  <c r="G464" s="1"/>
  <c r="C463"/>
  <c r="G463" s="1"/>
  <c r="C462"/>
  <c r="G462" s="1"/>
  <c r="C461"/>
  <c r="G461" s="1"/>
  <c r="C460"/>
  <c r="G460" s="1"/>
  <c r="C459"/>
  <c r="G459" s="1"/>
  <c r="C458"/>
  <c r="G458" s="1"/>
  <c r="C457"/>
  <c r="G457" s="1"/>
  <c r="C456"/>
  <c r="G456" s="1"/>
  <c r="C455"/>
  <c r="G455" s="1"/>
  <c r="C454"/>
  <c r="G454" s="1"/>
  <c r="C453"/>
  <c r="G453" s="1"/>
  <c r="C452"/>
  <c r="G452" s="1"/>
  <c r="C451"/>
  <c r="G451" s="1"/>
  <c r="C450"/>
  <c r="G450" s="1"/>
  <c r="C449"/>
  <c r="G449" s="1"/>
  <c r="C448"/>
  <c r="G448" s="1"/>
  <c r="C447"/>
  <c r="G447" s="1"/>
  <c r="C446"/>
  <c r="G446" s="1"/>
  <c r="C445"/>
  <c r="G445" s="1"/>
  <c r="C444"/>
  <c r="G444" s="1"/>
  <c r="C443"/>
  <c r="G443" s="1"/>
  <c r="C442"/>
  <c r="G442" s="1"/>
  <c r="D406"/>
  <c r="C441"/>
  <c r="G441" s="1"/>
  <c r="C440"/>
  <c r="G440" s="1"/>
  <c r="C439"/>
  <c r="G439" s="1"/>
  <c r="C438"/>
  <c r="G438" s="1"/>
  <c r="C437"/>
  <c r="G437" s="1"/>
  <c r="C436"/>
  <c r="G436" s="1"/>
  <c r="C435"/>
  <c r="G435" s="1"/>
  <c r="C434"/>
  <c r="G434" s="1"/>
  <c r="C433"/>
  <c r="G433" s="1"/>
  <c r="C432"/>
  <c r="G432" s="1"/>
  <c r="C431"/>
  <c r="G431" s="1"/>
  <c r="C430"/>
  <c r="G430" s="1"/>
  <c r="C429"/>
  <c r="G429" s="1"/>
  <c r="C428"/>
  <c r="G428" s="1"/>
  <c r="C427"/>
  <c r="G427" s="1"/>
  <c r="C426"/>
  <c r="G426" s="1"/>
  <c r="C425"/>
  <c r="G425" s="1"/>
  <c r="C424"/>
  <c r="G424" s="1"/>
  <c r="C423"/>
  <c r="G423" s="1"/>
  <c r="C422"/>
  <c r="G422" s="1"/>
  <c r="C421"/>
  <c r="G421" s="1"/>
  <c r="C420"/>
  <c r="G420" s="1"/>
  <c r="C419"/>
  <c r="G419" s="1"/>
  <c r="C418"/>
  <c r="G418" s="1"/>
  <c r="C417"/>
  <c r="G417" s="1"/>
  <c r="C416"/>
  <c r="G416" s="1"/>
  <c r="C415"/>
  <c r="G415" s="1"/>
  <c r="C414"/>
  <c r="G414" s="1"/>
  <c r="C413"/>
  <c r="G413" s="1"/>
  <c r="C412"/>
  <c r="G412" s="1"/>
  <c r="C411"/>
  <c r="G411" s="1"/>
  <c r="C410"/>
  <c r="G410" s="1"/>
  <c r="C409"/>
  <c r="G409" s="1"/>
  <c r="C408"/>
  <c r="G408" s="1"/>
  <c r="C407"/>
  <c r="G407" s="1"/>
  <c r="C406"/>
  <c r="G406" s="1"/>
  <c r="C405"/>
  <c r="G405" s="1"/>
  <c r="C404"/>
  <c r="G404" s="1"/>
  <c r="C403"/>
  <c r="G403" s="1"/>
  <c r="C402"/>
  <c r="G402" s="1"/>
  <c r="C401"/>
  <c r="G401" s="1"/>
  <c r="C400"/>
  <c r="G400" s="1"/>
  <c r="C399"/>
  <c r="G399" s="1"/>
  <c r="C398"/>
  <c r="G398" s="1"/>
  <c r="C397"/>
  <c r="G397" s="1"/>
  <c r="C396"/>
  <c r="G396" s="1"/>
  <c r="C395"/>
  <c r="G395" s="1"/>
  <c r="C394"/>
  <c r="G394" s="1"/>
  <c r="C393"/>
  <c r="G393" s="1"/>
  <c r="C392"/>
  <c r="G392" s="1"/>
  <c r="C391"/>
  <c r="G391" s="1"/>
  <c r="C390"/>
  <c r="G390" s="1"/>
  <c r="D313"/>
  <c r="D276"/>
  <c r="C389"/>
  <c r="G389" s="1"/>
  <c r="C388"/>
  <c r="G388" s="1"/>
  <c r="C387"/>
  <c r="G387" s="1"/>
  <c r="C386"/>
  <c r="G386" s="1"/>
  <c r="C385"/>
  <c r="G385" s="1"/>
  <c r="C384"/>
  <c r="G384" s="1"/>
  <c r="C383"/>
  <c r="G383" s="1"/>
  <c r="C382"/>
  <c r="G382" s="1"/>
  <c r="C381"/>
  <c r="G381" s="1"/>
  <c r="C380"/>
  <c r="G380" s="1"/>
  <c r="C379"/>
  <c r="G379" s="1"/>
  <c r="C378"/>
  <c r="G378" s="1"/>
  <c r="C377"/>
  <c r="G377" s="1"/>
  <c r="C376"/>
  <c r="G376" s="1"/>
  <c r="C375"/>
  <c r="G375" s="1"/>
  <c r="C374"/>
  <c r="G374" s="1"/>
  <c r="C373"/>
  <c r="G373" s="1"/>
  <c r="C372"/>
  <c r="G372" s="1"/>
  <c r="C371"/>
  <c r="G371" s="1"/>
  <c r="C370"/>
  <c r="G370" s="1"/>
  <c r="C369"/>
  <c r="G369" s="1"/>
  <c r="C368"/>
  <c r="G368" s="1"/>
  <c r="C367"/>
  <c r="G367" s="1"/>
  <c r="C366"/>
  <c r="G366" s="1"/>
  <c r="C365"/>
  <c r="G365" s="1"/>
  <c r="C364"/>
  <c r="G364" s="1"/>
  <c r="C363"/>
  <c r="G363" s="1"/>
  <c r="C362"/>
  <c r="G362" s="1"/>
  <c r="C361"/>
  <c r="G361" s="1"/>
  <c r="C360"/>
  <c r="G360" s="1"/>
  <c r="C359"/>
  <c r="G359" s="1"/>
  <c r="C358"/>
  <c r="G358" s="1"/>
  <c r="C357"/>
  <c r="G357" s="1"/>
  <c r="C356"/>
  <c r="G356" s="1"/>
  <c r="C355"/>
  <c r="G355" s="1"/>
  <c r="C354"/>
  <c r="G354" s="1"/>
  <c r="C353"/>
  <c r="G353" s="1"/>
  <c r="C352"/>
  <c r="G352" s="1"/>
  <c r="C351"/>
  <c r="G351" s="1"/>
  <c r="C350"/>
  <c r="G350" s="1"/>
  <c r="C349"/>
  <c r="G349" s="1"/>
  <c r="C348"/>
  <c r="G348" s="1"/>
  <c r="C347"/>
  <c r="G347" s="1"/>
  <c r="C346"/>
  <c r="G346" s="1"/>
  <c r="C345"/>
  <c r="G345" s="1"/>
  <c r="C344"/>
  <c r="G344" s="1"/>
  <c r="C343"/>
  <c r="G343" s="1"/>
  <c r="C342"/>
  <c r="G342" s="1"/>
  <c r="C341"/>
  <c r="G341" s="1"/>
  <c r="C340"/>
  <c r="G340" s="1"/>
  <c r="C339"/>
  <c r="G339" s="1"/>
  <c r="C338"/>
  <c r="G338" s="1"/>
  <c r="C337"/>
  <c r="G337" s="1"/>
  <c r="C336"/>
  <c r="G336" s="1"/>
  <c r="C335"/>
  <c r="G335" s="1"/>
  <c r="C334"/>
  <c r="G334" s="1"/>
  <c r="C333"/>
  <c r="G333" s="1"/>
  <c r="C332"/>
  <c r="G332" s="1"/>
  <c r="C331"/>
  <c r="G331" s="1"/>
  <c r="C330"/>
  <c r="G330" s="1"/>
  <c r="C329"/>
  <c r="G329" s="1"/>
  <c r="C328"/>
  <c r="G328" s="1"/>
  <c r="C327"/>
  <c r="G327" s="1"/>
  <c r="C326"/>
  <c r="G326" s="1"/>
  <c r="C325"/>
  <c r="G325" s="1"/>
  <c r="C324"/>
  <c r="G324" s="1"/>
  <c r="C323"/>
  <c r="G323" s="1"/>
  <c r="C322"/>
  <c r="G322" s="1"/>
  <c r="C321"/>
  <c r="G321" s="1"/>
  <c r="C320"/>
  <c r="G320" s="1"/>
  <c r="C319"/>
  <c r="G319" s="1"/>
  <c r="C318"/>
  <c r="G318" s="1"/>
  <c r="C317"/>
  <c r="G317" s="1"/>
  <c r="C316"/>
  <c r="G316" s="1"/>
  <c r="C315"/>
  <c r="G315" s="1"/>
  <c r="C314"/>
  <c r="G314" s="1"/>
  <c r="C313"/>
  <c r="C312"/>
  <c r="G312" s="1"/>
  <c r="C311"/>
  <c r="G311" s="1"/>
  <c r="C310"/>
  <c r="G310" s="1"/>
  <c r="C309"/>
  <c r="G309" s="1"/>
  <c r="C308"/>
  <c r="G308" s="1"/>
  <c r="C307"/>
  <c r="G307" s="1"/>
  <c r="C306"/>
  <c r="G306" s="1"/>
  <c r="C305"/>
  <c r="G305" s="1"/>
  <c r="C304"/>
  <c r="G304" s="1"/>
  <c r="C303"/>
  <c r="G303" s="1"/>
  <c r="C302"/>
  <c r="G302" s="1"/>
  <c r="C301"/>
  <c r="G301" s="1"/>
  <c r="C300"/>
  <c r="G300" s="1"/>
  <c r="C299"/>
  <c r="G299" s="1"/>
  <c r="C298"/>
  <c r="G298" s="1"/>
  <c r="C297"/>
  <c r="G297" s="1"/>
  <c r="C296"/>
  <c r="G296" s="1"/>
  <c r="C295"/>
  <c r="G295" s="1"/>
  <c r="C294"/>
  <c r="G294" s="1"/>
  <c r="C293"/>
  <c r="G293" s="1"/>
  <c r="C292"/>
  <c r="G292" s="1"/>
  <c r="C291"/>
  <c r="G291" s="1"/>
  <c r="C290"/>
  <c r="G290" s="1"/>
  <c r="C289"/>
  <c r="G289" s="1"/>
  <c r="C288"/>
  <c r="G288" s="1"/>
  <c r="C287"/>
  <c r="G287" s="1"/>
  <c r="C286"/>
  <c r="G286" s="1"/>
  <c r="C285"/>
  <c r="G285" s="1"/>
  <c r="C284"/>
  <c r="G284" s="1"/>
  <c r="C283"/>
  <c r="G283" s="1"/>
  <c r="C282"/>
  <c r="G282" s="1"/>
  <c r="C281"/>
  <c r="G281" s="1"/>
  <c r="C280"/>
  <c r="G280" s="1"/>
  <c r="C279"/>
  <c r="G279" s="1"/>
  <c r="C278"/>
  <c r="G278" s="1"/>
  <c r="C277"/>
  <c r="G277" s="1"/>
  <c r="C276"/>
  <c r="G276" s="1"/>
  <c r="C275"/>
  <c r="G275" s="1"/>
  <c r="C274"/>
  <c r="G274" s="1"/>
  <c r="C269"/>
  <c r="G269" s="1"/>
  <c r="C268"/>
  <c r="G268" s="1"/>
  <c r="C267"/>
  <c r="G267" s="1"/>
  <c r="C266"/>
  <c r="G266" s="1"/>
  <c r="C265"/>
  <c r="G265" s="1"/>
  <c r="C264"/>
  <c r="G264" s="1"/>
  <c r="C263"/>
  <c r="G263" s="1"/>
  <c r="C262"/>
  <c r="G262" s="1"/>
  <c r="C261"/>
  <c r="G261" s="1"/>
  <c r="C260"/>
  <c r="G260" s="1"/>
  <c r="C259"/>
  <c r="G259" s="1"/>
  <c r="C258"/>
  <c r="G258" s="1"/>
  <c r="C257"/>
  <c r="G257" s="1"/>
  <c r="C256"/>
  <c r="G256" s="1"/>
  <c r="C255"/>
  <c r="G255" s="1"/>
  <c r="C254"/>
  <c r="G254" s="1"/>
  <c r="C253"/>
  <c r="G253" s="1"/>
  <c r="C252"/>
  <c r="G252" s="1"/>
  <c r="C251"/>
  <c r="G251" s="1"/>
  <c r="C250"/>
  <c r="G250" s="1"/>
  <c r="C249"/>
  <c r="G249" s="1"/>
  <c r="C248"/>
  <c r="G248" s="1"/>
  <c r="C247"/>
  <c r="G247" s="1"/>
  <c r="C246"/>
  <c r="G246" s="1"/>
  <c r="C245"/>
  <c r="G245" s="1"/>
  <c r="C244"/>
  <c r="G244" s="1"/>
  <c r="C243"/>
  <c r="G243" s="1"/>
  <c r="C242"/>
  <c r="G242" s="1"/>
  <c r="C241"/>
  <c r="G241" s="1"/>
  <c r="C240"/>
  <c r="G240" s="1"/>
  <c r="C239"/>
  <c r="G239" s="1"/>
  <c r="C273"/>
  <c r="G273" s="1"/>
  <c r="C272"/>
  <c r="G272" s="1"/>
  <c r="C271"/>
  <c r="G271" s="1"/>
  <c r="C270"/>
  <c r="G270" s="1"/>
  <c r="C238"/>
  <c r="G238" s="1"/>
  <c r="C237"/>
  <c r="G237" s="1"/>
  <c r="C236"/>
  <c r="G236" s="1"/>
  <c r="C235"/>
  <c r="G235" s="1"/>
  <c r="C234"/>
  <c r="G234" s="1"/>
  <c r="C233"/>
  <c r="G233" s="1"/>
  <c r="C232"/>
  <c r="G232" s="1"/>
  <c r="C231"/>
  <c r="G231" s="1"/>
  <c r="C230"/>
  <c r="G230" s="1"/>
  <c r="C229"/>
  <c r="G229" s="1"/>
  <c r="C228"/>
  <c r="G228" s="1"/>
  <c r="C227"/>
  <c r="G227" s="1"/>
  <c r="C226"/>
  <c r="G226" s="1"/>
  <c r="C225"/>
  <c r="G225" s="1"/>
  <c r="C224"/>
  <c r="G224" s="1"/>
  <c r="C223"/>
  <c r="G223" s="1"/>
  <c r="C222"/>
  <c r="G222" s="1"/>
  <c r="C221"/>
  <c r="G221" s="1"/>
  <c r="C220"/>
  <c r="G220" s="1"/>
  <c r="C219"/>
  <c r="G219" s="1"/>
  <c r="C218"/>
  <c r="G218" s="1"/>
  <c r="C217"/>
  <c r="G217" s="1"/>
  <c r="C216"/>
  <c r="G216" s="1"/>
  <c r="C215"/>
  <c r="G215" s="1"/>
  <c r="C214"/>
  <c r="G214" s="1"/>
  <c r="C213"/>
  <c r="G213" s="1"/>
  <c r="C212"/>
  <c r="G212" s="1"/>
  <c r="C211"/>
  <c r="G211" s="1"/>
  <c r="C210"/>
  <c r="G210" s="1"/>
  <c r="C209"/>
  <c r="G209" s="1"/>
  <c r="C208"/>
  <c r="G208" s="1"/>
  <c r="C207"/>
  <c r="G207" s="1"/>
  <c r="C206"/>
  <c r="G206" s="1"/>
  <c r="C205"/>
  <c r="G205" s="1"/>
  <c r="C204"/>
  <c r="G204" s="1"/>
  <c r="C203"/>
  <c r="G203" s="1"/>
  <c r="C202"/>
  <c r="G202" s="1"/>
  <c r="C201"/>
  <c r="G201" s="1"/>
  <c r="C200"/>
  <c r="G200" s="1"/>
  <c r="C199"/>
  <c r="G199" s="1"/>
  <c r="C198"/>
  <c r="G198" s="1"/>
  <c r="C197"/>
  <c r="G197" s="1"/>
  <c r="C196"/>
  <c r="G196" s="1"/>
  <c r="C195"/>
  <c r="G195" s="1"/>
  <c r="C194"/>
  <c r="G194" s="1"/>
  <c r="C193"/>
  <c r="G193" s="1"/>
  <c r="C192"/>
  <c r="G192" s="1"/>
  <c r="C191"/>
  <c r="G191" s="1"/>
  <c r="C190"/>
  <c r="G190" s="1"/>
  <c r="C189"/>
  <c r="G189" s="1"/>
  <c r="C188"/>
  <c r="G188" s="1"/>
  <c r="C187"/>
  <c r="G187" s="1"/>
  <c r="C186"/>
  <c r="G186" s="1"/>
  <c r="C185"/>
  <c r="G185" s="1"/>
  <c r="C184"/>
  <c r="G184" s="1"/>
  <c r="C183"/>
  <c r="G183" s="1"/>
  <c r="C182"/>
  <c r="G182" s="1"/>
  <c r="C181"/>
  <c r="G181" s="1"/>
  <c r="C180"/>
  <c r="G180" s="1"/>
  <c r="C179"/>
  <c r="G179" s="1"/>
  <c r="C178"/>
  <c r="G178" s="1"/>
  <c r="C177"/>
  <c r="G177" s="1"/>
  <c r="C176"/>
  <c r="G176" s="1"/>
  <c r="C175"/>
  <c r="G175" s="1"/>
  <c r="C174"/>
  <c r="G174" s="1"/>
  <c r="C173"/>
  <c r="G173" s="1"/>
  <c r="C172"/>
  <c r="G172" s="1"/>
  <c r="C171"/>
  <c r="G171" s="1"/>
  <c r="C170"/>
  <c r="G170" s="1"/>
  <c r="C169"/>
  <c r="G169" s="1"/>
  <c r="C168"/>
  <c r="G168" s="1"/>
  <c r="C167"/>
  <c r="G167" s="1"/>
  <c r="C166"/>
  <c r="G166" s="1"/>
  <c r="C165"/>
  <c r="G165" s="1"/>
  <c r="C164"/>
  <c r="G164" s="1"/>
  <c r="C163"/>
  <c r="G163" s="1"/>
  <c r="C162"/>
  <c r="G162" s="1"/>
  <c r="C161"/>
  <c r="G161" s="1"/>
  <c r="C160"/>
  <c r="G160" s="1"/>
  <c r="C159"/>
  <c r="G159" s="1"/>
  <c r="C158"/>
  <c r="G158" s="1"/>
  <c r="C126"/>
  <c r="G126" s="1"/>
  <c r="D96"/>
  <c r="D95"/>
  <c r="D91"/>
  <c r="C157"/>
  <c r="G157" s="1"/>
  <c r="C156"/>
  <c r="G156" s="1"/>
  <c r="C155"/>
  <c r="G155" s="1"/>
  <c r="C154"/>
  <c r="G154" s="1"/>
  <c r="C153"/>
  <c r="G153" s="1"/>
  <c r="C152"/>
  <c r="G152" s="1"/>
  <c r="C151"/>
  <c r="G151" s="1"/>
  <c r="C150"/>
  <c r="G150" s="1"/>
  <c r="C149"/>
  <c r="G149" s="1"/>
  <c r="C148"/>
  <c r="G148" s="1"/>
  <c r="C147"/>
  <c r="G147" s="1"/>
  <c r="C146"/>
  <c r="G146" s="1"/>
  <c r="C145"/>
  <c r="G145" s="1"/>
  <c r="C144"/>
  <c r="G144" s="1"/>
  <c r="C143"/>
  <c r="G143" s="1"/>
  <c r="C142"/>
  <c r="G142" s="1"/>
  <c r="C141"/>
  <c r="G141" s="1"/>
  <c r="C140"/>
  <c r="G140" s="1"/>
  <c r="C139"/>
  <c r="G139" s="1"/>
  <c r="C138"/>
  <c r="G138" s="1"/>
  <c r="C137"/>
  <c r="G137" s="1"/>
  <c r="C136"/>
  <c r="G136" s="1"/>
  <c r="C135"/>
  <c r="G135" s="1"/>
  <c r="C134"/>
  <c r="G134" s="1"/>
  <c r="C133"/>
  <c r="G133" s="1"/>
  <c r="C132"/>
  <c r="G132" s="1"/>
  <c r="C131"/>
  <c r="G131" s="1"/>
  <c r="C130"/>
  <c r="G130" s="1"/>
  <c r="C129"/>
  <c r="G129" s="1"/>
  <c r="C128"/>
  <c r="G128" s="1"/>
  <c r="C127"/>
  <c r="G127" s="1"/>
  <c r="C125"/>
  <c r="G125" s="1"/>
  <c r="C124"/>
  <c r="G124" s="1"/>
  <c r="C123"/>
  <c r="G123" s="1"/>
  <c r="C122"/>
  <c r="G122" s="1"/>
  <c r="C121"/>
  <c r="G121" s="1"/>
  <c r="C120"/>
  <c r="G120" s="1"/>
  <c r="C119"/>
  <c r="G119" s="1"/>
  <c r="C118"/>
  <c r="G118" s="1"/>
  <c r="C117"/>
  <c r="G117" s="1"/>
  <c r="C116"/>
  <c r="G116" s="1"/>
  <c r="C115"/>
  <c r="G115" s="1"/>
  <c r="C114"/>
  <c r="G114" s="1"/>
  <c r="C113"/>
  <c r="G113" s="1"/>
  <c r="C112"/>
  <c r="G112" s="1"/>
  <c r="C111"/>
  <c r="G111" s="1"/>
  <c r="C110"/>
  <c r="G110" s="1"/>
  <c r="C109"/>
  <c r="G109" s="1"/>
  <c r="C108"/>
  <c r="G108" s="1"/>
  <c r="C107"/>
  <c r="G107" s="1"/>
  <c r="C106"/>
  <c r="G106" s="1"/>
  <c r="C105"/>
  <c r="G105" s="1"/>
  <c r="C104"/>
  <c r="G104" s="1"/>
  <c r="C103"/>
  <c r="G103" s="1"/>
  <c r="C102"/>
  <c r="G102" s="1"/>
  <c r="C101"/>
  <c r="G101" s="1"/>
  <c r="C100"/>
  <c r="G100" s="1"/>
  <c r="C99"/>
  <c r="G99" s="1"/>
  <c r="C98"/>
  <c r="G98" s="1"/>
  <c r="C97"/>
  <c r="G97" s="1"/>
  <c r="C96"/>
  <c r="C95"/>
  <c r="C94"/>
  <c r="G94" s="1"/>
  <c r="C93"/>
  <c r="G93" s="1"/>
  <c r="C92"/>
  <c r="G92" s="1"/>
  <c r="C91"/>
  <c r="C90"/>
  <c r="G90" s="1"/>
  <c r="C89"/>
  <c r="G89" s="1"/>
  <c r="C88"/>
  <c r="G88" s="1"/>
  <c r="C87"/>
  <c r="G87" s="1"/>
  <c r="C86"/>
  <c r="G86" s="1"/>
  <c r="C85"/>
  <c r="G85" s="1"/>
  <c r="C84"/>
  <c r="G84" s="1"/>
  <c r="C83"/>
  <c r="G83" s="1"/>
  <c r="C82"/>
  <c r="G82" s="1"/>
  <c r="C81"/>
  <c r="G81" s="1"/>
  <c r="C80"/>
  <c r="G80" s="1"/>
  <c r="C79"/>
  <c r="G79" s="1"/>
  <c r="C78"/>
  <c r="G78" s="1"/>
  <c r="C77"/>
  <c r="G77" s="1"/>
  <c r="C76"/>
  <c r="G76" s="1"/>
  <c r="C75"/>
  <c r="G75" s="1"/>
  <c r="C74"/>
  <c r="G74" s="1"/>
  <c r="C73"/>
  <c r="G73" s="1"/>
  <c r="C72"/>
  <c r="G72" s="1"/>
  <c r="C71"/>
  <c r="G71" s="1"/>
  <c r="C70"/>
  <c r="G70" s="1"/>
  <c r="C69"/>
  <c r="G69" s="1"/>
  <c r="C68"/>
  <c r="G68" s="1"/>
  <c r="C67"/>
  <c r="G67" s="1"/>
  <c r="C66"/>
  <c r="G66" s="1"/>
  <c r="C65"/>
  <c r="G65" s="1"/>
  <c r="C64"/>
  <c r="G64" s="1"/>
  <c r="C63"/>
  <c r="G63" s="1"/>
  <c r="C62"/>
  <c r="G62" s="1"/>
  <c r="C61"/>
  <c r="G61" s="1"/>
  <c r="C60"/>
  <c r="G60" s="1"/>
  <c r="C59"/>
  <c r="G59" s="1"/>
  <c r="C58"/>
  <c r="G58" s="1"/>
  <c r="C57"/>
  <c r="G57" s="1"/>
  <c r="C56"/>
  <c r="G56" s="1"/>
  <c r="C55"/>
  <c r="G55" s="1"/>
  <c r="C54"/>
  <c r="G54" s="1"/>
  <c r="C53"/>
  <c r="G53" s="1"/>
  <c r="C52"/>
  <c r="G52" s="1"/>
  <c r="C51"/>
  <c r="G51" s="1"/>
  <c r="C50"/>
  <c r="G50" s="1"/>
  <c r="C49"/>
  <c r="G49" s="1"/>
  <c r="C48"/>
  <c r="G48" s="1"/>
  <c r="C47"/>
  <c r="G47" s="1"/>
  <c r="C46"/>
  <c r="G46" s="1"/>
  <c r="C45"/>
  <c r="G45" s="1"/>
  <c r="C44"/>
  <c r="G44" s="1"/>
  <c r="C43"/>
  <c r="G43" s="1"/>
  <c r="C42"/>
  <c r="G42" s="1"/>
  <c r="C41"/>
  <c r="G41" s="1"/>
  <c r="C40"/>
  <c r="G40" s="1"/>
  <c r="C39"/>
  <c r="G39" s="1"/>
  <c r="C38"/>
  <c r="G38" s="1"/>
  <c r="C37"/>
  <c r="G37" s="1"/>
  <c r="C36"/>
  <c r="G36" s="1"/>
  <c r="C35"/>
  <c r="G35" s="1"/>
  <c r="C34"/>
  <c r="G34" s="1"/>
  <c r="C33"/>
  <c r="G33" s="1"/>
  <c r="C32"/>
  <c r="G32" s="1"/>
  <c r="C31"/>
  <c r="G31" s="1"/>
  <c r="C30"/>
  <c r="G30" s="1"/>
  <c r="C29"/>
  <c r="G29" s="1"/>
  <c r="C28"/>
  <c r="G28" s="1"/>
  <c r="C27"/>
  <c r="G27" s="1"/>
  <c r="C26"/>
  <c r="G26" s="1"/>
  <c r="C25"/>
  <c r="G25" s="1"/>
  <c r="C24"/>
  <c r="G24" s="1"/>
  <c r="C23"/>
  <c r="G23" s="1"/>
  <c r="C22"/>
  <c r="G22" s="1"/>
  <c r="C21"/>
  <c r="G21" s="1"/>
  <c r="C20"/>
  <c r="G20" s="1"/>
  <c r="C19"/>
  <c r="G19" s="1"/>
  <c r="C18"/>
  <c r="G18" s="1"/>
  <c r="C17"/>
  <c r="G17" s="1"/>
  <c r="C16"/>
  <c r="G16" s="1"/>
  <c r="C15"/>
  <c r="G15" s="1"/>
  <c r="C14"/>
  <c r="G14" s="1"/>
  <c r="C13"/>
  <c r="G13" s="1"/>
  <c r="C12"/>
  <c r="G12" s="1"/>
  <c r="C11"/>
  <c r="G11" s="1"/>
  <c r="C10"/>
  <c r="G10" s="1"/>
  <c r="C9"/>
  <c r="G9" s="1"/>
  <c r="C8"/>
  <c r="G8" s="1"/>
  <c r="C7"/>
  <c r="G7" s="1"/>
  <c r="C6"/>
  <c r="G6" s="1"/>
  <c r="C5"/>
  <c r="G5" s="1"/>
  <c r="C4"/>
  <c r="G4" s="1"/>
  <c r="C3"/>
  <c r="G3" s="1"/>
  <c r="C2"/>
  <c r="G2" s="1"/>
  <c r="D84"/>
  <c r="D32"/>
  <c r="D10"/>
  <c r="D8"/>
  <c r="G159" i="3"/>
  <c r="F159"/>
  <c r="G134"/>
  <c r="G130"/>
  <c r="G129"/>
  <c r="G127"/>
  <c r="D127"/>
  <c r="G126"/>
  <c r="D126"/>
  <c r="L122"/>
  <c r="L126" s="1"/>
  <c r="G122"/>
  <c r="K121"/>
  <c r="G121"/>
  <c r="G120"/>
  <c r="G119"/>
  <c r="G118"/>
  <c r="G109"/>
  <c r="G101"/>
  <c r="G96"/>
  <c r="G91"/>
  <c r="T90"/>
  <c r="G90"/>
  <c r="G87"/>
  <c r="G77"/>
  <c r="E77"/>
  <c r="G72"/>
  <c r="G67"/>
  <c r="G65"/>
  <c r="F65"/>
  <c r="P62"/>
  <c r="G62"/>
  <c r="Q61"/>
  <c r="S61" s="1"/>
  <c r="G61"/>
  <c r="Q59"/>
  <c r="S59" s="1"/>
  <c r="G59"/>
  <c r="Q58"/>
  <c r="T58" s="1"/>
  <c r="L58"/>
  <c r="G52" s="1"/>
  <c r="G58"/>
  <c r="Q52"/>
  <c r="T52" s="1"/>
  <c r="E52"/>
  <c r="T51"/>
  <c r="S51"/>
  <c r="S62" s="1"/>
  <c r="R87" s="1"/>
  <c r="Q51"/>
  <c r="G51"/>
  <c r="T40"/>
  <c r="Q40"/>
  <c r="U36"/>
  <c r="Q36"/>
  <c r="T36" s="1"/>
  <c r="V36" s="1"/>
  <c r="G36"/>
  <c r="Q34"/>
  <c r="T34" s="1"/>
  <c r="G34"/>
  <c r="F34"/>
  <c r="Q30"/>
  <c r="T30" s="1"/>
  <c r="G30"/>
  <c r="Q10"/>
  <c r="T10" s="1"/>
  <c r="G10"/>
  <c r="K8"/>
  <c r="J8"/>
  <c r="I8"/>
  <c r="G8"/>
  <c r="I6"/>
  <c r="G6"/>
  <c r="D133" i="1"/>
  <c r="D132"/>
  <c r="D5" i="15"/>
  <c r="D8" l="1"/>
  <c r="AG9" i="9"/>
  <c r="AF9"/>
  <c r="AF7"/>
  <c r="AG7" s="1"/>
  <c r="Z21"/>
  <c r="G2369" i="5"/>
  <c r="G2466"/>
  <c r="G2459"/>
  <c r="G2298"/>
  <c r="G2295"/>
  <c r="G2416"/>
  <c r="Y21" i="9"/>
  <c r="X21"/>
  <c r="W21"/>
  <c r="V21"/>
  <c r="G2372" i="5"/>
  <c r="G2158"/>
  <c r="G2061"/>
  <c r="AB21" i="9"/>
  <c r="AG19" i="8"/>
  <c r="AG21" s="1"/>
  <c r="AG22" s="1"/>
  <c r="AG23" s="1"/>
  <c r="AF8" i="9"/>
  <c r="AG8" s="1"/>
  <c r="G1611" i="5"/>
  <c r="G1581"/>
  <c r="G1526"/>
  <c r="G1438"/>
  <c r="U10" i="10"/>
  <c r="G1334" i="5"/>
  <c r="G1309"/>
  <c r="G1229"/>
  <c r="G1232"/>
  <c r="G1228"/>
  <c r="G1227"/>
  <c r="G1223"/>
  <c r="G1222"/>
  <c r="G1138"/>
  <c r="G505"/>
  <c r="G605"/>
  <c r="G1097"/>
  <c r="G1076"/>
  <c r="G1060"/>
  <c r="G1010"/>
  <c r="G1009"/>
  <c r="G1000"/>
  <c r="H1" i="3"/>
  <c r="H65" s="1"/>
  <c r="Q62"/>
  <c r="C23" i="8"/>
  <c r="G656" i="5"/>
  <c r="G633"/>
  <c r="G475"/>
  <c r="G313"/>
  <c r="G96"/>
  <c r="G95"/>
  <c r="G91"/>
  <c r="AC21" i="9" l="1"/>
  <c r="H122" i="3"/>
  <c r="H101"/>
  <c r="H52"/>
  <c r="H118"/>
  <c r="H8"/>
  <c r="H129"/>
  <c r="S67"/>
  <c r="R90"/>
  <c r="S90" s="1"/>
  <c r="S96" s="1"/>
  <c r="S101" s="1"/>
  <c r="H72"/>
  <c r="H40"/>
  <c r="H121"/>
  <c r="H109"/>
  <c r="H91"/>
  <c r="H59"/>
  <c r="H36"/>
  <c r="H159"/>
  <c r="H134"/>
  <c r="H10"/>
  <c r="H119"/>
  <c r="H87"/>
  <c r="H67"/>
  <c r="H61"/>
  <c r="H34"/>
  <c r="H163"/>
  <c r="H135"/>
  <c r="H58"/>
  <c r="H30"/>
  <c r="J6"/>
  <c r="K6" s="1"/>
  <c r="H62"/>
  <c r="H132"/>
  <c r="H120"/>
  <c r="H126"/>
  <c r="H51"/>
  <c r="H127"/>
  <c r="H130"/>
  <c r="H96"/>
  <c r="H90"/>
  <c r="H6"/>
  <c r="H77"/>
</calcChain>
</file>

<file path=xl/sharedStrings.xml><?xml version="1.0" encoding="utf-8"?>
<sst xmlns="http://schemas.openxmlformats.org/spreadsheetml/2006/main" count="10022" uniqueCount="726">
  <si>
    <t>Avalakki</t>
  </si>
  <si>
    <t>2 kg</t>
  </si>
  <si>
    <t>Vermicelli</t>
  </si>
  <si>
    <t>Ragi flour</t>
  </si>
  <si>
    <t>Kadalekalu</t>
  </si>
  <si>
    <t>Thaganikalu</t>
  </si>
  <si>
    <t>Rava</t>
  </si>
  <si>
    <t>Batani</t>
  </si>
  <si>
    <t>Hesarukalu</t>
  </si>
  <si>
    <t>1 kg</t>
  </si>
  <si>
    <t>Tamarind</t>
  </si>
  <si>
    <t>Idly rava</t>
  </si>
  <si>
    <t>Masala papad</t>
  </si>
  <si>
    <t>20 kg</t>
  </si>
  <si>
    <t>Tata salt</t>
  </si>
  <si>
    <t>13 kg</t>
  </si>
  <si>
    <t>Rasam powder</t>
  </si>
  <si>
    <t>Sambar powder</t>
  </si>
  <si>
    <t>Rose water</t>
  </si>
  <si>
    <t>Dark soya souce</t>
  </si>
  <si>
    <t>Vinigar</t>
  </si>
  <si>
    <t>Green chilly souce</t>
  </si>
  <si>
    <t>Noodles</t>
  </si>
  <si>
    <t>4 bottle</t>
  </si>
  <si>
    <t>9 packet</t>
  </si>
  <si>
    <t>4.5 kg</t>
  </si>
  <si>
    <t>Pickle</t>
  </si>
  <si>
    <t>3.235 kg</t>
  </si>
  <si>
    <t>Mushroom</t>
  </si>
  <si>
    <t>Ginger</t>
  </si>
  <si>
    <t>Butter</t>
  </si>
  <si>
    <t>Cream</t>
  </si>
  <si>
    <t>Babycorn</t>
  </si>
  <si>
    <t>1.230 kg</t>
  </si>
  <si>
    <t>1.760 kg</t>
  </si>
  <si>
    <t>0.915 kg</t>
  </si>
  <si>
    <t>2.220 kg</t>
  </si>
  <si>
    <t>2.845 kg</t>
  </si>
  <si>
    <t>0.575 kg</t>
  </si>
  <si>
    <t>0.685 kg</t>
  </si>
  <si>
    <t>0.450 kg</t>
  </si>
  <si>
    <t>0.615 kg</t>
  </si>
  <si>
    <t>0.535 kg</t>
  </si>
  <si>
    <t>0.925 kg</t>
  </si>
  <si>
    <t>Milk</t>
  </si>
  <si>
    <t>Curd</t>
  </si>
  <si>
    <t>Paneer</t>
  </si>
  <si>
    <t>2.540 kg</t>
  </si>
  <si>
    <t>Sweetcorn</t>
  </si>
  <si>
    <t>Roti atta</t>
  </si>
  <si>
    <t>6 tin</t>
  </si>
  <si>
    <t>Bamboo shoots</t>
  </si>
  <si>
    <t>2 tin</t>
  </si>
  <si>
    <t>Maratimoggu</t>
  </si>
  <si>
    <t>Yelakki</t>
  </si>
  <si>
    <t>400 gram</t>
  </si>
  <si>
    <t>370 gram</t>
  </si>
  <si>
    <t>Lavanga</t>
  </si>
  <si>
    <t>405 gram</t>
  </si>
  <si>
    <t>Bay leaf</t>
  </si>
  <si>
    <t>Black pepper</t>
  </si>
  <si>
    <t>1.755 kg</t>
  </si>
  <si>
    <t>Peanut</t>
  </si>
  <si>
    <t>2.390. kg</t>
  </si>
  <si>
    <t>Green somp</t>
  </si>
  <si>
    <t>360 gram</t>
  </si>
  <si>
    <t>White thill</t>
  </si>
  <si>
    <t>375 gram</t>
  </si>
  <si>
    <t>Drakshi</t>
  </si>
  <si>
    <t>500 gram</t>
  </si>
  <si>
    <t>White somp</t>
  </si>
  <si>
    <t>2.290 kg</t>
  </si>
  <si>
    <t>Cashew</t>
  </si>
  <si>
    <t>Watermelon seeds</t>
  </si>
  <si>
    <t>Baby cashew</t>
  </si>
  <si>
    <t>Tea powder</t>
  </si>
  <si>
    <t>3 kg</t>
  </si>
  <si>
    <t>Nandini ghee</t>
  </si>
  <si>
    <t>1.5 liter</t>
  </si>
  <si>
    <t>Lamp oil</t>
  </si>
  <si>
    <t>1 litter</t>
  </si>
  <si>
    <t>Milkmaid</t>
  </si>
  <si>
    <t>Lemon yellow bush</t>
  </si>
  <si>
    <t>1 tin</t>
  </si>
  <si>
    <t>Horlicks</t>
  </si>
  <si>
    <t>1 KG</t>
  </si>
  <si>
    <t>Badam powder</t>
  </si>
  <si>
    <t>1.350 kg</t>
  </si>
  <si>
    <t>Falooda seeds</t>
  </si>
  <si>
    <t>165 gram</t>
  </si>
  <si>
    <t>Japathre</t>
  </si>
  <si>
    <t>Jakayi</t>
  </si>
  <si>
    <t>320 gram</t>
  </si>
  <si>
    <t>35 gram</t>
  </si>
  <si>
    <t>Cinnamun (Chekke)</t>
  </si>
  <si>
    <t>1.910 kg</t>
  </si>
  <si>
    <t>1.175 kg</t>
  </si>
  <si>
    <t>Light soya sauce</t>
  </si>
  <si>
    <t>Ananas flower</t>
  </si>
  <si>
    <t>140 gram</t>
  </si>
  <si>
    <t>Mustard</t>
  </si>
  <si>
    <t>975 gram</t>
  </si>
  <si>
    <t>Oil</t>
  </si>
  <si>
    <t>50 litter</t>
  </si>
  <si>
    <t>Water (1 litter)</t>
  </si>
  <si>
    <t>Water (500 mL)</t>
  </si>
  <si>
    <t>Water (300 mL)</t>
  </si>
  <si>
    <t>Soda (750 mL)</t>
  </si>
  <si>
    <t>57 bottle</t>
  </si>
  <si>
    <t>Tissue paper</t>
  </si>
  <si>
    <t>97 pkt</t>
  </si>
  <si>
    <t>Cabbage</t>
  </si>
  <si>
    <t>3.130 kg</t>
  </si>
  <si>
    <t>Cauliflower</t>
  </si>
  <si>
    <t>Capsicum</t>
  </si>
  <si>
    <t>Beans</t>
  </si>
  <si>
    <t>1.790 kg</t>
  </si>
  <si>
    <t>Green chilly</t>
  </si>
  <si>
    <t>Carrot</t>
  </si>
  <si>
    <t>Onion</t>
  </si>
  <si>
    <t>38 kg</t>
  </si>
  <si>
    <t>Cucumber</t>
  </si>
  <si>
    <t>1.5 kg</t>
  </si>
  <si>
    <t>Moolangi</t>
  </si>
  <si>
    <t>Badanekayi</t>
  </si>
  <si>
    <t>1.685 kg</t>
  </si>
  <si>
    <t>Tomato (Huli)</t>
  </si>
  <si>
    <t>1.195 kg</t>
  </si>
  <si>
    <t>Tomato (Jam)</t>
  </si>
  <si>
    <t>670 gram</t>
  </si>
  <si>
    <t>Sambar cucumber</t>
  </si>
  <si>
    <t>825 gram</t>
  </si>
  <si>
    <t>Garlic</t>
  </si>
  <si>
    <t>4.180 kg</t>
  </si>
  <si>
    <t>Potato</t>
  </si>
  <si>
    <t>2.280 kg</t>
  </si>
  <si>
    <t>Lemon</t>
  </si>
  <si>
    <t>4 kg</t>
  </si>
  <si>
    <t>4.245 kg</t>
  </si>
  <si>
    <t>Coriander leaves</t>
  </si>
  <si>
    <t>240 gram</t>
  </si>
  <si>
    <t>Pudina</t>
  </si>
  <si>
    <t>145 gram</t>
  </si>
  <si>
    <t>Thogaribele</t>
  </si>
  <si>
    <t>Dhanya Seeds</t>
  </si>
  <si>
    <t>Hesaeu Bele</t>
  </si>
  <si>
    <t>8.965 kg</t>
  </si>
  <si>
    <t>Ured Dal</t>
  </si>
  <si>
    <t>2.815 kg</t>
  </si>
  <si>
    <t>Menthya Seeds</t>
  </si>
  <si>
    <t>365 gram</t>
  </si>
  <si>
    <t>Urgadle</t>
  </si>
  <si>
    <t>775 gram</t>
  </si>
  <si>
    <t>Kadle Ittu</t>
  </si>
  <si>
    <t>3.635 kg</t>
  </si>
  <si>
    <t>South Rice</t>
  </si>
  <si>
    <t>79.275 kg</t>
  </si>
  <si>
    <t>Dose Rice</t>
  </si>
  <si>
    <t>13.450 kg</t>
  </si>
  <si>
    <t>Sugar</t>
  </si>
  <si>
    <t>22.720 kg</t>
  </si>
  <si>
    <t>Bullet Rice</t>
  </si>
  <si>
    <t>22.590 kg</t>
  </si>
  <si>
    <t>Maida</t>
  </si>
  <si>
    <t>Basumathi Rice</t>
  </si>
  <si>
    <t>25 kg</t>
  </si>
  <si>
    <t>27.770 kg</t>
  </si>
  <si>
    <t xml:space="preserve">Guntur </t>
  </si>
  <si>
    <t>Ketchup(1.2 kg)</t>
  </si>
  <si>
    <t>14 bottles</t>
  </si>
  <si>
    <t>2.460 kg</t>
  </si>
  <si>
    <t>Bydage</t>
  </si>
  <si>
    <t>1.545 kg</t>
  </si>
  <si>
    <t>Copri</t>
  </si>
  <si>
    <t>2.945 kg</t>
  </si>
  <si>
    <t>Wheat</t>
  </si>
  <si>
    <t>16.820 kg</t>
  </si>
  <si>
    <t>Tasting Powder (500 kg)</t>
  </si>
  <si>
    <t>6 packets</t>
  </si>
  <si>
    <t>Salt (big)</t>
  </si>
  <si>
    <t>8.220 kg</t>
  </si>
  <si>
    <t>Ginger Powder</t>
  </si>
  <si>
    <t>110 gram</t>
  </si>
  <si>
    <t>Panipuri Masala (100 gram)</t>
  </si>
  <si>
    <t>4 packets</t>
  </si>
  <si>
    <t>Jal Jeera (100 gram)</t>
  </si>
  <si>
    <t>Chat Masala (500 gram)</t>
  </si>
  <si>
    <t>Pav Baji Masala (100 gram)</t>
  </si>
  <si>
    <t>Garam Masala (100 gram)</t>
  </si>
  <si>
    <t>10 packets</t>
  </si>
  <si>
    <t>Puliyogare Powder</t>
  </si>
  <si>
    <t>440 gram</t>
  </si>
  <si>
    <t>Black Pepper Powder</t>
  </si>
  <si>
    <t>Meat Masala Powder (100 gram)</t>
  </si>
  <si>
    <t>5 packets</t>
  </si>
  <si>
    <t>Turmeric Powder</t>
  </si>
  <si>
    <t>White Pepper Powder (500 gram)</t>
  </si>
  <si>
    <t>8 packets</t>
  </si>
  <si>
    <t>Lemon Salt</t>
  </si>
  <si>
    <t>720 gram</t>
  </si>
  <si>
    <t>Jeera Seeds</t>
  </si>
  <si>
    <t>Chilly Powder</t>
  </si>
  <si>
    <t>Kasoori Methi</t>
  </si>
  <si>
    <t>Dhanya Powder (500 gram)</t>
  </si>
  <si>
    <t>South Papad (500 gram)</t>
  </si>
  <si>
    <t>Bread Powder</t>
  </si>
  <si>
    <t>455 gram</t>
  </si>
  <si>
    <t>Sabakki</t>
  </si>
  <si>
    <t>Paneer Items</t>
  </si>
  <si>
    <t xml:space="preserve">Vegetables </t>
  </si>
  <si>
    <t>270 gram</t>
  </si>
  <si>
    <t>Milk Items</t>
  </si>
  <si>
    <t>Mustard oil</t>
  </si>
  <si>
    <t>0.840 gram</t>
  </si>
  <si>
    <t>170 gram</t>
  </si>
  <si>
    <t>Salad oil</t>
  </si>
  <si>
    <t>0.130 gram</t>
  </si>
  <si>
    <t>2.100 kg</t>
  </si>
  <si>
    <t>3.500 kg</t>
  </si>
  <si>
    <t>15 pkt</t>
  </si>
  <si>
    <t>Kitchen king (100 gram)</t>
  </si>
  <si>
    <t>Soft drinks</t>
  </si>
  <si>
    <t>109 bottle</t>
  </si>
  <si>
    <t>Dalda</t>
  </si>
  <si>
    <t>Baking soda</t>
  </si>
  <si>
    <t>2.610 kg</t>
  </si>
  <si>
    <t>1.700 kg</t>
  </si>
  <si>
    <t>1.290 kg</t>
  </si>
  <si>
    <t>200 gram</t>
  </si>
  <si>
    <t>2 pkt</t>
  </si>
  <si>
    <t>300 gram</t>
  </si>
  <si>
    <t>2.500 kg</t>
  </si>
  <si>
    <t>50 grams</t>
  </si>
  <si>
    <t>25 gram</t>
  </si>
  <si>
    <t>3 litter</t>
  </si>
  <si>
    <t>3 pkt</t>
  </si>
  <si>
    <t xml:space="preserve">3.200 kg </t>
  </si>
  <si>
    <t xml:space="preserve"> </t>
  </si>
  <si>
    <t>Palak</t>
  </si>
  <si>
    <t>Fun Wheel (Vanilla and Choco) (20rs)</t>
  </si>
  <si>
    <t>Kulfi King  (30 rs)</t>
  </si>
  <si>
    <t>Jolly Train (Choco and Butterscotch) (20rs)</t>
  </si>
  <si>
    <t>Jolly Train (Blackcurrent) (20rs)</t>
  </si>
  <si>
    <t>2 In 1 (20rs)</t>
  </si>
  <si>
    <t>Fun Wheel (Strawberry and Pinaple) (20rs)</t>
  </si>
  <si>
    <t>2 In 1 (Mango) (25rs)</t>
  </si>
  <si>
    <t>Ibar mini (Irish Coffee) (30rs)</t>
  </si>
  <si>
    <t>Spiral (25rs)</t>
  </si>
  <si>
    <t>I bar mini (Belgium Chocolate) (30rs)</t>
  </si>
  <si>
    <t>Chocobar (25rs)</t>
  </si>
  <si>
    <t>I cone mini (Vanilla) (15rs)</t>
  </si>
  <si>
    <t>I cone mini (Butterscotch) (15rs)</t>
  </si>
  <si>
    <t>Cake Slice (50rs)</t>
  </si>
  <si>
    <t>Casata Slice (50rs)</t>
  </si>
  <si>
    <t>Cone (Blackcurrent) (35rs)</t>
  </si>
  <si>
    <t>Icone (Chocolate) (25rs)</t>
  </si>
  <si>
    <t>Icone (Vanilla) (25rs)</t>
  </si>
  <si>
    <t>Icone (Vanilla) (15rs)</t>
  </si>
  <si>
    <t>Icone (Butterscotch) (25rs)</t>
  </si>
  <si>
    <t>Icone (Strawberry) (25rs)</t>
  </si>
  <si>
    <t>Ice Creams (Arun)</t>
  </si>
  <si>
    <t>Ice Creams (Dairy Day)</t>
  </si>
  <si>
    <t>Pan Twist (40rs)</t>
  </si>
  <si>
    <t>Exotica (Arabian Delite) (50rs)</t>
  </si>
  <si>
    <t>Exotica (Rajbhog) (50rs)</t>
  </si>
  <si>
    <t>Matka Kulfi (4rs)</t>
  </si>
  <si>
    <t>Tripple Bar (30rs)</t>
  </si>
  <si>
    <t>Nutty Bar (25rs)</t>
  </si>
  <si>
    <t>Orange Candy (5rs)</t>
  </si>
  <si>
    <t>Casatta (45rs)</t>
  </si>
  <si>
    <t>Gudbud (30rs)</t>
  </si>
  <si>
    <t>Junior Strawberry (35rs)</t>
  </si>
  <si>
    <t>Pan (12rs)</t>
  </si>
  <si>
    <t>Butterscotch (25rs)</t>
  </si>
  <si>
    <t>Butterscotch (35rs)</t>
  </si>
  <si>
    <t>Vanilla (15rs)</t>
  </si>
  <si>
    <t>Pista (25rs)</t>
  </si>
  <si>
    <t>Mango (30rs)</t>
  </si>
  <si>
    <t>Fruit Fusion (30rs)</t>
  </si>
  <si>
    <t>Bulk Ice Creams</t>
  </si>
  <si>
    <t>Vanilla (4 liters) (375rs)</t>
  </si>
  <si>
    <t>Blackcurrent (4 liters) (730rs)</t>
  </si>
  <si>
    <t>Butterscotch (4 liters) (560rs)</t>
  </si>
  <si>
    <t>Chocolate (4 liters) (560rs)</t>
  </si>
  <si>
    <t>1.085kg</t>
  </si>
  <si>
    <t>10 kg</t>
  </si>
  <si>
    <t>Fruits</t>
  </si>
  <si>
    <t>Watermelon</t>
  </si>
  <si>
    <t>15 kg</t>
  </si>
  <si>
    <t>Papaya</t>
  </si>
  <si>
    <t>1.925 kg</t>
  </si>
  <si>
    <t>Pinaple</t>
  </si>
  <si>
    <t>1.885 kg</t>
  </si>
  <si>
    <t>Moosambi</t>
  </si>
  <si>
    <t>Banana</t>
  </si>
  <si>
    <t>1.455 kg</t>
  </si>
  <si>
    <t>Apple</t>
  </si>
  <si>
    <t>Muskmelon</t>
  </si>
  <si>
    <t>2.350 kg</t>
  </si>
  <si>
    <t xml:space="preserve">Orange </t>
  </si>
  <si>
    <t>1.845 kg</t>
  </si>
  <si>
    <t xml:space="preserve">Strawberry </t>
  </si>
  <si>
    <t>Shavge</t>
  </si>
  <si>
    <t>Hesaru Bele</t>
  </si>
  <si>
    <t>Uddina bele</t>
  </si>
  <si>
    <t>Dosa Rice</t>
  </si>
  <si>
    <t>Byadagi chilly</t>
  </si>
  <si>
    <t>Corn flour</t>
  </si>
  <si>
    <t>8 kg</t>
  </si>
  <si>
    <t>Grocery Items</t>
  </si>
  <si>
    <t>14 pkt</t>
  </si>
  <si>
    <t>North Papad (1 kg)</t>
  </si>
  <si>
    <t>4.840 kg</t>
  </si>
  <si>
    <t>690 gram</t>
  </si>
  <si>
    <t>5 bottle</t>
  </si>
  <si>
    <t>8 To 85 Sauce (200 gram)</t>
  </si>
  <si>
    <t>Capcicum Sauce (60 gram)</t>
  </si>
  <si>
    <t>3.800 kg</t>
  </si>
  <si>
    <t>6 kg</t>
  </si>
  <si>
    <t>Kuslakki</t>
  </si>
  <si>
    <t>Others</t>
  </si>
  <si>
    <t>Head Cap</t>
  </si>
  <si>
    <t>Juice Straw</t>
  </si>
  <si>
    <t>8 pkt</t>
  </si>
  <si>
    <t>Colin (500 ml)</t>
  </si>
  <si>
    <t>Cocunut</t>
  </si>
  <si>
    <t>Phenol</t>
  </si>
  <si>
    <t>Chiroti rava</t>
  </si>
  <si>
    <t>Parcel container for gravy</t>
  </si>
  <si>
    <t>Parcel container for rice</t>
  </si>
  <si>
    <t>Hand wash</t>
  </si>
  <si>
    <t>Toothpick</t>
  </si>
  <si>
    <t>Agarabathi</t>
  </si>
  <si>
    <t>Mosquito liquid</t>
  </si>
  <si>
    <t>Billing roll</t>
  </si>
  <si>
    <t>Kadle bele</t>
  </si>
  <si>
    <t>South</t>
  </si>
  <si>
    <t>1 bunch</t>
  </si>
  <si>
    <t>Curry Leaves</t>
  </si>
  <si>
    <t>3 bunch</t>
  </si>
  <si>
    <t>Gas</t>
  </si>
  <si>
    <t>Pappad</t>
  </si>
  <si>
    <t>Salt (tata)</t>
  </si>
  <si>
    <t>Water</t>
  </si>
  <si>
    <t>Rate</t>
  </si>
  <si>
    <t>Cost</t>
  </si>
  <si>
    <t>Buying from outside</t>
  </si>
  <si>
    <t>Average sale of south thalis: 12 nos. Not accounted for the following: Staff food, rice used for curd rice as well as north rice items.  Also, not accounted thali items stored for reuse next day</t>
  </si>
  <si>
    <t>Sale Per day (12*60)</t>
  </si>
  <si>
    <t>Sale - input cost</t>
  </si>
  <si>
    <t>profit %</t>
  </si>
  <si>
    <t>In house</t>
  </si>
  <si>
    <t>Sambar</t>
  </si>
  <si>
    <t>Rasam</t>
  </si>
  <si>
    <t>Sago</t>
  </si>
  <si>
    <t>Paysa</t>
  </si>
  <si>
    <t>Palya</t>
  </si>
  <si>
    <t>Chapathi</t>
  </si>
  <si>
    <t>Rice</t>
  </si>
  <si>
    <t>Combo Item</t>
  </si>
  <si>
    <t>Sagu</t>
  </si>
  <si>
    <t>Sambar/Rasam</t>
  </si>
  <si>
    <t>Rasam/Sambar</t>
  </si>
  <si>
    <t>.350/.150</t>
  </si>
  <si>
    <t>Sago/Sambar</t>
  </si>
  <si>
    <t>Item Name</t>
  </si>
  <si>
    <t>Issued To</t>
  </si>
  <si>
    <t>channadal(split)-Kadlebele-kg-kg-1.0000</t>
  </si>
  <si>
    <t>Lemon Salt-Nimbehannu uppu-kg-kg-1.0000</t>
  </si>
  <si>
    <t>Bamboo shoots-Bamboo shoots-tin-kg-0.4250</t>
  </si>
  <si>
    <t>Capcicum Sauce (60 gram)-Capcicum Sauce (60 gram)-kg-kg-1.0000</t>
  </si>
  <si>
    <t>Cauliflower-hookosu-kg-kg-1.0000</t>
  </si>
  <si>
    <t>Dark soya souce-Dark soya souce-bottle-kg-0.8150</t>
  </si>
  <si>
    <t>Green chilly sauce-Green chilly sauce-bottle-kg-0.7250</t>
  </si>
  <si>
    <t>Light soya sauce-Light soya sauce-bottle-kg-0.8150</t>
  </si>
  <si>
    <t>Chilly Powder-Chilly Powder-kg-kg-1.0000</t>
  </si>
  <si>
    <t>Cinnamon-Chekke-kg-kg-1.0000</t>
  </si>
  <si>
    <t>Cloves-lavanga-kg-kg-1.0000</t>
  </si>
  <si>
    <t>Coriander leaves-Kothamiri Soppu-kg-kg-1.0000</t>
  </si>
  <si>
    <t>Coriander Powder (500 gram)-Dhanya Powder (500 gram)-kg-kg-1.0000</t>
  </si>
  <si>
    <t>Coriander seeds-Dhanya Beeja-kg-kg-1.0000</t>
  </si>
  <si>
    <t>Crystal Salt-Kalluppu-kg-kg-1.0000</t>
  </si>
  <si>
    <t>Curd-Mosaru-lts-kg-1.0300</t>
  </si>
  <si>
    <t>Jeera Seeds-Jeerge-kg-kg-1.0000</t>
  </si>
  <si>
    <t>Lemon-Nimbehannu-count-count-1.0000</t>
  </si>
  <si>
    <t>Milk-Haalu-lts-kg-1.0300</t>
  </si>
  <si>
    <t>Oil-Yenne-lts-kg-0.9150</t>
  </si>
  <si>
    <t>Turmeric Powder-Arishina pudi-kg-kg-1.0000</t>
  </si>
  <si>
    <t>Rose water-Rose water-lts-kg-1.1000</t>
  </si>
  <si>
    <t>Byadagi chilly-Byadagi chilly-kg-kg-1.0000</t>
  </si>
  <si>
    <t>Capsicum-Capsicum-kg-kg-1.0000</t>
  </si>
  <si>
    <t>Carrot-carrot-kg-kg-1.0000</t>
  </si>
  <si>
    <t>Cashew-Godambi-kg-kg-1.0000</t>
  </si>
  <si>
    <t>Charcoal-Charcoal-kg-kg-1.0000</t>
  </si>
  <si>
    <t>Corn flour-Corn flour-kg-kg-1.0000</t>
  </si>
  <si>
    <t>Kasoori Methi-Kasoori Methi-kg-kg-1.0000</t>
  </si>
  <si>
    <t>Jal Jeera (100 gram)-jal jeera-pkt-kg-0.1000</t>
  </si>
  <si>
    <t>Ketchup(1.2 kg)-ketchup-bottle-kg-1.2000</t>
  </si>
  <si>
    <t>Kitchen king (100 gram)-Kitchen king (100 gram)-pkt-kg-0.1000</t>
  </si>
  <si>
    <t>Mace-japathre-kg-kg-1.0000</t>
  </si>
  <si>
    <t>Mustard oil-Sasive yenne-lts-kg-0.9100</t>
  </si>
  <si>
    <t>Sweetcorn-Sweetcorn-tin-kg-0.4000</t>
  </si>
  <si>
    <t>CHICK PEAS-kadalekalu-kg-kg-1.0000</t>
  </si>
  <si>
    <t>Chiroti Semolina-Chiroti rava-kg-kg-1.0000</t>
  </si>
  <si>
    <t>Coconut-Theginkai-count-count-1.0000</t>
  </si>
  <si>
    <t>Copri-copri-kg-kg-1.0000</t>
  </si>
  <si>
    <t>COW PEA (ALASANDE)-thaganikalu-kg-kg-1.0000</t>
  </si>
  <si>
    <t>Idly rava-Idly rava-kg-kg-1.0000</t>
  </si>
  <si>
    <t>Lemon yellow bush-Lemon yellow bush-tin-tin-1.0000</t>
  </si>
  <si>
    <t>Toordal-Thogaribele-kg-kg-1.0000</t>
  </si>
  <si>
    <t>Urad Dal-Uddina bele-kg-kg-1.0000</t>
  </si>
  <si>
    <t>Meat Masala Powder (100 gram)-meat masala-pkt-kg-0.1000</t>
  </si>
  <si>
    <t>Panipuri Masala (100 gram)-panipuri masala-pkt-kg-0.1000</t>
  </si>
  <si>
    <t>Pav Baji Masala (100 gram)-pav baji masala-pkt-kg-0.1000</t>
  </si>
  <si>
    <t>Peas-batani-kg-kg-1.0000</t>
  </si>
  <si>
    <t>Puffed Rice-Kadlepuri-kg-kg-1.0000</t>
  </si>
  <si>
    <t>Mixture-Sev-kg-kg-1.0000</t>
  </si>
  <si>
    <t>Beaten Rice Mixture-Avalakki Mixture-kg-kg-1.0000</t>
  </si>
  <si>
    <t>BLACK ROCK SALT-Kappukallu uppu-kg-kg-1.0000</t>
  </si>
  <si>
    <t>8 To 85 Sauce (200 gram)-8 To 85 Sauce (200 gram)-kg-kg-1.0000</t>
  </si>
  <si>
    <t>Cabbage-geddekosu-kg-kg-1.0000</t>
  </si>
  <si>
    <t>Soft drinks-Soft drinks-count-count-1.0000</t>
  </si>
  <si>
    <t>Water (1 litter)-Water (1 litter)-count-count-1.0000</t>
  </si>
  <si>
    <t>Water (300 mL)-Water (300 mL)-count-count-1.0000</t>
  </si>
  <si>
    <t>Water (500 mL)-Water (500 mL)-count-count-1.0000</t>
  </si>
  <si>
    <t>Black pepper-kal menasu-kg-kg-1.0000</t>
  </si>
  <si>
    <t>Garam Masala (100 gram)-garam masala-pkt-kg-0.1000</t>
  </si>
  <si>
    <t>Garlic-Belulli-kg-kg-1.0000</t>
  </si>
  <si>
    <t>Gas-Gas-kg-kg-1.0000</t>
  </si>
  <si>
    <t>Ginger-shunti-kg-kg-1.0000</t>
  </si>
  <si>
    <t>Green chilly-hasinmenshinkayi-kg-kg-1.0000</t>
  </si>
  <si>
    <t>Mustard-Sasive-kg-kg-1.0000</t>
  </si>
  <si>
    <t>Onion-Erulli-kg-kg-1.0000</t>
  </si>
  <si>
    <t>Potato-Aloogedde-kg-kg-1.0000</t>
  </si>
  <si>
    <t>Pudina-Pudina-kg-kg-1.0000</t>
  </si>
  <si>
    <t>Salt Powder-Uppu-kg-kg-1.0000</t>
  </si>
  <si>
    <t>Sugar-Sakkre-kg-kg-1.0000</t>
  </si>
  <si>
    <t>Wheat-Godhi-kg-kg-1.0000</t>
  </si>
  <si>
    <t>jaggery-bella-kg-kg-1.0000</t>
  </si>
  <si>
    <t>PAANI PURI-Paani Puri-pkt-kg-0.1000</t>
  </si>
  <si>
    <t>Badam powder-Badam powder-kg-kg-1.0000</t>
  </si>
  <si>
    <t>Tea powder-Tea powder-kg-kg-1.0000</t>
  </si>
  <si>
    <t>FILTER COFFEE POWDER-FILTER COFFEE POWDER-kg-kg-1.0000</t>
  </si>
  <si>
    <t>Falooda seeds-Falooda seeds-kg-kg-1.0000</t>
  </si>
  <si>
    <t>Moosambi-MOOSAMBI-kg-kg-1.0000</t>
  </si>
  <si>
    <t>Muskmelon-THARBUJA-kg-kg-1.0000</t>
  </si>
  <si>
    <t>Orange -Kitlehannu-kg-kg-1.0000</t>
  </si>
  <si>
    <t>Pineapple-ANNANAS-kg-kg-1.0000</t>
  </si>
  <si>
    <t>Soda (750 mL)-Soda (750 mL)-lts-kg-1.0000</t>
  </si>
  <si>
    <t>Watermelon-Watermelon-kg-kg-1.0000</t>
  </si>
  <si>
    <t>Baby cashew-Baby godambi-kg-kg-1.0000</t>
  </si>
  <si>
    <t>Babycorn-Babycorn-kg-kg-1.0000</t>
  </si>
  <si>
    <t>Basumathi Rice-Basumathi Rice-kg-kg-1.0000</t>
  </si>
  <si>
    <t>Bay leaf-palaav ele-kg-kg-1.0000</t>
  </si>
  <si>
    <t>Beans-Beans-kg-kg-1.0000</t>
  </si>
  <si>
    <t>Black Pepper Powder-Kaal menasu-kg-kg-1.0000</t>
  </si>
  <si>
    <t>Bread Powder-bread powder-kg-kg-1.0000</t>
  </si>
  <si>
    <t>Bullet Rice-Bullet Rice-kg-kg-1.0000</t>
  </si>
  <si>
    <t>Butter-Butter-kg-kg-1.0000</t>
  </si>
  <si>
    <t>Cream-Cream-lts-kg-1.0000</t>
  </si>
  <si>
    <t>Cucumber-sothekayi-kg-kg-1.0000</t>
  </si>
  <si>
    <t>Elaichi-yelakki-kg-kg-1.0000</t>
  </si>
  <si>
    <t>Guntur -guntur-kg-kg-1.0000</t>
  </si>
  <si>
    <t>Maida-Maida-kg-kg-1.0000</t>
  </si>
  <si>
    <t>Maratimoggu-Maratimoggu-kg-kg-1.0000</t>
  </si>
  <si>
    <t>Masala papad-Masala papad-kg-kg-1.0000</t>
  </si>
  <si>
    <t>Fenugreek Seeds-menthya beeja-kg-kg-1.0000</t>
  </si>
  <si>
    <t>Moong Dal-Hesaru bele-kg-kg-1.0000</t>
  </si>
  <si>
    <t>Mushroom-Mushroom-pkt-pkt-1.0000</t>
  </si>
  <si>
    <t>badampowder(sweet)-badampowder(sweet)-kg-kg-1.0000</t>
  </si>
  <si>
    <t>riceflour-akkiittu-kg-kg-1.0000</t>
  </si>
  <si>
    <t>North Papad (1 kg)-North Papad (1 kg)-kg-kg-1.0000</t>
  </si>
  <si>
    <t>Nutmeg-jakayi-kg-kg-1.0000</t>
  </si>
  <si>
    <t>Paneer-Paneer-kg-kg-1.0000</t>
  </si>
  <si>
    <t>Roti Wheat-Roti atta-kg-kg-1.0000</t>
  </si>
  <si>
    <t>Tasting Powder (500 kg)-tasting powder-kg-kg-1.0000</t>
  </si>
  <si>
    <t>Tomato (Jam)-tomatojam-kg-kg-1.0000</t>
  </si>
  <si>
    <t>Watermelon seeds-Watermelon seeds-kg-kg-1.0000</t>
  </si>
  <si>
    <t>White Pepper Powder (500 gram)-Billi menasu pudi-kg-kg-1.0000</t>
  </si>
  <si>
    <t>curry leaves-karbensoppu-kg-kg-1.0000</t>
  </si>
  <si>
    <t>Rosesyrup-rosesyrup-bottle-kg-1.4000</t>
  </si>
  <si>
    <t>chillysauce-chillysauce-kg-kg-1.0000</t>
  </si>
  <si>
    <t>Chat Masala (100 gram)-chat masala-pkt-kg-0.1000</t>
  </si>
  <si>
    <t>chocolatesyrup-chocolatesyrup-bottle-kg-1.3500</t>
  </si>
  <si>
    <t>Ghee-Thuppa-lts-kg-0.9300</t>
  </si>
  <si>
    <t>Dalda-dalda-lts-kg-0.9050</t>
  </si>
  <si>
    <t>Groundnut Seeds-Kadlekayi Beeja-kg-kg-1.0000</t>
  </si>
  <si>
    <t>Hakka Noodles-Hakka Noodles-pkt-kg-0.4000</t>
  </si>
  <si>
    <t>White thill-Bili Till-kg-kg-1.0000</t>
  </si>
  <si>
    <t>French fries-french fries-kg-kg-1.0000</t>
  </si>
  <si>
    <t>Green peas-green peas-kg-kg-1.0000</t>
  </si>
  <si>
    <t>Palak leaves-Palak soppu-kg-kg-1.0000</t>
  </si>
  <si>
    <t>Red bush-Red bush-tin-tin-1.0000</t>
  </si>
  <si>
    <t>Green bush-Green bush-tin-tin-1.0000</t>
  </si>
  <si>
    <t>Green somp-Hasiru Somp-kg-kg-1.0000</t>
  </si>
  <si>
    <t>Sweet Jeera-white somp-kg-kg-1.0000</t>
  </si>
  <si>
    <t>Beaten Rice-avalakki-kg-kg-1.0000</t>
  </si>
  <si>
    <t>Brown Rice-Kuslakki-kg-kg-1.0000</t>
  </si>
  <si>
    <t>Dosa Rice-Dosa Hakki-kg-kg-1.0000</t>
  </si>
  <si>
    <t>Fried Gram-Hurgadle-kg-kg-1.0000</t>
  </si>
  <si>
    <t>Gram Flour-Kadle Ittu-kg-kg-1.0000</t>
  </si>
  <si>
    <t>Green Gram-hesarukalu-kg-kg-1.0000</t>
  </si>
  <si>
    <t>Pickle-Uppinkayi-kg-kg-1.0000</t>
  </si>
  <si>
    <t>Puliyogare Powder-puliogare powder-kg-kg-1.0000</t>
  </si>
  <si>
    <t>Radish-moolangi-kg-kg-1.0000</t>
  </si>
  <si>
    <t>Ragi flour-Ragi ittu-kg-kg-1.0000</t>
  </si>
  <si>
    <t>Raisin-drakshi-kg-kg-1.0000</t>
  </si>
  <si>
    <t>Rasam powder-Rasam powder-kg-kg-1.0000</t>
  </si>
  <si>
    <t>Sabbudana-sago sabakki-kg-kg-1.0000</t>
  </si>
  <si>
    <t>Sambar powder-Sambar powder-kg-kg-1.0000</t>
  </si>
  <si>
    <t>South Papad (500 gram)-South Papad (500 gram)-pkt-kg-0.5000</t>
  </si>
  <si>
    <t>South Rice-South Hakki-kg-kg-1.0000</t>
  </si>
  <si>
    <t>Tamarind-hunsehannu-kg-kg-1.0000</t>
  </si>
  <si>
    <t>Tomato (Huli)-tomatohuli-kg-kg-1.0000</t>
  </si>
  <si>
    <t>vermicelli-Shavige-kg-kg-1.0000</t>
  </si>
  <si>
    <t>Sabsige leaves-sabsige leaves-kg-kg-1.0000</t>
  </si>
  <si>
    <t>ASAFOETIDA-HING-kg-kg-1.0000</t>
  </si>
  <si>
    <t>okra-bendekayi-kg-kg-1.0000</t>
  </si>
  <si>
    <t>Vinegar-Vinegar-bottle-kg-0.8600</t>
  </si>
  <si>
    <t>mixed vegetables-mixed tharkari-kg-kg-1.0000</t>
  </si>
  <si>
    <t>amchurpowder-amchurpudi-pkt-kg-0.1000</t>
  </si>
  <si>
    <t>Item Price</t>
  </si>
  <si>
    <t>DATE</t>
  </si>
  <si>
    <t>Qty Issued</t>
  </si>
  <si>
    <t>Menu Cat</t>
  </si>
  <si>
    <t>North</t>
  </si>
  <si>
    <t>Murthy</t>
  </si>
  <si>
    <t>Ravi</t>
  </si>
  <si>
    <t>Chaat</t>
  </si>
  <si>
    <t>Total Amount</t>
  </si>
  <si>
    <t>Common</t>
  </si>
  <si>
    <t>All</t>
  </si>
  <si>
    <t>Itm Cat</t>
  </si>
  <si>
    <t>Dry Grocery</t>
  </si>
  <si>
    <t>Sauce</t>
  </si>
  <si>
    <t>Vegetable</t>
  </si>
  <si>
    <t>Spice</t>
  </si>
  <si>
    <t>Dairy</t>
  </si>
  <si>
    <t>Heating</t>
  </si>
  <si>
    <t>Canned Food</t>
  </si>
  <si>
    <t>Food Color</t>
  </si>
  <si>
    <t>Dessert</t>
  </si>
  <si>
    <t>Hot Beverage</t>
  </si>
  <si>
    <t>Juice</t>
  </si>
  <si>
    <t>Processed Food</t>
  </si>
  <si>
    <t>Restaurant Item</t>
  </si>
  <si>
    <t>Row Labels</t>
  </si>
  <si>
    <t>Grand Total</t>
  </si>
  <si>
    <t>Sum of Qty Issued</t>
  </si>
  <si>
    <t>Values</t>
  </si>
  <si>
    <t>Sum of Total Amount</t>
  </si>
  <si>
    <t>Apple-SEBU-kg-kg-1.0000</t>
  </si>
  <si>
    <t>Chickoo-Sapota-kg-kg-1.0000</t>
  </si>
  <si>
    <t>Mango-Mavinhannu-kg-kg-1.0000</t>
  </si>
  <si>
    <t>Vicky</t>
  </si>
  <si>
    <t>Counter</t>
  </si>
  <si>
    <t>Jaggu</t>
  </si>
  <si>
    <t>Date</t>
  </si>
  <si>
    <t>Qty</t>
  </si>
  <si>
    <t>Amt</t>
  </si>
  <si>
    <t>Item</t>
  </si>
  <si>
    <t>Yellow Gravy</t>
  </si>
  <si>
    <t>Chaats</t>
  </si>
  <si>
    <t>Cold Beverage</t>
  </si>
  <si>
    <t>Parcel</t>
  </si>
  <si>
    <t>S. Thali</t>
  </si>
  <si>
    <t>N. Thali</t>
  </si>
  <si>
    <t>Exec Meal</t>
  </si>
  <si>
    <t>Chinese Rice</t>
  </si>
  <si>
    <t>Alacarte</t>
  </si>
  <si>
    <t>Indian Rice</t>
  </si>
  <si>
    <t>Gravy</t>
  </si>
  <si>
    <t>Indian Bread</t>
  </si>
  <si>
    <t>Soup</t>
  </si>
  <si>
    <t>Extras</t>
  </si>
  <si>
    <t>DawnDusk</t>
  </si>
  <si>
    <t>Sun</t>
  </si>
  <si>
    <t>Mon</t>
  </si>
  <si>
    <t>Tue</t>
  </si>
  <si>
    <t>Wed</t>
  </si>
  <si>
    <t>Thu</t>
  </si>
  <si>
    <t>Fri</t>
  </si>
  <si>
    <t>Sat</t>
  </si>
  <si>
    <t>Day</t>
  </si>
  <si>
    <t>% of Exp</t>
  </si>
  <si>
    <t>Exp</t>
  </si>
  <si>
    <t>Prof/Loss</t>
  </si>
  <si>
    <t>Tot Sale</t>
  </si>
  <si>
    <t>Avg Sale</t>
  </si>
  <si>
    <t>Poppyseeds-ghasghase-kg-kg-1.0000</t>
  </si>
  <si>
    <t>Rent</t>
  </si>
  <si>
    <t>Salary</t>
  </si>
  <si>
    <t>CJ</t>
  </si>
  <si>
    <t>SI</t>
  </si>
  <si>
    <t>NI1</t>
  </si>
  <si>
    <t>NI2</t>
  </si>
  <si>
    <t>NIH</t>
  </si>
  <si>
    <t>CJH</t>
  </si>
  <si>
    <t>CT</t>
  </si>
  <si>
    <t>SR</t>
  </si>
  <si>
    <t>CLN1</t>
  </si>
  <si>
    <t>DW1</t>
  </si>
  <si>
    <t>DW2</t>
  </si>
  <si>
    <t>DW3</t>
  </si>
  <si>
    <t>SK</t>
  </si>
  <si>
    <t>Electr</t>
  </si>
  <si>
    <t>Internet</t>
  </si>
  <si>
    <t>Per Day</t>
  </si>
  <si>
    <t>OpEX</t>
  </si>
  <si>
    <t>Avg Sales Per day</t>
  </si>
  <si>
    <t>Avg Dessert Sale</t>
  </si>
  <si>
    <t>Avg Sale less Dsrt</t>
  </si>
  <si>
    <t>Per Day Profit/Loss</t>
  </si>
  <si>
    <t>Per Mnth Profit/Loss</t>
  </si>
  <si>
    <t>W/o OpEX</t>
  </si>
  <si>
    <t>W/ OpEx</t>
  </si>
  <si>
    <t>Tot Sum</t>
  </si>
  <si>
    <t>Avg</t>
  </si>
  <si>
    <t>Juices</t>
  </si>
  <si>
    <t>Balance</t>
  </si>
  <si>
    <t>Inward</t>
  </si>
  <si>
    <t>SemiFinished_Prod</t>
  </si>
  <si>
    <t>BUTTERFRUIT-BUTTERFRUIT-kg-kg-1.0000</t>
  </si>
  <si>
    <t>Sum Total</t>
  </si>
  <si>
    <t>Curd Rice</t>
  </si>
  <si>
    <t>Raitha</t>
  </si>
  <si>
    <t>Sweet</t>
  </si>
  <si>
    <t>Dal</t>
  </si>
  <si>
    <t>Veg Curry</t>
  </si>
  <si>
    <t>Saagu</t>
  </si>
  <si>
    <t>Tomato Soup</t>
  </si>
  <si>
    <t>Banana-BALLEHANNU-kg-kg-1.0000</t>
  </si>
  <si>
    <t>Burji Masala</t>
  </si>
  <si>
    <t>Chilly Sauce</t>
  </si>
  <si>
    <t>Palav Rice</t>
  </si>
  <si>
    <t>Jeera Rice</t>
  </si>
  <si>
    <t>Gingergarlic paste</t>
  </si>
  <si>
    <t>Tray setting (fried rice)</t>
  </si>
  <si>
    <t>Tray setting (garnish)</t>
  </si>
  <si>
    <t>Boiled Noodles</t>
  </si>
  <si>
    <t>Boiled Vegetables</t>
  </si>
  <si>
    <t>Boiled Mushroom</t>
  </si>
  <si>
    <t>Atta dough (roti)</t>
  </si>
  <si>
    <t>atta dough (chapati/poori)</t>
  </si>
  <si>
    <t>maida dough</t>
  </si>
  <si>
    <t>coating mix</t>
  </si>
  <si>
    <t>bajji mix</t>
  </si>
  <si>
    <t>manchurian sauce</t>
  </si>
  <si>
    <t>boiled palak</t>
  </si>
  <si>
    <t>palak puree</t>
  </si>
  <si>
    <t>Dal Gravy</t>
  </si>
  <si>
    <t>Boiled battani</t>
  </si>
  <si>
    <t>masala gravy</t>
  </si>
  <si>
    <t>sweet chutney</t>
  </si>
  <si>
    <t>green chutney</t>
  </si>
  <si>
    <t>red chutney</t>
  </si>
  <si>
    <t>sugar syrup</t>
  </si>
  <si>
    <t>powdered sugar</t>
  </si>
  <si>
    <t>paani puri water</t>
  </si>
  <si>
    <t>dosa chutney</t>
  </si>
  <si>
    <t>dosa ittu (kalasu)</t>
  </si>
  <si>
    <t>urad dal ittu (kalasu)</t>
  </si>
  <si>
    <t>raita</t>
  </si>
  <si>
    <t>sweet curd</t>
  </si>
  <si>
    <t>palya</t>
  </si>
  <si>
    <t>sambar</t>
  </si>
  <si>
    <t>rasam</t>
  </si>
  <si>
    <t>sweet</t>
  </si>
  <si>
    <t>soup</t>
  </si>
  <si>
    <t>mixed veg curry</t>
  </si>
  <si>
    <t>dal curry</t>
  </si>
  <si>
    <t>tikka Masala</t>
  </si>
  <si>
    <t>Ginger Powder-shunti pudi-pkt-kg-0.1000</t>
  </si>
  <si>
    <t>Papaya-PRANGIHANNU-kg-kg-1.0000</t>
  </si>
  <si>
    <t>Wastage</t>
  </si>
  <si>
    <t>Burjji Masala</t>
  </si>
  <si>
    <t>Sugar Syrup</t>
  </si>
  <si>
    <t>Product</t>
  </si>
  <si>
    <t>Green Chutney</t>
  </si>
  <si>
    <t>Red Chutney</t>
  </si>
  <si>
    <t>Expenses</t>
  </si>
  <si>
    <t>POMOGRANATE-THALIMBE-kg-kg-1.0000</t>
  </si>
  <si>
    <t>IC10</t>
  </si>
  <si>
    <t>IC15</t>
  </si>
  <si>
    <t>IC20</t>
  </si>
  <si>
    <t>IC25</t>
  </si>
  <si>
    <t>IC30</t>
  </si>
  <si>
    <t>IC35</t>
  </si>
  <si>
    <t>IC40</t>
  </si>
  <si>
    <t>IC45</t>
  </si>
  <si>
    <t>IC50</t>
  </si>
  <si>
    <t>A22</t>
  </si>
  <si>
    <t>Cyld No</t>
  </si>
  <si>
    <t>Weight</t>
  </si>
  <si>
    <t>B21</t>
  </si>
  <si>
    <t>B27</t>
  </si>
  <si>
    <t>C25</t>
  </si>
  <si>
    <t>D22</t>
  </si>
  <si>
    <t>A20</t>
  </si>
  <si>
    <t>C26</t>
  </si>
  <si>
    <t>D27</t>
  </si>
  <si>
    <t>B27_1</t>
  </si>
  <si>
    <t>D21</t>
  </si>
  <si>
    <t>C21</t>
  </si>
  <si>
    <t>Net Usage</t>
  </si>
  <si>
    <t>C25_1</t>
  </si>
  <si>
    <t>D25</t>
  </si>
  <si>
    <t>C26_1</t>
  </si>
  <si>
    <t>A28</t>
  </si>
  <si>
    <t>Napkin-napkin-pkt-pkt-1.0000</t>
  </si>
  <si>
    <t>Rest</t>
  </si>
  <si>
    <t>Manju</t>
  </si>
  <si>
    <t>(blank)</t>
  </si>
  <si>
    <t>Staff</t>
  </si>
  <si>
    <t>Prd KG</t>
  </si>
  <si>
    <t>Sale</t>
  </si>
  <si>
    <t>Bowl</t>
  </si>
  <si>
    <t>Sixth Main</t>
  </si>
  <si>
    <t>Item Cost</t>
  </si>
  <si>
    <t>Elec&amp;Water</t>
  </si>
  <si>
    <t>Done</t>
  </si>
  <si>
    <t>cooked rice (South)</t>
  </si>
  <si>
    <t>cooked rice (Bullet)</t>
  </si>
  <si>
    <t>Tray setting (North)</t>
  </si>
  <si>
    <t>Thali Curd</t>
  </si>
  <si>
    <t>Powdered Sugar</t>
  </si>
</sst>
</file>

<file path=xl/styles.xml><?xml version="1.0" encoding="utf-8"?>
<styleSheet xmlns="http://schemas.openxmlformats.org/spreadsheetml/2006/main">
  <numFmts count="1">
    <numFmt numFmtId="164" formatCode="&quot;₹&quot;\ #,##0.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14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0" xfId="0" applyFont="1"/>
    <xf numFmtId="0" fontId="0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2" xfId="0" applyFill="1" applyBorder="1" applyAlignment="1"/>
    <xf numFmtId="9" fontId="0" fillId="0" borderId="0" xfId="1" applyFont="1"/>
    <xf numFmtId="0" fontId="1" fillId="2" borderId="0" xfId="0" applyFont="1" applyFill="1"/>
    <xf numFmtId="9" fontId="1" fillId="2" borderId="0" xfId="1" applyFont="1" applyFill="1"/>
    <xf numFmtId="0" fontId="0" fillId="2" borderId="0" xfId="0" applyFill="1"/>
    <xf numFmtId="15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  <xf numFmtId="15" fontId="1" fillId="0" borderId="0" xfId="0" applyNumberFormat="1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/>
    <xf numFmtId="0" fontId="3" fillId="4" borderId="0" xfId="0" applyFont="1" applyFill="1"/>
    <xf numFmtId="0" fontId="3" fillId="4" borderId="0" xfId="0" applyFont="1" applyFill="1" applyAlignment="1">
      <alignment horizontal="right"/>
    </xf>
    <xf numFmtId="15" fontId="1" fillId="0" borderId="0" xfId="0" applyNumberFormat="1" applyFont="1" applyAlignment="1"/>
    <xf numFmtId="0" fontId="4" fillId="4" borderId="0" xfId="0" applyFont="1" applyFill="1" applyAlignment="1">
      <alignment horizontal="right"/>
    </xf>
    <xf numFmtId="0" fontId="5" fillId="0" borderId="0" xfId="0" pivotButton="1" applyFont="1"/>
    <xf numFmtId="14" fontId="5" fillId="0" borderId="0" xfId="0" applyNumberFormat="1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NumberFormat="1" applyFont="1"/>
    <xf numFmtId="164" fontId="5" fillId="0" borderId="0" xfId="0" applyNumberFormat="1" applyFont="1"/>
    <xf numFmtId="9" fontId="5" fillId="0" borderId="0" xfId="1" applyFont="1"/>
    <xf numFmtId="0" fontId="6" fillId="0" borderId="0" xfId="0" applyFont="1"/>
    <xf numFmtId="164" fontId="6" fillId="0" borderId="0" xfId="0" applyNumberFormat="1" applyFont="1"/>
    <xf numFmtId="0" fontId="5" fillId="2" borderId="0" xfId="0" applyNumberFormat="1" applyFont="1" applyFill="1"/>
    <xf numFmtId="164" fontId="5" fillId="2" borderId="0" xfId="0" applyNumberFormat="1" applyFont="1" applyFill="1"/>
    <xf numFmtId="0" fontId="6" fillId="0" borderId="1" xfId="0" applyFont="1" applyBorder="1"/>
    <xf numFmtId="0" fontId="5" fillId="0" borderId="1" xfId="0" applyFont="1" applyBorder="1"/>
    <xf numFmtId="0" fontId="6" fillId="5" borderId="0" xfId="0" applyFont="1" applyFill="1"/>
    <xf numFmtId="164" fontId="6" fillId="5" borderId="0" xfId="0" applyNumberFormat="1" applyFont="1" applyFill="1"/>
    <xf numFmtId="15" fontId="0" fillId="2" borderId="0" xfId="0" applyNumberFormat="1" applyFill="1"/>
    <xf numFmtId="0" fontId="0" fillId="0" borderId="0" xfId="0" applyFill="1"/>
    <xf numFmtId="15" fontId="0" fillId="0" borderId="0" xfId="0" applyNumberFormat="1" applyFill="1"/>
    <xf numFmtId="15" fontId="1" fillId="0" borderId="0" xfId="0" applyNumberFormat="1" applyFont="1" applyAlignment="1">
      <alignment horizontal="center"/>
    </xf>
    <xf numFmtId="0" fontId="5" fillId="0" borderId="0" xfId="0" applyFont="1" applyAlignment="1">
      <alignment horizontal="left" indent="1"/>
    </xf>
    <xf numFmtId="15" fontId="1" fillId="0" borderId="0" xfId="0" applyNumberFormat="1" applyFont="1" applyAlignment="1">
      <alignment horizontal="center"/>
    </xf>
    <xf numFmtId="1" fontId="0" fillId="0" borderId="0" xfId="0" applyNumberFormat="1"/>
    <xf numFmtId="15" fontId="1" fillId="0" borderId="0" xfId="0" applyNumberFormat="1" applyFont="1" applyAlignment="1">
      <alignment horizontal="center"/>
    </xf>
    <xf numFmtId="0" fontId="0" fillId="0" borderId="0" xfId="0" pivotButton="1"/>
    <xf numFmtId="1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/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left"/>
    </xf>
  </cellXfs>
  <cellStyles count="2">
    <cellStyle name="Normal" xfId="0" builtinId="0"/>
    <cellStyle name="Percent" xfId="1" builtinId="5"/>
  </cellStyles>
  <dxfs count="3">
    <dxf>
      <fill>
        <patternFill patternType="solid">
          <bgColor rgb="FFFFFF00"/>
        </patternFill>
      </fill>
    </dxf>
    <dxf>
      <font>
        <sz val="10"/>
      </font>
    </dxf>
    <dxf>
      <font>
        <sz val="1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3215.758517013892" createdVersion="3" refreshedVersion="3" minRefreshableVersion="3" recordCount="2673">
  <cacheSource type="worksheet">
    <worksheetSource ref="A1:H1048576" sheet="Database"/>
  </cacheSource>
  <cacheFields count="8">
    <cacheField name="DATE" numFmtId="15">
      <sharedItems containsNonDate="0" containsDate="1" containsString="0" containsBlank="1" minDate="2018-04-01T00:00:00" maxDate="2018-04-24T00:00:00" count="23"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3T00:00:00"/>
        <m/>
      </sharedItems>
    </cacheField>
    <cacheField name="Item Name" numFmtId="0">
      <sharedItems containsBlank="1" count="134">
        <s v="Onion-Erulli-kg-kg-1.0000"/>
        <s v="Capsicum-Capsicum-kg-kg-1.0000"/>
        <s v="Green chilly-hasinmenshinkayi-kg-kg-1.0000"/>
        <s v="Salt Powder-Uppu-kg-kg-1.0000"/>
        <s v="White Pepper Powder (500 gram)-Billi menasu pudi-kg-kg-1.0000"/>
        <s v="Meat Masala Powder (100 gram)-meat masala-pkt-kg-0.1000"/>
        <s v="Charcoal-Charcoal-kg-kg-1.0000"/>
        <s v="Palak leaves-Palak soppu-kg-kg-1.0000"/>
        <s v="Maida-Maida-kg-kg-1.0000"/>
        <s v="Tomato (Jam)-tomatojam-kg-kg-1.0000"/>
        <s v="Corn flour-Corn flour-kg-kg-1.0000"/>
        <s v="Oil-Yenne-lts-kg-0.9150"/>
        <s v="Garlic-Belulli-kg-kg-1.0000"/>
        <s v="Ginger-shunti-kg-kg-1.0000"/>
        <s v="Coriander leaves-Kothamiri Soppu-kg-kg-1.0000"/>
        <s v="Cucumber-sothekayi-kg-kg-1.0000"/>
        <s v="Babycorn-Babycorn-kg-kg-1.0000"/>
        <s v="Butter-Butter-kg-kg-1.0000"/>
        <s v="Hakka Noodles-Hakka Noodles-pkt-kg-0.4000"/>
        <s v="Cauliflower-hookosu-kg-kg-1.0000"/>
        <s v="Jeera Seeds-Jeerge-kg-kg-1.0000"/>
        <s v="Masala papad-Masala papad-kg-kg-1.0000"/>
        <s v="Basumathi Rice-Basumathi Rice-kg-kg-1.0000"/>
        <s v="Cinnamon-Chekke-kg-kg-1.0000"/>
        <s v="Cloves-lavanga-kg-kg-1.0000"/>
        <s v="Elaichi-yelakki-kg-kg-1.0000"/>
        <s v="Maratimoggu-Maratimoggu-kg-kg-1.0000"/>
        <s v="Mace-japathre-kg-kg-1.0000"/>
        <s v="Bullet Rice-Bullet Rice-kg-kg-1.0000"/>
        <s v="Beans-Beans-kg-kg-1.0000"/>
        <s v="Carrot-carrot-kg-kg-1.0000"/>
        <s v="Coriander Powder (500 gram)-Dhanya Powder (500 gram)-kg-kg-1.0000"/>
        <s v="Mushroom-Mushroom-pkt-pkt-1.0000"/>
        <s v="Paneer-Paneer-kg-kg-1.0000"/>
        <s v="Kitchen king (100 gram)-Kitchen king (100 gram)-pkt-kg-0.1000"/>
        <s v="Pudina-Pudina-kg-kg-1.0000"/>
        <s v="Byadagi chilly-Byadagi chilly-kg-kg-1.0000"/>
        <s v="Guntur -guntur-kg-kg-1.0000"/>
        <s v="Roti Wheat-Roti atta-kg-kg-1.0000"/>
        <s v="Ketchup(1.2 kg)-ketchup-bottle-kg-1.2000"/>
        <s v="Kasoori Methi-Kasoori Methi-kg-kg-1.0000"/>
        <s v="Milk-Haalu-lts-kg-1.0300"/>
        <s v="Curd-Mosaru-lts-kg-1.0300"/>
        <s v="Coconut-Theginkai-count-count-1.0000"/>
        <s v="South Rice-South Hakki-kg-kg-1.0000"/>
        <s v="Sugar-Sakkre-kg-kg-1.0000"/>
        <s v="mixed vegetables-mixed tharkari-kg-kg-1.0000"/>
        <s v="Chilly Powder-Chilly Powder-kg-kg-1.0000"/>
        <s v="Crystal Salt-Kalluppu-kg-kg-1.0000"/>
        <s v="Dalda-dalda-lts-kg-0.9050"/>
        <s v="Mustard-Sasive-kg-kg-1.0000"/>
        <s v="channadal(split)-Kadlebele-kg-kg-1.0000"/>
        <s v="North Papad (1 kg)-North Papad (1 kg)-kg-kg-1.0000"/>
        <s v="South Papad (500 gram)-South Papad (500 gram)-pkt-kg-0.5000"/>
        <s v="Tamarind-hunsehannu-kg-kg-1.0000"/>
        <s v="Raisin-drakshi-kg-kg-1.0000"/>
        <s v="Cashew-Godambi-kg-kg-1.0000"/>
        <s v="Toordal-Thogaribele-kg-kg-1.0000"/>
        <s v="Tomato (Huli)-tomatohuli-kg-kg-1.0000"/>
        <s v="Garam Masala (100 gram)-garam masala-pkt-kg-0.1000"/>
        <s v="Sambar powder-Sambar powder-kg-kg-1.0000"/>
        <s v="vermicelli-Shavige-kg-kg-1.0000"/>
        <s v="curry leaves-karbensoppu-kg-kg-1.0000"/>
        <s v="Lemon-Nimbehannu-count-count-1.0000"/>
        <s v="Gas-Gas-kg-kg-1.0000"/>
        <s v="Tea powder-Tea powder-kg-kg-1.0000"/>
        <s v="Cabbage-geddekosu-kg-kg-1.0000"/>
        <s v="Sweetcorn-Sweetcorn-tin-kg-0.4000"/>
        <s v="Moong Dal-Hesaru bele-kg-kg-1.0000"/>
        <s v="Dark soya souce-Dark soya souce-bottle-kg-0.8150"/>
        <s v="Bread Powder-bread powder-kg-kg-1.0000"/>
        <s v="Turmeric Powder-Arishina pudi-kg-kg-1.0000"/>
        <s v="Chiroti Semolina-Chiroti rava-kg-kg-1.0000"/>
        <s v="Rasam powder-Rasam powder-kg-kg-1.0000"/>
        <s v="CHICK PEAS-kadalekalu-kg-kg-1.0000"/>
        <s v="Groundnut Seeds-Kadlekayi Beeja-kg-kg-1.0000"/>
        <s v="Wheat-Godhi-kg-kg-1.0000"/>
        <s v="Pineapple-ANNANAS-kg-kg-1.0000"/>
        <s v="Pickle-Uppinkayi-kg-kg-1.0000"/>
        <s v="Watermelon-Watermelon-kg-kg-1.0000"/>
        <s v="Orange -Kitlehannu-kg-kg-1.0000"/>
        <s v="Moosambi-MOOSAMBI-kg-kg-1.0000"/>
        <s v="Black pepper-kal menasu-kg-kg-1.0000"/>
        <s v="Peas-batani-kg-kg-1.0000"/>
        <s v="Tasting Powder (500 kg)-tasting powder-kg-kg-1.0000"/>
        <s v="Vinegar-Vinegar-bottle-kg-0.8600"/>
        <s v="Pav Baji Masala (100 gram)-pav baji masala-pkt-kg-0.1000"/>
        <s v="Chat Masala (100 gram)-chat masala-pkt-kg-0.1000"/>
        <s v="Muskmelon-THARBUJA-kg-kg-1.0000"/>
        <s v="Sabbudana-sago sabakki-kg-kg-1.0000"/>
        <s v="Apple-SEBU-kg-kg-1.0000"/>
        <s v="Chickoo-Sapota-kg-kg-1.0000"/>
        <s v="Urad Dal-Uddina bele-kg-kg-1.0000"/>
        <s v="Gram Flour-Kadle Ittu-kg-kg-1.0000"/>
        <s v="Potato-Aloogedde-kg-kg-1.0000"/>
        <s v="Green Gram-hesarukalu-kg-kg-1.0000"/>
        <s v="COW PEA (ALASANDE)-thaganikalu-kg-kg-1.0000"/>
        <s v="Black Pepper Powder-Kaal menasu-kg-kg-1.0000"/>
        <s v="Copri-copri-kg-kg-1.0000"/>
        <s v="Fried Gram-Hurgadle-kg-kg-1.0000"/>
        <s v="Ghee-Thuppa-lts-kg-0.9300"/>
        <s v="Cream-Cream-lts-kg-1.0000"/>
        <s v="jaggery-bella-kg-kg-1.0000"/>
        <s v="8 To 85 Sauce (200 gram)-8 To 85 Sauce (200 gram)-kg-kg-1.0000"/>
        <s v="amchurpowder-amchurpudi-pkt-kg-0.1000"/>
        <s v="Watermelon seeds-Watermelon seeds-kg-kg-1.0000"/>
        <s v="Baby cashew-Baby godambi-kg-kg-1.0000"/>
        <s v="White thill-Bili Till-kg-kg-1.0000"/>
        <s v="Red bush-Red bush-tin-tin-1.0000"/>
        <s v="Green peas-green peas-kg-kg-1.0000"/>
        <s v="Puliyogare Powder-puliogare powder-kg-kg-1.0000"/>
        <s v="Fenugreek Seeds-menthya beeja-kg-kg-1.0000"/>
        <s v="Green chilly sauce-Green chilly sauce-bottle-kg-0.7250"/>
        <s v="Lemon Salt-Nimbehannu uppu-kg-kg-1.0000"/>
        <s v="Mustard oil-Sasive yenne-lts-kg-0.9100"/>
        <s v="Yellow Gravy"/>
        <s v="BUTTERFRUIT-BUTTERFRUIT-kg-kg-1.0000"/>
        <s v="Banana-BALLEHANNU-kg-kg-1.0000"/>
        <s v="French fries-french fries-kg-kg-1.0000"/>
        <s v="Capcicum Sauce (60 gram)-Capcicum Sauce (60 gram)-kg-kg-1.0000"/>
        <s v="Ginger Powder-shunti pudi-pkt-kg-0.1000"/>
        <s v="Mango-Mavinhannu-kg-kg-1.0000"/>
        <s v="Papaya-PRANGIHANNU-kg-kg-1.0000"/>
        <s v="Soda (750 mL)-Soda (750 mL)-lts-kg-1.0000"/>
        <s v="Burjji Masala"/>
        <s v="Poppyseeds-ghasghase-kg-kg-1.0000"/>
        <s v="POMOGRANATE-THALIMBE-kg-kg-1.0000"/>
        <s v="Coriander seeds-Dhanya Beeja-kg-kg-1.0000"/>
        <s v="FILTER COFFEE POWDER-FILTER COFFEE POWDER-kg-kg-1.0000"/>
        <s v="chillysauce-chillysauce-kg-kg-1.0000"/>
        <s v="Napkin-napkin-pkt-pkt-1.0000"/>
        <s v="Beaten Rice-avalakki-kg-kg-1.0000"/>
        <s v="Bay leaf-palaav ele-kg-kg-1.0000"/>
        <m/>
      </sharedItems>
    </cacheField>
    <cacheField name="Item Price" numFmtId="0">
      <sharedItems containsBlank="1" containsMixedTypes="1" containsNumber="1" minValue="0" maxValue="1480"/>
    </cacheField>
    <cacheField name="Qty Issued" numFmtId="0">
      <sharedItems containsString="0" containsBlank="1" containsNumber="1" minValue="0" maxValue="825"/>
    </cacheField>
    <cacheField name="Menu Cat" numFmtId="0">
      <sharedItems containsBlank="1" count="10">
        <s v="North"/>
        <s v="South"/>
        <s v="Chaat"/>
        <s v="All"/>
        <s v="Hot Beverage"/>
        <s v="Juice"/>
        <s v="Counter"/>
        <m/>
        <s v="Rest"/>
        <s v="Staff"/>
      </sharedItems>
    </cacheField>
    <cacheField name="Issued To" numFmtId="0">
      <sharedItems containsBlank="1"/>
    </cacheField>
    <cacheField name="Total Amount" numFmtId="0">
      <sharedItems containsBlank="1" containsMixedTypes="1" containsNumber="1" minValue="0" maxValue="23075.25"/>
    </cacheField>
    <cacheField name="Itm Cat" numFmtId="0">
      <sharedItems containsBlank="1" containsMixedTypes="1" containsNumber="1" containsInteger="1" minValue="0" maxValue="0" count="17">
        <s v="Vegetable"/>
        <s v="Dry Grocery"/>
        <s v="Heating"/>
        <s v="Oil"/>
        <s v="Dairy"/>
        <s v="Spice"/>
        <s v="Sauce"/>
        <s v="Gas"/>
        <s v="Hot Beverage"/>
        <s v="Canned Food"/>
        <s v="Fruits"/>
        <s v="Processed Food"/>
        <s v="Food Color"/>
        <s v="SemiFinished_Prod"/>
        <s v="Juice"/>
        <m/>
        <n v="0" u="1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3217.498650462963" createdVersion="3" refreshedVersion="3" minRefreshableVersion="3" recordCount="2776">
  <cacheSource type="worksheet">
    <worksheetSource ref="A1:N1048576" sheet="Database"/>
  </cacheSource>
  <cacheFields count="14">
    <cacheField name="DATE" numFmtId="15">
      <sharedItems containsNonDate="0" containsDate="1" containsString="0" containsBlank="1" minDate="2018-04-01T00:00:00" maxDate="2018-04-27T00:00:00" count="26"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3T00:00:00"/>
        <d v="2018-04-24T00:00:00"/>
        <d v="2018-04-25T00:00:00"/>
        <d v="2018-04-26T00:00:00"/>
        <m/>
      </sharedItems>
    </cacheField>
    <cacheField name="Item Name" numFmtId="0">
      <sharedItems containsBlank="1"/>
    </cacheField>
    <cacheField name="Item Price" numFmtId="0">
      <sharedItems containsBlank="1" containsMixedTypes="1" containsNumber="1" minValue="0" maxValue="1480"/>
    </cacheField>
    <cacheField name="Qty Issued" numFmtId="0">
      <sharedItems containsString="0" containsBlank="1" containsNumber="1" minValue="0" maxValue="825"/>
    </cacheField>
    <cacheField name="Menu Cat" numFmtId="0">
      <sharedItems containsBlank="1" count="10">
        <s v="North"/>
        <s v="South"/>
        <s v="Chaat"/>
        <s v="All"/>
        <s v="Hot Beverage"/>
        <s v="Juice"/>
        <s v="Counter"/>
        <m/>
        <s v="Rest"/>
        <s v="Staff"/>
      </sharedItems>
    </cacheField>
    <cacheField name="Issued To" numFmtId="0">
      <sharedItems containsBlank="1"/>
    </cacheField>
    <cacheField name="Total Amount" numFmtId="0">
      <sharedItems containsString="0" containsBlank="1" containsNumber="1" minValue="0" maxValue="23075.25"/>
    </cacheField>
    <cacheField name="Itm Cat" numFmtId="0">
      <sharedItems containsBlank="1"/>
    </cacheField>
    <cacheField name="Balance" numFmtId="0">
      <sharedItems containsBlank="1" containsMixedTypes="1" containsNumber="1" minValue="0.1" maxValue="28"/>
    </cacheField>
    <cacheField name="Inward" numFmtId="0">
      <sharedItems containsString="0" containsBlank="1" containsNumber="1" minValue="0.04" maxValue="100"/>
    </cacheField>
    <cacheField name="Wastage" numFmtId="0">
      <sharedItems containsString="0" containsBlank="1" containsNumber="1" minValue="8.5000000000000006E-2" maxValue="0.2"/>
    </cacheField>
    <cacheField name="Product" numFmtId="0">
      <sharedItems containsBlank="1"/>
    </cacheField>
    <cacheField name="Prd KG" numFmtId="0">
      <sharedItems containsString="0" containsBlank="1" containsNumber="1" minValue="5" maxValue="22.8"/>
    </cacheField>
    <cacheField name="Sale" numFmtId="0">
      <sharedItems containsBlank="1" count="2">
        <m/>
        <s v="Sixth Main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73">
  <r>
    <x v="0"/>
    <x v="0"/>
    <n v="14"/>
    <n v="19"/>
    <x v="0"/>
    <s v="Murthy"/>
    <n v="266"/>
    <x v="0"/>
  </r>
  <r>
    <x v="0"/>
    <x v="1"/>
    <n v="30"/>
    <n v="1"/>
    <x v="0"/>
    <s v="Murthy"/>
    <n v="30"/>
    <x v="0"/>
  </r>
  <r>
    <x v="0"/>
    <x v="2"/>
    <n v="30"/>
    <n v="0.5"/>
    <x v="0"/>
    <s v="Murthy"/>
    <n v="15"/>
    <x v="0"/>
  </r>
  <r>
    <x v="0"/>
    <x v="3"/>
    <n v="17"/>
    <n v="1"/>
    <x v="0"/>
    <s v="Murthy"/>
    <n v="17"/>
    <x v="1"/>
  </r>
  <r>
    <x v="0"/>
    <x v="4"/>
    <n v="180"/>
    <n v="0.5"/>
    <x v="0"/>
    <s v="Murthy"/>
    <n v="90"/>
    <x v="1"/>
  </r>
  <r>
    <x v="0"/>
    <x v="5"/>
    <n v="49.5"/>
    <n v="0.1"/>
    <x v="0"/>
    <s v="Murthy"/>
    <n v="4.95"/>
    <x v="1"/>
  </r>
  <r>
    <x v="0"/>
    <x v="6"/>
    <n v="26"/>
    <n v="14.4"/>
    <x v="0"/>
    <s v="Murthy"/>
    <n v="374.40000000000003"/>
    <x v="2"/>
  </r>
  <r>
    <x v="0"/>
    <x v="7"/>
    <n v="38"/>
    <n v="1"/>
    <x v="0"/>
    <s v="Murthy"/>
    <n v="38"/>
    <x v="0"/>
  </r>
  <r>
    <x v="0"/>
    <x v="8"/>
    <n v="29.51"/>
    <n v="3.5"/>
    <x v="0"/>
    <s v="Murthy"/>
    <n v="103.28500000000001"/>
    <x v="1"/>
  </r>
  <r>
    <x v="0"/>
    <x v="9"/>
    <n v="14.75"/>
    <n v="0.3"/>
    <x v="0"/>
    <s v="Murthy"/>
    <n v="4.4249999999999998"/>
    <x v="0"/>
  </r>
  <r>
    <x v="0"/>
    <x v="10"/>
    <n v="45"/>
    <n v="1"/>
    <x v="0"/>
    <s v="Murthy"/>
    <n v="45"/>
    <x v="1"/>
  </r>
  <r>
    <x v="0"/>
    <x v="11"/>
    <n v="82"/>
    <n v="3"/>
    <x v="0"/>
    <s v="Murthy"/>
    <n v="246"/>
    <x v="3"/>
  </r>
  <r>
    <x v="0"/>
    <x v="12"/>
    <n v="28"/>
    <n v="1"/>
    <x v="0"/>
    <s v="Murthy"/>
    <n v="28"/>
    <x v="0"/>
  </r>
  <r>
    <x v="0"/>
    <x v="13"/>
    <n v="40"/>
    <n v="0.25"/>
    <x v="0"/>
    <s v="Murthy"/>
    <n v="10"/>
    <x v="0"/>
  </r>
  <r>
    <x v="0"/>
    <x v="14"/>
    <n v="25"/>
    <n v="0.3"/>
    <x v="0"/>
    <s v="Murthy"/>
    <n v="7.5"/>
    <x v="0"/>
  </r>
  <r>
    <x v="0"/>
    <x v="15"/>
    <n v="43.98"/>
    <n v="0.3"/>
    <x v="0"/>
    <s v="Murthy"/>
    <n v="13.193999999999999"/>
    <x v="0"/>
  </r>
  <r>
    <x v="0"/>
    <x v="16"/>
    <n v="60"/>
    <n v="0.7"/>
    <x v="0"/>
    <s v="Murthy"/>
    <n v="42"/>
    <x v="0"/>
  </r>
  <r>
    <x v="0"/>
    <x v="17"/>
    <n v="140"/>
    <n v="0.5"/>
    <x v="0"/>
    <s v="Murthy"/>
    <n v="70"/>
    <x v="4"/>
  </r>
  <r>
    <x v="0"/>
    <x v="18"/>
    <n v="40"/>
    <n v="1"/>
    <x v="0"/>
    <s v="Murthy"/>
    <n v="40"/>
    <x v="1"/>
  </r>
  <r>
    <x v="0"/>
    <x v="19"/>
    <n v="23.33"/>
    <n v="1"/>
    <x v="0"/>
    <s v="Murthy"/>
    <n v="23.33"/>
    <x v="0"/>
  </r>
  <r>
    <x v="0"/>
    <x v="20"/>
    <n v="230"/>
    <n v="0.2"/>
    <x v="0"/>
    <s v="Murthy"/>
    <n v="46"/>
    <x v="1"/>
  </r>
  <r>
    <x v="0"/>
    <x v="21"/>
    <n v="272"/>
    <n v="0.13500000000000001"/>
    <x v="0"/>
    <s v="Murthy"/>
    <n v="36.72"/>
    <x v="1"/>
  </r>
  <r>
    <x v="0"/>
    <x v="22"/>
    <n v="62"/>
    <n v="2"/>
    <x v="0"/>
    <s v="Murthy"/>
    <n v="124"/>
    <x v="1"/>
  </r>
  <r>
    <x v="0"/>
    <x v="23"/>
    <n v="220"/>
    <n v="0.01"/>
    <x v="0"/>
    <s v="Murthy"/>
    <n v="2.2000000000000002"/>
    <x v="5"/>
  </r>
  <r>
    <x v="0"/>
    <x v="24"/>
    <n v="740"/>
    <n v="0.01"/>
    <x v="0"/>
    <s v="Murthy"/>
    <n v="7.4"/>
    <x v="5"/>
  </r>
  <r>
    <x v="0"/>
    <x v="25"/>
    <n v="1450"/>
    <n v="0.01"/>
    <x v="0"/>
    <s v="Murthy"/>
    <n v="14.5"/>
    <x v="5"/>
  </r>
  <r>
    <x v="0"/>
    <x v="26"/>
    <n v="750"/>
    <n v="0.01"/>
    <x v="0"/>
    <s v="Murthy"/>
    <n v="7.5"/>
    <x v="5"/>
  </r>
  <r>
    <x v="0"/>
    <x v="27"/>
    <n v="1480"/>
    <n v="5.0000000000000001E-3"/>
    <x v="0"/>
    <s v="Murthy"/>
    <n v="7.4"/>
    <x v="5"/>
  </r>
  <r>
    <x v="0"/>
    <x v="28"/>
    <n v="64"/>
    <n v="3.5"/>
    <x v="0"/>
    <s v="Murthy"/>
    <n v="224"/>
    <x v="1"/>
  </r>
  <r>
    <x v="0"/>
    <x v="29"/>
    <n v="43.06"/>
    <n v="0.8"/>
    <x v="0"/>
    <s v="Murthy"/>
    <n v="34.448"/>
    <x v="0"/>
  </r>
  <r>
    <x v="0"/>
    <x v="30"/>
    <n v="27.97"/>
    <n v="1.1499999999999999"/>
    <x v="0"/>
    <s v="Murthy"/>
    <n v="32.165499999999994"/>
    <x v="0"/>
  </r>
  <r>
    <x v="0"/>
    <x v="31"/>
    <n v="120"/>
    <n v="0.35"/>
    <x v="0"/>
    <s v="Murthy"/>
    <n v="42"/>
    <x v="1"/>
  </r>
  <r>
    <x v="0"/>
    <x v="32"/>
    <n v="32"/>
    <n v="0.5"/>
    <x v="0"/>
    <s v="Murthy"/>
    <n v="16"/>
    <x v="0"/>
  </r>
  <r>
    <x v="0"/>
    <x v="33"/>
    <n v="175"/>
    <n v="1"/>
    <x v="0"/>
    <s v="Murthy"/>
    <n v="175"/>
    <x v="4"/>
  </r>
  <r>
    <x v="0"/>
    <x v="34"/>
    <n v="51"/>
    <n v="0.1"/>
    <x v="0"/>
    <s v="Murthy"/>
    <n v="5.1000000000000005"/>
    <x v="1"/>
  </r>
  <r>
    <x v="0"/>
    <x v="35"/>
    <n v="125"/>
    <n v="0.11"/>
    <x v="0"/>
    <s v="Murthy"/>
    <n v="13.75"/>
    <x v="0"/>
  </r>
  <r>
    <x v="0"/>
    <x v="36"/>
    <n v="280"/>
    <n v="0.1"/>
    <x v="0"/>
    <s v="Murthy"/>
    <n v="28"/>
    <x v="1"/>
  </r>
  <r>
    <x v="0"/>
    <x v="37"/>
    <n v="138"/>
    <n v="0.2"/>
    <x v="0"/>
    <s v="Murthy"/>
    <n v="27.6"/>
    <x v="1"/>
  </r>
  <r>
    <x v="0"/>
    <x v="38"/>
    <n v="27"/>
    <n v="2"/>
    <x v="0"/>
    <s v="Murthy"/>
    <n v="54"/>
    <x v="1"/>
  </r>
  <r>
    <x v="0"/>
    <x v="39"/>
    <n v="75"/>
    <n v="1.2"/>
    <x v="0"/>
    <s v="Murthy"/>
    <n v="90"/>
    <x v="6"/>
  </r>
  <r>
    <x v="0"/>
    <x v="11"/>
    <n v="82"/>
    <n v="1"/>
    <x v="0"/>
    <s v="Murthy"/>
    <n v="82"/>
    <x v="3"/>
  </r>
  <r>
    <x v="0"/>
    <x v="29"/>
    <n v="43.06"/>
    <n v="0.5"/>
    <x v="0"/>
    <s v="Murthy"/>
    <n v="21.53"/>
    <x v="0"/>
  </r>
  <r>
    <x v="0"/>
    <x v="30"/>
    <n v="27.97"/>
    <n v="0.5"/>
    <x v="0"/>
    <s v="Murthy"/>
    <n v="13.984999999999999"/>
    <x v="0"/>
  </r>
  <r>
    <x v="0"/>
    <x v="33"/>
    <n v="175"/>
    <n v="1"/>
    <x v="0"/>
    <s v="Murthy"/>
    <n v="175"/>
    <x v="4"/>
  </r>
  <r>
    <x v="0"/>
    <x v="32"/>
    <n v="32"/>
    <n v="0.5"/>
    <x v="0"/>
    <s v="Murthy"/>
    <n v="16"/>
    <x v="0"/>
  </r>
  <r>
    <x v="0"/>
    <x v="40"/>
    <n v="450"/>
    <n v="0.05"/>
    <x v="0"/>
    <s v="Murthy"/>
    <n v="22.5"/>
    <x v="1"/>
  </r>
  <r>
    <x v="0"/>
    <x v="41"/>
    <n v="36"/>
    <n v="1.5"/>
    <x v="1"/>
    <s v="Ravi"/>
    <n v="54"/>
    <x v="4"/>
  </r>
  <r>
    <x v="0"/>
    <x v="42"/>
    <n v="42"/>
    <n v="1.5"/>
    <x v="1"/>
    <s v="Ravi"/>
    <n v="63"/>
    <x v="4"/>
  </r>
  <r>
    <x v="0"/>
    <x v="43"/>
    <n v="28"/>
    <n v="2"/>
    <x v="1"/>
    <s v="Ravi"/>
    <n v="56"/>
    <x v="0"/>
  </r>
  <r>
    <x v="0"/>
    <x v="44"/>
    <n v="52"/>
    <n v="4.4000000000000004"/>
    <x v="1"/>
    <s v="Ravi"/>
    <n v="228.8"/>
    <x v="1"/>
  </r>
  <r>
    <x v="0"/>
    <x v="45"/>
    <n v="37"/>
    <n v="0.3"/>
    <x v="1"/>
    <s v="Ravi"/>
    <n v="11.1"/>
    <x v="1"/>
  </r>
  <r>
    <x v="0"/>
    <x v="46"/>
    <n v="35"/>
    <n v="0.7"/>
    <x v="1"/>
    <s v="Ravi"/>
    <n v="24.5"/>
    <x v="0"/>
  </r>
  <r>
    <x v="0"/>
    <x v="47"/>
    <n v="280"/>
    <n v="5.5E-2"/>
    <x v="1"/>
    <s v="Ravi"/>
    <n v="15.4"/>
    <x v="1"/>
  </r>
  <r>
    <x v="0"/>
    <x v="31"/>
    <n v="120"/>
    <n v="0.02"/>
    <x v="1"/>
    <s v="Ravi"/>
    <n v="2.4"/>
    <x v="1"/>
  </r>
  <r>
    <x v="0"/>
    <x v="3"/>
    <n v="17"/>
    <n v="0.01"/>
    <x v="1"/>
    <s v="Ravi"/>
    <n v="0.17"/>
    <x v="1"/>
  </r>
  <r>
    <x v="0"/>
    <x v="48"/>
    <n v="7"/>
    <n v="0.5"/>
    <x v="1"/>
    <s v="Ravi"/>
    <n v="3.5"/>
    <x v="1"/>
  </r>
  <r>
    <x v="0"/>
    <x v="49"/>
    <n v="96"/>
    <n v="7.4999999999999997E-2"/>
    <x v="1"/>
    <s v="Ravi"/>
    <n v="7.1999999999999993"/>
    <x v="3"/>
  </r>
  <r>
    <x v="0"/>
    <x v="11"/>
    <n v="82"/>
    <n v="1"/>
    <x v="1"/>
    <s v="Ravi"/>
    <n v="82"/>
    <x v="3"/>
  </r>
  <r>
    <x v="0"/>
    <x v="20"/>
    <n v="230"/>
    <n v="2.5000000000000001E-2"/>
    <x v="1"/>
    <s v="Ravi"/>
    <n v="5.75"/>
    <x v="1"/>
  </r>
  <r>
    <x v="0"/>
    <x v="50"/>
    <n v="70"/>
    <n v="4.4999999999999998E-2"/>
    <x v="1"/>
    <s v="Ravi"/>
    <n v="3.15"/>
    <x v="1"/>
  </r>
  <r>
    <x v="0"/>
    <x v="51"/>
    <n v="55"/>
    <n v="0.09"/>
    <x v="1"/>
    <s v="Ravi"/>
    <n v="4.95"/>
    <x v="1"/>
  </r>
  <r>
    <x v="0"/>
    <x v="25"/>
    <n v="1450"/>
    <n v="5.0000000000000001E-3"/>
    <x v="1"/>
    <s v="Ravi"/>
    <n v="7.25"/>
    <x v="5"/>
  </r>
  <r>
    <x v="0"/>
    <x v="0"/>
    <n v="14"/>
    <n v="2.1"/>
    <x v="1"/>
    <s v="Ravi"/>
    <n v="29.400000000000002"/>
    <x v="0"/>
  </r>
  <r>
    <x v="0"/>
    <x v="12"/>
    <n v="28"/>
    <n v="0.17"/>
    <x v="1"/>
    <s v="Ravi"/>
    <n v="4.7600000000000007"/>
    <x v="0"/>
  </r>
  <r>
    <x v="0"/>
    <x v="2"/>
    <n v="30"/>
    <n v="0.14000000000000001"/>
    <x v="1"/>
    <s v="Ravi"/>
    <n v="4.2"/>
    <x v="0"/>
  </r>
  <r>
    <x v="0"/>
    <x v="37"/>
    <n v="138"/>
    <n v="0.01"/>
    <x v="1"/>
    <s v="Ravi"/>
    <n v="1.3800000000000001"/>
    <x v="1"/>
  </r>
  <r>
    <x v="0"/>
    <x v="52"/>
    <n v="160"/>
    <n v="0.09"/>
    <x v="1"/>
    <s v="Ravi"/>
    <n v="14.399999999999999"/>
    <x v="1"/>
  </r>
  <r>
    <x v="0"/>
    <x v="53"/>
    <n v="62.03"/>
    <n v="4.4999999999999998E-2"/>
    <x v="1"/>
    <s v="Ravi"/>
    <n v="2.79135"/>
    <x v="1"/>
  </r>
  <r>
    <x v="0"/>
    <x v="54"/>
    <n v="170"/>
    <n v="4.4999999999999998E-2"/>
    <x v="1"/>
    <s v="Ravi"/>
    <n v="7.6499999999999995"/>
    <x v="1"/>
  </r>
  <r>
    <x v="0"/>
    <x v="55"/>
    <n v="240"/>
    <n v="1.2999999999999999E-2"/>
    <x v="1"/>
    <s v="Ravi"/>
    <n v="3.1199999999999997"/>
    <x v="1"/>
  </r>
  <r>
    <x v="0"/>
    <x v="56"/>
    <n v="840"/>
    <n v="1.2E-2"/>
    <x v="1"/>
    <s v="Ravi"/>
    <n v="10.08"/>
    <x v="1"/>
  </r>
  <r>
    <x v="0"/>
    <x v="57"/>
    <n v="64.069999999999993"/>
    <n v="0.3"/>
    <x v="1"/>
    <s v="Ravi"/>
    <n v="19.220999999999997"/>
    <x v="1"/>
  </r>
  <r>
    <x v="0"/>
    <x v="58"/>
    <n v="15"/>
    <n v="0.95"/>
    <x v="1"/>
    <s v="Ravi"/>
    <n v="14.25"/>
    <x v="0"/>
  </r>
  <r>
    <x v="0"/>
    <x v="59"/>
    <n v="57.5"/>
    <n v="0.01"/>
    <x v="1"/>
    <s v="Ravi"/>
    <n v="0.57500000000000007"/>
    <x v="1"/>
  </r>
  <r>
    <x v="0"/>
    <x v="60"/>
    <n v="500"/>
    <n v="0.05"/>
    <x v="1"/>
    <s v="Ravi"/>
    <n v="25"/>
    <x v="1"/>
  </r>
  <r>
    <x v="0"/>
    <x v="30"/>
    <n v="27.97"/>
    <n v="0.72499999999999998"/>
    <x v="1"/>
    <s v="Ravi"/>
    <n v="20.27825"/>
    <x v="0"/>
  </r>
  <r>
    <x v="0"/>
    <x v="61"/>
    <n v="61.08"/>
    <n v="0.15"/>
    <x v="1"/>
    <s v="Ravi"/>
    <n v="9.161999999999999"/>
    <x v="1"/>
  </r>
  <r>
    <x v="0"/>
    <x v="62"/>
    <n v="312.14"/>
    <n v="0.04"/>
    <x v="1"/>
    <s v="Ravi"/>
    <n v="12.4856"/>
    <x v="0"/>
  </r>
  <r>
    <x v="0"/>
    <x v="13"/>
    <n v="40"/>
    <n v="0.03"/>
    <x v="1"/>
    <s v="Ravi"/>
    <n v="1.2"/>
    <x v="0"/>
  </r>
  <r>
    <x v="0"/>
    <x v="14"/>
    <n v="25"/>
    <n v="0.1"/>
    <x v="1"/>
    <s v="Ravi"/>
    <n v="2.5"/>
    <x v="0"/>
  </r>
  <r>
    <x v="0"/>
    <x v="35"/>
    <n v="125"/>
    <n v="0.17"/>
    <x v="1"/>
    <s v="Ravi"/>
    <n v="21.25"/>
    <x v="0"/>
  </r>
  <r>
    <x v="0"/>
    <x v="63"/>
    <n v="3"/>
    <n v="2"/>
    <x v="2"/>
    <s v="Ravi"/>
    <n v="6"/>
    <x v="0"/>
  </r>
  <r>
    <x v="0"/>
    <x v="0"/>
    <n v="14"/>
    <n v="0.70000000000000007"/>
    <x v="2"/>
    <s v="Ravi"/>
    <n v="9.8000000000000007"/>
    <x v="0"/>
  </r>
  <r>
    <x v="0"/>
    <x v="30"/>
    <n v="27.97"/>
    <n v="0.185"/>
    <x v="2"/>
    <s v="Ravi"/>
    <n v="5.1744499999999993"/>
    <x v="0"/>
  </r>
  <r>
    <x v="0"/>
    <x v="14"/>
    <n v="25"/>
    <n v="0.1"/>
    <x v="2"/>
    <s v="Ravi"/>
    <n v="2.5"/>
    <x v="0"/>
  </r>
  <r>
    <x v="0"/>
    <x v="9"/>
    <n v="14.75"/>
    <n v="0.3"/>
    <x v="2"/>
    <s v="Ravi"/>
    <n v="4.4249999999999998"/>
    <x v="0"/>
  </r>
  <r>
    <x v="0"/>
    <x v="3"/>
    <n v="17"/>
    <n v="0.17"/>
    <x v="2"/>
    <s v="Ravi"/>
    <n v="2.89"/>
    <x v="1"/>
  </r>
  <r>
    <x v="0"/>
    <x v="64"/>
    <n v="78.95"/>
    <n v="19"/>
    <x v="3"/>
    <s v="Common"/>
    <n v="1500.05"/>
    <x v="7"/>
  </r>
  <r>
    <x v="1"/>
    <x v="64"/>
    <n v="78.95"/>
    <n v="19"/>
    <x v="3"/>
    <s v="Common"/>
    <n v="1500.05"/>
    <x v="7"/>
  </r>
  <r>
    <x v="1"/>
    <x v="6"/>
    <n v="26"/>
    <n v="14.5"/>
    <x v="0"/>
    <s v="Murthy"/>
    <n v="377"/>
    <x v="2"/>
  </r>
  <r>
    <x v="1"/>
    <x v="0"/>
    <n v="14"/>
    <n v="7"/>
    <x v="0"/>
    <s v="Murthy"/>
    <n v="98"/>
    <x v="0"/>
  </r>
  <r>
    <x v="1"/>
    <x v="1"/>
    <n v="30"/>
    <n v="1"/>
    <x v="0"/>
    <s v="Murthy"/>
    <n v="30"/>
    <x v="0"/>
  </r>
  <r>
    <x v="1"/>
    <x v="2"/>
    <n v="30"/>
    <n v="0.75"/>
    <x v="0"/>
    <s v="Murthy"/>
    <n v="22.5"/>
    <x v="0"/>
  </r>
  <r>
    <x v="1"/>
    <x v="14"/>
    <n v="25"/>
    <n v="0.9"/>
    <x v="0"/>
    <s v="Murthy"/>
    <n v="22.5"/>
    <x v="0"/>
  </r>
  <r>
    <x v="1"/>
    <x v="35"/>
    <n v="125"/>
    <n v="0.14000000000000001"/>
    <x v="0"/>
    <s v="Murthy"/>
    <n v="17.5"/>
    <x v="0"/>
  </r>
  <r>
    <x v="1"/>
    <x v="65"/>
    <n v="390"/>
    <n v="0.5"/>
    <x v="4"/>
    <s v="Vicky"/>
    <n v="195"/>
    <x v="8"/>
  </r>
  <r>
    <x v="1"/>
    <x v="32"/>
    <n v="32"/>
    <n v="5"/>
    <x v="0"/>
    <s v="Murthy"/>
    <n v="160"/>
    <x v="0"/>
  </r>
  <r>
    <x v="1"/>
    <x v="12"/>
    <n v="28"/>
    <n v="1"/>
    <x v="0"/>
    <s v="Murthy"/>
    <n v="28"/>
    <x v="0"/>
  </r>
  <r>
    <x v="1"/>
    <x v="30"/>
    <n v="27.97"/>
    <n v="1.345"/>
    <x v="0"/>
    <s v="Murthy"/>
    <n v="37.61965"/>
    <x v="0"/>
  </r>
  <r>
    <x v="1"/>
    <x v="29"/>
    <n v="43.06"/>
    <n v="0.56000000000000005"/>
    <x v="0"/>
    <s v="Murthy"/>
    <n v="24.113600000000005"/>
    <x v="0"/>
  </r>
  <r>
    <x v="1"/>
    <x v="66"/>
    <n v="3"/>
    <n v="1.3"/>
    <x v="0"/>
    <s v="Murthy"/>
    <n v="3.9000000000000004"/>
    <x v="0"/>
  </r>
  <r>
    <x v="1"/>
    <x v="9"/>
    <n v="14.75"/>
    <n v="7.2"/>
    <x v="0"/>
    <s v="Murthy"/>
    <n v="106.2"/>
    <x v="0"/>
  </r>
  <r>
    <x v="1"/>
    <x v="11"/>
    <n v="82"/>
    <n v="4"/>
    <x v="0"/>
    <s v="Murthy"/>
    <n v="328"/>
    <x v="3"/>
  </r>
  <r>
    <x v="1"/>
    <x v="8"/>
    <n v="29.51"/>
    <m/>
    <x v="0"/>
    <s v="Murthy"/>
    <n v="0"/>
    <x v="1"/>
  </r>
  <r>
    <x v="1"/>
    <x v="33"/>
    <n v="175"/>
    <n v="2"/>
    <x v="0"/>
    <s v="Murthy"/>
    <n v="350"/>
    <x v="4"/>
  </r>
  <r>
    <x v="1"/>
    <x v="63"/>
    <n v="3"/>
    <n v="3"/>
    <x v="0"/>
    <s v="Murthy"/>
    <n v="9"/>
    <x v="0"/>
  </r>
  <r>
    <x v="1"/>
    <x v="59"/>
    <n v="57.5"/>
    <n v="0.1"/>
    <x v="0"/>
    <s v="Murthy"/>
    <n v="5.75"/>
    <x v="1"/>
  </r>
  <r>
    <x v="1"/>
    <x v="17"/>
    <n v="140"/>
    <n v="0.5"/>
    <x v="0"/>
    <s v="Murthy"/>
    <n v="70"/>
    <x v="4"/>
  </r>
  <r>
    <x v="1"/>
    <x v="16"/>
    <n v="60"/>
    <n v="0.5"/>
    <x v="0"/>
    <s v="Murthy"/>
    <n v="30"/>
    <x v="0"/>
  </r>
  <r>
    <x v="1"/>
    <x v="67"/>
    <n v="33"/>
    <n v="0.4"/>
    <x v="0"/>
    <s v="Murthy"/>
    <n v="13.200000000000001"/>
    <x v="9"/>
  </r>
  <r>
    <x v="1"/>
    <x v="38"/>
    <n v="27"/>
    <n v="2.2000000000000002"/>
    <x v="0"/>
    <s v="Murthy"/>
    <n v="59.400000000000006"/>
    <x v="1"/>
  </r>
  <r>
    <x v="1"/>
    <x v="40"/>
    <n v="450"/>
    <n v="0.03"/>
    <x v="0"/>
    <s v="Murthy"/>
    <n v="13.5"/>
    <x v="1"/>
  </r>
  <r>
    <x v="1"/>
    <x v="68"/>
    <n v="75"/>
    <n v="1.1000000000000001"/>
    <x v="0"/>
    <s v="Murthy"/>
    <n v="82.5"/>
    <x v="1"/>
  </r>
  <r>
    <x v="1"/>
    <x v="69"/>
    <n v="33"/>
    <n v="0.81499999999999995"/>
    <x v="0"/>
    <s v="Murthy"/>
    <n v="26.895"/>
    <x v="6"/>
  </r>
  <r>
    <x v="1"/>
    <x v="11"/>
    <n v="82"/>
    <n v="3"/>
    <x v="0"/>
    <s v="Murthy"/>
    <n v="246"/>
    <x v="3"/>
  </r>
  <r>
    <x v="1"/>
    <x v="70"/>
    <n v="280"/>
    <n v="0.03"/>
    <x v="0"/>
    <s v="Murthy"/>
    <n v="8.4"/>
    <x v="1"/>
  </r>
  <r>
    <x v="1"/>
    <x v="0"/>
    <n v="14"/>
    <n v="1"/>
    <x v="0"/>
    <s v="Murthy"/>
    <n v="14"/>
    <x v="0"/>
  </r>
  <r>
    <x v="1"/>
    <x v="32"/>
    <n v="32"/>
    <n v="2"/>
    <x v="0"/>
    <s v="Murthy"/>
    <n v="64"/>
    <x v="0"/>
  </r>
  <r>
    <x v="1"/>
    <x v="1"/>
    <n v="30"/>
    <n v="0.5"/>
    <x v="0"/>
    <s v="Murthy"/>
    <n v="15"/>
    <x v="0"/>
  </r>
  <r>
    <x v="1"/>
    <x v="6"/>
    <n v="26"/>
    <n v="5.4"/>
    <x v="0"/>
    <s v="Murthy"/>
    <n v="140.4"/>
    <x v="2"/>
  </r>
  <r>
    <x v="1"/>
    <x v="0"/>
    <n v="14"/>
    <n v="0.5"/>
    <x v="0"/>
    <s v="Murthy"/>
    <n v="7"/>
    <x v="0"/>
  </r>
  <r>
    <x v="1"/>
    <x v="1"/>
    <n v="30"/>
    <n v="0.5"/>
    <x v="0"/>
    <s v="Murthy"/>
    <n v="15"/>
    <x v="0"/>
  </r>
  <r>
    <x v="1"/>
    <x v="3"/>
    <n v="17"/>
    <n v="1"/>
    <x v="0"/>
    <s v="Murthy"/>
    <n v="17"/>
    <x v="1"/>
  </r>
  <r>
    <x v="1"/>
    <x v="19"/>
    <n v="23.33"/>
    <n v="1.5"/>
    <x v="0"/>
    <s v="Murthy"/>
    <n v="34.994999999999997"/>
    <x v="0"/>
  </r>
  <r>
    <x v="1"/>
    <x v="10"/>
    <n v="45"/>
    <n v="1"/>
    <x v="0"/>
    <s v="Murthy"/>
    <n v="45"/>
    <x v="1"/>
  </r>
  <r>
    <x v="1"/>
    <x v="2"/>
    <n v="30"/>
    <n v="0.1"/>
    <x v="0"/>
    <s v="Murthy"/>
    <n v="3"/>
    <x v="0"/>
  </r>
  <r>
    <x v="1"/>
    <x v="14"/>
    <n v="25"/>
    <n v="0.25"/>
    <x v="0"/>
    <s v="Murthy"/>
    <n v="6.25"/>
    <x v="0"/>
  </r>
  <r>
    <x v="1"/>
    <x v="63"/>
    <n v="3"/>
    <n v="2"/>
    <x v="0"/>
    <s v="Murthy"/>
    <n v="6"/>
    <x v="0"/>
  </r>
  <r>
    <x v="1"/>
    <x v="17"/>
    <n v="140"/>
    <n v="0.5"/>
    <x v="0"/>
    <s v="Murthy"/>
    <n v="70"/>
    <x v="4"/>
  </r>
  <r>
    <x v="1"/>
    <x v="16"/>
    <n v="60"/>
    <n v="0.5"/>
    <x v="0"/>
    <s v="Murthy"/>
    <n v="30"/>
    <x v="0"/>
  </r>
  <r>
    <x v="1"/>
    <x v="32"/>
    <n v="32"/>
    <n v="1"/>
    <x v="0"/>
    <s v="Murthy"/>
    <n v="32"/>
    <x v="0"/>
  </r>
  <r>
    <x v="1"/>
    <x v="42"/>
    <n v="42"/>
    <n v="1.5089999999999999"/>
    <x v="1"/>
    <s v="Ravi"/>
    <n v="63.377999999999993"/>
    <x v="4"/>
  </r>
  <r>
    <x v="1"/>
    <x v="44"/>
    <n v="52"/>
    <n v="5.9"/>
    <x v="1"/>
    <s v="Ravi"/>
    <n v="306.8"/>
    <x v="1"/>
  </r>
  <r>
    <x v="1"/>
    <x v="43"/>
    <n v="28"/>
    <n v="2"/>
    <x v="1"/>
    <s v="Ravi"/>
    <n v="56"/>
    <x v="0"/>
  </r>
  <r>
    <x v="1"/>
    <x v="45"/>
    <n v="37"/>
    <n v="0.6"/>
    <x v="1"/>
    <s v="Ravi"/>
    <n v="22.2"/>
    <x v="1"/>
  </r>
  <r>
    <x v="1"/>
    <x v="47"/>
    <n v="280"/>
    <n v="6.5000000000000002E-2"/>
    <x v="1"/>
    <s v="Ravi"/>
    <n v="18.2"/>
    <x v="1"/>
  </r>
  <r>
    <x v="1"/>
    <x v="31"/>
    <n v="120"/>
    <n v="5.5E-2"/>
    <x v="1"/>
    <s v="Ravi"/>
    <n v="6.6"/>
    <x v="1"/>
  </r>
  <r>
    <x v="1"/>
    <x v="3"/>
    <n v="17"/>
    <m/>
    <x v="1"/>
    <s v="Ravi"/>
    <n v="0"/>
    <x v="1"/>
  </r>
  <r>
    <x v="1"/>
    <x v="48"/>
    <n v="7"/>
    <n v="0.43"/>
    <x v="1"/>
    <s v="Ravi"/>
    <n v="3.01"/>
    <x v="1"/>
  </r>
  <r>
    <x v="1"/>
    <x v="71"/>
    <n v="187.41"/>
    <n v="0.03"/>
    <x v="1"/>
    <s v="Ravi"/>
    <n v="5.6223000000000001"/>
    <x v="1"/>
  </r>
  <r>
    <x v="1"/>
    <x v="49"/>
    <n v="96"/>
    <n v="0.35499999999999998"/>
    <x v="1"/>
    <s v="Ravi"/>
    <n v="34.08"/>
    <x v="3"/>
  </r>
  <r>
    <x v="1"/>
    <x v="11"/>
    <n v="82"/>
    <n v="1"/>
    <x v="1"/>
    <s v="Ravi"/>
    <n v="82"/>
    <x v="3"/>
  </r>
  <r>
    <x v="1"/>
    <x v="20"/>
    <n v="230"/>
    <n v="0.02"/>
    <x v="1"/>
    <s v="Ravi"/>
    <n v="4.6000000000000005"/>
    <x v="1"/>
  </r>
  <r>
    <x v="1"/>
    <x v="0"/>
    <n v="14"/>
    <n v="2.0350000000000001"/>
    <x v="1"/>
    <s v="Ravi"/>
    <n v="28.490000000000002"/>
    <x v="0"/>
  </r>
  <r>
    <x v="1"/>
    <x v="12"/>
    <n v="28"/>
    <n v="0.2"/>
    <x v="1"/>
    <s v="Ravi"/>
    <n v="5.6000000000000005"/>
    <x v="0"/>
  </r>
  <r>
    <x v="1"/>
    <x v="2"/>
    <n v="30"/>
    <n v="0.12"/>
    <x v="1"/>
    <s v="Ravi"/>
    <n v="3.5999999999999996"/>
    <x v="0"/>
  </r>
  <r>
    <x v="1"/>
    <x v="37"/>
    <n v="138"/>
    <n v="0.02"/>
    <x v="1"/>
    <s v="Ravi"/>
    <n v="2.7600000000000002"/>
    <x v="1"/>
  </r>
  <r>
    <x v="1"/>
    <x v="52"/>
    <n v="160"/>
    <n v="0.1"/>
    <x v="1"/>
    <s v="Ravi"/>
    <n v="16"/>
    <x v="1"/>
  </r>
  <r>
    <x v="1"/>
    <x v="53"/>
    <n v="62.03"/>
    <n v="8.5000000000000006E-2"/>
    <x v="1"/>
    <s v="Ravi"/>
    <n v="5.2725500000000007"/>
    <x v="1"/>
  </r>
  <r>
    <x v="1"/>
    <x v="56"/>
    <n v="840"/>
    <n v="1.2999999999999999E-2"/>
    <x v="1"/>
    <s v="Ravi"/>
    <n v="10.92"/>
    <x v="1"/>
  </r>
  <r>
    <x v="1"/>
    <x v="55"/>
    <n v="240"/>
    <n v="1.2E-2"/>
    <x v="1"/>
    <s v="Ravi"/>
    <n v="2.88"/>
    <x v="1"/>
  </r>
  <r>
    <x v="1"/>
    <x v="57"/>
    <n v="64.069999999999993"/>
    <n v="0.35"/>
    <x v="1"/>
    <s v="Ravi"/>
    <n v="22.424499999999995"/>
    <x v="1"/>
  </r>
  <r>
    <x v="1"/>
    <x v="9"/>
    <n v="14.75"/>
    <n v="1.1000000000000001"/>
    <x v="1"/>
    <s v="Ravi"/>
    <n v="16.225000000000001"/>
    <x v="0"/>
  </r>
  <r>
    <x v="1"/>
    <x v="59"/>
    <n v="57.5"/>
    <n v="3.5000000000000003E-2"/>
    <x v="1"/>
    <s v="Ravi"/>
    <n v="2.0125000000000002"/>
    <x v="1"/>
  </r>
  <r>
    <x v="1"/>
    <x v="62"/>
    <n v="312.14"/>
    <n v="0.06"/>
    <x v="1"/>
    <s v="Ravi"/>
    <n v="18.728399999999997"/>
    <x v="0"/>
  </r>
  <r>
    <x v="1"/>
    <x v="14"/>
    <n v="25"/>
    <n v="0.1"/>
    <x v="1"/>
    <s v="Ravi"/>
    <n v="2.5"/>
    <x v="0"/>
  </r>
  <r>
    <x v="1"/>
    <x v="35"/>
    <n v="125"/>
    <n v="0.44"/>
    <x v="1"/>
    <s v="Ravi"/>
    <n v="55"/>
    <x v="0"/>
  </r>
  <r>
    <x v="1"/>
    <x v="13"/>
    <n v="40"/>
    <n v="4.4999999999999998E-2"/>
    <x v="1"/>
    <s v="Ravi"/>
    <n v="1.7999999999999998"/>
    <x v="0"/>
  </r>
  <r>
    <x v="1"/>
    <x v="46"/>
    <n v="35"/>
    <n v="1"/>
    <x v="1"/>
    <s v="Ravi"/>
    <n v="35"/>
    <x v="0"/>
  </r>
  <r>
    <x v="1"/>
    <x v="72"/>
    <n v="34"/>
    <n v="0.3"/>
    <x v="1"/>
    <s v="Ravi"/>
    <n v="10.199999999999999"/>
    <x v="1"/>
  </r>
  <r>
    <x v="1"/>
    <x v="30"/>
    <n v="27.97"/>
    <n v="0.38"/>
    <x v="1"/>
    <s v="Ravi"/>
    <n v="10.6286"/>
    <x v="0"/>
  </r>
  <r>
    <x v="1"/>
    <x v="29"/>
    <n v="43.06"/>
    <n v="0.33"/>
    <x v="1"/>
    <s v="Ravi"/>
    <n v="14.209800000000001"/>
    <x v="0"/>
  </r>
  <r>
    <x v="1"/>
    <x v="73"/>
    <n v="340"/>
    <n v="0.02"/>
    <x v="1"/>
    <s v="Ravi"/>
    <n v="6.8"/>
    <x v="1"/>
  </r>
  <r>
    <x v="1"/>
    <x v="60"/>
    <n v="500"/>
    <n v="0.05"/>
    <x v="1"/>
    <s v="Ravi"/>
    <n v="25"/>
    <x v="1"/>
  </r>
  <r>
    <x v="1"/>
    <x v="74"/>
    <n v="76"/>
    <n v="0.27"/>
    <x v="1"/>
    <s v="Ravi"/>
    <n v="20.520000000000003"/>
    <x v="1"/>
  </r>
  <r>
    <x v="1"/>
    <x v="75"/>
    <n v="108"/>
    <n v="9.5000000000000001E-2"/>
    <x v="1"/>
    <s v="Ravi"/>
    <n v="10.26"/>
    <x v="1"/>
  </r>
  <r>
    <x v="1"/>
    <x v="76"/>
    <n v="34"/>
    <n v="0.7"/>
    <x v="1"/>
    <s v="Ravi"/>
    <n v="23.799999999999997"/>
    <x v="1"/>
  </r>
  <r>
    <x v="1"/>
    <x v="77"/>
    <n v="30"/>
    <n v="0.4"/>
    <x v="1"/>
    <s v="Ravi"/>
    <n v="12"/>
    <x v="10"/>
  </r>
  <r>
    <x v="1"/>
    <x v="78"/>
    <n v="40"/>
    <n v="0.3"/>
    <x v="1"/>
    <s v="Ravi"/>
    <n v="12"/>
    <x v="11"/>
  </r>
  <r>
    <x v="1"/>
    <x v="41"/>
    <n v="36"/>
    <n v="0.501"/>
    <x v="5"/>
    <s v="Ravi"/>
    <n v="18.036000000000001"/>
    <x v="4"/>
  </r>
  <r>
    <x v="1"/>
    <x v="79"/>
    <n v="20"/>
    <n v="4.7"/>
    <x v="5"/>
    <s v="Ravi"/>
    <n v="94"/>
    <x v="10"/>
  </r>
  <r>
    <x v="1"/>
    <x v="77"/>
    <n v="30"/>
    <n v="0.62"/>
    <x v="5"/>
    <s v="Ravi"/>
    <n v="18.600000000000001"/>
    <x v="10"/>
  </r>
  <r>
    <x v="1"/>
    <x v="80"/>
    <n v="50"/>
    <n v="2"/>
    <x v="5"/>
    <s v="Ravi"/>
    <n v="100"/>
    <x v="10"/>
  </r>
  <r>
    <x v="1"/>
    <x v="81"/>
    <n v="50"/>
    <n v="3.6"/>
    <x v="5"/>
    <s v="Ravi"/>
    <n v="180"/>
    <x v="10"/>
  </r>
  <r>
    <x v="1"/>
    <x v="35"/>
    <n v="125"/>
    <n v="0.1"/>
    <x v="2"/>
    <s v="Ravi"/>
    <n v="12.5"/>
    <x v="0"/>
  </r>
  <r>
    <x v="1"/>
    <x v="14"/>
    <n v="25"/>
    <n v="0.315"/>
    <x v="2"/>
    <s v="Ravi"/>
    <n v="7.875"/>
    <x v="0"/>
  </r>
  <r>
    <x v="1"/>
    <x v="2"/>
    <n v="30"/>
    <n v="0.35"/>
    <x v="2"/>
    <s v="Ravi"/>
    <n v="10.5"/>
    <x v="0"/>
  </r>
  <r>
    <x v="1"/>
    <x v="13"/>
    <n v="40"/>
    <n v="0.05"/>
    <x v="2"/>
    <s v="Ravi"/>
    <n v="2"/>
    <x v="0"/>
  </r>
  <r>
    <x v="1"/>
    <x v="48"/>
    <n v="7"/>
    <n v="0.04"/>
    <x v="2"/>
    <s v="Ravi"/>
    <n v="0.28000000000000003"/>
    <x v="1"/>
  </r>
  <r>
    <x v="1"/>
    <x v="71"/>
    <n v="187.41"/>
    <n v="0.1"/>
    <x v="2"/>
    <s v="Ravi"/>
    <n v="18.741"/>
    <x v="1"/>
  </r>
  <r>
    <x v="1"/>
    <x v="20"/>
    <n v="230"/>
    <n v="0.01"/>
    <x v="2"/>
    <s v="Ravi"/>
    <n v="2.3000000000000003"/>
    <x v="1"/>
  </r>
  <r>
    <x v="1"/>
    <x v="82"/>
    <n v="580"/>
    <n v="1.4999999999999999E-2"/>
    <x v="2"/>
    <s v="Ravi"/>
    <n v="8.6999999999999993"/>
    <x v="1"/>
  </r>
  <r>
    <x v="1"/>
    <x v="83"/>
    <n v="48"/>
    <n v="0.4"/>
    <x v="2"/>
    <s v="Ravi"/>
    <n v="19.200000000000003"/>
    <x v="1"/>
  </r>
  <r>
    <x v="1"/>
    <x v="63"/>
    <n v="3"/>
    <n v="20"/>
    <x v="5"/>
    <s v="Ravi"/>
    <n v="60"/>
    <x v="0"/>
  </r>
  <r>
    <x v="1"/>
    <x v="0"/>
    <n v="14"/>
    <n v="0.5"/>
    <x v="2"/>
    <s v="Ravi"/>
    <n v="7"/>
    <x v="0"/>
  </r>
  <r>
    <x v="1"/>
    <x v="9"/>
    <n v="14.75"/>
    <n v="0.37"/>
    <x v="2"/>
    <s v="Ravi"/>
    <n v="5.4574999999999996"/>
    <x v="0"/>
  </r>
  <r>
    <x v="1"/>
    <x v="30"/>
    <n v="27.97"/>
    <n v="0.25"/>
    <x v="2"/>
    <s v="Ravi"/>
    <n v="6.9924999999999997"/>
    <x v="0"/>
  </r>
  <r>
    <x v="1"/>
    <x v="42"/>
    <n v="42"/>
    <n v="0.501"/>
    <x v="2"/>
    <s v="Ravi"/>
    <n v="21.042000000000002"/>
    <x v="4"/>
  </r>
  <r>
    <x v="2"/>
    <x v="0"/>
    <n v="14"/>
    <n v="3"/>
    <x v="0"/>
    <s v="Murthy"/>
    <n v="42"/>
    <x v="0"/>
  </r>
  <r>
    <x v="2"/>
    <x v="1"/>
    <n v="30"/>
    <n v="1"/>
    <x v="0"/>
    <s v="Murthy"/>
    <n v="30"/>
    <x v="0"/>
  </r>
  <r>
    <x v="2"/>
    <x v="2"/>
    <n v="30"/>
    <n v="0.5"/>
    <x v="0"/>
    <s v="Murthy"/>
    <n v="15"/>
    <x v="0"/>
  </r>
  <r>
    <x v="2"/>
    <x v="22"/>
    <n v="62"/>
    <n v="2"/>
    <x v="0"/>
    <s v="Murthy"/>
    <n v="124"/>
    <x v="1"/>
  </r>
  <r>
    <x v="2"/>
    <x v="9"/>
    <n v="14.75"/>
    <n v="0.5"/>
    <x v="0"/>
    <s v="Murthy"/>
    <n v="7.375"/>
    <x v="0"/>
  </r>
  <r>
    <x v="2"/>
    <x v="11"/>
    <n v="82"/>
    <n v="3"/>
    <x v="0"/>
    <s v="Murthy"/>
    <n v="246"/>
    <x v="3"/>
  </r>
  <r>
    <x v="2"/>
    <x v="66"/>
    <n v="3"/>
    <n v="1.1000000000000001"/>
    <x v="0"/>
    <s v="Murthy"/>
    <n v="3.3000000000000003"/>
    <x v="0"/>
  </r>
  <r>
    <x v="2"/>
    <x v="7"/>
    <n v="38"/>
    <n v="1.7"/>
    <x v="0"/>
    <s v="Murthy"/>
    <n v="64.599999999999994"/>
    <x v="0"/>
  </r>
  <r>
    <x v="2"/>
    <x v="33"/>
    <n v="175"/>
    <n v="1"/>
    <x v="0"/>
    <s v="Murthy"/>
    <n v="175"/>
    <x v="4"/>
  </r>
  <r>
    <x v="2"/>
    <x v="45"/>
    <n v="37"/>
    <n v="0.6"/>
    <x v="0"/>
    <s v="Murthy"/>
    <n v="22.2"/>
    <x v="1"/>
  </r>
  <r>
    <x v="2"/>
    <x v="12"/>
    <n v="28"/>
    <n v="0.5"/>
    <x v="0"/>
    <s v="Murthy"/>
    <n v="14"/>
    <x v="0"/>
  </r>
  <r>
    <x v="2"/>
    <x v="13"/>
    <n v="40"/>
    <n v="0.1"/>
    <x v="0"/>
    <s v="Murthy"/>
    <n v="4"/>
    <x v="0"/>
  </r>
  <r>
    <x v="2"/>
    <x v="49"/>
    <n v="96"/>
    <n v="1"/>
    <x v="0"/>
    <s v="Murthy"/>
    <n v="96"/>
    <x v="3"/>
  </r>
  <r>
    <x v="2"/>
    <x v="29"/>
    <n v="43.06"/>
    <n v="0.3"/>
    <x v="0"/>
    <s v="Murthy"/>
    <n v="12.918000000000001"/>
    <x v="0"/>
  </r>
  <r>
    <x v="2"/>
    <x v="38"/>
    <n v="27"/>
    <n v="2"/>
    <x v="0"/>
    <s v="Murthy"/>
    <n v="54"/>
    <x v="1"/>
  </r>
  <r>
    <x v="2"/>
    <x v="8"/>
    <n v="29.51"/>
    <n v="2"/>
    <x v="0"/>
    <s v="Murthy"/>
    <n v="59.02"/>
    <x v="1"/>
  </r>
  <r>
    <x v="2"/>
    <x v="4"/>
    <n v="180"/>
    <n v="1"/>
    <x v="0"/>
    <s v="Murthy"/>
    <n v="180"/>
    <x v="1"/>
  </r>
  <r>
    <x v="2"/>
    <x v="84"/>
    <n v="148"/>
    <n v="1"/>
    <x v="0"/>
    <s v="Murthy"/>
    <n v="148"/>
    <x v="1"/>
  </r>
  <r>
    <x v="2"/>
    <x v="34"/>
    <n v="51"/>
    <n v="0.1"/>
    <x v="0"/>
    <s v="Murthy"/>
    <n v="5.1000000000000005"/>
    <x v="1"/>
  </r>
  <r>
    <x v="2"/>
    <x v="18"/>
    <n v="40"/>
    <n v="1"/>
    <x v="0"/>
    <s v="Murthy"/>
    <n v="40"/>
    <x v="1"/>
  </r>
  <r>
    <x v="2"/>
    <x v="23"/>
    <n v="220"/>
    <n v="5.0000000000000001E-3"/>
    <x v="0"/>
    <s v="Murthy"/>
    <n v="1.1000000000000001"/>
    <x v="5"/>
  </r>
  <r>
    <x v="2"/>
    <x v="24"/>
    <n v="740"/>
    <n v="5.0000000000000001E-3"/>
    <x v="0"/>
    <s v="Murthy"/>
    <n v="3.7"/>
    <x v="5"/>
  </r>
  <r>
    <x v="2"/>
    <x v="25"/>
    <n v="1450"/>
    <n v="5.0000000000000001E-3"/>
    <x v="0"/>
    <s v="Murthy"/>
    <n v="7.25"/>
    <x v="5"/>
  </r>
  <r>
    <x v="2"/>
    <x v="26"/>
    <n v="750"/>
    <n v="0.1"/>
    <x v="0"/>
    <s v="Murthy"/>
    <n v="75"/>
    <x v="5"/>
  </r>
  <r>
    <x v="2"/>
    <x v="27"/>
    <n v="1480"/>
    <n v="5.0000000000000001E-3"/>
    <x v="0"/>
    <s v="Murthy"/>
    <n v="7.4"/>
    <x v="5"/>
  </r>
  <r>
    <x v="2"/>
    <x v="39"/>
    <n v="75"/>
    <n v="1.2"/>
    <x v="0"/>
    <s v="Murthy"/>
    <n v="90"/>
    <x v="6"/>
  </r>
  <r>
    <x v="2"/>
    <x v="78"/>
    <n v="40"/>
    <n v="0.2"/>
    <x v="1"/>
    <s v="Ravi"/>
    <n v="8"/>
    <x v="11"/>
  </r>
  <r>
    <x v="2"/>
    <x v="32"/>
    <n v="32"/>
    <n v="1"/>
    <x v="0"/>
    <s v="Murthy"/>
    <n v="32"/>
    <x v="0"/>
  </r>
  <r>
    <x v="2"/>
    <x v="17"/>
    <n v="140"/>
    <n v="0.25"/>
    <x v="0"/>
    <s v="Murthy"/>
    <n v="35"/>
    <x v="4"/>
  </r>
  <r>
    <x v="2"/>
    <x v="16"/>
    <n v="60"/>
    <n v="0.5"/>
    <x v="0"/>
    <s v="Murthy"/>
    <n v="30"/>
    <x v="0"/>
  </r>
  <r>
    <x v="2"/>
    <x v="85"/>
    <n v="24"/>
    <n v="0.86"/>
    <x v="0"/>
    <s v="Murthy"/>
    <n v="20.64"/>
    <x v="1"/>
  </r>
  <r>
    <x v="2"/>
    <x v="28"/>
    <n v="64"/>
    <n v="2.5"/>
    <x v="0"/>
    <s v="Murthy"/>
    <n v="160"/>
    <x v="1"/>
  </r>
  <r>
    <x v="2"/>
    <x v="12"/>
    <n v="28"/>
    <n v="0.1"/>
    <x v="2"/>
    <s v="Ravi"/>
    <n v="2.8000000000000003"/>
    <x v="0"/>
  </r>
  <r>
    <x v="2"/>
    <x v="13"/>
    <n v="40"/>
    <n v="0.04"/>
    <x v="2"/>
    <s v="Ravi"/>
    <n v="1.6"/>
    <x v="0"/>
  </r>
  <r>
    <x v="2"/>
    <x v="35"/>
    <n v="125"/>
    <n v="0.04"/>
    <x v="2"/>
    <s v="Ravi"/>
    <n v="5"/>
    <x v="0"/>
  </r>
  <r>
    <x v="2"/>
    <x v="14"/>
    <n v="25"/>
    <n v="0.1"/>
    <x v="2"/>
    <s v="Ravi"/>
    <n v="2.5"/>
    <x v="0"/>
  </r>
  <r>
    <x v="2"/>
    <x v="75"/>
    <n v="108"/>
    <n v="0.06"/>
    <x v="2"/>
    <s v="Ravi"/>
    <n v="6.4799999999999995"/>
    <x v="1"/>
  </r>
  <r>
    <x v="2"/>
    <x v="0"/>
    <n v="14"/>
    <n v="0.92500000000000004"/>
    <x v="2"/>
    <s v="Ravi"/>
    <n v="12.950000000000001"/>
    <x v="0"/>
  </r>
  <r>
    <x v="2"/>
    <x v="2"/>
    <n v="30"/>
    <n v="0.13"/>
    <x v="2"/>
    <s v="Ravi"/>
    <n v="3.9000000000000004"/>
    <x v="0"/>
  </r>
  <r>
    <x v="2"/>
    <x v="86"/>
    <n v="46.4"/>
    <n v="1.4999999999999999E-2"/>
    <x v="2"/>
    <s v="Ravi"/>
    <n v="0.69599999999999995"/>
    <x v="1"/>
  </r>
  <r>
    <x v="2"/>
    <x v="87"/>
    <n v="48"/>
    <n v="0.02"/>
    <x v="2"/>
    <s v="Ravi"/>
    <n v="0.96"/>
    <x v="1"/>
  </r>
  <r>
    <x v="2"/>
    <x v="59"/>
    <n v="57.5"/>
    <n v="0.02"/>
    <x v="2"/>
    <s v="Ravi"/>
    <n v="1.1500000000000001"/>
    <x v="1"/>
  </r>
  <r>
    <x v="2"/>
    <x v="40"/>
    <n v="450"/>
    <n v="5.0000000000000001E-3"/>
    <x v="2"/>
    <s v="Ravi"/>
    <n v="2.25"/>
    <x v="1"/>
  </r>
  <r>
    <x v="2"/>
    <x v="48"/>
    <n v="7"/>
    <n v="0.45"/>
    <x v="2"/>
    <s v="Ravi"/>
    <n v="3.15"/>
    <x v="1"/>
  </r>
  <r>
    <x v="2"/>
    <x v="9"/>
    <n v="14.75"/>
    <n v="0.4"/>
    <x v="2"/>
    <s v="Ravi"/>
    <n v="5.9"/>
    <x v="0"/>
  </r>
  <r>
    <x v="2"/>
    <x v="30"/>
    <n v="27.97"/>
    <n v="0.24"/>
    <x v="2"/>
    <s v="Ravi"/>
    <n v="6.7127999999999997"/>
    <x v="0"/>
  </r>
  <r>
    <x v="2"/>
    <x v="14"/>
    <n v="25"/>
    <n v="0.06"/>
    <x v="2"/>
    <s v="Ravi"/>
    <n v="1.5"/>
    <x v="0"/>
  </r>
  <r>
    <x v="2"/>
    <x v="88"/>
    <n v="20"/>
    <n v="3"/>
    <x v="5"/>
    <s v="Ravi"/>
    <n v="60"/>
    <x v="10"/>
  </r>
  <r>
    <x v="2"/>
    <x v="79"/>
    <n v="20"/>
    <n v="2"/>
    <x v="5"/>
    <s v="Ravi"/>
    <n v="40"/>
    <x v="10"/>
  </r>
  <r>
    <x v="2"/>
    <x v="41"/>
    <n v="36"/>
    <n v="1.5"/>
    <x v="1"/>
    <s v="Ravi"/>
    <n v="54"/>
    <x v="4"/>
  </r>
  <r>
    <x v="2"/>
    <x v="42"/>
    <n v="42"/>
    <n v="1.5"/>
    <x v="1"/>
    <s v="Ravi"/>
    <n v="63"/>
    <x v="4"/>
  </r>
  <r>
    <x v="2"/>
    <x v="44"/>
    <n v="52"/>
    <n v="4.4000000000000004"/>
    <x v="1"/>
    <s v="Ravi"/>
    <n v="228.8"/>
    <x v="1"/>
  </r>
  <r>
    <x v="2"/>
    <x v="43"/>
    <n v="28"/>
    <n v="2"/>
    <x v="1"/>
    <s v="Ravi"/>
    <n v="56"/>
    <x v="0"/>
  </r>
  <r>
    <x v="2"/>
    <x v="45"/>
    <n v="37"/>
    <n v="0.3"/>
    <x v="1"/>
    <s v="Ravi"/>
    <n v="11.1"/>
    <x v="1"/>
  </r>
  <r>
    <x v="2"/>
    <x v="47"/>
    <n v="280"/>
    <n v="0.03"/>
    <x v="1"/>
    <s v="Ravi"/>
    <n v="8.4"/>
    <x v="1"/>
  </r>
  <r>
    <x v="2"/>
    <x v="31"/>
    <n v="120"/>
    <n v="0.01"/>
    <x v="1"/>
    <s v="Ravi"/>
    <n v="1.2"/>
    <x v="1"/>
  </r>
  <r>
    <x v="2"/>
    <x v="48"/>
    <n v="7"/>
    <n v="0.48"/>
    <x v="1"/>
    <s v="Ravi"/>
    <n v="3.36"/>
    <x v="1"/>
  </r>
  <r>
    <x v="2"/>
    <x v="71"/>
    <n v="187.41"/>
    <n v="0.02"/>
    <x v="1"/>
    <s v="Ravi"/>
    <n v="3.7482000000000002"/>
    <x v="1"/>
  </r>
  <r>
    <x v="2"/>
    <x v="49"/>
    <n v="96"/>
    <n v="0.09"/>
    <x v="1"/>
    <s v="Ravi"/>
    <n v="8.64"/>
    <x v="3"/>
  </r>
  <r>
    <x v="2"/>
    <x v="11"/>
    <n v="82"/>
    <n v="0.91500000000000004"/>
    <x v="1"/>
    <s v="Ravi"/>
    <n v="75.03"/>
    <x v="3"/>
  </r>
  <r>
    <x v="2"/>
    <x v="20"/>
    <n v="230"/>
    <n v="2.5000000000000001E-2"/>
    <x v="1"/>
    <s v="Ravi"/>
    <n v="5.75"/>
    <x v="1"/>
  </r>
  <r>
    <x v="2"/>
    <x v="50"/>
    <n v="70"/>
    <n v="4.4999999999999998E-2"/>
    <x v="1"/>
    <s v="Ravi"/>
    <n v="3.15"/>
    <x v="1"/>
  </r>
  <r>
    <x v="2"/>
    <x v="51"/>
    <n v="55"/>
    <n v="0.18"/>
    <x v="1"/>
    <s v="Ravi"/>
    <n v="9.9"/>
    <x v="1"/>
  </r>
  <r>
    <x v="2"/>
    <x v="25"/>
    <n v="1450"/>
    <n v="5.0000000000000001E-3"/>
    <x v="1"/>
    <s v="Ravi"/>
    <n v="7.25"/>
    <x v="5"/>
  </r>
  <r>
    <x v="2"/>
    <x v="0"/>
    <n v="14"/>
    <n v="1.74"/>
    <x v="1"/>
    <s v="Ravi"/>
    <n v="24.36"/>
    <x v="0"/>
  </r>
  <r>
    <x v="2"/>
    <x v="12"/>
    <n v="28"/>
    <n v="0.17499999999999999"/>
    <x v="1"/>
    <s v="Ravi"/>
    <n v="4.8999999999999995"/>
    <x v="0"/>
  </r>
  <r>
    <x v="2"/>
    <x v="2"/>
    <n v="30"/>
    <n v="0.15"/>
    <x v="1"/>
    <s v="Ravi"/>
    <n v="4.5"/>
    <x v="0"/>
  </r>
  <r>
    <x v="2"/>
    <x v="37"/>
    <n v="138"/>
    <n v="0.02"/>
    <x v="1"/>
    <s v="Ravi"/>
    <n v="2.7600000000000002"/>
    <x v="1"/>
  </r>
  <r>
    <x v="2"/>
    <x v="52"/>
    <n v="160"/>
    <n v="0.115"/>
    <x v="1"/>
    <s v="Ravi"/>
    <n v="18.400000000000002"/>
    <x v="1"/>
  </r>
  <r>
    <x v="2"/>
    <x v="53"/>
    <n v="62.03"/>
    <n v="7.0000000000000007E-2"/>
    <x v="1"/>
    <s v="Ravi"/>
    <n v="4.3421000000000003"/>
    <x v="1"/>
  </r>
  <r>
    <x v="2"/>
    <x v="56"/>
    <n v="840"/>
    <n v="1.2E-2"/>
    <x v="1"/>
    <s v="Ravi"/>
    <n v="10.08"/>
    <x v="1"/>
  </r>
  <r>
    <x v="2"/>
    <x v="55"/>
    <n v="240"/>
    <n v="1.2999999999999999E-2"/>
    <x v="1"/>
    <s v="Ravi"/>
    <n v="3.1199999999999997"/>
    <x v="1"/>
  </r>
  <r>
    <x v="2"/>
    <x v="57"/>
    <n v="64.069999999999993"/>
    <n v="0.35"/>
    <x v="1"/>
    <s v="Ravi"/>
    <n v="22.424499999999995"/>
    <x v="1"/>
  </r>
  <r>
    <x v="2"/>
    <x v="59"/>
    <n v="57.5"/>
    <n v="0.02"/>
    <x v="1"/>
    <s v="Ravi"/>
    <n v="1.1500000000000001"/>
    <x v="1"/>
  </r>
  <r>
    <x v="2"/>
    <x v="60"/>
    <n v="500"/>
    <n v="0.06"/>
    <x v="1"/>
    <s v="Ravi"/>
    <n v="30"/>
    <x v="1"/>
  </r>
  <r>
    <x v="2"/>
    <x v="62"/>
    <n v="312.14"/>
    <n v="0.04"/>
    <x v="1"/>
    <s v="Ravi"/>
    <n v="12.4856"/>
    <x v="0"/>
  </r>
  <r>
    <x v="2"/>
    <x v="14"/>
    <n v="25"/>
    <n v="0.05"/>
    <x v="1"/>
    <s v="Ravi"/>
    <n v="1.25"/>
    <x v="0"/>
  </r>
  <r>
    <x v="2"/>
    <x v="35"/>
    <n v="125"/>
    <n v="0.05"/>
    <x v="1"/>
    <s v="Ravi"/>
    <n v="6.25"/>
    <x v="0"/>
  </r>
  <r>
    <x v="2"/>
    <x v="13"/>
    <n v="40"/>
    <n v="0.05"/>
    <x v="1"/>
    <s v="Ravi"/>
    <n v="2"/>
    <x v="0"/>
  </r>
  <r>
    <x v="2"/>
    <x v="29"/>
    <n v="43.06"/>
    <n v="0.6"/>
    <x v="1"/>
    <s v="Ravi"/>
    <n v="25.836000000000002"/>
    <x v="0"/>
  </r>
  <r>
    <x v="2"/>
    <x v="46"/>
    <n v="35"/>
    <n v="0.64"/>
    <x v="1"/>
    <s v="Ravi"/>
    <n v="22.400000000000002"/>
    <x v="0"/>
  </r>
  <r>
    <x v="2"/>
    <x v="89"/>
    <n v="86"/>
    <n v="0.185"/>
    <x v="1"/>
    <s v="Ravi"/>
    <n v="15.91"/>
    <x v="1"/>
  </r>
  <r>
    <x v="2"/>
    <x v="54"/>
    <n v="170"/>
    <n v="0.05"/>
    <x v="1"/>
    <s v="Ravi"/>
    <n v="8.5"/>
    <x v="1"/>
  </r>
  <r>
    <x v="2"/>
    <x v="76"/>
    <n v="34"/>
    <n v="0.6"/>
    <x v="1"/>
    <s v="Ravi"/>
    <n v="20.399999999999999"/>
    <x v="1"/>
  </r>
  <r>
    <x v="2"/>
    <x v="90"/>
    <n v="120"/>
    <n v="1"/>
    <x v="5"/>
    <s v="Ravi"/>
    <n v="120"/>
    <x v="10"/>
  </r>
  <r>
    <x v="2"/>
    <x v="91"/>
    <n v="40"/>
    <n v="2"/>
    <x v="5"/>
    <s v="Ravi"/>
    <n v="80"/>
    <x v="10"/>
  </r>
  <r>
    <x v="3"/>
    <x v="6"/>
    <n v="26"/>
    <n v="13.600000000000001"/>
    <x v="0"/>
    <s v="Murthy"/>
    <n v="353.6"/>
    <x v="2"/>
  </r>
  <r>
    <x v="3"/>
    <x v="92"/>
    <n v="76"/>
    <n v="1"/>
    <x v="0"/>
    <s v="Murthy"/>
    <n v="76"/>
    <x v="1"/>
  </r>
  <r>
    <x v="3"/>
    <x v="0"/>
    <n v="14"/>
    <n v="4.25"/>
    <x v="0"/>
    <s v="Murthy"/>
    <n v="59.5"/>
    <x v="0"/>
  </r>
  <r>
    <x v="3"/>
    <x v="1"/>
    <n v="30"/>
    <n v="1"/>
    <x v="0"/>
    <s v="Murthy"/>
    <n v="30"/>
    <x v="0"/>
  </r>
  <r>
    <x v="3"/>
    <x v="45"/>
    <n v="37"/>
    <n v="0.6"/>
    <x v="0"/>
    <s v="Murthy"/>
    <n v="22.2"/>
    <x v="1"/>
  </r>
  <r>
    <x v="3"/>
    <x v="65"/>
    <n v="390"/>
    <n v="0.25"/>
    <x v="4"/>
    <s v="Vicky"/>
    <n v="97.5"/>
    <x v="8"/>
  </r>
  <r>
    <x v="3"/>
    <x v="38"/>
    <n v="27"/>
    <n v="3"/>
    <x v="0"/>
    <s v="Murthy"/>
    <n v="81"/>
    <x v="1"/>
  </r>
  <r>
    <x v="3"/>
    <x v="8"/>
    <n v="29.51"/>
    <n v="4.5"/>
    <x v="0"/>
    <s v="Murthy"/>
    <n v="132.79500000000002"/>
    <x v="1"/>
  </r>
  <r>
    <x v="3"/>
    <x v="17"/>
    <n v="140"/>
    <n v="0.5"/>
    <x v="0"/>
    <s v="Murthy"/>
    <n v="70"/>
    <x v="4"/>
  </r>
  <r>
    <x v="3"/>
    <x v="2"/>
    <n v="30"/>
    <n v="0.5"/>
    <x v="0"/>
    <s v="Murthy"/>
    <n v="15"/>
    <x v="0"/>
  </r>
  <r>
    <x v="3"/>
    <x v="14"/>
    <n v="25"/>
    <n v="0.56999999999999995"/>
    <x v="0"/>
    <s v="Murthy"/>
    <n v="14.249999999999998"/>
    <x v="0"/>
  </r>
  <r>
    <x v="3"/>
    <x v="12"/>
    <n v="28"/>
    <n v="0.5"/>
    <x v="0"/>
    <s v="Murthy"/>
    <n v="14"/>
    <x v="0"/>
  </r>
  <r>
    <x v="3"/>
    <x v="0"/>
    <n v="14"/>
    <n v="1"/>
    <x v="0"/>
    <s v="Murthy"/>
    <n v="14"/>
    <x v="0"/>
  </r>
  <r>
    <x v="3"/>
    <x v="30"/>
    <n v="27.97"/>
    <n v="1.5"/>
    <x v="0"/>
    <s v="Murthy"/>
    <n v="41.954999999999998"/>
    <x v="0"/>
  </r>
  <r>
    <x v="3"/>
    <x v="11"/>
    <n v="82"/>
    <n v="4"/>
    <x v="0"/>
    <s v="Murthy"/>
    <n v="328"/>
    <x v="3"/>
  </r>
  <r>
    <x v="3"/>
    <x v="16"/>
    <n v="60"/>
    <n v="0.5"/>
    <x v="0"/>
    <s v="Murthy"/>
    <n v="30"/>
    <x v="0"/>
  </r>
  <r>
    <x v="3"/>
    <x v="9"/>
    <n v="14.75"/>
    <n v="1.6"/>
    <x v="0"/>
    <s v="Murthy"/>
    <n v="23.6"/>
    <x v="0"/>
  </r>
  <r>
    <x v="3"/>
    <x v="47"/>
    <n v="280"/>
    <n v="0.7"/>
    <x v="0"/>
    <s v="Murthy"/>
    <n v="196"/>
    <x v="1"/>
  </r>
  <r>
    <x v="3"/>
    <x v="3"/>
    <n v="17"/>
    <n v="1"/>
    <x v="0"/>
    <s v="Murthy"/>
    <n v="17"/>
    <x v="1"/>
  </r>
  <r>
    <x v="3"/>
    <x v="35"/>
    <n v="125"/>
    <n v="0.05"/>
    <x v="0"/>
    <s v="Murthy"/>
    <n v="6.25"/>
    <x v="0"/>
  </r>
  <r>
    <x v="3"/>
    <x v="32"/>
    <n v="32"/>
    <n v="3"/>
    <x v="0"/>
    <s v="Murthy"/>
    <n v="96"/>
    <x v="0"/>
  </r>
  <r>
    <x v="3"/>
    <x v="33"/>
    <n v="175"/>
    <n v="1"/>
    <x v="0"/>
    <s v="Murthy"/>
    <n v="175"/>
    <x v="4"/>
  </r>
  <r>
    <x v="3"/>
    <x v="87"/>
    <n v="48"/>
    <n v="0.1"/>
    <x v="0"/>
    <s v="Murthy"/>
    <n v="4.8000000000000007"/>
    <x v="1"/>
  </r>
  <r>
    <x v="3"/>
    <x v="62"/>
    <n v="312.14"/>
    <n v="0.02"/>
    <x v="0"/>
    <s v="Murthy"/>
    <n v="6.2427999999999999"/>
    <x v="0"/>
  </r>
  <r>
    <x v="3"/>
    <x v="15"/>
    <n v="43.98"/>
    <n v="0.15"/>
    <x v="0"/>
    <s v="Murthy"/>
    <n v="6.5969999999999995"/>
    <x v="0"/>
  </r>
  <r>
    <x v="3"/>
    <x v="28"/>
    <n v="64"/>
    <n v="2"/>
    <x v="0"/>
    <s v="Murthy"/>
    <n v="128"/>
    <x v="1"/>
  </r>
  <r>
    <x v="3"/>
    <x v="0"/>
    <n v="14"/>
    <n v="2.5"/>
    <x v="0"/>
    <s v="Murthy"/>
    <n v="35"/>
    <x v="0"/>
  </r>
  <r>
    <x v="3"/>
    <x v="93"/>
    <n v="72"/>
    <n v="0.2"/>
    <x v="0"/>
    <s v="Murthy"/>
    <n v="14.4"/>
    <x v="1"/>
  </r>
  <r>
    <x v="3"/>
    <x v="63"/>
    <n v="3"/>
    <n v="5"/>
    <x v="0"/>
    <s v="Murthy"/>
    <n v="15"/>
    <x v="0"/>
  </r>
  <r>
    <x v="3"/>
    <x v="39"/>
    <n v="75"/>
    <n v="1.2"/>
    <x v="0"/>
    <s v="Murthy"/>
    <n v="90"/>
    <x v="6"/>
  </r>
  <r>
    <x v="3"/>
    <x v="94"/>
    <n v="20"/>
    <n v="0.5"/>
    <x v="0"/>
    <s v="Murthy"/>
    <n v="10"/>
    <x v="0"/>
  </r>
  <r>
    <x v="3"/>
    <x v="18"/>
    <n v="40"/>
    <n v="1"/>
    <x v="0"/>
    <s v="Murthy"/>
    <n v="40"/>
    <x v="1"/>
  </r>
  <r>
    <x v="3"/>
    <x v="66"/>
    <n v="3"/>
    <n v="0.9"/>
    <x v="0"/>
    <s v="Murthy"/>
    <n v="2.7"/>
    <x v="0"/>
  </r>
  <r>
    <x v="3"/>
    <x v="30"/>
    <n v="27.97"/>
    <n v="0.44"/>
    <x v="0"/>
    <s v="Murthy"/>
    <n v="12.306799999999999"/>
    <x v="0"/>
  </r>
  <r>
    <x v="3"/>
    <x v="13"/>
    <n v="40"/>
    <n v="0.14000000000000001"/>
    <x v="0"/>
    <s v="Murthy"/>
    <n v="5.6000000000000005"/>
    <x v="0"/>
  </r>
  <r>
    <x v="3"/>
    <x v="32"/>
    <n v="32"/>
    <n v="2"/>
    <x v="0"/>
    <s v="Murthy"/>
    <n v="64"/>
    <x v="0"/>
  </r>
  <r>
    <x v="3"/>
    <x v="16"/>
    <n v="60"/>
    <n v="0.2"/>
    <x v="0"/>
    <s v="Murthy"/>
    <n v="12"/>
    <x v="0"/>
  </r>
  <r>
    <x v="3"/>
    <x v="11"/>
    <n v="82"/>
    <n v="1.83"/>
    <x v="0"/>
    <s v="Murthy"/>
    <n v="150.06"/>
    <x v="3"/>
  </r>
  <r>
    <x v="3"/>
    <x v="34"/>
    <n v="51"/>
    <n v="0.1"/>
    <x v="0"/>
    <s v="Murthy"/>
    <n v="5.1000000000000005"/>
    <x v="1"/>
  </r>
  <r>
    <x v="3"/>
    <x v="40"/>
    <n v="450"/>
    <n v="0.05"/>
    <x v="0"/>
    <s v="Murthy"/>
    <n v="22.5"/>
    <x v="1"/>
  </r>
  <r>
    <x v="3"/>
    <x v="45"/>
    <n v="37"/>
    <n v="4"/>
    <x v="5"/>
    <s v="Ravi"/>
    <n v="148"/>
    <x v="1"/>
  </r>
  <r>
    <x v="3"/>
    <x v="63"/>
    <n v="3"/>
    <n v="20"/>
    <x v="5"/>
    <s v="Ravi"/>
    <n v="60"/>
    <x v="0"/>
  </r>
  <r>
    <x v="3"/>
    <x v="0"/>
    <n v="14"/>
    <n v="0.7"/>
    <x v="2"/>
    <s v="Ravi"/>
    <n v="9.7999999999999989"/>
    <x v="0"/>
  </r>
  <r>
    <x v="3"/>
    <x v="9"/>
    <n v="14.75"/>
    <n v="0.43"/>
    <x v="2"/>
    <s v="Ravi"/>
    <n v="6.3425000000000002"/>
    <x v="0"/>
  </r>
  <r>
    <x v="3"/>
    <x v="30"/>
    <n v="27.97"/>
    <n v="0.2"/>
    <x v="2"/>
    <s v="Ravi"/>
    <n v="5.5940000000000003"/>
    <x v="0"/>
  </r>
  <r>
    <x v="3"/>
    <x v="14"/>
    <n v="25"/>
    <n v="0.06"/>
    <x v="2"/>
    <s v="Ravi"/>
    <n v="1.5"/>
    <x v="0"/>
  </r>
  <r>
    <x v="3"/>
    <x v="3"/>
    <n v="17"/>
    <n v="0.3"/>
    <x v="2"/>
    <s v="Ravi"/>
    <n v="5.0999999999999996"/>
    <x v="1"/>
  </r>
  <r>
    <x v="3"/>
    <x v="87"/>
    <n v="48"/>
    <n v="0.1"/>
    <x v="2"/>
    <s v="Ravi"/>
    <n v="4.8000000000000007"/>
    <x v="1"/>
  </r>
  <r>
    <x v="3"/>
    <x v="79"/>
    <n v="20"/>
    <n v="1.88"/>
    <x v="5"/>
    <s v="Ravi"/>
    <n v="37.599999999999994"/>
    <x v="10"/>
  </r>
  <r>
    <x v="3"/>
    <x v="81"/>
    <n v="50"/>
    <n v="4"/>
    <x v="5"/>
    <s v="Ravi"/>
    <n v="200"/>
    <x v="10"/>
  </r>
  <r>
    <x v="3"/>
    <x v="0"/>
    <n v="14"/>
    <n v="1.5"/>
    <x v="1"/>
    <s v="Ravi"/>
    <n v="21"/>
    <x v="0"/>
  </r>
  <r>
    <x v="3"/>
    <x v="12"/>
    <n v="28"/>
    <n v="0.115"/>
    <x v="1"/>
    <s v="Ravi"/>
    <n v="3.22"/>
    <x v="0"/>
  </r>
  <r>
    <x v="3"/>
    <x v="13"/>
    <n v="40"/>
    <n v="0.04"/>
    <x v="1"/>
    <s v="Ravi"/>
    <n v="1.6"/>
    <x v="0"/>
  </r>
  <r>
    <x v="3"/>
    <x v="46"/>
    <n v="35"/>
    <n v="1.2"/>
    <x v="1"/>
    <s v="Ravi"/>
    <n v="42"/>
    <x v="0"/>
  </r>
  <r>
    <x v="3"/>
    <x v="57"/>
    <n v="64.069999999999993"/>
    <n v="0.35"/>
    <x v="1"/>
    <s v="Ravi"/>
    <n v="22.424499999999995"/>
    <x v="1"/>
  </r>
  <r>
    <x v="3"/>
    <x v="45"/>
    <n v="37"/>
    <n v="0.3"/>
    <x v="1"/>
    <s v="Ravi"/>
    <n v="11.1"/>
    <x v="1"/>
  </r>
  <r>
    <x v="3"/>
    <x v="61"/>
    <n v="61.08"/>
    <n v="0.22500000000000001"/>
    <x v="1"/>
    <s v="Ravi"/>
    <n v="13.743"/>
    <x v="1"/>
  </r>
  <r>
    <x v="3"/>
    <x v="11"/>
    <n v="82"/>
    <n v="0.91500000000000004"/>
    <x v="1"/>
    <s v="Ravi"/>
    <n v="75.03"/>
    <x v="3"/>
  </r>
  <r>
    <x v="3"/>
    <x v="41"/>
    <n v="36"/>
    <n v="2"/>
    <x v="1"/>
    <s v="Ravi"/>
    <n v="72"/>
    <x v="4"/>
  </r>
  <r>
    <x v="3"/>
    <x v="42"/>
    <n v="42"/>
    <n v="1.5"/>
    <x v="1"/>
    <s v="Ravi"/>
    <n v="63"/>
    <x v="4"/>
  </r>
  <r>
    <x v="3"/>
    <x v="43"/>
    <n v="28"/>
    <n v="2"/>
    <x v="1"/>
    <s v="Ravi"/>
    <n v="56"/>
    <x v="0"/>
  </r>
  <r>
    <x v="3"/>
    <x v="54"/>
    <n v="170"/>
    <n v="0.05"/>
    <x v="1"/>
    <s v="Ravi"/>
    <n v="8.5"/>
    <x v="1"/>
  </r>
  <r>
    <x v="3"/>
    <x v="9"/>
    <n v="14.75"/>
    <n v="0.9"/>
    <x v="1"/>
    <s v="Ravi"/>
    <n v="13.275"/>
    <x v="0"/>
  </r>
  <r>
    <x v="3"/>
    <x v="14"/>
    <n v="25"/>
    <n v="0.1"/>
    <x v="1"/>
    <s v="Ravi"/>
    <n v="2.5"/>
    <x v="0"/>
  </r>
  <r>
    <x v="3"/>
    <x v="62"/>
    <n v="312.14"/>
    <n v="0.4"/>
    <x v="1"/>
    <s v="Ravi"/>
    <n v="124.85599999999999"/>
    <x v="0"/>
  </r>
  <r>
    <x v="3"/>
    <x v="44"/>
    <n v="52"/>
    <n v="4"/>
    <x v="1"/>
    <s v="Ravi"/>
    <n v="208"/>
    <x v="1"/>
  </r>
  <r>
    <x v="3"/>
    <x v="47"/>
    <n v="280"/>
    <n v="0.03"/>
    <x v="1"/>
    <s v="Ravi"/>
    <n v="8.4"/>
    <x v="1"/>
  </r>
  <r>
    <x v="3"/>
    <x v="31"/>
    <n v="120"/>
    <n v="0.01"/>
    <x v="1"/>
    <s v="Ravi"/>
    <n v="1.2"/>
    <x v="1"/>
  </r>
  <r>
    <x v="3"/>
    <x v="3"/>
    <n v="17"/>
    <n v="0.02"/>
    <x v="1"/>
    <s v="Ravi"/>
    <n v="0.34"/>
    <x v="1"/>
  </r>
  <r>
    <x v="3"/>
    <x v="48"/>
    <n v="7"/>
    <n v="0.38"/>
    <x v="1"/>
    <s v="Ravi"/>
    <n v="2.66"/>
    <x v="1"/>
  </r>
  <r>
    <x v="3"/>
    <x v="49"/>
    <n v="96"/>
    <n v="0.09"/>
    <x v="1"/>
    <s v="Ravi"/>
    <n v="8.64"/>
    <x v="3"/>
  </r>
  <r>
    <x v="3"/>
    <x v="20"/>
    <n v="230"/>
    <n v="0.02"/>
    <x v="1"/>
    <s v="Ravi"/>
    <n v="4.6000000000000005"/>
    <x v="1"/>
  </r>
  <r>
    <x v="3"/>
    <x v="50"/>
    <n v="70"/>
    <n v="0.04"/>
    <x v="1"/>
    <s v="Ravi"/>
    <n v="2.8000000000000003"/>
    <x v="1"/>
  </r>
  <r>
    <x v="3"/>
    <x v="51"/>
    <n v="55"/>
    <n v="0.14000000000000001"/>
    <x v="1"/>
    <s v="Ravi"/>
    <n v="7.7000000000000011"/>
    <x v="1"/>
  </r>
  <r>
    <x v="3"/>
    <x v="25"/>
    <n v="1450"/>
    <n v="5.0000000000000001E-3"/>
    <x v="1"/>
    <s v="Ravi"/>
    <n v="7.25"/>
    <x v="5"/>
  </r>
  <r>
    <x v="3"/>
    <x v="2"/>
    <n v="30"/>
    <n v="0.12"/>
    <x v="1"/>
    <s v="Ravi"/>
    <n v="3.5999999999999996"/>
    <x v="0"/>
  </r>
  <r>
    <x v="3"/>
    <x v="37"/>
    <n v="138"/>
    <n v="0.02"/>
    <x v="1"/>
    <s v="Ravi"/>
    <n v="2.7600000000000002"/>
    <x v="1"/>
  </r>
  <r>
    <x v="3"/>
    <x v="52"/>
    <n v="160"/>
    <n v="0.1"/>
    <x v="1"/>
    <s v="Ravi"/>
    <n v="16"/>
    <x v="1"/>
  </r>
  <r>
    <x v="3"/>
    <x v="53"/>
    <n v="62.03"/>
    <n v="7.0000000000000007E-2"/>
    <x v="1"/>
    <s v="Ravi"/>
    <n v="4.3421000000000003"/>
    <x v="1"/>
  </r>
  <r>
    <x v="3"/>
    <x v="56"/>
    <n v="840"/>
    <n v="1.2E-2"/>
    <x v="1"/>
    <s v="Ravi"/>
    <n v="10.08"/>
    <x v="1"/>
  </r>
  <r>
    <x v="3"/>
    <x v="55"/>
    <n v="240"/>
    <n v="1.2999999999999999E-2"/>
    <x v="1"/>
    <s v="Ravi"/>
    <n v="3.1199999999999997"/>
    <x v="1"/>
  </r>
  <r>
    <x v="3"/>
    <x v="59"/>
    <n v="57.5"/>
    <n v="0.03"/>
    <x v="1"/>
    <s v="Ravi"/>
    <n v="1.7249999999999999"/>
    <x v="1"/>
  </r>
  <r>
    <x v="3"/>
    <x v="60"/>
    <n v="500"/>
    <n v="0.05"/>
    <x v="1"/>
    <s v="Ravi"/>
    <n v="25"/>
    <x v="1"/>
  </r>
  <r>
    <x v="3"/>
    <x v="73"/>
    <n v="340"/>
    <n v="0.02"/>
    <x v="1"/>
    <s v="Ravi"/>
    <n v="6.8"/>
    <x v="1"/>
  </r>
  <r>
    <x v="3"/>
    <x v="95"/>
    <n v="78"/>
    <n v="0.2"/>
    <x v="1"/>
    <s v="Ravi"/>
    <n v="15.600000000000001"/>
    <x v="1"/>
  </r>
  <r>
    <x v="3"/>
    <x v="74"/>
    <n v="76"/>
    <n v="0.1"/>
    <x v="1"/>
    <s v="Ravi"/>
    <n v="7.6000000000000005"/>
    <x v="1"/>
  </r>
  <r>
    <x v="3"/>
    <x v="96"/>
    <n v="78"/>
    <n v="0.1"/>
    <x v="1"/>
    <s v="Ravi"/>
    <n v="7.8000000000000007"/>
    <x v="1"/>
  </r>
  <r>
    <x v="3"/>
    <x v="63"/>
    <n v="3"/>
    <n v="16"/>
    <x v="6"/>
    <s v="Jaggu"/>
    <n v="48"/>
    <x v="0"/>
  </r>
  <r>
    <x v="3"/>
    <x v="0"/>
    <n v="14"/>
    <n v="0.3"/>
    <x v="6"/>
    <s v="Jaggu"/>
    <n v="4.2"/>
    <x v="0"/>
  </r>
  <r>
    <x v="3"/>
    <x v="39"/>
    <n v="75"/>
    <n v="1.2"/>
    <x v="6"/>
    <s v="Jaggu"/>
    <n v="90"/>
    <x v="6"/>
  </r>
  <r>
    <x v="3"/>
    <x v="64"/>
    <n v="78.95"/>
    <n v="19"/>
    <x v="3"/>
    <s v="Common"/>
    <n v="1500.05"/>
    <x v="7"/>
  </r>
  <r>
    <x v="2"/>
    <x v="64"/>
    <n v="78.95"/>
    <n v="19"/>
    <x v="3"/>
    <s v="Common"/>
    <n v="1500.05"/>
    <x v="7"/>
  </r>
  <r>
    <x v="4"/>
    <x v="64"/>
    <n v="78.95"/>
    <n v="19"/>
    <x v="3"/>
    <s v="Common"/>
    <n v="1500.05"/>
    <x v="7"/>
  </r>
  <r>
    <x v="4"/>
    <x v="0"/>
    <n v="14"/>
    <n v="4"/>
    <x v="0"/>
    <s v="Murthy"/>
    <n v="56"/>
    <x v="0"/>
  </r>
  <r>
    <x v="4"/>
    <x v="33"/>
    <n v="175"/>
    <n v="2"/>
    <x v="0"/>
    <s v="Murthy"/>
    <n v="350"/>
    <x v="4"/>
  </r>
  <r>
    <x v="4"/>
    <x v="7"/>
    <n v="38"/>
    <n v="1.2"/>
    <x v="0"/>
    <s v="Murthy"/>
    <n v="45.6"/>
    <x v="0"/>
  </r>
  <r>
    <x v="4"/>
    <x v="66"/>
    <n v="3"/>
    <n v="0.8"/>
    <x v="0"/>
    <s v="Murthy"/>
    <n v="2.4000000000000004"/>
    <x v="0"/>
  </r>
  <r>
    <x v="4"/>
    <x v="6"/>
    <n v="26"/>
    <n v="13.8"/>
    <x v="0"/>
    <s v="Murthy"/>
    <n v="358.8"/>
    <x v="2"/>
  </r>
  <r>
    <x v="4"/>
    <x v="22"/>
    <n v="62"/>
    <n v="3"/>
    <x v="0"/>
    <s v="Murthy"/>
    <n v="186"/>
    <x v="1"/>
  </r>
  <r>
    <x v="4"/>
    <x v="30"/>
    <n v="27.97"/>
    <n v="1.4"/>
    <x v="0"/>
    <s v="Murthy"/>
    <n v="39.157999999999994"/>
    <x v="0"/>
  </r>
  <r>
    <x v="4"/>
    <x v="17"/>
    <n v="140"/>
    <n v="1"/>
    <x v="0"/>
    <s v="Murthy"/>
    <n v="140"/>
    <x v="4"/>
  </r>
  <r>
    <x v="4"/>
    <x v="2"/>
    <n v="30"/>
    <n v="0.9"/>
    <x v="0"/>
    <s v="Murthy"/>
    <n v="27"/>
    <x v="0"/>
  </r>
  <r>
    <x v="4"/>
    <x v="14"/>
    <n v="25"/>
    <n v="0.5"/>
    <x v="0"/>
    <s v="Murthy"/>
    <n v="12.5"/>
    <x v="0"/>
  </r>
  <r>
    <x v="4"/>
    <x v="4"/>
    <n v="180"/>
    <n v="0.5"/>
    <x v="0"/>
    <s v="Murthy"/>
    <n v="90"/>
    <x v="1"/>
  </r>
  <r>
    <x v="4"/>
    <x v="12"/>
    <n v="28"/>
    <n v="0.7"/>
    <x v="0"/>
    <s v="Murthy"/>
    <n v="19.599999999999998"/>
    <x v="0"/>
  </r>
  <r>
    <x v="4"/>
    <x v="23"/>
    <n v="220"/>
    <n v="0.01"/>
    <x v="0"/>
    <s v="Murthy"/>
    <n v="2.2000000000000002"/>
    <x v="5"/>
  </r>
  <r>
    <x v="4"/>
    <x v="24"/>
    <n v="740"/>
    <n v="0.01"/>
    <x v="0"/>
    <s v="Murthy"/>
    <n v="7.4"/>
    <x v="5"/>
  </r>
  <r>
    <x v="4"/>
    <x v="25"/>
    <n v="1450"/>
    <n v="0.01"/>
    <x v="0"/>
    <s v="Murthy"/>
    <n v="14.5"/>
    <x v="5"/>
  </r>
  <r>
    <x v="4"/>
    <x v="27"/>
    <n v="1480"/>
    <n v="0.01"/>
    <x v="0"/>
    <s v="Murthy"/>
    <n v="14.8"/>
    <x v="5"/>
  </r>
  <r>
    <x v="4"/>
    <x v="18"/>
    <n v="40"/>
    <n v="2"/>
    <x v="0"/>
    <s v="Murthy"/>
    <n v="80"/>
    <x v="1"/>
  </r>
  <r>
    <x v="4"/>
    <x v="11"/>
    <n v="82"/>
    <n v="3"/>
    <x v="0"/>
    <s v="Murthy"/>
    <n v="246"/>
    <x v="3"/>
  </r>
  <r>
    <x v="4"/>
    <x v="16"/>
    <n v="60"/>
    <n v="0.8"/>
    <x v="0"/>
    <s v="Murthy"/>
    <n v="48"/>
    <x v="0"/>
  </r>
  <r>
    <x v="4"/>
    <x v="8"/>
    <n v="29.51"/>
    <n v="3.25"/>
    <x v="0"/>
    <s v="Murthy"/>
    <n v="95.907499999999999"/>
    <x v="1"/>
  </r>
  <r>
    <x v="4"/>
    <x v="32"/>
    <n v="32"/>
    <n v="4"/>
    <x v="0"/>
    <s v="Murthy"/>
    <n v="128"/>
    <x v="0"/>
  </r>
  <r>
    <x v="4"/>
    <x v="10"/>
    <n v="45"/>
    <n v="1"/>
    <x v="0"/>
    <s v="Murthy"/>
    <n v="45"/>
    <x v="1"/>
  </r>
  <r>
    <x v="4"/>
    <x v="17"/>
    <n v="140"/>
    <n v="0.5"/>
    <x v="0"/>
    <s v="Murthy"/>
    <n v="70"/>
    <x v="4"/>
  </r>
  <r>
    <x v="4"/>
    <x v="45"/>
    <n v="37"/>
    <n v="0.36"/>
    <x v="0"/>
    <s v="Murthy"/>
    <n v="13.32"/>
    <x v="1"/>
  </r>
  <r>
    <x v="4"/>
    <x v="38"/>
    <n v="27"/>
    <n v="3.1"/>
    <x v="0"/>
    <s v="Murthy"/>
    <n v="83.7"/>
    <x v="1"/>
  </r>
  <r>
    <x v="4"/>
    <x v="21"/>
    <n v="272"/>
    <n v="0.25"/>
    <x v="0"/>
    <s v="Murthy"/>
    <n v="68"/>
    <x v="1"/>
  </r>
  <r>
    <x v="4"/>
    <x v="40"/>
    <n v="450"/>
    <n v="0.05"/>
    <x v="0"/>
    <s v="Murthy"/>
    <n v="22.5"/>
    <x v="1"/>
  </r>
  <r>
    <x v="4"/>
    <x v="37"/>
    <n v="138"/>
    <n v="0.15"/>
    <x v="0"/>
    <s v="Murthy"/>
    <n v="20.7"/>
    <x v="1"/>
  </r>
  <r>
    <x v="4"/>
    <x v="36"/>
    <n v="280"/>
    <n v="0.08"/>
    <x v="0"/>
    <s v="Murthy"/>
    <n v="22.400000000000002"/>
    <x v="1"/>
  </r>
  <r>
    <x v="4"/>
    <x v="32"/>
    <n v="32"/>
    <n v="1"/>
    <x v="0"/>
    <s v="Murthy"/>
    <n v="32"/>
    <x v="0"/>
  </r>
  <r>
    <x v="4"/>
    <x v="1"/>
    <n v="30"/>
    <n v="1"/>
    <x v="0"/>
    <s v="Murthy"/>
    <n v="30"/>
    <x v="0"/>
  </r>
  <r>
    <x v="4"/>
    <x v="97"/>
    <n v="380"/>
    <n v="0.08"/>
    <x v="0"/>
    <s v="Murthy"/>
    <n v="30.400000000000002"/>
    <x v="1"/>
  </r>
  <r>
    <x v="4"/>
    <x v="13"/>
    <n v="40"/>
    <n v="0.125"/>
    <x v="0"/>
    <s v="Murthy"/>
    <n v="5"/>
    <x v="0"/>
  </r>
  <r>
    <x v="4"/>
    <x v="19"/>
    <n v="23.33"/>
    <n v="1.1000000000000001"/>
    <x v="0"/>
    <s v="Murthy"/>
    <n v="25.663"/>
    <x v="0"/>
  </r>
  <r>
    <x v="4"/>
    <x v="11"/>
    <n v="82"/>
    <n v="1"/>
    <x v="0"/>
    <s v="Murthy"/>
    <n v="82"/>
    <x v="3"/>
  </r>
  <r>
    <x v="4"/>
    <x v="34"/>
    <n v="51"/>
    <n v="0.1"/>
    <x v="0"/>
    <s v="Murthy"/>
    <n v="5.1000000000000005"/>
    <x v="1"/>
  </r>
  <r>
    <x v="4"/>
    <x v="84"/>
    <n v="148"/>
    <n v="0.5"/>
    <x v="0"/>
    <s v="Murthy"/>
    <n v="74"/>
    <x v="1"/>
  </r>
  <r>
    <x v="4"/>
    <x v="79"/>
    <n v="20"/>
    <n v="4.5"/>
    <x v="5"/>
    <s v="Ravi"/>
    <n v="90"/>
    <x v="10"/>
  </r>
  <r>
    <x v="4"/>
    <x v="54"/>
    <n v="170"/>
    <n v="0.185"/>
    <x v="2"/>
    <s v="Ravi"/>
    <n v="31.45"/>
    <x v="1"/>
  </r>
  <r>
    <x v="4"/>
    <x v="63"/>
    <n v="3"/>
    <n v="24"/>
    <x v="5"/>
    <s v="Ravi"/>
    <n v="72"/>
    <x v="0"/>
  </r>
  <r>
    <x v="4"/>
    <x v="80"/>
    <n v="50"/>
    <n v="3"/>
    <x v="5"/>
    <s v="Ravi"/>
    <n v="150"/>
    <x v="10"/>
  </r>
  <r>
    <x v="4"/>
    <x v="77"/>
    <n v="30"/>
    <n v="0.88"/>
    <x v="5"/>
    <s v="Ravi"/>
    <n v="26.4"/>
    <x v="10"/>
  </r>
  <r>
    <x v="4"/>
    <x v="12"/>
    <n v="28"/>
    <n v="0.29499999999999998"/>
    <x v="2"/>
    <s v="Ravi"/>
    <n v="8.26"/>
    <x v="0"/>
  </r>
  <r>
    <x v="4"/>
    <x v="13"/>
    <n v="40"/>
    <n v="0.02"/>
    <x v="2"/>
    <s v="Ravi"/>
    <n v="0.8"/>
    <x v="0"/>
  </r>
  <r>
    <x v="4"/>
    <x v="36"/>
    <n v="280"/>
    <n v="0.13"/>
    <x v="2"/>
    <s v="Ravi"/>
    <n v="36.4"/>
    <x v="1"/>
  </r>
  <r>
    <x v="4"/>
    <x v="37"/>
    <n v="138"/>
    <n v="2.5000000000000001E-2"/>
    <x v="2"/>
    <s v="Ravi"/>
    <n v="3.45"/>
    <x v="1"/>
  </r>
  <r>
    <x v="4"/>
    <x v="75"/>
    <n v="108"/>
    <n v="0.12"/>
    <x v="2"/>
    <s v="Ravi"/>
    <n v="12.959999999999999"/>
    <x v="1"/>
  </r>
  <r>
    <x v="4"/>
    <x v="20"/>
    <n v="230"/>
    <n v="0.01"/>
    <x v="2"/>
    <s v="Ravi"/>
    <n v="2.3000000000000003"/>
    <x v="1"/>
  </r>
  <r>
    <x v="4"/>
    <x v="48"/>
    <n v="7"/>
    <n v="4.4999999999999998E-2"/>
    <x v="2"/>
    <s v="Ravi"/>
    <n v="0.315"/>
    <x v="1"/>
  </r>
  <r>
    <x v="4"/>
    <x v="25"/>
    <n v="1450"/>
    <n v="5.0000000000000001E-3"/>
    <x v="2"/>
    <s v="Ravi"/>
    <n v="7.25"/>
    <x v="5"/>
  </r>
  <r>
    <x v="4"/>
    <x v="24"/>
    <n v="740"/>
    <n v="5.0000000000000001E-3"/>
    <x v="2"/>
    <s v="Ravi"/>
    <n v="3.7"/>
    <x v="5"/>
  </r>
  <r>
    <x v="4"/>
    <x v="23"/>
    <n v="220"/>
    <n v="5.0000000000000001E-3"/>
    <x v="2"/>
    <s v="Ravi"/>
    <n v="1.1000000000000001"/>
    <x v="5"/>
  </r>
  <r>
    <x v="4"/>
    <x v="0"/>
    <n v="14"/>
    <n v="0.61"/>
    <x v="2"/>
    <s v="Ravi"/>
    <n v="8.5399999999999991"/>
    <x v="0"/>
  </r>
  <r>
    <x v="4"/>
    <x v="79"/>
    <n v="20"/>
    <n v="5.5"/>
    <x v="5"/>
    <s v="Ravi"/>
    <n v="110"/>
    <x v="10"/>
  </r>
  <r>
    <x v="4"/>
    <x v="63"/>
    <n v="3"/>
    <n v="20"/>
    <x v="5"/>
    <s v="Ravi"/>
    <n v="60"/>
    <x v="0"/>
  </r>
  <r>
    <x v="4"/>
    <x v="44"/>
    <n v="52"/>
    <n v="5.75"/>
    <x v="1"/>
    <s v="Ravi"/>
    <n v="299"/>
    <x v="1"/>
  </r>
  <r>
    <x v="4"/>
    <x v="76"/>
    <n v="34"/>
    <n v="0.71"/>
    <x v="1"/>
    <s v="Ravi"/>
    <n v="24.14"/>
    <x v="1"/>
  </r>
  <r>
    <x v="4"/>
    <x v="98"/>
    <n v="110"/>
    <n v="0.32"/>
    <x v="1"/>
    <s v="Ravi"/>
    <n v="35.200000000000003"/>
    <x v="0"/>
  </r>
  <r>
    <x v="4"/>
    <x v="42"/>
    <n v="42"/>
    <n v="1.5"/>
    <x v="1"/>
    <s v="Ravi"/>
    <n v="63"/>
    <x v="4"/>
  </r>
  <r>
    <x v="4"/>
    <x v="41"/>
    <n v="36"/>
    <n v="1.5"/>
    <x v="1"/>
    <s v="Ravi"/>
    <n v="54"/>
    <x v="4"/>
  </r>
  <r>
    <x v="4"/>
    <x v="43"/>
    <n v="28"/>
    <n v="2"/>
    <x v="1"/>
    <s v="Ravi"/>
    <n v="56"/>
    <x v="0"/>
  </r>
  <r>
    <x v="4"/>
    <x v="45"/>
    <n v="37"/>
    <n v="0.05"/>
    <x v="1"/>
    <s v="Ravi"/>
    <n v="1.85"/>
    <x v="1"/>
  </r>
  <r>
    <x v="4"/>
    <x v="47"/>
    <n v="280"/>
    <n v="0.05"/>
    <x v="1"/>
    <s v="Ravi"/>
    <n v="14"/>
    <x v="1"/>
  </r>
  <r>
    <x v="4"/>
    <x v="31"/>
    <n v="120"/>
    <n v="1.4999999999999999E-2"/>
    <x v="1"/>
    <s v="Ravi"/>
    <n v="1.7999999999999998"/>
    <x v="1"/>
  </r>
  <r>
    <x v="4"/>
    <x v="48"/>
    <n v="7"/>
    <n v="0.38500000000000001"/>
    <x v="1"/>
    <s v="Ravi"/>
    <n v="2.6950000000000003"/>
    <x v="1"/>
  </r>
  <r>
    <x v="4"/>
    <x v="71"/>
    <n v="187.41"/>
    <n v="1.4999999999999999E-2"/>
    <x v="1"/>
    <s v="Ravi"/>
    <n v="2.81115"/>
    <x v="1"/>
  </r>
  <r>
    <x v="4"/>
    <x v="49"/>
    <n v="96"/>
    <n v="0.16500000000000001"/>
    <x v="1"/>
    <s v="Ravi"/>
    <n v="15.84"/>
    <x v="3"/>
  </r>
  <r>
    <x v="4"/>
    <x v="11"/>
    <n v="82"/>
    <n v="1"/>
    <x v="1"/>
    <s v="Ravi"/>
    <n v="82"/>
    <x v="3"/>
  </r>
  <r>
    <x v="4"/>
    <x v="51"/>
    <n v="55"/>
    <n v="0.04"/>
    <x v="1"/>
    <s v="Ravi"/>
    <n v="2.2000000000000002"/>
    <x v="1"/>
  </r>
  <r>
    <x v="4"/>
    <x v="25"/>
    <n v="1450"/>
    <n v="5.0000000000000001E-3"/>
    <x v="1"/>
    <s v="Ravi"/>
    <n v="7.25"/>
    <x v="5"/>
  </r>
  <r>
    <x v="4"/>
    <x v="0"/>
    <n v="14"/>
    <n v="1.57"/>
    <x v="1"/>
    <s v="Ravi"/>
    <n v="21.98"/>
    <x v="0"/>
  </r>
  <r>
    <x v="4"/>
    <x v="12"/>
    <n v="28"/>
    <n v="0.13500000000000001"/>
    <x v="1"/>
    <s v="Ravi"/>
    <n v="3.7800000000000002"/>
    <x v="0"/>
  </r>
  <r>
    <x v="4"/>
    <x v="2"/>
    <n v="30"/>
    <n v="0.13"/>
    <x v="1"/>
    <s v="Ravi"/>
    <n v="3.9000000000000004"/>
    <x v="0"/>
  </r>
  <r>
    <x v="4"/>
    <x v="37"/>
    <n v="138"/>
    <n v="0.02"/>
    <x v="1"/>
    <s v="Ravi"/>
    <n v="2.7600000000000002"/>
    <x v="1"/>
  </r>
  <r>
    <x v="4"/>
    <x v="52"/>
    <n v="160"/>
    <n v="0.105"/>
    <x v="1"/>
    <s v="Ravi"/>
    <n v="16.8"/>
    <x v="1"/>
  </r>
  <r>
    <x v="4"/>
    <x v="53"/>
    <n v="62.03"/>
    <n v="0.115"/>
    <x v="1"/>
    <s v="Ravi"/>
    <n v="7.1334500000000007"/>
    <x v="1"/>
  </r>
  <r>
    <x v="4"/>
    <x v="56"/>
    <n v="840"/>
    <n v="1.2E-2"/>
    <x v="1"/>
    <s v="Ravi"/>
    <n v="10.08"/>
    <x v="1"/>
  </r>
  <r>
    <x v="4"/>
    <x v="55"/>
    <n v="240"/>
    <n v="1.2999999999999999E-2"/>
    <x v="1"/>
    <s v="Ravi"/>
    <n v="3.1199999999999997"/>
    <x v="1"/>
  </r>
  <r>
    <x v="4"/>
    <x v="57"/>
    <n v="64.069999999999993"/>
    <n v="0.3"/>
    <x v="1"/>
    <s v="Ravi"/>
    <n v="19.220999999999997"/>
    <x v="1"/>
  </r>
  <r>
    <x v="4"/>
    <x v="9"/>
    <n v="14.75"/>
    <n v="0.88"/>
    <x v="1"/>
    <s v="Ravi"/>
    <n v="12.98"/>
    <x v="0"/>
  </r>
  <r>
    <x v="4"/>
    <x v="59"/>
    <n v="57.5"/>
    <n v="0.02"/>
    <x v="1"/>
    <s v="Ravi"/>
    <n v="1.1500000000000001"/>
    <x v="1"/>
  </r>
  <r>
    <x v="4"/>
    <x v="60"/>
    <n v="500"/>
    <n v="7.0000000000000007E-2"/>
    <x v="1"/>
    <s v="Ravi"/>
    <n v="35"/>
    <x v="1"/>
  </r>
  <r>
    <x v="4"/>
    <x v="14"/>
    <n v="25"/>
    <n v="0.1"/>
    <x v="1"/>
    <s v="Ravi"/>
    <n v="2.5"/>
    <x v="0"/>
  </r>
  <r>
    <x v="4"/>
    <x v="62"/>
    <n v="312.14"/>
    <n v="0.04"/>
    <x v="1"/>
    <s v="Ravi"/>
    <n v="12.4856"/>
    <x v="0"/>
  </r>
  <r>
    <x v="4"/>
    <x v="13"/>
    <n v="40"/>
    <n v="0.04"/>
    <x v="1"/>
    <s v="Ravi"/>
    <n v="1.6"/>
    <x v="0"/>
  </r>
  <r>
    <x v="4"/>
    <x v="54"/>
    <n v="170"/>
    <n v="0.05"/>
    <x v="1"/>
    <s v="Ravi"/>
    <n v="8.5"/>
    <x v="1"/>
  </r>
  <r>
    <x v="4"/>
    <x v="76"/>
    <n v="34"/>
    <n v="0.7"/>
    <x v="1"/>
    <s v="Ravi"/>
    <n v="23.799999999999997"/>
    <x v="1"/>
  </r>
  <r>
    <x v="4"/>
    <x v="46"/>
    <n v="35"/>
    <n v="1"/>
    <x v="1"/>
    <s v="Ravi"/>
    <n v="35"/>
    <x v="0"/>
  </r>
  <r>
    <x v="4"/>
    <x v="29"/>
    <n v="43.06"/>
    <n v="0.9"/>
    <x v="1"/>
    <s v="Ravi"/>
    <n v="38.754000000000005"/>
    <x v="0"/>
  </r>
  <r>
    <x v="4"/>
    <x v="30"/>
    <n v="27.97"/>
    <n v="0.435"/>
    <x v="1"/>
    <s v="Ravi"/>
    <n v="12.16695"/>
    <x v="0"/>
  </r>
  <r>
    <x v="4"/>
    <x v="19"/>
    <n v="23.33"/>
    <n v="9.5000000000000001E-2"/>
    <x v="1"/>
    <s v="Ravi"/>
    <n v="2.2163499999999998"/>
    <x v="0"/>
  </r>
  <r>
    <x v="4"/>
    <x v="75"/>
    <n v="108"/>
    <n v="0.105"/>
    <x v="1"/>
    <s v="Ravi"/>
    <n v="11.34"/>
    <x v="1"/>
  </r>
  <r>
    <x v="4"/>
    <x v="99"/>
    <n v="60"/>
    <n v="0.05"/>
    <x v="1"/>
    <s v="Ravi"/>
    <n v="3"/>
    <x v="1"/>
  </r>
  <r>
    <x v="4"/>
    <x v="20"/>
    <n v="230"/>
    <n v="0.08"/>
    <x v="1"/>
    <s v="Ravi"/>
    <n v="18.400000000000002"/>
    <x v="1"/>
  </r>
  <r>
    <x v="4"/>
    <x v="50"/>
    <n v="70"/>
    <n v="0.04"/>
    <x v="1"/>
    <s v="Ravi"/>
    <n v="2.8000000000000003"/>
    <x v="1"/>
  </r>
  <r>
    <x v="4"/>
    <x v="63"/>
    <n v="3"/>
    <n v="15"/>
    <x v="6"/>
    <s v="Jaggu"/>
    <n v="45"/>
    <x v="0"/>
  </r>
  <r>
    <x v="4"/>
    <x v="0"/>
    <n v="14"/>
    <n v="0.8"/>
    <x v="6"/>
    <s v="Jaggu"/>
    <n v="11.200000000000001"/>
    <x v="0"/>
  </r>
  <r>
    <x v="5"/>
    <x v="64"/>
    <n v="78.95"/>
    <n v="19"/>
    <x v="3"/>
    <s v="Common"/>
    <n v="1500.05"/>
    <x v="7"/>
  </r>
  <r>
    <x v="5"/>
    <x v="0"/>
    <n v="14"/>
    <n v="8"/>
    <x v="0"/>
    <s v="Murthy"/>
    <n v="112"/>
    <x v="0"/>
  </r>
  <r>
    <x v="5"/>
    <x v="6"/>
    <n v="26"/>
    <n v="13.4"/>
    <x v="0"/>
    <s v="Murthy"/>
    <n v="348.40000000000003"/>
    <x v="2"/>
  </r>
  <r>
    <x v="5"/>
    <x v="1"/>
    <n v="30"/>
    <n v="1.25"/>
    <x v="0"/>
    <s v="Murthy"/>
    <n v="37.5"/>
    <x v="0"/>
  </r>
  <r>
    <x v="5"/>
    <x v="7"/>
    <n v="38"/>
    <n v="1.85"/>
    <x v="0"/>
    <s v="Murthy"/>
    <n v="70.3"/>
    <x v="0"/>
  </r>
  <r>
    <x v="5"/>
    <x v="9"/>
    <n v="14.75"/>
    <n v="2.5"/>
    <x v="0"/>
    <s v="Murthy"/>
    <n v="36.875"/>
    <x v="0"/>
  </r>
  <r>
    <x v="5"/>
    <x v="3"/>
    <n v="17"/>
    <n v="1"/>
    <x v="0"/>
    <s v="Murthy"/>
    <n v="17"/>
    <x v="1"/>
  </r>
  <r>
    <x v="5"/>
    <x v="2"/>
    <n v="30"/>
    <n v="0.6"/>
    <x v="0"/>
    <s v="Murthy"/>
    <n v="18"/>
    <x v="0"/>
  </r>
  <r>
    <x v="5"/>
    <x v="33"/>
    <n v="175"/>
    <n v="1"/>
    <x v="0"/>
    <s v="Murthy"/>
    <n v="175"/>
    <x v="4"/>
  </r>
  <r>
    <x v="5"/>
    <x v="14"/>
    <n v="25"/>
    <n v="0.71"/>
    <x v="0"/>
    <s v="Murthy"/>
    <n v="17.75"/>
    <x v="0"/>
  </r>
  <r>
    <x v="5"/>
    <x v="28"/>
    <n v="64"/>
    <n v="2.5"/>
    <x v="0"/>
    <s v="Murthy"/>
    <n v="160"/>
    <x v="1"/>
  </r>
  <r>
    <x v="5"/>
    <x v="62"/>
    <n v="312.14"/>
    <n v="0.04"/>
    <x v="0"/>
    <s v="Murthy"/>
    <n v="12.4856"/>
    <x v="0"/>
  </r>
  <r>
    <x v="5"/>
    <x v="8"/>
    <n v="29.51"/>
    <n v="0.5"/>
    <x v="0"/>
    <s v="Murthy"/>
    <n v="14.755000000000001"/>
    <x v="1"/>
  </r>
  <r>
    <x v="5"/>
    <x v="10"/>
    <n v="45"/>
    <n v="1"/>
    <x v="0"/>
    <s v="Murthy"/>
    <n v="45"/>
    <x v="1"/>
  </r>
  <r>
    <x v="5"/>
    <x v="38"/>
    <n v="27"/>
    <n v="3"/>
    <x v="0"/>
    <s v="Murthy"/>
    <n v="81"/>
    <x v="1"/>
  </r>
  <r>
    <x v="5"/>
    <x v="11"/>
    <n v="82"/>
    <n v="2"/>
    <x v="0"/>
    <s v="Murthy"/>
    <n v="164"/>
    <x v="3"/>
  </r>
  <r>
    <x v="5"/>
    <x v="40"/>
    <n v="450"/>
    <n v="0.05"/>
    <x v="0"/>
    <s v="Murthy"/>
    <n v="22.5"/>
    <x v="1"/>
  </r>
  <r>
    <x v="5"/>
    <x v="17"/>
    <n v="140"/>
    <n v="0.5"/>
    <x v="0"/>
    <s v="Murthy"/>
    <n v="70"/>
    <x v="4"/>
  </r>
  <r>
    <x v="5"/>
    <x v="31"/>
    <n v="120"/>
    <n v="0.05"/>
    <x v="0"/>
    <s v="Murthy"/>
    <n v="6"/>
    <x v="1"/>
  </r>
  <r>
    <x v="5"/>
    <x v="68"/>
    <n v="75"/>
    <n v="1.38"/>
    <x v="0"/>
    <s v="Murthy"/>
    <n v="103.49999999999999"/>
    <x v="1"/>
  </r>
  <r>
    <x v="5"/>
    <x v="13"/>
    <n v="40"/>
    <n v="0.16"/>
    <x v="0"/>
    <s v="Murthy"/>
    <n v="6.4"/>
    <x v="0"/>
  </r>
  <r>
    <x v="5"/>
    <x v="66"/>
    <n v="3"/>
    <n v="1.7"/>
    <x v="0"/>
    <s v="Murthy"/>
    <n v="5.0999999999999996"/>
    <x v="0"/>
  </r>
  <r>
    <x v="5"/>
    <x v="3"/>
    <n v="17"/>
    <n v="1"/>
    <x v="0"/>
    <s v="Murthy"/>
    <n v="17"/>
    <x v="1"/>
  </r>
  <r>
    <x v="5"/>
    <x v="30"/>
    <n v="27.97"/>
    <n v="1.5"/>
    <x v="0"/>
    <s v="Murthy"/>
    <n v="41.954999999999998"/>
    <x v="0"/>
  </r>
  <r>
    <x v="5"/>
    <x v="16"/>
    <n v="60"/>
    <n v="0.5"/>
    <x v="0"/>
    <s v="Murthy"/>
    <n v="30"/>
    <x v="0"/>
  </r>
  <r>
    <x v="5"/>
    <x v="12"/>
    <n v="28"/>
    <n v="0.55000000000000004"/>
    <x v="0"/>
    <s v="Murthy"/>
    <n v="15.400000000000002"/>
    <x v="0"/>
  </r>
  <r>
    <x v="5"/>
    <x v="32"/>
    <n v="32"/>
    <n v="1"/>
    <x v="0"/>
    <s v="Murthy"/>
    <n v="32"/>
    <x v="0"/>
  </r>
  <r>
    <x v="5"/>
    <x v="11"/>
    <n v="82"/>
    <n v="2"/>
    <x v="0"/>
    <s v="Murthy"/>
    <n v="164"/>
    <x v="3"/>
  </r>
  <r>
    <x v="5"/>
    <x v="93"/>
    <n v="72"/>
    <n v="0.2"/>
    <x v="0"/>
    <s v="Murthy"/>
    <n v="14.4"/>
    <x v="1"/>
  </r>
  <r>
    <x v="5"/>
    <x v="29"/>
    <n v="43.06"/>
    <n v="1"/>
    <x v="0"/>
    <s v="Murthy"/>
    <n v="43.06"/>
    <x v="0"/>
  </r>
  <r>
    <x v="5"/>
    <x v="1"/>
    <n v="30"/>
    <n v="0.6"/>
    <x v="0"/>
    <s v="Murthy"/>
    <n v="18"/>
    <x v="0"/>
  </r>
  <r>
    <x v="5"/>
    <x v="0"/>
    <n v="14"/>
    <n v="3"/>
    <x v="0"/>
    <s v="Murthy"/>
    <n v="42"/>
    <x v="0"/>
  </r>
  <r>
    <x v="5"/>
    <x v="69"/>
    <n v="33"/>
    <n v="0.81499999999999995"/>
    <x v="0"/>
    <s v="Murthy"/>
    <n v="26.895"/>
    <x v="6"/>
  </r>
  <r>
    <x v="5"/>
    <x v="100"/>
    <n v="430"/>
    <n v="0.5"/>
    <x v="0"/>
    <s v="Murthy"/>
    <n v="215"/>
    <x v="4"/>
  </r>
  <r>
    <x v="5"/>
    <x v="101"/>
    <n v="190"/>
    <n v="1"/>
    <x v="0"/>
    <s v="Murthy"/>
    <n v="190"/>
    <x v="4"/>
  </r>
  <r>
    <x v="5"/>
    <x v="18"/>
    <n v="40"/>
    <n v="2"/>
    <x v="0"/>
    <s v="Murthy"/>
    <n v="80"/>
    <x v="1"/>
  </r>
  <r>
    <x v="5"/>
    <x v="44"/>
    <n v="52"/>
    <n v="4.45"/>
    <x v="1"/>
    <s v="Ravi"/>
    <n v="231.4"/>
    <x v="1"/>
  </r>
  <r>
    <x v="5"/>
    <x v="35"/>
    <n v="125"/>
    <n v="0.16"/>
    <x v="1"/>
    <s v="Ravi"/>
    <n v="20"/>
    <x v="0"/>
  </r>
  <r>
    <x v="5"/>
    <x v="76"/>
    <n v="34"/>
    <n v="0.8"/>
    <x v="1"/>
    <s v="Ravi"/>
    <n v="27.200000000000003"/>
    <x v="1"/>
  </r>
  <r>
    <x v="5"/>
    <x v="102"/>
    <n v="50"/>
    <n v="3.2349999999999999"/>
    <x v="1"/>
    <s v="Ravi"/>
    <n v="161.75"/>
    <x v="1"/>
  </r>
  <r>
    <x v="5"/>
    <x v="83"/>
    <n v="48"/>
    <n v="0.25"/>
    <x v="1"/>
    <s v="Ravi"/>
    <n v="12"/>
    <x v="1"/>
  </r>
  <r>
    <x v="5"/>
    <x v="49"/>
    <n v="96"/>
    <n v="0.24"/>
    <x v="1"/>
    <s v="Ravi"/>
    <n v="23.04"/>
    <x v="3"/>
  </r>
  <r>
    <x v="5"/>
    <x v="11"/>
    <n v="82"/>
    <n v="1"/>
    <x v="1"/>
    <s v="Ravi"/>
    <n v="82"/>
    <x v="3"/>
  </r>
  <r>
    <x v="5"/>
    <x v="43"/>
    <n v="28"/>
    <n v="2"/>
    <x v="1"/>
    <s v="Ravi"/>
    <n v="56"/>
    <x v="0"/>
  </r>
  <r>
    <x v="5"/>
    <x v="29"/>
    <n v="43.06"/>
    <n v="0.5"/>
    <x v="1"/>
    <s v="Ravi"/>
    <n v="21.53"/>
    <x v="0"/>
  </r>
  <r>
    <x v="5"/>
    <x v="42"/>
    <n v="42"/>
    <n v="2"/>
    <x v="1"/>
    <s v="Ravi"/>
    <n v="84"/>
    <x v="4"/>
  </r>
  <r>
    <x v="5"/>
    <x v="45"/>
    <n v="37"/>
    <n v="0.7"/>
    <x v="1"/>
    <s v="Ravi"/>
    <n v="25.9"/>
    <x v="1"/>
  </r>
  <r>
    <x v="5"/>
    <x v="47"/>
    <n v="280"/>
    <n v="0.04"/>
    <x v="1"/>
    <s v="Ravi"/>
    <n v="11.200000000000001"/>
    <x v="1"/>
  </r>
  <r>
    <x v="5"/>
    <x v="31"/>
    <n v="120"/>
    <n v="0.03"/>
    <x v="1"/>
    <s v="Ravi"/>
    <n v="3.5999999999999996"/>
    <x v="1"/>
  </r>
  <r>
    <x v="5"/>
    <x v="48"/>
    <n v="7"/>
    <n v="0.375"/>
    <x v="1"/>
    <s v="Ravi"/>
    <n v="2.625"/>
    <x v="1"/>
  </r>
  <r>
    <x v="5"/>
    <x v="71"/>
    <n v="187.41"/>
    <n v="0.02"/>
    <x v="1"/>
    <s v="Ravi"/>
    <n v="3.7482000000000002"/>
    <x v="1"/>
  </r>
  <r>
    <x v="5"/>
    <x v="20"/>
    <n v="230"/>
    <n v="0.02"/>
    <x v="1"/>
    <s v="Ravi"/>
    <n v="4.6000000000000005"/>
    <x v="1"/>
  </r>
  <r>
    <x v="5"/>
    <x v="50"/>
    <n v="70"/>
    <n v="0.03"/>
    <x v="1"/>
    <s v="Ravi"/>
    <n v="2.1"/>
    <x v="1"/>
  </r>
  <r>
    <x v="5"/>
    <x v="51"/>
    <n v="55"/>
    <n v="0.11"/>
    <x v="1"/>
    <s v="Ravi"/>
    <n v="6.05"/>
    <x v="1"/>
  </r>
  <r>
    <x v="5"/>
    <x v="25"/>
    <n v="1450"/>
    <n v="5.0000000000000001E-3"/>
    <x v="1"/>
    <s v="Ravi"/>
    <n v="7.25"/>
    <x v="5"/>
  </r>
  <r>
    <x v="5"/>
    <x v="0"/>
    <n v="14"/>
    <n v="1.5"/>
    <x v="1"/>
    <s v="Ravi"/>
    <n v="21"/>
    <x v="0"/>
  </r>
  <r>
    <x v="5"/>
    <x v="12"/>
    <n v="28"/>
    <n v="0.13"/>
    <x v="1"/>
    <s v="Ravi"/>
    <n v="3.64"/>
    <x v="0"/>
  </r>
  <r>
    <x v="5"/>
    <x v="2"/>
    <n v="30"/>
    <n v="0.12"/>
    <x v="1"/>
    <s v="Ravi"/>
    <n v="3.5999999999999996"/>
    <x v="0"/>
  </r>
  <r>
    <x v="5"/>
    <x v="37"/>
    <n v="138"/>
    <n v="0.02"/>
    <x v="1"/>
    <s v="Ravi"/>
    <n v="2.7600000000000002"/>
    <x v="1"/>
  </r>
  <r>
    <x v="5"/>
    <x v="52"/>
    <n v="160"/>
    <n v="0.11"/>
    <x v="1"/>
    <s v="Ravi"/>
    <n v="17.600000000000001"/>
    <x v="1"/>
  </r>
  <r>
    <x v="5"/>
    <x v="53"/>
    <n v="62.03"/>
    <n v="0.05"/>
    <x v="1"/>
    <s v="Ravi"/>
    <n v="3.1015000000000001"/>
    <x v="1"/>
  </r>
  <r>
    <x v="5"/>
    <x v="56"/>
    <n v="840"/>
    <n v="0.02"/>
    <x v="1"/>
    <s v="Ravi"/>
    <n v="16.8"/>
    <x v="1"/>
  </r>
  <r>
    <x v="5"/>
    <x v="55"/>
    <n v="240"/>
    <n v="0.02"/>
    <x v="1"/>
    <s v="Ravi"/>
    <n v="4.8"/>
    <x v="1"/>
  </r>
  <r>
    <x v="5"/>
    <x v="57"/>
    <n v="64.069999999999993"/>
    <n v="0.35"/>
    <x v="1"/>
    <s v="Ravi"/>
    <n v="22.424499999999995"/>
    <x v="1"/>
  </r>
  <r>
    <x v="5"/>
    <x v="9"/>
    <n v="14.75"/>
    <n v="0.9"/>
    <x v="1"/>
    <s v="Ravi"/>
    <n v="13.275"/>
    <x v="0"/>
  </r>
  <r>
    <x v="5"/>
    <x v="59"/>
    <n v="57.5"/>
    <n v="0.03"/>
    <x v="1"/>
    <s v="Ravi"/>
    <n v="1.7249999999999999"/>
    <x v="1"/>
  </r>
  <r>
    <x v="5"/>
    <x v="60"/>
    <n v="500"/>
    <n v="0.05"/>
    <x v="1"/>
    <s v="Ravi"/>
    <n v="25"/>
    <x v="1"/>
  </r>
  <r>
    <x v="5"/>
    <x v="62"/>
    <n v="312.14"/>
    <n v="0.04"/>
    <x v="1"/>
    <s v="Ravi"/>
    <n v="12.4856"/>
    <x v="0"/>
  </r>
  <r>
    <x v="5"/>
    <x v="14"/>
    <n v="25"/>
    <n v="0.25"/>
    <x v="1"/>
    <s v="Ravi"/>
    <n v="6.25"/>
    <x v="0"/>
  </r>
  <r>
    <x v="5"/>
    <x v="13"/>
    <n v="40"/>
    <n v="0.04"/>
    <x v="1"/>
    <s v="Ravi"/>
    <n v="1.6"/>
    <x v="0"/>
  </r>
  <r>
    <x v="5"/>
    <x v="54"/>
    <n v="170"/>
    <n v="0.05"/>
    <x v="1"/>
    <s v="Ravi"/>
    <n v="8.5"/>
    <x v="1"/>
  </r>
  <r>
    <x v="5"/>
    <x v="77"/>
    <n v="30"/>
    <n v="2"/>
    <x v="5"/>
    <s v="Ravi"/>
    <n v="60"/>
    <x v="10"/>
  </r>
  <r>
    <x v="5"/>
    <x v="81"/>
    <n v="50"/>
    <n v="7.64"/>
    <x v="5"/>
    <s v="Ravi"/>
    <n v="382"/>
    <x v="10"/>
  </r>
  <r>
    <x v="5"/>
    <x v="94"/>
    <n v="20"/>
    <n v="0.2"/>
    <x v="2"/>
    <s v="Ravi"/>
    <n v="4"/>
    <x v="0"/>
  </r>
  <r>
    <x v="5"/>
    <x v="14"/>
    <n v="25"/>
    <n v="0.18"/>
    <x v="2"/>
    <s v="Ravi"/>
    <n v="4.5"/>
    <x v="0"/>
  </r>
  <r>
    <x v="5"/>
    <x v="0"/>
    <n v="14"/>
    <n v="0.4"/>
    <x v="2"/>
    <s v="Ravi"/>
    <n v="5.6000000000000005"/>
    <x v="0"/>
  </r>
  <r>
    <x v="5"/>
    <x v="9"/>
    <n v="14.75"/>
    <n v="0.25"/>
    <x v="2"/>
    <s v="Ravi"/>
    <n v="3.6875"/>
    <x v="0"/>
  </r>
  <r>
    <x v="5"/>
    <x v="2"/>
    <n v="30"/>
    <n v="0.12"/>
    <x v="2"/>
    <s v="Ravi"/>
    <n v="3.5999999999999996"/>
    <x v="0"/>
  </r>
  <r>
    <x v="5"/>
    <x v="12"/>
    <n v="28"/>
    <n v="0.15"/>
    <x v="2"/>
    <s v="Ravi"/>
    <n v="4.2"/>
    <x v="0"/>
  </r>
  <r>
    <x v="5"/>
    <x v="13"/>
    <n v="40"/>
    <n v="0.05"/>
    <x v="2"/>
    <s v="Ravi"/>
    <n v="2"/>
    <x v="0"/>
  </r>
  <r>
    <x v="5"/>
    <x v="43"/>
    <n v="28"/>
    <n v="0.5"/>
    <x v="2"/>
    <s v="Ravi"/>
    <n v="14"/>
    <x v="0"/>
  </r>
  <r>
    <x v="5"/>
    <x v="99"/>
    <n v="60"/>
    <n v="0.05"/>
    <x v="2"/>
    <s v="Ravi"/>
    <n v="3"/>
    <x v="1"/>
  </r>
  <r>
    <x v="5"/>
    <x v="31"/>
    <n v="120"/>
    <n v="0.03"/>
    <x v="2"/>
    <s v="Ravi"/>
    <n v="3.5999999999999996"/>
    <x v="1"/>
  </r>
  <r>
    <x v="5"/>
    <x v="47"/>
    <n v="280"/>
    <n v="0.02"/>
    <x v="2"/>
    <s v="Ravi"/>
    <n v="5.6000000000000005"/>
    <x v="1"/>
  </r>
  <r>
    <x v="5"/>
    <x v="48"/>
    <n v="7"/>
    <n v="0.05"/>
    <x v="2"/>
    <s v="Ravi"/>
    <n v="0.35000000000000003"/>
    <x v="1"/>
  </r>
  <r>
    <x v="5"/>
    <x v="71"/>
    <n v="187.41"/>
    <n v="0.02"/>
    <x v="2"/>
    <s v="Ravi"/>
    <n v="3.7482000000000002"/>
    <x v="1"/>
  </r>
  <r>
    <x v="5"/>
    <x v="86"/>
    <n v="46.4"/>
    <n v="1.4999999999999999E-2"/>
    <x v="2"/>
    <s v="Ravi"/>
    <n v="0.69599999999999995"/>
    <x v="1"/>
  </r>
  <r>
    <x v="5"/>
    <x v="87"/>
    <n v="48"/>
    <n v="0.04"/>
    <x v="2"/>
    <s v="Ravi"/>
    <n v="1.92"/>
    <x v="1"/>
  </r>
  <r>
    <x v="5"/>
    <x v="88"/>
    <n v="20"/>
    <n v="3"/>
    <x v="5"/>
    <s v="Ravi"/>
    <n v="60"/>
    <x v="10"/>
  </r>
  <r>
    <x v="5"/>
    <x v="91"/>
    <n v="40"/>
    <n v="2"/>
    <x v="5"/>
    <s v="Ravi"/>
    <n v="80"/>
    <x v="10"/>
  </r>
  <r>
    <x v="5"/>
    <x v="77"/>
    <n v="30"/>
    <n v="0.75"/>
    <x v="5"/>
    <s v="Ravi"/>
    <n v="22.5"/>
    <x v="10"/>
  </r>
  <r>
    <x v="5"/>
    <x v="90"/>
    <n v="120"/>
    <n v="1"/>
    <x v="5"/>
    <s v="Ravi"/>
    <n v="120"/>
    <x v="10"/>
  </r>
  <r>
    <x v="5"/>
    <x v="79"/>
    <n v="20"/>
    <n v="3"/>
    <x v="5"/>
    <s v="Ravi"/>
    <n v="60"/>
    <x v="10"/>
  </r>
  <r>
    <x v="5"/>
    <x v="45"/>
    <n v="37"/>
    <n v="3"/>
    <x v="5"/>
    <s v="Ravi"/>
    <n v="111"/>
    <x v="1"/>
  </r>
  <r>
    <x v="5"/>
    <x v="0"/>
    <n v="14"/>
    <n v="0.65"/>
    <x v="2"/>
    <s v="Ravi"/>
    <n v="9.1"/>
    <x v="0"/>
  </r>
  <r>
    <x v="5"/>
    <x v="9"/>
    <n v="14.75"/>
    <n v="0.4"/>
    <x v="2"/>
    <s v="Ravi"/>
    <n v="5.9"/>
    <x v="0"/>
  </r>
  <r>
    <x v="5"/>
    <x v="45"/>
    <n v="37"/>
    <n v="0.2"/>
    <x v="2"/>
    <s v="Ravi"/>
    <n v="7.4"/>
    <x v="1"/>
  </r>
  <r>
    <x v="5"/>
    <x v="30"/>
    <n v="27.97"/>
    <n v="0.22"/>
    <x v="2"/>
    <s v="Ravi"/>
    <n v="6.1533999999999995"/>
    <x v="0"/>
  </r>
  <r>
    <x v="5"/>
    <x v="39"/>
    <n v="75"/>
    <n v="0.6"/>
    <x v="6"/>
    <s v="Jaggu"/>
    <n v="45"/>
    <x v="6"/>
  </r>
  <r>
    <x v="5"/>
    <x v="63"/>
    <n v="3"/>
    <n v="5"/>
    <x v="6"/>
    <s v="Jaggu"/>
    <n v="15"/>
    <x v="0"/>
  </r>
  <r>
    <x v="5"/>
    <x v="0"/>
    <n v="14"/>
    <n v="0.4"/>
    <x v="6"/>
    <s v="Jaggu"/>
    <n v="5.6000000000000005"/>
    <x v="0"/>
  </r>
  <r>
    <x v="6"/>
    <x v="64"/>
    <n v="78.95"/>
    <n v="19"/>
    <x v="3"/>
    <s v="Common"/>
    <n v="1500.05"/>
    <x v="7"/>
  </r>
  <r>
    <x v="6"/>
    <x v="6"/>
    <n v="26"/>
    <n v="9.1"/>
    <x v="0"/>
    <s v="Murthy"/>
    <n v="236.6"/>
    <x v="2"/>
  </r>
  <r>
    <x v="6"/>
    <x v="16"/>
    <n v="60"/>
    <n v="1.2"/>
    <x v="0"/>
    <s v="Murthy"/>
    <n v="72"/>
    <x v="0"/>
  </r>
  <r>
    <x v="6"/>
    <x v="17"/>
    <n v="140"/>
    <n v="0.5"/>
    <x v="0"/>
    <s v="Murthy"/>
    <n v="70"/>
    <x v="4"/>
  </r>
  <r>
    <x v="6"/>
    <x v="32"/>
    <n v="32"/>
    <n v="0.4"/>
    <x v="0"/>
    <s v="Murthy"/>
    <n v="12.8"/>
    <x v="0"/>
  </r>
  <r>
    <x v="6"/>
    <x v="2"/>
    <n v="30"/>
    <n v="0.5"/>
    <x v="0"/>
    <s v="Murthy"/>
    <n v="15"/>
    <x v="0"/>
  </r>
  <r>
    <x v="6"/>
    <x v="35"/>
    <n v="125"/>
    <n v="0.12"/>
    <x v="0"/>
    <s v="Murthy"/>
    <n v="15"/>
    <x v="0"/>
  </r>
  <r>
    <x v="6"/>
    <x v="1"/>
    <n v="30"/>
    <n v="1.3"/>
    <x v="0"/>
    <s v="Murthy"/>
    <n v="39"/>
    <x v="0"/>
  </r>
  <r>
    <x v="6"/>
    <x v="14"/>
    <n v="25"/>
    <n v="1.2"/>
    <x v="0"/>
    <s v="Murthy"/>
    <n v="30"/>
    <x v="0"/>
  </r>
  <r>
    <x v="6"/>
    <x v="17"/>
    <n v="140"/>
    <n v="0.5"/>
    <x v="0"/>
    <s v="Murthy"/>
    <n v="70"/>
    <x v="4"/>
  </r>
  <r>
    <x v="6"/>
    <x v="22"/>
    <n v="62"/>
    <n v="2"/>
    <x v="0"/>
    <s v="Murthy"/>
    <n v="124"/>
    <x v="1"/>
  </r>
  <r>
    <x v="6"/>
    <x v="3"/>
    <n v="17"/>
    <n v="1"/>
    <x v="0"/>
    <s v="Murthy"/>
    <n v="17"/>
    <x v="1"/>
  </r>
  <r>
    <x v="6"/>
    <x v="23"/>
    <n v="220"/>
    <n v="5.0000000000000001E-3"/>
    <x v="0"/>
    <s v="Murthy"/>
    <n v="1.1000000000000001"/>
    <x v="5"/>
  </r>
  <r>
    <x v="6"/>
    <x v="24"/>
    <n v="740"/>
    <n v="5.0000000000000001E-3"/>
    <x v="0"/>
    <s v="Murthy"/>
    <n v="3.7"/>
    <x v="5"/>
  </r>
  <r>
    <x v="6"/>
    <x v="25"/>
    <n v="1450"/>
    <n v="5.0000000000000001E-3"/>
    <x v="0"/>
    <s v="Murthy"/>
    <n v="7.25"/>
    <x v="5"/>
  </r>
  <r>
    <x v="6"/>
    <x v="27"/>
    <n v="1480"/>
    <n v="5.0000000000000001E-3"/>
    <x v="0"/>
    <s v="Murthy"/>
    <n v="7.4"/>
    <x v="5"/>
  </r>
  <r>
    <x v="6"/>
    <x v="9"/>
    <n v="14.75"/>
    <n v="0.5"/>
    <x v="0"/>
    <s v="Murthy"/>
    <n v="7.375"/>
    <x v="0"/>
  </r>
  <r>
    <x v="6"/>
    <x v="8"/>
    <n v="29.51"/>
    <n v="3.2"/>
    <x v="0"/>
    <s v="Murthy"/>
    <n v="94.432000000000016"/>
    <x v="1"/>
  </r>
  <r>
    <x v="6"/>
    <x v="10"/>
    <n v="45"/>
    <n v="1"/>
    <x v="0"/>
    <s v="Murthy"/>
    <n v="45"/>
    <x v="1"/>
  </r>
  <r>
    <x v="6"/>
    <x v="45"/>
    <n v="37"/>
    <n v="0.2"/>
    <x v="4"/>
    <s v="Vicky"/>
    <n v="7.4"/>
    <x v="1"/>
  </r>
  <r>
    <x v="6"/>
    <x v="65"/>
    <n v="390"/>
    <n v="0.65999999999999992"/>
    <x v="4"/>
    <s v="Vicky"/>
    <n v="257.39999999999998"/>
    <x v="8"/>
  </r>
  <r>
    <x v="6"/>
    <x v="33"/>
    <n v="175"/>
    <n v="1"/>
    <x v="0"/>
    <s v="Murthy"/>
    <n v="175"/>
    <x v="4"/>
  </r>
  <r>
    <x v="6"/>
    <x v="11"/>
    <n v="82"/>
    <n v="2"/>
    <x v="0"/>
    <s v="Murthy"/>
    <n v="164"/>
    <x v="3"/>
  </r>
  <r>
    <x v="6"/>
    <x v="63"/>
    <n v="3"/>
    <n v="8"/>
    <x v="0"/>
    <s v="Murthy"/>
    <n v="24"/>
    <x v="0"/>
  </r>
  <r>
    <x v="6"/>
    <x v="4"/>
    <n v="180"/>
    <n v="0.5"/>
    <x v="0"/>
    <s v="Murthy"/>
    <n v="90"/>
    <x v="1"/>
  </r>
  <r>
    <x v="6"/>
    <x v="34"/>
    <n v="51"/>
    <n v="0.1"/>
    <x v="0"/>
    <s v="Murthy"/>
    <n v="5.1000000000000005"/>
    <x v="1"/>
  </r>
  <r>
    <x v="6"/>
    <x v="66"/>
    <n v="3"/>
    <n v="1.9"/>
    <x v="0"/>
    <s v="Murthy"/>
    <n v="5.6999999999999993"/>
    <x v="0"/>
  </r>
  <r>
    <x v="6"/>
    <x v="31"/>
    <n v="120"/>
    <n v="0.4"/>
    <x v="0"/>
    <s v="Murthy"/>
    <n v="48"/>
    <x v="1"/>
  </r>
  <r>
    <x v="6"/>
    <x v="30"/>
    <n v="27.97"/>
    <n v="0.98"/>
    <x v="0"/>
    <s v="Murthy"/>
    <n v="27.410599999999999"/>
    <x v="0"/>
  </r>
  <r>
    <x v="6"/>
    <x v="0"/>
    <n v="14"/>
    <n v="5"/>
    <x v="0"/>
    <s v="Murthy"/>
    <n v="70"/>
    <x v="0"/>
  </r>
  <r>
    <x v="6"/>
    <x v="78"/>
    <n v="40"/>
    <n v="0.2"/>
    <x v="0"/>
    <s v="Murthy"/>
    <n v="8"/>
    <x v="11"/>
  </r>
  <r>
    <x v="6"/>
    <x v="12"/>
    <n v="28"/>
    <n v="0.5"/>
    <x v="0"/>
    <s v="Murthy"/>
    <n v="14"/>
    <x v="0"/>
  </r>
  <r>
    <x v="6"/>
    <x v="7"/>
    <n v="38"/>
    <n v="1.5"/>
    <x v="0"/>
    <s v="Murthy"/>
    <n v="57"/>
    <x v="0"/>
  </r>
  <r>
    <x v="6"/>
    <x v="11"/>
    <n v="82"/>
    <n v="2"/>
    <x v="0"/>
    <s v="Murthy"/>
    <n v="164"/>
    <x v="3"/>
  </r>
  <r>
    <x v="6"/>
    <x v="94"/>
    <n v="20"/>
    <n v="6.3"/>
    <x v="0"/>
    <s v="Murthy"/>
    <n v="126"/>
    <x v="0"/>
  </r>
  <r>
    <x v="6"/>
    <x v="32"/>
    <n v="32"/>
    <n v="5"/>
    <x v="0"/>
    <s v="Murthy"/>
    <n v="160"/>
    <x v="0"/>
  </r>
  <r>
    <x v="6"/>
    <x v="38"/>
    <n v="27"/>
    <n v="3"/>
    <x v="0"/>
    <s v="Murthy"/>
    <n v="81"/>
    <x v="1"/>
  </r>
  <r>
    <x v="6"/>
    <x v="19"/>
    <n v="23.33"/>
    <n v="1.6"/>
    <x v="0"/>
    <s v="Murthy"/>
    <n v="37.327999999999996"/>
    <x v="0"/>
  </r>
  <r>
    <x v="6"/>
    <x v="45"/>
    <n v="37"/>
    <n v="1.425"/>
    <x v="0"/>
    <s v="Murthy"/>
    <n v="52.725000000000001"/>
    <x v="1"/>
  </r>
  <r>
    <x v="6"/>
    <x v="29"/>
    <n v="43.06"/>
    <n v="0.3"/>
    <x v="0"/>
    <s v="Murthy"/>
    <n v="12.918000000000001"/>
    <x v="0"/>
  </r>
  <r>
    <x v="6"/>
    <x v="28"/>
    <n v="64"/>
    <n v="2"/>
    <x v="0"/>
    <s v="Murthy"/>
    <n v="128"/>
    <x v="1"/>
  </r>
  <r>
    <x v="6"/>
    <x v="37"/>
    <n v="138"/>
    <n v="0.28000000000000003"/>
    <x v="0"/>
    <s v="Murthy"/>
    <n v="38.64"/>
    <x v="1"/>
  </r>
  <r>
    <x v="6"/>
    <x v="103"/>
    <n v="60"/>
    <n v="0.2"/>
    <x v="0"/>
    <s v="Murthy"/>
    <n v="12"/>
    <x v="6"/>
  </r>
  <r>
    <x v="6"/>
    <x v="104"/>
    <n v="45"/>
    <n v="0.1"/>
    <x v="0"/>
    <s v="Murthy"/>
    <n v="4.5"/>
    <x v="1"/>
  </r>
  <r>
    <x v="6"/>
    <x v="39"/>
    <n v="75"/>
    <n v="0.6"/>
    <x v="0"/>
    <s v="Murthy"/>
    <n v="45"/>
    <x v="6"/>
  </r>
  <r>
    <x v="6"/>
    <x v="76"/>
    <n v="34"/>
    <n v="0.8"/>
    <x v="1"/>
    <s v="Ravi"/>
    <n v="27.200000000000003"/>
    <x v="1"/>
  </r>
  <r>
    <x v="6"/>
    <x v="19"/>
    <n v="23.33"/>
    <n v="0.1"/>
    <x v="1"/>
    <s v="Ravi"/>
    <n v="2.3329999999999997"/>
    <x v="0"/>
  </r>
  <r>
    <x v="6"/>
    <x v="44"/>
    <n v="52"/>
    <n v="4.4000000000000004"/>
    <x v="1"/>
    <s v="Ravi"/>
    <n v="228.8"/>
    <x v="1"/>
  </r>
  <r>
    <x v="6"/>
    <x v="43"/>
    <n v="28"/>
    <n v="3"/>
    <x v="1"/>
    <s v="Ravi"/>
    <n v="84"/>
    <x v="0"/>
  </r>
  <r>
    <x v="6"/>
    <x v="45"/>
    <n v="37"/>
    <n v="0.3"/>
    <x v="1"/>
    <s v="Ravi"/>
    <n v="11.1"/>
    <x v="1"/>
  </r>
  <r>
    <x v="6"/>
    <x v="47"/>
    <n v="280"/>
    <n v="7.0000000000000007E-2"/>
    <x v="1"/>
    <s v="Ravi"/>
    <n v="19.600000000000001"/>
    <x v="1"/>
  </r>
  <r>
    <x v="6"/>
    <x v="31"/>
    <n v="120"/>
    <n v="7.4999999999999997E-2"/>
    <x v="1"/>
    <s v="Ravi"/>
    <n v="9"/>
    <x v="1"/>
  </r>
  <r>
    <x v="6"/>
    <x v="73"/>
    <n v="340"/>
    <n v="0.03"/>
    <x v="1"/>
    <s v="Ravi"/>
    <n v="10.199999999999999"/>
    <x v="1"/>
  </r>
  <r>
    <x v="6"/>
    <x v="60"/>
    <n v="500"/>
    <n v="7.0000000000000007E-2"/>
    <x v="1"/>
    <s v="Ravi"/>
    <n v="35"/>
    <x v="1"/>
  </r>
  <r>
    <x v="6"/>
    <x v="48"/>
    <n v="7"/>
    <n v="0.59"/>
    <x v="1"/>
    <s v="Ravi"/>
    <n v="4.13"/>
    <x v="1"/>
  </r>
  <r>
    <x v="6"/>
    <x v="71"/>
    <n v="187.41"/>
    <n v="0.03"/>
    <x v="1"/>
    <s v="Ravi"/>
    <n v="5.6223000000000001"/>
    <x v="1"/>
  </r>
  <r>
    <x v="6"/>
    <x v="59"/>
    <n v="57.5"/>
    <n v="2.5000000000000001E-2"/>
    <x v="1"/>
    <s v="Ravi"/>
    <n v="1.4375"/>
    <x v="1"/>
  </r>
  <r>
    <x v="6"/>
    <x v="49"/>
    <n v="96"/>
    <n v="0.14000000000000001"/>
    <x v="1"/>
    <s v="Ravi"/>
    <n v="13.440000000000001"/>
    <x v="3"/>
  </r>
  <r>
    <x v="6"/>
    <x v="11"/>
    <n v="82"/>
    <n v="1"/>
    <x v="1"/>
    <s v="Ravi"/>
    <n v="82"/>
    <x v="3"/>
  </r>
  <r>
    <x v="6"/>
    <x v="20"/>
    <n v="230"/>
    <n v="3.5000000000000003E-2"/>
    <x v="1"/>
    <s v="Ravi"/>
    <n v="8.0500000000000007"/>
    <x v="1"/>
  </r>
  <r>
    <x v="6"/>
    <x v="50"/>
    <n v="70"/>
    <n v="3.5000000000000003E-2"/>
    <x v="1"/>
    <s v="Ravi"/>
    <n v="2.4500000000000002"/>
    <x v="1"/>
  </r>
  <r>
    <x v="6"/>
    <x v="0"/>
    <n v="14"/>
    <n v="2"/>
    <x v="1"/>
    <s v="Ravi"/>
    <n v="28"/>
    <x v="0"/>
  </r>
  <r>
    <x v="6"/>
    <x v="51"/>
    <n v="55"/>
    <n v="5.5E-2"/>
    <x v="1"/>
    <s v="Ravi"/>
    <n v="3.0249999999999999"/>
    <x v="1"/>
  </r>
  <r>
    <x v="6"/>
    <x v="12"/>
    <n v="28"/>
    <n v="0.245"/>
    <x v="1"/>
    <s v="Ravi"/>
    <n v="6.8599999999999994"/>
    <x v="0"/>
  </r>
  <r>
    <x v="6"/>
    <x v="13"/>
    <n v="40"/>
    <n v="6.5000000000000002E-2"/>
    <x v="1"/>
    <s v="Ravi"/>
    <n v="2.6"/>
    <x v="0"/>
  </r>
  <r>
    <x v="6"/>
    <x v="57"/>
    <n v="64.069999999999993"/>
    <n v="0.3"/>
    <x v="1"/>
    <s v="Ravi"/>
    <n v="19.220999999999997"/>
    <x v="1"/>
  </r>
  <r>
    <x v="6"/>
    <x v="56"/>
    <n v="840"/>
    <n v="2.75E-2"/>
    <x v="1"/>
    <s v="Ravi"/>
    <n v="23.1"/>
    <x v="1"/>
  </r>
  <r>
    <x v="6"/>
    <x v="55"/>
    <n v="240"/>
    <n v="2.75E-2"/>
    <x v="1"/>
    <s v="Ravi"/>
    <n v="6.6"/>
    <x v="1"/>
  </r>
  <r>
    <x v="6"/>
    <x v="9"/>
    <n v="14.75"/>
    <n v="0.95499999999999996"/>
    <x v="1"/>
    <s v="Ravi"/>
    <n v="14.08625"/>
    <x v="0"/>
  </r>
  <r>
    <x v="6"/>
    <x v="14"/>
    <n v="25"/>
    <n v="0.315"/>
    <x v="1"/>
    <s v="Ravi"/>
    <n v="7.875"/>
    <x v="0"/>
  </r>
  <r>
    <x v="6"/>
    <x v="35"/>
    <n v="125"/>
    <n v="0.06"/>
    <x v="1"/>
    <s v="Ravi"/>
    <n v="7.5"/>
    <x v="0"/>
  </r>
  <r>
    <x v="6"/>
    <x v="30"/>
    <n v="27.97"/>
    <n v="0.75"/>
    <x v="1"/>
    <s v="Ravi"/>
    <n v="20.977499999999999"/>
    <x v="0"/>
  </r>
  <r>
    <x v="6"/>
    <x v="29"/>
    <n v="43.06"/>
    <n v="0.72499999999999998"/>
    <x v="1"/>
    <s v="Ravi"/>
    <n v="31.218500000000002"/>
    <x v="0"/>
  </r>
  <r>
    <x v="6"/>
    <x v="75"/>
    <n v="108"/>
    <n v="0.11"/>
    <x v="1"/>
    <s v="Ravi"/>
    <n v="11.88"/>
    <x v="1"/>
  </r>
  <r>
    <x v="6"/>
    <x v="99"/>
    <n v="60"/>
    <n v="0.09"/>
    <x v="1"/>
    <s v="Ravi"/>
    <n v="5.3999999999999995"/>
    <x v="1"/>
  </r>
  <r>
    <x v="6"/>
    <x v="62"/>
    <n v="312.14"/>
    <n v="0.02"/>
    <x v="1"/>
    <s v="Ravi"/>
    <n v="6.2427999999999999"/>
    <x v="0"/>
  </r>
  <r>
    <x v="6"/>
    <x v="52"/>
    <n v="160"/>
    <n v="0.14499999999999999"/>
    <x v="1"/>
    <s v="Ravi"/>
    <n v="23.2"/>
    <x v="1"/>
  </r>
  <r>
    <x v="6"/>
    <x v="53"/>
    <n v="62.03"/>
    <n v="0.05"/>
    <x v="1"/>
    <s v="Ravi"/>
    <n v="3.1015000000000001"/>
    <x v="1"/>
  </r>
  <r>
    <x v="6"/>
    <x v="25"/>
    <n v="1450"/>
    <n v="5.0000000000000001E-3"/>
    <x v="1"/>
    <s v="Ravi"/>
    <n v="7.25"/>
    <x v="5"/>
  </r>
  <r>
    <x v="6"/>
    <x v="61"/>
    <n v="61.08"/>
    <n v="0.17499999999999999"/>
    <x v="1"/>
    <s v="Ravi"/>
    <n v="10.688999999999998"/>
    <x v="1"/>
  </r>
  <r>
    <x v="6"/>
    <x v="46"/>
    <n v="35"/>
    <n v="1.1000000000000001"/>
    <x v="1"/>
    <s v="Ravi"/>
    <n v="38.5"/>
    <x v="0"/>
  </r>
  <r>
    <x v="6"/>
    <x v="2"/>
    <n v="30"/>
    <n v="0.2"/>
    <x v="1"/>
    <s v="Ravi"/>
    <n v="6"/>
    <x v="0"/>
  </r>
  <r>
    <x v="6"/>
    <x v="37"/>
    <n v="138"/>
    <n v="0.02"/>
    <x v="1"/>
    <s v="Ravi"/>
    <n v="2.7600000000000002"/>
    <x v="1"/>
  </r>
  <r>
    <x v="6"/>
    <x v="76"/>
    <n v="34"/>
    <n v="0.1"/>
    <x v="1"/>
    <s v="Ravi"/>
    <n v="3.4000000000000004"/>
    <x v="1"/>
  </r>
  <r>
    <x v="6"/>
    <x v="15"/>
    <n v="43.98"/>
    <n v="0.2"/>
    <x v="1"/>
    <s v="Ravi"/>
    <n v="8.7959999999999994"/>
    <x v="0"/>
  </r>
  <r>
    <x v="6"/>
    <x v="51"/>
    <n v="55"/>
    <n v="0.15"/>
    <x v="1"/>
    <s v="Ravi"/>
    <n v="8.25"/>
    <x v="1"/>
  </r>
  <r>
    <x v="6"/>
    <x v="0"/>
    <n v="14"/>
    <n v="0.4"/>
    <x v="6"/>
    <s v="Jaggu"/>
    <n v="5.6000000000000005"/>
    <x v="0"/>
  </r>
  <r>
    <x v="6"/>
    <x v="63"/>
    <n v="3"/>
    <n v="10"/>
    <x v="6"/>
    <s v="Jaggu"/>
    <n v="30"/>
    <x v="0"/>
  </r>
  <r>
    <x v="6"/>
    <x v="45"/>
    <n v="37"/>
    <n v="1.5"/>
    <x v="5"/>
    <s v="Ravi"/>
    <n v="55.5"/>
    <x v="1"/>
  </r>
  <r>
    <x v="6"/>
    <x v="79"/>
    <n v="20"/>
    <n v="4.4000000000000004"/>
    <x v="5"/>
    <s v="Ravi"/>
    <n v="88"/>
    <x v="10"/>
  </r>
  <r>
    <x v="6"/>
    <x v="0"/>
    <n v="14"/>
    <n v="0.5"/>
    <x v="2"/>
    <s v="Ravi"/>
    <n v="7"/>
    <x v="0"/>
  </r>
  <r>
    <x v="6"/>
    <x v="9"/>
    <n v="14.75"/>
    <n v="0.4"/>
    <x v="2"/>
    <s v="Ravi"/>
    <n v="5.9"/>
    <x v="0"/>
  </r>
  <r>
    <x v="6"/>
    <x v="30"/>
    <n v="27.97"/>
    <n v="0.315"/>
    <x v="2"/>
    <s v="Ravi"/>
    <n v="8.8105499999999992"/>
    <x v="0"/>
  </r>
  <r>
    <x v="6"/>
    <x v="63"/>
    <n v="3"/>
    <n v="35"/>
    <x v="5"/>
    <s v="Ravi"/>
    <n v="105"/>
    <x v="0"/>
  </r>
  <r>
    <x v="6"/>
    <x v="14"/>
    <n v="25"/>
    <n v="0.15"/>
    <x v="2"/>
    <s v="Ravi"/>
    <n v="3.75"/>
    <x v="0"/>
  </r>
  <r>
    <x v="6"/>
    <x v="81"/>
    <n v="50"/>
    <n v="4"/>
    <x v="5"/>
    <s v="Ravi"/>
    <n v="200"/>
    <x v="10"/>
  </r>
  <r>
    <x v="6"/>
    <x v="41"/>
    <n v="36"/>
    <n v="1.5"/>
    <x v="1"/>
    <s v="Ravi"/>
    <n v="54"/>
    <x v="4"/>
  </r>
  <r>
    <x v="6"/>
    <x v="42"/>
    <n v="42"/>
    <n v="1.5"/>
    <x v="1"/>
    <s v="Ravi"/>
    <n v="63"/>
    <x v="4"/>
  </r>
  <r>
    <x v="7"/>
    <x v="105"/>
    <n v="184"/>
    <n v="0.5"/>
    <x v="0"/>
    <s v="Murthy"/>
    <n v="92"/>
    <x v="1"/>
  </r>
  <r>
    <x v="7"/>
    <x v="106"/>
    <n v="580"/>
    <n v="1"/>
    <x v="0"/>
    <s v="Murthy"/>
    <n v="580"/>
    <x v="1"/>
  </r>
  <r>
    <x v="7"/>
    <x v="107"/>
    <n v="130"/>
    <n v="0.1"/>
    <x v="0"/>
    <s v="Murthy"/>
    <n v="13"/>
    <x v="1"/>
  </r>
  <r>
    <x v="7"/>
    <x v="0"/>
    <n v="14"/>
    <n v="17"/>
    <x v="0"/>
    <s v="Murthy"/>
    <n v="238"/>
    <x v="0"/>
  </r>
  <r>
    <x v="7"/>
    <x v="9"/>
    <n v="14.75"/>
    <n v="5.7"/>
    <x v="0"/>
    <s v="Murthy"/>
    <n v="84.075000000000003"/>
    <x v="0"/>
  </r>
  <r>
    <x v="7"/>
    <x v="11"/>
    <n v="82"/>
    <n v="2"/>
    <x v="0"/>
    <s v="Murthy"/>
    <n v="164"/>
    <x v="3"/>
  </r>
  <r>
    <x v="7"/>
    <x v="23"/>
    <n v="220"/>
    <n v="0.01"/>
    <x v="0"/>
    <s v="Murthy"/>
    <n v="2.2000000000000002"/>
    <x v="5"/>
  </r>
  <r>
    <x v="7"/>
    <x v="24"/>
    <n v="740"/>
    <n v="0.01"/>
    <x v="0"/>
    <s v="Murthy"/>
    <n v="7.4"/>
    <x v="5"/>
  </r>
  <r>
    <x v="7"/>
    <x v="25"/>
    <n v="1450"/>
    <n v="0.01"/>
    <x v="0"/>
    <s v="Murthy"/>
    <n v="14.5"/>
    <x v="5"/>
  </r>
  <r>
    <x v="7"/>
    <x v="27"/>
    <n v="1480"/>
    <n v="0.01"/>
    <x v="0"/>
    <s v="Murthy"/>
    <n v="14.8"/>
    <x v="5"/>
  </r>
  <r>
    <x v="7"/>
    <x v="64"/>
    <n v="78.95"/>
    <n v="19"/>
    <x v="3"/>
    <s v="Common"/>
    <n v="1500.05"/>
    <x v="7"/>
  </r>
  <r>
    <x v="7"/>
    <x v="6"/>
    <n v="26"/>
    <n v="18.100000000000001"/>
    <x v="0"/>
    <s v="Murthy"/>
    <n v="470.6"/>
    <x v="2"/>
  </r>
  <r>
    <x v="7"/>
    <x v="14"/>
    <n v="25"/>
    <n v="0.51"/>
    <x v="0"/>
    <s v="Murthy"/>
    <n v="12.75"/>
    <x v="0"/>
  </r>
  <r>
    <x v="7"/>
    <x v="22"/>
    <n v="62"/>
    <n v="1.5"/>
    <x v="0"/>
    <s v="Murthy"/>
    <n v="93"/>
    <x v="1"/>
  </r>
  <r>
    <x v="7"/>
    <x v="0"/>
    <n v="14"/>
    <n v="4"/>
    <x v="0"/>
    <s v="Murthy"/>
    <n v="56"/>
    <x v="0"/>
  </r>
  <r>
    <x v="7"/>
    <x v="32"/>
    <n v="32"/>
    <n v="2"/>
    <x v="0"/>
    <s v="Murthy"/>
    <n v="64"/>
    <x v="0"/>
  </r>
  <r>
    <x v="7"/>
    <x v="65"/>
    <n v="390"/>
    <n v="0.4"/>
    <x v="4"/>
    <s v="Vicky"/>
    <n v="156"/>
    <x v="8"/>
  </r>
  <r>
    <x v="7"/>
    <x v="40"/>
    <n v="450"/>
    <n v="0.65"/>
    <x v="0"/>
    <s v="Murthy"/>
    <n v="292.5"/>
    <x v="1"/>
  </r>
  <r>
    <x v="7"/>
    <x v="45"/>
    <n v="37"/>
    <n v="0.7"/>
    <x v="4"/>
    <s v="Vicky"/>
    <n v="25.9"/>
    <x v="1"/>
  </r>
  <r>
    <x v="7"/>
    <x v="8"/>
    <n v="29.51"/>
    <n v="0.3"/>
    <x v="0"/>
    <s v="Murthy"/>
    <n v="8.8529999999999998"/>
    <x v="1"/>
  </r>
  <r>
    <x v="7"/>
    <x v="108"/>
    <n v="48"/>
    <n v="1"/>
    <x v="0"/>
    <s v="Murthy"/>
    <n v="48"/>
    <x v="12"/>
  </r>
  <r>
    <x v="7"/>
    <x v="78"/>
    <n v="40"/>
    <n v="0.2"/>
    <x v="0"/>
    <s v="Murthy"/>
    <n v="8"/>
    <x v="11"/>
  </r>
  <r>
    <x v="7"/>
    <x v="23"/>
    <n v="220"/>
    <n v="5.0000000000000001E-3"/>
    <x v="0"/>
    <s v="Murthy"/>
    <n v="1.1000000000000001"/>
    <x v="5"/>
  </r>
  <r>
    <x v="7"/>
    <x v="24"/>
    <n v="740"/>
    <n v="5.0000000000000001E-3"/>
    <x v="0"/>
    <s v="Murthy"/>
    <n v="3.7"/>
    <x v="5"/>
  </r>
  <r>
    <x v="7"/>
    <x v="25"/>
    <n v="1450"/>
    <n v="5.0000000000000001E-3"/>
    <x v="0"/>
    <s v="Murthy"/>
    <n v="7.25"/>
    <x v="5"/>
  </r>
  <r>
    <x v="7"/>
    <x v="26"/>
    <n v="750"/>
    <n v="0.01"/>
    <x v="0"/>
    <s v="Murthy"/>
    <n v="7.5"/>
    <x v="5"/>
  </r>
  <r>
    <x v="7"/>
    <x v="35"/>
    <n v="125"/>
    <n v="0.06"/>
    <x v="0"/>
    <s v="Murthy"/>
    <n v="7.5"/>
    <x v="0"/>
  </r>
  <r>
    <x v="7"/>
    <x v="11"/>
    <n v="82"/>
    <n v="2"/>
    <x v="0"/>
    <s v="Murthy"/>
    <n v="164"/>
    <x v="3"/>
  </r>
  <r>
    <x v="7"/>
    <x v="38"/>
    <n v="27"/>
    <n v="3"/>
    <x v="0"/>
    <s v="Murthy"/>
    <n v="81"/>
    <x v="1"/>
  </r>
  <r>
    <x v="7"/>
    <x v="19"/>
    <n v="23.33"/>
    <n v="1.1000000000000001"/>
    <x v="0"/>
    <s v="Murthy"/>
    <n v="25.663"/>
    <x v="0"/>
  </r>
  <r>
    <x v="7"/>
    <x v="33"/>
    <n v="175"/>
    <n v="2"/>
    <x v="0"/>
    <s v="Murthy"/>
    <n v="350"/>
    <x v="4"/>
  </r>
  <r>
    <x v="7"/>
    <x v="12"/>
    <n v="28"/>
    <n v="0.25"/>
    <x v="0"/>
    <s v="Murthy"/>
    <n v="7"/>
    <x v="0"/>
  </r>
  <r>
    <x v="7"/>
    <x v="13"/>
    <n v="40"/>
    <n v="0.15"/>
    <x v="0"/>
    <s v="Murthy"/>
    <n v="6"/>
    <x v="0"/>
  </r>
  <r>
    <x v="7"/>
    <x v="1"/>
    <n v="30"/>
    <n v="1.3"/>
    <x v="0"/>
    <s v="Murthy"/>
    <n v="39"/>
    <x v="0"/>
  </r>
  <r>
    <x v="7"/>
    <x v="16"/>
    <n v="60"/>
    <n v="0.3"/>
    <x v="0"/>
    <s v="Murthy"/>
    <n v="18"/>
    <x v="0"/>
  </r>
  <r>
    <x v="7"/>
    <x v="66"/>
    <n v="3"/>
    <n v="0.86"/>
    <x v="0"/>
    <s v="Murthy"/>
    <n v="2.58"/>
    <x v="0"/>
  </r>
  <r>
    <x v="7"/>
    <x v="30"/>
    <n v="27.97"/>
    <n v="0.5"/>
    <x v="0"/>
    <s v="Murthy"/>
    <n v="13.984999999999999"/>
    <x v="0"/>
  </r>
  <r>
    <x v="7"/>
    <x v="32"/>
    <n v="32"/>
    <n v="1"/>
    <x v="0"/>
    <s v="Murthy"/>
    <n v="32"/>
    <x v="0"/>
  </r>
  <r>
    <x v="7"/>
    <x v="7"/>
    <n v="38"/>
    <n v="1.6"/>
    <x v="0"/>
    <s v="Murthy"/>
    <n v="60.800000000000004"/>
    <x v="0"/>
  </r>
  <r>
    <x v="7"/>
    <x v="34"/>
    <n v="51"/>
    <n v="0.1"/>
    <x v="0"/>
    <s v="Murthy"/>
    <n v="5.1000000000000005"/>
    <x v="1"/>
  </r>
  <r>
    <x v="7"/>
    <x v="59"/>
    <n v="57.5"/>
    <n v="0.08"/>
    <x v="0"/>
    <s v="Murthy"/>
    <n v="4.6000000000000005"/>
    <x v="1"/>
  </r>
  <r>
    <x v="7"/>
    <x v="70"/>
    <n v="280"/>
    <n v="0.4"/>
    <x v="0"/>
    <s v="Murthy"/>
    <n v="112"/>
    <x v="1"/>
  </r>
  <r>
    <x v="7"/>
    <x v="29"/>
    <n v="43.06"/>
    <n v="0.27"/>
    <x v="0"/>
    <s v="Murthy"/>
    <n v="11.626200000000001"/>
    <x v="0"/>
  </r>
  <r>
    <x v="7"/>
    <x v="20"/>
    <n v="230"/>
    <n v="0.01"/>
    <x v="0"/>
    <s v="Murthy"/>
    <n v="2.3000000000000003"/>
    <x v="1"/>
  </r>
  <r>
    <x v="7"/>
    <x v="67"/>
    <n v="33"/>
    <n v="1"/>
    <x v="0"/>
    <s v="Murthy"/>
    <n v="33"/>
    <x v="9"/>
  </r>
  <r>
    <x v="7"/>
    <x v="39"/>
    <n v="75"/>
    <n v="1.2"/>
    <x v="0"/>
    <s v="Murthy"/>
    <n v="90"/>
    <x v="6"/>
  </r>
  <r>
    <x v="7"/>
    <x v="10"/>
    <n v="45"/>
    <n v="1"/>
    <x v="0"/>
    <s v="Murthy"/>
    <n v="45"/>
    <x v="1"/>
  </r>
  <r>
    <x v="7"/>
    <x v="8"/>
    <n v="29.51"/>
    <n v="2.2000000000000002"/>
    <x v="0"/>
    <s v="Murthy"/>
    <n v="64.922000000000011"/>
    <x v="1"/>
  </r>
  <r>
    <x v="7"/>
    <x v="11"/>
    <n v="82"/>
    <n v="1"/>
    <x v="0"/>
    <s v="Murthy"/>
    <n v="82"/>
    <x v="3"/>
  </r>
  <r>
    <x v="7"/>
    <x v="20"/>
    <n v="230"/>
    <n v="0.1"/>
    <x v="0"/>
    <s v="Murthy"/>
    <n v="23"/>
    <x v="1"/>
  </r>
  <r>
    <x v="7"/>
    <x v="17"/>
    <n v="140"/>
    <n v="0.5"/>
    <x v="0"/>
    <s v="Murthy"/>
    <n v="70"/>
    <x v="4"/>
  </r>
  <r>
    <x v="7"/>
    <x v="41"/>
    <n v="36"/>
    <n v="0.25"/>
    <x v="0"/>
    <s v="Murthy"/>
    <n v="9"/>
    <x v="4"/>
  </r>
  <r>
    <x v="7"/>
    <x v="4"/>
    <n v="180"/>
    <n v="0.5"/>
    <x v="0"/>
    <s v="Murthy"/>
    <n v="90"/>
    <x v="1"/>
  </r>
  <r>
    <x v="7"/>
    <x v="3"/>
    <n v="17"/>
    <n v="1"/>
    <x v="0"/>
    <s v="Murthy"/>
    <n v="17"/>
    <x v="1"/>
  </r>
  <r>
    <x v="7"/>
    <x v="84"/>
    <n v="148"/>
    <n v="0.5"/>
    <x v="0"/>
    <s v="Murthy"/>
    <n v="74"/>
    <x v="1"/>
  </r>
  <r>
    <x v="7"/>
    <x v="109"/>
    <n v="100"/>
    <n v="0.5"/>
    <x v="0"/>
    <s v="Murthy"/>
    <n v="50"/>
    <x v="11"/>
  </r>
  <r>
    <x v="7"/>
    <x v="63"/>
    <n v="3"/>
    <n v="10"/>
    <x v="6"/>
    <s v="Jaggu"/>
    <n v="30"/>
    <x v="0"/>
  </r>
  <r>
    <x v="7"/>
    <x v="0"/>
    <n v="14"/>
    <n v="0.5"/>
    <x v="6"/>
    <s v="Jaggu"/>
    <n v="7"/>
    <x v="0"/>
  </r>
  <r>
    <x v="7"/>
    <x v="39"/>
    <n v="75"/>
    <n v="0.26"/>
    <x v="6"/>
    <s v="Jaggu"/>
    <n v="19.5"/>
    <x v="6"/>
  </r>
  <r>
    <x v="7"/>
    <x v="83"/>
    <n v="48"/>
    <n v="0.4"/>
    <x v="2"/>
    <s v="Ravi"/>
    <n v="19.200000000000003"/>
    <x v="1"/>
  </r>
  <r>
    <x v="7"/>
    <x v="45"/>
    <n v="37"/>
    <n v="4.0999999999999996"/>
    <x v="5"/>
    <s v="Ravi"/>
    <n v="151.69999999999999"/>
    <x v="1"/>
  </r>
  <r>
    <x v="7"/>
    <x v="0"/>
    <n v="14"/>
    <n v="0.76500000000000001"/>
    <x v="2"/>
    <s v="Ravi"/>
    <n v="10.71"/>
    <x v="0"/>
  </r>
  <r>
    <x v="7"/>
    <x v="30"/>
    <n v="27.97"/>
    <n v="0.28999999999999998"/>
    <x v="2"/>
    <s v="Ravi"/>
    <n v="8.1113"/>
    <x v="0"/>
  </r>
  <r>
    <x v="7"/>
    <x v="9"/>
    <n v="14.75"/>
    <n v="0.44"/>
    <x v="2"/>
    <s v="Ravi"/>
    <n v="6.49"/>
    <x v="0"/>
  </r>
  <r>
    <x v="7"/>
    <x v="14"/>
    <n v="25"/>
    <n v="4.4999999999999998E-2"/>
    <x v="2"/>
    <s v="Ravi"/>
    <n v="1.125"/>
    <x v="0"/>
  </r>
  <r>
    <x v="7"/>
    <x v="83"/>
    <n v="48"/>
    <n v="0.4"/>
    <x v="2"/>
    <s v="Ravi"/>
    <n v="19.200000000000003"/>
    <x v="1"/>
  </r>
  <r>
    <x v="7"/>
    <x v="41"/>
    <n v="36"/>
    <n v="1.5"/>
    <x v="1"/>
    <s v="Ravi"/>
    <n v="54"/>
    <x v="4"/>
  </r>
  <r>
    <x v="7"/>
    <x v="42"/>
    <n v="42"/>
    <n v="1.5"/>
    <x v="1"/>
    <s v="Ravi"/>
    <n v="63"/>
    <x v="4"/>
  </r>
  <r>
    <x v="7"/>
    <x v="44"/>
    <n v="52"/>
    <n v="4"/>
    <x v="1"/>
    <s v="Ravi"/>
    <n v="208"/>
    <x v="1"/>
  </r>
  <r>
    <x v="7"/>
    <x v="43"/>
    <n v="28"/>
    <n v="2"/>
    <x v="1"/>
    <s v="Ravi"/>
    <n v="56"/>
    <x v="0"/>
  </r>
  <r>
    <x v="7"/>
    <x v="45"/>
    <n v="37"/>
    <n v="0.1"/>
    <x v="1"/>
    <s v="Ravi"/>
    <n v="3.7"/>
    <x v="1"/>
  </r>
  <r>
    <x v="7"/>
    <x v="47"/>
    <n v="280"/>
    <n v="3.5000000000000003E-2"/>
    <x v="1"/>
    <s v="Ravi"/>
    <n v="9.8000000000000007"/>
    <x v="1"/>
  </r>
  <r>
    <x v="7"/>
    <x v="48"/>
    <n v="7"/>
    <n v="0.32500000000000001"/>
    <x v="1"/>
    <s v="Ravi"/>
    <n v="2.2749999999999999"/>
    <x v="1"/>
  </r>
  <r>
    <x v="7"/>
    <x v="71"/>
    <n v="187.41"/>
    <n v="1.4999999999999999E-2"/>
    <x v="1"/>
    <s v="Ravi"/>
    <n v="2.81115"/>
    <x v="1"/>
  </r>
  <r>
    <x v="7"/>
    <x v="49"/>
    <n v="96"/>
    <n v="0.18"/>
    <x v="1"/>
    <s v="Ravi"/>
    <n v="17.28"/>
    <x v="3"/>
  </r>
  <r>
    <x v="7"/>
    <x v="11"/>
    <n v="82"/>
    <n v="1"/>
    <x v="1"/>
    <s v="Ravi"/>
    <n v="82"/>
    <x v="3"/>
  </r>
  <r>
    <x v="7"/>
    <x v="20"/>
    <n v="230"/>
    <n v="0.03"/>
    <x v="1"/>
    <s v="Ravi"/>
    <n v="6.8999999999999995"/>
    <x v="1"/>
  </r>
  <r>
    <x v="7"/>
    <x v="50"/>
    <n v="70"/>
    <n v="0.05"/>
    <x v="1"/>
    <s v="Ravi"/>
    <n v="3.5"/>
    <x v="1"/>
  </r>
  <r>
    <x v="7"/>
    <x v="51"/>
    <n v="55"/>
    <n v="0.13"/>
    <x v="1"/>
    <s v="Ravi"/>
    <n v="7.15"/>
    <x v="1"/>
  </r>
  <r>
    <x v="7"/>
    <x v="0"/>
    <n v="14"/>
    <n v="0.83499999999999996"/>
    <x v="1"/>
    <s v="Ravi"/>
    <n v="11.69"/>
    <x v="0"/>
  </r>
  <r>
    <x v="7"/>
    <x v="12"/>
    <n v="28"/>
    <n v="8.5000000000000006E-2"/>
    <x v="1"/>
    <s v="Ravi"/>
    <n v="2.3800000000000003"/>
    <x v="0"/>
  </r>
  <r>
    <x v="7"/>
    <x v="57"/>
    <n v="64.069999999999993"/>
    <n v="0.3"/>
    <x v="1"/>
    <s v="Ravi"/>
    <n v="19.220999999999997"/>
    <x v="1"/>
  </r>
  <r>
    <x v="7"/>
    <x v="54"/>
    <n v="170"/>
    <n v="0.1"/>
    <x v="1"/>
    <s v="Ravi"/>
    <n v="17"/>
    <x v="1"/>
  </r>
  <r>
    <x v="7"/>
    <x v="9"/>
    <n v="14.75"/>
    <n v="0.875"/>
    <x v="1"/>
    <s v="Ravi"/>
    <n v="12.90625"/>
    <x v="0"/>
  </r>
  <r>
    <x v="7"/>
    <x v="62"/>
    <n v="312.14"/>
    <n v="0.04"/>
    <x v="1"/>
    <s v="Ravi"/>
    <n v="12.4856"/>
    <x v="0"/>
  </r>
  <r>
    <x v="7"/>
    <x v="14"/>
    <n v="25"/>
    <n v="0.25"/>
    <x v="1"/>
    <s v="Ravi"/>
    <n v="6.25"/>
    <x v="0"/>
  </r>
  <r>
    <x v="7"/>
    <x v="30"/>
    <n v="27.97"/>
    <n v="0.255"/>
    <x v="1"/>
    <s v="Ravi"/>
    <n v="7.1323499999999997"/>
    <x v="0"/>
  </r>
  <r>
    <x v="7"/>
    <x v="29"/>
    <n v="43.06"/>
    <n v="0.28999999999999998"/>
    <x v="1"/>
    <s v="Ravi"/>
    <n v="12.487399999999999"/>
    <x v="0"/>
  </r>
  <r>
    <x v="7"/>
    <x v="52"/>
    <n v="160"/>
    <n v="0.1"/>
    <x v="1"/>
    <s v="Ravi"/>
    <n v="16"/>
    <x v="1"/>
  </r>
  <r>
    <x v="7"/>
    <x v="53"/>
    <n v="62.03"/>
    <n v="0.06"/>
    <x v="1"/>
    <s v="Ravi"/>
    <n v="3.7218"/>
    <x v="1"/>
  </r>
  <r>
    <x v="7"/>
    <x v="110"/>
    <n v="160"/>
    <n v="0.12"/>
    <x v="1"/>
    <s v="Ravi"/>
    <n v="19.2"/>
    <x v="1"/>
  </r>
  <r>
    <x v="7"/>
    <x v="2"/>
    <n v="30"/>
    <n v="0.01"/>
    <x v="1"/>
    <s v="Ravi"/>
    <n v="0.3"/>
    <x v="0"/>
  </r>
  <r>
    <x v="7"/>
    <x v="37"/>
    <n v="138"/>
    <n v="0.02"/>
    <x v="1"/>
    <s v="Ravi"/>
    <n v="2.7600000000000002"/>
    <x v="1"/>
  </r>
  <r>
    <x v="7"/>
    <x v="111"/>
    <n v="125"/>
    <n v="0.01"/>
    <x v="1"/>
    <s v="Ravi"/>
    <n v="1.25"/>
    <x v="1"/>
  </r>
  <r>
    <x v="7"/>
    <x v="92"/>
    <n v="76"/>
    <n v="1.4999999999999999E-2"/>
    <x v="1"/>
    <s v="Ravi"/>
    <n v="1.1399999999999999"/>
    <x v="1"/>
  </r>
  <r>
    <x v="8"/>
    <x v="64"/>
    <n v="78.95"/>
    <n v="19"/>
    <x v="3"/>
    <s v="Common"/>
    <n v="1500.05"/>
    <x v="7"/>
  </r>
  <r>
    <x v="8"/>
    <x v="12"/>
    <n v="28"/>
    <n v="0.25"/>
    <x v="0"/>
    <s v="Murthy"/>
    <n v="7"/>
    <x v="0"/>
  </r>
  <r>
    <x v="8"/>
    <x v="45"/>
    <n v="37"/>
    <n v="0.25"/>
    <x v="0"/>
    <s v="Murthy"/>
    <n v="9.25"/>
    <x v="1"/>
  </r>
  <r>
    <x v="8"/>
    <x v="1"/>
    <n v="30"/>
    <n v="1"/>
    <x v="0"/>
    <s v="Murthy"/>
    <n v="30"/>
    <x v="0"/>
  </r>
  <r>
    <x v="8"/>
    <x v="0"/>
    <n v="14"/>
    <n v="9.4"/>
    <x v="0"/>
    <s v="Murthy"/>
    <n v="131.6"/>
    <x v="0"/>
  </r>
  <r>
    <x v="8"/>
    <x v="17"/>
    <n v="140"/>
    <n v="0.5"/>
    <x v="0"/>
    <s v="Murthy"/>
    <n v="70"/>
    <x v="4"/>
  </r>
  <r>
    <x v="8"/>
    <x v="2"/>
    <n v="30"/>
    <n v="0.6"/>
    <x v="0"/>
    <s v="Murthy"/>
    <n v="18"/>
    <x v="0"/>
  </r>
  <r>
    <x v="8"/>
    <x v="8"/>
    <n v="29.51"/>
    <n v="1"/>
    <x v="0"/>
    <s v="Murthy"/>
    <n v="29.51"/>
    <x v="1"/>
  </r>
  <r>
    <x v="8"/>
    <x v="109"/>
    <n v="100"/>
    <n v="0.5"/>
    <x v="0"/>
    <s v="Murthy"/>
    <n v="50"/>
    <x v="11"/>
  </r>
  <r>
    <x v="8"/>
    <x v="10"/>
    <n v="45"/>
    <n v="1"/>
    <x v="0"/>
    <s v="Murthy"/>
    <n v="45"/>
    <x v="1"/>
  </r>
  <r>
    <x v="8"/>
    <x v="11"/>
    <n v="82"/>
    <n v="4"/>
    <x v="0"/>
    <s v="Murthy"/>
    <n v="328"/>
    <x v="3"/>
  </r>
  <r>
    <x v="8"/>
    <x v="66"/>
    <n v="3"/>
    <n v="0.75"/>
    <x v="0"/>
    <s v="Murthy"/>
    <n v="2.25"/>
    <x v="0"/>
  </r>
  <r>
    <x v="8"/>
    <x v="78"/>
    <n v="40"/>
    <n v="0.25"/>
    <x v="0"/>
    <s v="Murthy"/>
    <n v="10"/>
    <x v="11"/>
  </r>
  <r>
    <x v="8"/>
    <x v="68"/>
    <n v="75"/>
    <n v="1"/>
    <x v="0"/>
    <s v="Murthy"/>
    <n v="75"/>
    <x v="1"/>
  </r>
  <r>
    <x v="8"/>
    <x v="38"/>
    <n v="27"/>
    <n v="2.1"/>
    <x v="0"/>
    <s v="Murthy"/>
    <n v="56.7"/>
    <x v="1"/>
  </r>
  <r>
    <x v="8"/>
    <x v="28"/>
    <n v="64"/>
    <n v="2"/>
    <x v="0"/>
    <s v="Murthy"/>
    <n v="128"/>
    <x v="1"/>
  </r>
  <r>
    <x v="8"/>
    <x v="22"/>
    <n v="62"/>
    <n v="1.5"/>
    <x v="0"/>
    <s v="Murthy"/>
    <n v="93"/>
    <x v="1"/>
  </r>
  <r>
    <x v="8"/>
    <x v="19"/>
    <n v="23.33"/>
    <n v="0.5"/>
    <x v="0"/>
    <s v="Murthy"/>
    <n v="11.664999999999999"/>
    <x v="0"/>
  </r>
  <r>
    <x v="8"/>
    <x v="30"/>
    <n v="27.97"/>
    <n v="0.28000000000000003"/>
    <x v="0"/>
    <s v="Murthy"/>
    <n v="7.8316000000000008"/>
    <x v="0"/>
  </r>
  <r>
    <x v="8"/>
    <x v="35"/>
    <n v="125"/>
    <n v="6.5000000000000002E-2"/>
    <x v="0"/>
    <s v="Murthy"/>
    <n v="8.125"/>
    <x v="0"/>
  </r>
  <r>
    <x v="8"/>
    <x v="14"/>
    <n v="25"/>
    <n v="0.36499999999999999"/>
    <x v="0"/>
    <s v="Murthy"/>
    <n v="9.125"/>
    <x v="0"/>
  </r>
  <r>
    <x v="8"/>
    <x v="13"/>
    <n v="40"/>
    <n v="0.14000000000000001"/>
    <x v="0"/>
    <s v="Murthy"/>
    <n v="5.6000000000000005"/>
    <x v="0"/>
  </r>
  <r>
    <x v="8"/>
    <x v="23"/>
    <n v="220"/>
    <n v="5.0000000000000001E-3"/>
    <x v="0"/>
    <s v="Murthy"/>
    <n v="1.1000000000000001"/>
    <x v="5"/>
  </r>
  <r>
    <x v="8"/>
    <x v="24"/>
    <n v="740"/>
    <n v="5.0000000000000001E-3"/>
    <x v="0"/>
    <s v="Murthy"/>
    <n v="3.7"/>
    <x v="5"/>
  </r>
  <r>
    <x v="8"/>
    <x v="25"/>
    <n v="1450"/>
    <n v="5.0000000000000001E-3"/>
    <x v="0"/>
    <s v="Murthy"/>
    <n v="7.25"/>
    <x v="5"/>
  </r>
  <r>
    <x v="8"/>
    <x v="26"/>
    <n v="750"/>
    <n v="5.0000000000000001E-3"/>
    <x v="0"/>
    <s v="Murthy"/>
    <n v="3.75"/>
    <x v="5"/>
  </r>
  <r>
    <x v="8"/>
    <x v="9"/>
    <n v="14.75"/>
    <n v="1.62"/>
    <x v="0"/>
    <s v="Murthy"/>
    <n v="23.895000000000003"/>
    <x v="0"/>
  </r>
  <r>
    <x v="8"/>
    <x v="59"/>
    <n v="57.5"/>
    <n v="0.1"/>
    <x v="0"/>
    <s v="Murthy"/>
    <n v="5.75"/>
    <x v="1"/>
  </r>
  <r>
    <x v="8"/>
    <x v="38"/>
    <n v="27"/>
    <n v="3"/>
    <x v="0"/>
    <s v="Murthy"/>
    <n v="81"/>
    <x v="1"/>
  </r>
  <r>
    <x v="8"/>
    <x v="29"/>
    <n v="43.06"/>
    <n v="0.15"/>
    <x v="0"/>
    <s v="Murthy"/>
    <n v="6.4590000000000005"/>
    <x v="0"/>
  </r>
  <r>
    <x v="8"/>
    <x v="30"/>
    <n v="27.97"/>
    <n v="0.2"/>
    <x v="0"/>
    <s v="Murthy"/>
    <n v="5.5940000000000003"/>
    <x v="0"/>
  </r>
  <r>
    <x v="8"/>
    <x v="87"/>
    <n v="48"/>
    <n v="0.1"/>
    <x v="0"/>
    <s v="Murthy"/>
    <n v="4.8000000000000007"/>
    <x v="1"/>
  </r>
  <r>
    <x v="8"/>
    <x v="18"/>
    <n v="40"/>
    <n v="1"/>
    <x v="0"/>
    <s v="Murthy"/>
    <n v="40"/>
    <x v="1"/>
  </r>
  <r>
    <x v="8"/>
    <x v="33"/>
    <n v="175"/>
    <n v="1"/>
    <x v="0"/>
    <s v="Murthy"/>
    <n v="175"/>
    <x v="4"/>
  </r>
  <r>
    <x v="8"/>
    <x v="34"/>
    <n v="51"/>
    <n v="0.1"/>
    <x v="0"/>
    <s v="Murthy"/>
    <n v="5.1000000000000005"/>
    <x v="1"/>
  </r>
  <r>
    <x v="8"/>
    <x v="32"/>
    <n v="32"/>
    <n v="4"/>
    <x v="0"/>
    <s v="Murthy"/>
    <n v="128"/>
    <x v="0"/>
  </r>
  <r>
    <x v="8"/>
    <x v="14"/>
    <n v="25"/>
    <n v="0.2"/>
    <x v="0"/>
    <s v="Murthy"/>
    <n v="5"/>
    <x v="0"/>
  </r>
  <r>
    <x v="8"/>
    <x v="17"/>
    <n v="140"/>
    <n v="0.5"/>
    <x v="0"/>
    <s v="Murthy"/>
    <n v="70"/>
    <x v="4"/>
  </r>
  <r>
    <x v="8"/>
    <x v="65"/>
    <n v="390"/>
    <n v="0.1"/>
    <x v="4"/>
    <s v="Vicky"/>
    <n v="39"/>
    <x v="8"/>
  </r>
  <r>
    <x v="8"/>
    <x v="16"/>
    <n v="60"/>
    <n v="0.7"/>
    <x v="0"/>
    <s v="Murthy"/>
    <n v="42"/>
    <x v="0"/>
  </r>
  <r>
    <x v="8"/>
    <x v="11"/>
    <n v="82"/>
    <n v="1"/>
    <x v="0"/>
    <s v="Murthy"/>
    <n v="82"/>
    <x v="3"/>
  </r>
  <r>
    <x v="8"/>
    <x v="32"/>
    <n v="32"/>
    <n v="1"/>
    <x v="0"/>
    <s v="Murthy"/>
    <n v="32"/>
    <x v="0"/>
  </r>
  <r>
    <x v="8"/>
    <x v="39"/>
    <n v="75"/>
    <n v="0.8"/>
    <x v="0"/>
    <s v="Murthy"/>
    <n v="60"/>
    <x v="6"/>
  </r>
  <r>
    <x v="8"/>
    <x v="19"/>
    <n v="23.33"/>
    <n v="1"/>
    <x v="0"/>
    <s v="Murthy"/>
    <n v="23.33"/>
    <x v="0"/>
  </r>
  <r>
    <x v="8"/>
    <x v="0"/>
    <n v="14"/>
    <n v="0.5"/>
    <x v="6"/>
    <s v="Jaggu"/>
    <n v="7"/>
    <x v="0"/>
  </r>
  <r>
    <x v="8"/>
    <x v="63"/>
    <n v="3"/>
    <n v="10"/>
    <x v="6"/>
    <s v="Jaggu"/>
    <n v="30"/>
    <x v="0"/>
  </r>
  <r>
    <x v="8"/>
    <x v="42"/>
    <n v="42"/>
    <n v="1.5"/>
    <x v="1"/>
    <s v="Ravi"/>
    <n v="63"/>
    <x v="4"/>
  </r>
  <r>
    <x v="8"/>
    <x v="41"/>
    <n v="36"/>
    <n v="1.5"/>
    <x v="1"/>
    <s v="Ravi"/>
    <n v="54"/>
    <x v="4"/>
  </r>
  <r>
    <x v="8"/>
    <x v="44"/>
    <n v="52"/>
    <n v="4"/>
    <x v="1"/>
    <s v="Ravi"/>
    <n v="208"/>
    <x v="1"/>
  </r>
  <r>
    <x v="8"/>
    <x v="43"/>
    <n v="28"/>
    <n v="2"/>
    <x v="1"/>
    <s v="Ravi"/>
    <n v="56"/>
    <x v="0"/>
  </r>
  <r>
    <x v="8"/>
    <x v="45"/>
    <n v="37"/>
    <n v="0.7"/>
    <x v="1"/>
    <s v="Ravi"/>
    <n v="25.9"/>
    <x v="1"/>
  </r>
  <r>
    <x v="8"/>
    <x v="47"/>
    <n v="280"/>
    <n v="0.03"/>
    <x v="1"/>
    <s v="Ravi"/>
    <n v="8.4"/>
    <x v="1"/>
  </r>
  <r>
    <x v="8"/>
    <x v="48"/>
    <n v="7"/>
    <n v="0.39"/>
    <x v="1"/>
    <s v="Ravi"/>
    <n v="2.73"/>
    <x v="1"/>
  </r>
  <r>
    <x v="8"/>
    <x v="71"/>
    <n v="187.41"/>
    <n v="0.01"/>
    <x v="1"/>
    <s v="Ravi"/>
    <n v="1.8741000000000001"/>
    <x v="1"/>
  </r>
  <r>
    <x v="8"/>
    <x v="49"/>
    <n v="96"/>
    <n v="0.16"/>
    <x v="1"/>
    <s v="Ravi"/>
    <n v="15.36"/>
    <x v="3"/>
  </r>
  <r>
    <x v="8"/>
    <x v="11"/>
    <n v="82"/>
    <n v="1"/>
    <x v="1"/>
    <s v="Ravi"/>
    <n v="82"/>
    <x v="3"/>
  </r>
  <r>
    <x v="8"/>
    <x v="20"/>
    <n v="230"/>
    <n v="0.04"/>
    <x v="1"/>
    <s v="Ravi"/>
    <n v="9.2000000000000011"/>
    <x v="1"/>
  </r>
  <r>
    <x v="8"/>
    <x v="50"/>
    <n v="70"/>
    <n v="5.5E-2"/>
    <x v="1"/>
    <s v="Ravi"/>
    <n v="3.85"/>
    <x v="1"/>
  </r>
  <r>
    <x v="8"/>
    <x v="51"/>
    <n v="55"/>
    <n v="0.1"/>
    <x v="1"/>
    <s v="Ravi"/>
    <n v="5.5"/>
    <x v="1"/>
  </r>
  <r>
    <x v="8"/>
    <x v="0"/>
    <n v="14"/>
    <n v="1.5"/>
    <x v="1"/>
    <s v="Ravi"/>
    <n v="21"/>
    <x v="0"/>
  </r>
  <r>
    <x v="8"/>
    <x v="12"/>
    <n v="28"/>
    <n v="0.12"/>
    <x v="1"/>
    <s v="Ravi"/>
    <n v="3.36"/>
    <x v="0"/>
  </r>
  <r>
    <x v="8"/>
    <x v="76"/>
    <n v="34"/>
    <n v="0.75"/>
    <x v="1"/>
    <s v="Ravi"/>
    <n v="25.5"/>
    <x v="1"/>
  </r>
  <r>
    <x v="8"/>
    <x v="13"/>
    <n v="40"/>
    <n v="0.04"/>
    <x v="1"/>
    <s v="Ravi"/>
    <n v="1.6"/>
    <x v="0"/>
  </r>
  <r>
    <x v="8"/>
    <x v="56"/>
    <n v="840"/>
    <n v="1.4999999999999999E-2"/>
    <x v="1"/>
    <s v="Ravi"/>
    <n v="12.6"/>
    <x v="1"/>
  </r>
  <r>
    <x v="8"/>
    <x v="55"/>
    <n v="240"/>
    <n v="1.4999999999999999E-2"/>
    <x v="1"/>
    <s v="Ravi"/>
    <n v="3.5999999999999996"/>
    <x v="1"/>
  </r>
  <r>
    <x v="8"/>
    <x v="57"/>
    <n v="64.069999999999993"/>
    <n v="0.3"/>
    <x v="1"/>
    <s v="Ravi"/>
    <n v="19.220999999999997"/>
    <x v="1"/>
  </r>
  <r>
    <x v="8"/>
    <x v="54"/>
    <n v="170"/>
    <n v="0.5"/>
    <x v="1"/>
    <s v="Ravi"/>
    <n v="85"/>
    <x v="1"/>
  </r>
  <r>
    <x v="8"/>
    <x v="9"/>
    <n v="14.75"/>
    <n v="0.9"/>
    <x v="1"/>
    <s v="Ravi"/>
    <n v="13.275"/>
    <x v="0"/>
  </r>
  <r>
    <x v="8"/>
    <x v="62"/>
    <n v="312.14"/>
    <n v="0.04"/>
    <x v="1"/>
    <s v="Ravi"/>
    <n v="12.4856"/>
    <x v="0"/>
  </r>
  <r>
    <x v="8"/>
    <x v="14"/>
    <n v="25"/>
    <n v="0.15"/>
    <x v="1"/>
    <s v="Ravi"/>
    <n v="3.75"/>
    <x v="0"/>
  </r>
  <r>
    <x v="8"/>
    <x v="13"/>
    <n v="40"/>
    <n v="0.04"/>
    <x v="1"/>
    <s v="Ravi"/>
    <n v="1.6"/>
    <x v="0"/>
  </r>
  <r>
    <x v="8"/>
    <x v="74"/>
    <n v="76"/>
    <n v="0.5"/>
    <x v="1"/>
    <s v="Ravi"/>
    <n v="38"/>
    <x v="1"/>
  </r>
  <r>
    <x v="8"/>
    <x v="25"/>
    <n v="1450"/>
    <n v="5.0000000000000001E-3"/>
    <x v="1"/>
    <s v="Ravi"/>
    <n v="7.25"/>
    <x v="5"/>
  </r>
  <r>
    <x v="8"/>
    <x v="2"/>
    <n v="30"/>
    <n v="0.12"/>
    <x v="1"/>
    <s v="Ravi"/>
    <n v="3.5999999999999996"/>
    <x v="0"/>
  </r>
  <r>
    <x v="8"/>
    <x v="37"/>
    <n v="138"/>
    <n v="0.03"/>
    <x v="1"/>
    <s v="Ravi"/>
    <n v="4.1399999999999997"/>
    <x v="1"/>
  </r>
  <r>
    <x v="8"/>
    <x v="92"/>
    <n v="76"/>
    <n v="0.02"/>
    <x v="1"/>
    <s v="Ravi"/>
    <n v="1.52"/>
    <x v="1"/>
  </r>
  <r>
    <x v="8"/>
    <x v="111"/>
    <n v="125"/>
    <n v="0.01"/>
    <x v="1"/>
    <s v="Ravi"/>
    <n v="1.25"/>
    <x v="1"/>
  </r>
  <r>
    <x v="8"/>
    <x v="53"/>
    <n v="62.03"/>
    <n v="7.4999999999999997E-2"/>
    <x v="1"/>
    <s v="Ravi"/>
    <n v="4.6522499999999996"/>
    <x v="1"/>
  </r>
  <r>
    <x v="8"/>
    <x v="52"/>
    <n v="160"/>
    <n v="0.11"/>
    <x v="1"/>
    <s v="Ravi"/>
    <n v="17.600000000000001"/>
    <x v="1"/>
  </r>
  <r>
    <x v="8"/>
    <x v="68"/>
    <n v="75"/>
    <n v="0.25"/>
    <x v="1"/>
    <s v="Ravi"/>
    <n v="18.75"/>
    <x v="1"/>
  </r>
  <r>
    <x v="8"/>
    <x v="98"/>
    <n v="110"/>
    <n v="0.1"/>
    <x v="1"/>
    <s v="Ravi"/>
    <n v="11"/>
    <x v="0"/>
  </r>
  <r>
    <x v="8"/>
    <x v="0"/>
    <n v="14"/>
    <n v="0.6"/>
    <x v="2"/>
    <s v="Ravi"/>
    <n v="8.4"/>
    <x v="0"/>
  </r>
  <r>
    <x v="8"/>
    <x v="9"/>
    <n v="14.75"/>
    <n v="0.38"/>
    <x v="2"/>
    <s v="Ravi"/>
    <n v="5.6050000000000004"/>
    <x v="0"/>
  </r>
  <r>
    <x v="8"/>
    <x v="14"/>
    <n v="25"/>
    <n v="0.09"/>
    <x v="2"/>
    <s v="Ravi"/>
    <n v="2.25"/>
    <x v="0"/>
  </r>
  <r>
    <x v="8"/>
    <x v="30"/>
    <n v="27.97"/>
    <n v="0.25"/>
    <x v="2"/>
    <s v="Ravi"/>
    <n v="6.9924999999999997"/>
    <x v="0"/>
  </r>
  <r>
    <x v="8"/>
    <x v="63"/>
    <n v="3"/>
    <n v="20"/>
    <x v="5"/>
    <s v="Ravi"/>
    <n v="60"/>
    <x v="0"/>
  </r>
  <r>
    <x v="8"/>
    <x v="79"/>
    <n v="20"/>
    <n v="1.45"/>
    <x v="5"/>
    <s v="Ravi"/>
    <n v="29"/>
    <x v="10"/>
  </r>
  <r>
    <x v="9"/>
    <x v="39"/>
    <n v="75"/>
    <n v="0.66"/>
    <x v="6"/>
    <s v="Jaggu"/>
    <n v="49.5"/>
    <x v="6"/>
  </r>
  <r>
    <x v="9"/>
    <x v="64"/>
    <n v="78.95"/>
    <n v="19"/>
    <x v="3"/>
    <s v="Common"/>
    <n v="1500.05"/>
    <x v="7"/>
  </r>
  <r>
    <x v="9"/>
    <x v="63"/>
    <n v="3"/>
    <n v="10"/>
    <x v="6"/>
    <s v="Jaggu"/>
    <n v="30"/>
    <x v="0"/>
  </r>
  <r>
    <x v="9"/>
    <x v="0"/>
    <n v="14"/>
    <n v="0.3"/>
    <x v="6"/>
    <s v="Jaggu"/>
    <n v="4.2"/>
    <x v="0"/>
  </r>
  <r>
    <x v="9"/>
    <x v="112"/>
    <n v="33"/>
    <n v="0.28000000000000003"/>
    <x v="6"/>
    <s v="Jaggu"/>
    <n v="9.24"/>
    <x v="6"/>
  </r>
  <r>
    <x v="9"/>
    <x v="0"/>
    <n v="14"/>
    <n v="4"/>
    <x v="0"/>
    <s v="Murthy"/>
    <n v="56"/>
    <x v="0"/>
  </r>
  <r>
    <x v="9"/>
    <x v="1"/>
    <n v="30"/>
    <n v="1.3"/>
    <x v="0"/>
    <s v="Murthy"/>
    <n v="39"/>
    <x v="0"/>
  </r>
  <r>
    <x v="9"/>
    <x v="2"/>
    <n v="30"/>
    <n v="0.65"/>
    <x v="0"/>
    <s v="Murthy"/>
    <n v="19.5"/>
    <x v="0"/>
  </r>
  <r>
    <x v="9"/>
    <x v="7"/>
    <n v="38"/>
    <n v="3.1"/>
    <x v="0"/>
    <s v="Murthy"/>
    <n v="117.8"/>
    <x v="0"/>
  </r>
  <r>
    <x v="9"/>
    <x v="14"/>
    <n v="25"/>
    <n v="0.32500000000000001"/>
    <x v="0"/>
    <s v="Murthy"/>
    <n v="8.125"/>
    <x v="0"/>
  </r>
  <r>
    <x v="9"/>
    <x v="34"/>
    <n v="51"/>
    <n v="0.1"/>
    <x v="0"/>
    <s v="Murthy"/>
    <n v="5.1000000000000005"/>
    <x v="1"/>
  </r>
  <r>
    <x v="9"/>
    <x v="47"/>
    <n v="280"/>
    <n v="0.5"/>
    <x v="0"/>
    <s v="Murthy"/>
    <n v="140"/>
    <x v="1"/>
  </r>
  <r>
    <x v="9"/>
    <x v="38"/>
    <n v="27"/>
    <n v="2.5"/>
    <x v="0"/>
    <s v="Murthy"/>
    <n v="67.5"/>
    <x v="1"/>
  </r>
  <r>
    <x v="9"/>
    <x v="22"/>
    <n v="62"/>
    <n v="1"/>
    <x v="0"/>
    <s v="Murthy"/>
    <n v="62"/>
    <x v="1"/>
  </r>
  <r>
    <x v="9"/>
    <x v="12"/>
    <n v="28"/>
    <n v="1.5"/>
    <x v="0"/>
    <s v="Murthy"/>
    <n v="42"/>
    <x v="0"/>
  </r>
  <r>
    <x v="9"/>
    <x v="66"/>
    <n v="3"/>
    <n v="0.9"/>
    <x v="0"/>
    <s v="Murthy"/>
    <n v="2.7"/>
    <x v="0"/>
  </r>
  <r>
    <x v="9"/>
    <x v="6"/>
    <n v="26"/>
    <n v="6"/>
    <x v="0"/>
    <s v="Murthy"/>
    <n v="156"/>
    <x v="2"/>
  </r>
  <r>
    <x v="9"/>
    <x v="30"/>
    <n v="27.97"/>
    <n v="0.36"/>
    <x v="0"/>
    <s v="Murthy"/>
    <n v="10.069199999999999"/>
    <x v="0"/>
  </r>
  <r>
    <x v="9"/>
    <x v="82"/>
    <n v="580"/>
    <n v="0.05"/>
    <x v="0"/>
    <s v="Murthy"/>
    <n v="29"/>
    <x v="1"/>
  </r>
  <r>
    <x v="9"/>
    <x v="23"/>
    <n v="220"/>
    <n v="5.0000000000000001E-3"/>
    <x v="0"/>
    <s v="Murthy"/>
    <n v="1.1000000000000001"/>
    <x v="5"/>
  </r>
  <r>
    <x v="9"/>
    <x v="24"/>
    <n v="740"/>
    <n v="5.0000000000000001E-3"/>
    <x v="0"/>
    <s v="Murthy"/>
    <n v="3.7"/>
    <x v="5"/>
  </r>
  <r>
    <x v="9"/>
    <x v="25"/>
    <n v="1450"/>
    <n v="5.0000000000000001E-3"/>
    <x v="0"/>
    <s v="Murthy"/>
    <n v="7.25"/>
    <x v="5"/>
  </r>
  <r>
    <x v="9"/>
    <x v="26"/>
    <n v="750"/>
    <n v="5.0000000000000001E-3"/>
    <x v="0"/>
    <s v="Murthy"/>
    <n v="3.75"/>
    <x v="5"/>
  </r>
  <r>
    <x v="9"/>
    <x v="27"/>
    <n v="1480"/>
    <n v="5.0000000000000001E-3"/>
    <x v="0"/>
    <s v="Murthy"/>
    <n v="7.4"/>
    <x v="5"/>
  </r>
  <r>
    <x v="9"/>
    <x v="36"/>
    <n v="280"/>
    <n v="0.13"/>
    <x v="0"/>
    <s v="Murthy"/>
    <n v="36.4"/>
    <x v="1"/>
  </r>
  <r>
    <x v="9"/>
    <x v="37"/>
    <n v="138"/>
    <n v="0.13"/>
    <x v="0"/>
    <s v="Murthy"/>
    <n v="17.940000000000001"/>
    <x v="1"/>
  </r>
  <r>
    <x v="9"/>
    <x v="33"/>
    <n v="175"/>
    <n v="1"/>
    <x v="0"/>
    <s v="Murthy"/>
    <n v="175"/>
    <x v="4"/>
  </r>
  <r>
    <x v="9"/>
    <x v="13"/>
    <n v="40"/>
    <n v="0.25"/>
    <x v="0"/>
    <s v="Murthy"/>
    <n v="10"/>
    <x v="0"/>
  </r>
  <r>
    <x v="9"/>
    <x v="8"/>
    <n v="29.51"/>
    <n v="0.46"/>
    <x v="0"/>
    <s v="Murthy"/>
    <n v="13.574600000000002"/>
    <x v="1"/>
  </r>
  <r>
    <x v="9"/>
    <x v="11"/>
    <n v="82"/>
    <n v="4"/>
    <x v="0"/>
    <s v="Murthy"/>
    <n v="328"/>
    <x v="3"/>
  </r>
  <r>
    <x v="9"/>
    <x v="29"/>
    <n v="43.06"/>
    <n v="0.5"/>
    <x v="0"/>
    <s v="Murthy"/>
    <n v="21.53"/>
    <x v="0"/>
  </r>
  <r>
    <x v="9"/>
    <x v="16"/>
    <n v="60"/>
    <n v="0.3"/>
    <x v="0"/>
    <s v="Murthy"/>
    <n v="18"/>
    <x v="0"/>
  </r>
  <r>
    <x v="9"/>
    <x v="9"/>
    <n v="14.75"/>
    <n v="0.2"/>
    <x v="0"/>
    <s v="Murthy"/>
    <n v="2.95"/>
    <x v="0"/>
  </r>
  <r>
    <x v="9"/>
    <x v="17"/>
    <n v="140"/>
    <n v="0.5"/>
    <x v="0"/>
    <s v="Murthy"/>
    <n v="70"/>
    <x v="4"/>
  </r>
  <r>
    <x v="9"/>
    <x v="45"/>
    <n v="37"/>
    <n v="0.7"/>
    <x v="4"/>
    <s v="Vicky"/>
    <n v="25.9"/>
    <x v="1"/>
  </r>
  <r>
    <x v="9"/>
    <x v="28"/>
    <n v="64"/>
    <n v="2.5"/>
    <x v="0"/>
    <s v="Murthy"/>
    <n v="160"/>
    <x v="1"/>
  </r>
  <r>
    <x v="9"/>
    <x v="18"/>
    <n v="40"/>
    <n v="1"/>
    <x v="0"/>
    <s v="Murthy"/>
    <n v="40"/>
    <x v="1"/>
  </r>
  <r>
    <x v="9"/>
    <x v="4"/>
    <n v="180"/>
    <n v="0.5"/>
    <x v="0"/>
    <s v="Murthy"/>
    <n v="90"/>
    <x v="1"/>
  </r>
  <r>
    <x v="9"/>
    <x v="84"/>
    <n v="148"/>
    <n v="0.5"/>
    <x v="0"/>
    <s v="Murthy"/>
    <n v="74"/>
    <x v="1"/>
  </r>
  <r>
    <x v="9"/>
    <x v="42"/>
    <n v="42"/>
    <n v="1.5"/>
    <x v="1"/>
    <s v="Ravi"/>
    <n v="63"/>
    <x v="4"/>
  </r>
  <r>
    <x v="9"/>
    <x v="41"/>
    <n v="36"/>
    <n v="1.5"/>
    <x v="1"/>
    <s v="Ravi"/>
    <n v="54"/>
    <x v="4"/>
  </r>
  <r>
    <x v="9"/>
    <x v="44"/>
    <n v="52"/>
    <n v="4"/>
    <x v="1"/>
    <s v="Ravi"/>
    <n v="208"/>
    <x v="1"/>
  </r>
  <r>
    <x v="9"/>
    <x v="43"/>
    <n v="28"/>
    <n v="2"/>
    <x v="1"/>
    <s v="Ravi"/>
    <n v="56"/>
    <x v="0"/>
  </r>
  <r>
    <x v="9"/>
    <x v="45"/>
    <n v="37"/>
    <n v="0.3"/>
    <x v="1"/>
    <s v="Ravi"/>
    <n v="11.1"/>
    <x v="1"/>
  </r>
  <r>
    <x v="9"/>
    <x v="47"/>
    <n v="280"/>
    <n v="0.115"/>
    <x v="1"/>
    <s v="Ravi"/>
    <n v="32.200000000000003"/>
    <x v="1"/>
  </r>
  <r>
    <x v="9"/>
    <x v="73"/>
    <n v="340"/>
    <n v="0.02"/>
    <x v="1"/>
    <s v="Ravi"/>
    <n v="6.8"/>
    <x v="1"/>
  </r>
  <r>
    <x v="9"/>
    <x v="60"/>
    <n v="500"/>
    <n v="0.05"/>
    <x v="1"/>
    <s v="Ravi"/>
    <n v="25"/>
    <x v="1"/>
  </r>
  <r>
    <x v="9"/>
    <x v="48"/>
    <n v="7"/>
    <n v="0.47499999999999998"/>
    <x v="1"/>
    <s v="Ravi"/>
    <n v="3.3249999999999997"/>
    <x v="1"/>
  </r>
  <r>
    <x v="9"/>
    <x v="71"/>
    <n v="187.41"/>
    <n v="2.5000000000000001E-2"/>
    <x v="1"/>
    <s v="Ravi"/>
    <n v="4.6852499999999999"/>
    <x v="1"/>
  </r>
  <r>
    <x v="9"/>
    <x v="49"/>
    <n v="96"/>
    <n v="0.23"/>
    <x v="1"/>
    <s v="Ravi"/>
    <n v="22.080000000000002"/>
    <x v="3"/>
  </r>
  <r>
    <x v="9"/>
    <x v="11"/>
    <n v="82"/>
    <n v="1"/>
    <x v="1"/>
    <s v="Ravi"/>
    <n v="82"/>
    <x v="3"/>
  </r>
  <r>
    <x v="9"/>
    <x v="20"/>
    <n v="230"/>
    <n v="0.03"/>
    <x v="1"/>
    <s v="Ravi"/>
    <n v="6.8999999999999995"/>
    <x v="1"/>
  </r>
  <r>
    <x v="9"/>
    <x v="50"/>
    <n v="70"/>
    <n v="0.03"/>
    <x v="1"/>
    <s v="Ravi"/>
    <n v="2.1"/>
    <x v="1"/>
  </r>
  <r>
    <x v="9"/>
    <x v="51"/>
    <n v="55"/>
    <n v="6.5000000000000002E-2"/>
    <x v="1"/>
    <s v="Ravi"/>
    <n v="3.5750000000000002"/>
    <x v="1"/>
  </r>
  <r>
    <x v="9"/>
    <x v="0"/>
    <n v="14"/>
    <n v="2"/>
    <x v="1"/>
    <s v="Ravi"/>
    <n v="28"/>
    <x v="0"/>
  </r>
  <r>
    <x v="9"/>
    <x v="12"/>
    <n v="28"/>
    <n v="0.2"/>
    <x v="1"/>
    <s v="Ravi"/>
    <n v="5.6000000000000005"/>
    <x v="0"/>
  </r>
  <r>
    <x v="9"/>
    <x v="76"/>
    <n v="34"/>
    <n v="0.7"/>
    <x v="1"/>
    <s v="Ravi"/>
    <n v="23.799999999999997"/>
    <x v="1"/>
  </r>
  <r>
    <x v="9"/>
    <x v="57"/>
    <n v="64.069999999999993"/>
    <n v="0.3"/>
    <x v="1"/>
    <s v="Ravi"/>
    <n v="19.220999999999997"/>
    <x v="1"/>
  </r>
  <r>
    <x v="9"/>
    <x v="56"/>
    <n v="840"/>
    <n v="1.4999999999999999E-2"/>
    <x v="1"/>
    <s v="Ravi"/>
    <n v="12.6"/>
    <x v="1"/>
  </r>
  <r>
    <x v="9"/>
    <x v="55"/>
    <n v="240"/>
    <n v="1.4999999999999999E-2"/>
    <x v="1"/>
    <s v="Ravi"/>
    <n v="3.5999999999999996"/>
    <x v="1"/>
  </r>
  <r>
    <x v="9"/>
    <x v="54"/>
    <n v="170"/>
    <n v="0.05"/>
    <x v="1"/>
    <s v="Ravi"/>
    <n v="8.5"/>
    <x v="1"/>
  </r>
  <r>
    <x v="9"/>
    <x v="9"/>
    <n v="14.75"/>
    <n v="0.9"/>
    <x v="1"/>
    <s v="Ravi"/>
    <n v="13.275"/>
    <x v="0"/>
  </r>
  <r>
    <x v="9"/>
    <x v="62"/>
    <n v="312.14"/>
    <n v="0.04"/>
    <x v="1"/>
    <s v="Ravi"/>
    <n v="12.4856"/>
    <x v="0"/>
  </r>
  <r>
    <x v="9"/>
    <x v="14"/>
    <n v="25"/>
    <n v="0.15"/>
    <x v="1"/>
    <s v="Ravi"/>
    <n v="3.75"/>
    <x v="0"/>
  </r>
  <r>
    <x v="9"/>
    <x v="35"/>
    <n v="125"/>
    <n v="0.06"/>
    <x v="1"/>
    <s v="Ravi"/>
    <n v="7.5"/>
    <x v="0"/>
  </r>
  <r>
    <x v="9"/>
    <x v="13"/>
    <n v="40"/>
    <n v="0.1"/>
    <x v="1"/>
    <s v="Ravi"/>
    <n v="4"/>
    <x v="0"/>
  </r>
  <r>
    <x v="9"/>
    <x v="30"/>
    <n v="27.97"/>
    <n v="0.2"/>
    <x v="1"/>
    <s v="Ravi"/>
    <n v="5.5940000000000003"/>
    <x v="0"/>
  </r>
  <r>
    <x v="9"/>
    <x v="29"/>
    <n v="43.06"/>
    <n v="0.3"/>
    <x v="1"/>
    <s v="Ravi"/>
    <n v="12.918000000000001"/>
    <x v="0"/>
  </r>
  <r>
    <x v="9"/>
    <x v="19"/>
    <n v="23.33"/>
    <n v="0.1"/>
    <x v="1"/>
    <s v="Ravi"/>
    <n v="2.3329999999999997"/>
    <x v="0"/>
  </r>
  <r>
    <x v="9"/>
    <x v="99"/>
    <n v="60"/>
    <n v="0.06"/>
    <x v="1"/>
    <s v="Ravi"/>
    <n v="3.5999999999999996"/>
    <x v="1"/>
  </r>
  <r>
    <x v="9"/>
    <x v="52"/>
    <n v="160"/>
    <n v="0.185"/>
    <x v="1"/>
    <s v="Ravi"/>
    <n v="29.6"/>
    <x v="1"/>
  </r>
  <r>
    <x v="9"/>
    <x v="53"/>
    <n v="62.03"/>
    <n v="0.105"/>
    <x v="1"/>
    <s v="Ravi"/>
    <n v="6.5131499999999996"/>
    <x v="1"/>
  </r>
  <r>
    <x v="9"/>
    <x v="25"/>
    <n v="1450"/>
    <n v="1.4999999999999999E-2"/>
    <x v="1"/>
    <s v="Ravi"/>
    <n v="21.75"/>
    <x v="5"/>
  </r>
  <r>
    <x v="9"/>
    <x v="61"/>
    <n v="61.08"/>
    <n v="0.2"/>
    <x v="1"/>
    <s v="Ravi"/>
    <n v="12.216000000000001"/>
    <x v="1"/>
  </r>
  <r>
    <x v="9"/>
    <x v="2"/>
    <n v="30"/>
    <n v="0.2"/>
    <x v="1"/>
    <s v="Ravi"/>
    <n v="6"/>
    <x v="0"/>
  </r>
  <r>
    <x v="9"/>
    <x v="37"/>
    <n v="138"/>
    <n v="0.03"/>
    <x v="1"/>
    <s v="Ravi"/>
    <n v="4.1399999999999997"/>
    <x v="1"/>
  </r>
  <r>
    <x v="9"/>
    <x v="75"/>
    <n v="108"/>
    <n v="0.1"/>
    <x v="1"/>
    <s v="Ravi"/>
    <n v="10.8"/>
    <x v="1"/>
  </r>
  <r>
    <x v="9"/>
    <x v="46"/>
    <n v="35"/>
    <n v="0.7"/>
    <x v="1"/>
    <s v="Ravi"/>
    <n v="24.5"/>
    <x v="0"/>
  </r>
  <r>
    <x v="9"/>
    <x v="12"/>
    <n v="28"/>
    <n v="0.11"/>
    <x v="2"/>
    <s v="Ravi"/>
    <n v="3.08"/>
    <x v="0"/>
  </r>
  <r>
    <x v="9"/>
    <x v="13"/>
    <n v="40"/>
    <n v="0.02"/>
    <x v="2"/>
    <s v="Ravi"/>
    <n v="0.8"/>
    <x v="0"/>
  </r>
  <r>
    <x v="9"/>
    <x v="9"/>
    <n v="14.75"/>
    <n v="0.58499999999999996"/>
    <x v="2"/>
    <s v="Ravi"/>
    <n v="8.6287500000000001"/>
    <x v="0"/>
  </r>
  <r>
    <x v="9"/>
    <x v="14"/>
    <n v="25"/>
    <n v="0.05"/>
    <x v="2"/>
    <s v="Ravi"/>
    <n v="1.25"/>
    <x v="0"/>
  </r>
  <r>
    <x v="9"/>
    <x v="0"/>
    <n v="14"/>
    <n v="0.88"/>
    <x v="2"/>
    <s v="Ravi"/>
    <n v="12.32"/>
    <x v="0"/>
  </r>
  <r>
    <x v="9"/>
    <x v="99"/>
    <n v="60"/>
    <n v="7.0000000000000007E-2"/>
    <x v="2"/>
    <s v="Ravi"/>
    <n v="4.2"/>
    <x v="1"/>
  </r>
  <r>
    <x v="9"/>
    <x v="54"/>
    <n v="170"/>
    <n v="5.0000000000000001E-3"/>
    <x v="2"/>
    <s v="Ravi"/>
    <n v="0.85"/>
    <x v="1"/>
  </r>
  <r>
    <x v="9"/>
    <x v="2"/>
    <n v="30"/>
    <n v="0.12"/>
    <x v="2"/>
    <s v="Ravi"/>
    <n v="3.5999999999999996"/>
    <x v="0"/>
  </r>
  <r>
    <x v="9"/>
    <x v="94"/>
    <n v="20"/>
    <n v="0.25"/>
    <x v="2"/>
    <s v="Ravi"/>
    <n v="5"/>
    <x v="0"/>
  </r>
  <r>
    <x v="9"/>
    <x v="31"/>
    <n v="120"/>
    <n v="0.84"/>
    <x v="2"/>
    <s v="Ravi"/>
    <n v="100.8"/>
    <x v="1"/>
  </r>
  <r>
    <x v="9"/>
    <x v="47"/>
    <n v="280"/>
    <n v="2.5000000000000001E-2"/>
    <x v="2"/>
    <s v="Ravi"/>
    <n v="7"/>
    <x v="1"/>
  </r>
  <r>
    <x v="9"/>
    <x v="71"/>
    <n v="187.41"/>
    <n v="5.0000000000000001E-3"/>
    <x v="2"/>
    <s v="Ravi"/>
    <n v="0.93705000000000005"/>
    <x v="1"/>
  </r>
  <r>
    <x v="9"/>
    <x v="59"/>
    <n v="57.5"/>
    <n v="1.4999999999999999E-2"/>
    <x v="2"/>
    <s v="Ravi"/>
    <n v="0.86249999999999993"/>
    <x v="1"/>
  </r>
  <r>
    <x v="9"/>
    <x v="87"/>
    <n v="48"/>
    <n v="1.4999999999999999E-2"/>
    <x v="2"/>
    <s v="Ravi"/>
    <n v="0.72"/>
    <x v="1"/>
  </r>
  <r>
    <x v="9"/>
    <x v="48"/>
    <n v="7"/>
    <n v="0.05"/>
    <x v="2"/>
    <s v="Ravi"/>
    <n v="0.35000000000000003"/>
    <x v="1"/>
  </r>
  <r>
    <x v="9"/>
    <x v="5"/>
    <n v="49.5"/>
    <n v="0.01"/>
    <x v="2"/>
    <s v="Ravi"/>
    <n v="0.495"/>
    <x v="1"/>
  </r>
  <r>
    <x v="9"/>
    <x v="63"/>
    <n v="3"/>
    <n v="30"/>
    <x v="5"/>
    <s v="Ravi"/>
    <n v="90"/>
    <x v="0"/>
  </r>
  <r>
    <x v="9"/>
    <x v="14"/>
    <n v="25"/>
    <n v="0.08"/>
    <x v="2"/>
    <s v="Ravi"/>
    <n v="2"/>
    <x v="0"/>
  </r>
  <r>
    <x v="9"/>
    <x v="30"/>
    <n v="27.97"/>
    <n v="0.34"/>
    <x v="2"/>
    <s v="Ravi"/>
    <n v="9.5098000000000003"/>
    <x v="0"/>
  </r>
  <r>
    <x v="9"/>
    <x v="81"/>
    <n v="50"/>
    <n v="1.1399999999999999"/>
    <x v="5"/>
    <s v="Ravi"/>
    <n v="56.999999999999993"/>
    <x v="10"/>
  </r>
  <r>
    <x v="10"/>
    <x v="0"/>
    <n v="14"/>
    <n v="4.8"/>
    <x v="0"/>
    <s v="Murthy"/>
    <n v="67.2"/>
    <x v="0"/>
  </r>
  <r>
    <x v="10"/>
    <x v="1"/>
    <n v="30"/>
    <n v="3.9"/>
    <x v="0"/>
    <s v="Murthy"/>
    <n v="117"/>
    <x v="0"/>
  </r>
  <r>
    <x v="10"/>
    <x v="6"/>
    <n v="26"/>
    <n v="11.2"/>
    <x v="0"/>
    <s v="Murthy"/>
    <n v="291.2"/>
    <x v="2"/>
  </r>
  <r>
    <x v="10"/>
    <x v="30"/>
    <n v="27.97"/>
    <n v="0.15"/>
    <x v="0"/>
    <s v="Murthy"/>
    <n v="4.1955"/>
    <x v="0"/>
  </r>
  <r>
    <x v="10"/>
    <x v="7"/>
    <n v="38"/>
    <n v="1.7"/>
    <x v="0"/>
    <s v="Murthy"/>
    <n v="64.599999999999994"/>
    <x v="0"/>
  </r>
  <r>
    <x v="10"/>
    <x v="2"/>
    <n v="30"/>
    <n v="0.5"/>
    <x v="0"/>
    <s v="Murthy"/>
    <n v="15"/>
    <x v="0"/>
  </r>
  <r>
    <x v="10"/>
    <x v="33"/>
    <n v="175"/>
    <n v="1"/>
    <x v="0"/>
    <s v="Murthy"/>
    <n v="175"/>
    <x v="4"/>
  </r>
  <r>
    <x v="10"/>
    <x v="68"/>
    <n v="75"/>
    <n v="1"/>
    <x v="0"/>
    <s v="Murthy"/>
    <n v="75"/>
    <x v="1"/>
  </r>
  <r>
    <x v="10"/>
    <x v="29"/>
    <n v="43.06"/>
    <n v="1"/>
    <x v="0"/>
    <s v="Murthy"/>
    <n v="43.06"/>
    <x v="0"/>
  </r>
  <r>
    <x v="10"/>
    <x v="30"/>
    <n v="27.97"/>
    <n v="0.85"/>
    <x v="0"/>
    <s v="Murthy"/>
    <n v="23.7745"/>
    <x v="0"/>
  </r>
  <r>
    <x v="10"/>
    <x v="11"/>
    <n v="82"/>
    <n v="5"/>
    <x v="0"/>
    <s v="Murthy"/>
    <n v="410"/>
    <x v="3"/>
  </r>
  <r>
    <x v="10"/>
    <x v="66"/>
    <n v="3"/>
    <n v="0.85499999999999998"/>
    <x v="0"/>
    <s v="Murthy"/>
    <n v="2.5649999999999999"/>
    <x v="0"/>
  </r>
  <r>
    <x v="10"/>
    <x v="42"/>
    <n v="42"/>
    <n v="2"/>
    <x v="0"/>
    <s v="Murthy"/>
    <n v="84"/>
    <x v="4"/>
  </r>
  <r>
    <x v="10"/>
    <x v="41"/>
    <n v="36"/>
    <n v="3"/>
    <x v="4"/>
    <s v="Vicky"/>
    <n v="108"/>
    <x v="4"/>
  </r>
  <r>
    <x v="10"/>
    <x v="22"/>
    <n v="62"/>
    <n v="1.5"/>
    <x v="0"/>
    <s v="Murthy"/>
    <n v="93"/>
    <x v="1"/>
  </r>
  <r>
    <x v="10"/>
    <x v="78"/>
    <n v="40"/>
    <n v="0.4"/>
    <x v="0"/>
    <s v="Murthy"/>
    <n v="16"/>
    <x v="11"/>
  </r>
  <r>
    <x v="10"/>
    <x v="10"/>
    <n v="45"/>
    <n v="1"/>
    <x v="0"/>
    <s v="Murthy"/>
    <n v="45"/>
    <x v="1"/>
  </r>
  <r>
    <x v="10"/>
    <x v="8"/>
    <n v="29.51"/>
    <n v="3.5449999999999999"/>
    <x v="0"/>
    <s v="Murthy"/>
    <n v="104.61295"/>
    <x v="1"/>
  </r>
  <r>
    <x v="10"/>
    <x v="17"/>
    <n v="140"/>
    <n v="0.5"/>
    <x v="0"/>
    <s v="Murthy"/>
    <n v="70"/>
    <x v="4"/>
  </r>
  <r>
    <x v="10"/>
    <x v="14"/>
    <n v="25"/>
    <n v="0.3"/>
    <x v="0"/>
    <s v="Murthy"/>
    <n v="7.5"/>
    <x v="0"/>
  </r>
  <r>
    <x v="10"/>
    <x v="67"/>
    <n v="33"/>
    <n v="1"/>
    <x v="0"/>
    <s v="Murthy"/>
    <n v="33"/>
    <x v="9"/>
  </r>
  <r>
    <x v="10"/>
    <x v="42"/>
    <n v="42"/>
    <n v="1.5"/>
    <x v="0"/>
    <s v="Murthy"/>
    <n v="63"/>
    <x v="4"/>
  </r>
  <r>
    <x v="10"/>
    <x v="16"/>
    <n v="60"/>
    <n v="0.5"/>
    <x v="0"/>
    <s v="Murthy"/>
    <n v="30"/>
    <x v="0"/>
  </r>
  <r>
    <x v="10"/>
    <x v="38"/>
    <n v="27"/>
    <n v="2.6"/>
    <x v="0"/>
    <s v="Murthy"/>
    <n v="70.2"/>
    <x v="1"/>
  </r>
  <r>
    <x v="10"/>
    <x v="13"/>
    <n v="40"/>
    <n v="0.1"/>
    <x v="0"/>
    <s v="Murthy"/>
    <n v="4"/>
    <x v="0"/>
  </r>
  <r>
    <x v="10"/>
    <x v="41"/>
    <n v="36"/>
    <n v="1"/>
    <x v="0"/>
    <s v="Murthy"/>
    <n v="36"/>
    <x v="4"/>
  </r>
  <r>
    <x v="10"/>
    <x v="45"/>
    <n v="37"/>
    <n v="1.0049999999999999"/>
    <x v="4"/>
    <s v="Vicky"/>
    <n v="37.184999999999995"/>
    <x v="1"/>
  </r>
  <r>
    <x v="10"/>
    <x v="32"/>
    <n v="32"/>
    <n v="2"/>
    <x v="0"/>
    <s v="Murthy"/>
    <n v="64"/>
    <x v="0"/>
  </r>
  <r>
    <x v="10"/>
    <x v="47"/>
    <n v="280"/>
    <n v="0.11"/>
    <x v="0"/>
    <s v="Murthy"/>
    <n v="30.8"/>
    <x v="1"/>
  </r>
  <r>
    <x v="10"/>
    <x v="59"/>
    <n v="57.5"/>
    <n v="0.04"/>
    <x v="0"/>
    <s v="Murthy"/>
    <n v="2.3000000000000003"/>
    <x v="1"/>
  </r>
  <r>
    <x v="10"/>
    <x v="85"/>
    <n v="24"/>
    <n v="1"/>
    <x v="0"/>
    <s v="Murthy"/>
    <n v="24"/>
    <x v="1"/>
  </r>
  <r>
    <x v="10"/>
    <x v="69"/>
    <n v="33"/>
    <n v="9.5000000000000001E-2"/>
    <x v="0"/>
    <s v="Murthy"/>
    <n v="3.1350000000000002"/>
    <x v="6"/>
  </r>
  <r>
    <x v="10"/>
    <x v="71"/>
    <n v="187.41"/>
    <n v="0.01"/>
    <x v="0"/>
    <s v="Murthy"/>
    <n v="1.8741000000000001"/>
    <x v="1"/>
  </r>
  <r>
    <x v="10"/>
    <x v="87"/>
    <n v="48"/>
    <n v="0.03"/>
    <x v="0"/>
    <s v="Murthy"/>
    <n v="1.44"/>
    <x v="1"/>
  </r>
  <r>
    <x v="10"/>
    <x v="3"/>
    <n v="17"/>
    <n v="0.15"/>
    <x v="0"/>
    <s v="Murthy"/>
    <n v="2.5499999999999998"/>
    <x v="1"/>
  </r>
  <r>
    <x v="10"/>
    <x v="4"/>
    <n v="180"/>
    <n v="0.27500000000000002"/>
    <x v="0"/>
    <s v="Murthy"/>
    <n v="49.500000000000007"/>
    <x v="1"/>
  </r>
  <r>
    <x v="10"/>
    <x v="84"/>
    <n v="148"/>
    <n v="0.185"/>
    <x v="0"/>
    <s v="Murthy"/>
    <n v="27.38"/>
    <x v="1"/>
  </r>
  <r>
    <x v="10"/>
    <x v="31"/>
    <n v="120"/>
    <n v="7.0000000000000007E-2"/>
    <x v="0"/>
    <s v="Murthy"/>
    <n v="8.4"/>
    <x v="1"/>
  </r>
  <r>
    <x v="10"/>
    <x v="34"/>
    <n v="51"/>
    <n v="0.2"/>
    <x v="0"/>
    <s v="Murthy"/>
    <n v="10.200000000000001"/>
    <x v="1"/>
  </r>
  <r>
    <x v="10"/>
    <x v="23"/>
    <n v="220"/>
    <n v="5.0000000000000001E-3"/>
    <x v="0"/>
    <s v="Murthy"/>
    <n v="1.1000000000000001"/>
    <x v="5"/>
  </r>
  <r>
    <x v="10"/>
    <x v="24"/>
    <n v="740"/>
    <n v="5.0000000000000001E-3"/>
    <x v="0"/>
    <s v="Murthy"/>
    <n v="3.7"/>
    <x v="5"/>
  </r>
  <r>
    <x v="10"/>
    <x v="25"/>
    <n v="1450"/>
    <n v="5.0000000000000001E-3"/>
    <x v="0"/>
    <s v="Murthy"/>
    <n v="7.25"/>
    <x v="5"/>
  </r>
  <r>
    <x v="10"/>
    <x v="26"/>
    <n v="750"/>
    <n v="5.0000000000000001E-3"/>
    <x v="0"/>
    <s v="Murthy"/>
    <n v="3.75"/>
    <x v="5"/>
  </r>
  <r>
    <x v="10"/>
    <x v="27"/>
    <n v="1480"/>
    <n v="5.0000000000000001E-3"/>
    <x v="0"/>
    <s v="Murthy"/>
    <n v="7.4"/>
    <x v="5"/>
  </r>
  <r>
    <x v="10"/>
    <x v="35"/>
    <n v="125"/>
    <n v="0.06"/>
    <x v="0"/>
    <s v="Murthy"/>
    <n v="7.5"/>
    <x v="0"/>
  </r>
  <r>
    <x v="10"/>
    <x v="41"/>
    <n v="36"/>
    <n v="1"/>
    <x v="4"/>
    <s v="Vicky"/>
    <n v="36"/>
    <x v="4"/>
  </r>
  <r>
    <x v="10"/>
    <x v="63"/>
    <n v="3"/>
    <n v="4"/>
    <x v="0"/>
    <s v="Murthy"/>
    <n v="12"/>
    <x v="0"/>
  </r>
  <r>
    <x v="10"/>
    <x v="15"/>
    <n v="43.98"/>
    <n v="0.1"/>
    <x v="0"/>
    <s v="Murthy"/>
    <n v="4.3979999999999997"/>
    <x v="0"/>
  </r>
  <r>
    <x v="10"/>
    <x v="32"/>
    <n v="32"/>
    <n v="5"/>
    <x v="0"/>
    <s v="Murthy"/>
    <n v="160"/>
    <x v="0"/>
  </r>
  <r>
    <x v="10"/>
    <x v="39"/>
    <n v="75"/>
    <n v="0.3"/>
    <x v="0"/>
    <s v="Murthy"/>
    <n v="22.5"/>
    <x v="6"/>
  </r>
  <r>
    <x v="10"/>
    <x v="77"/>
    <n v="30"/>
    <n v="0.6"/>
    <x v="5"/>
    <s v="Ravi"/>
    <n v="18"/>
    <x v="10"/>
  </r>
  <r>
    <x v="10"/>
    <x v="88"/>
    <n v="20"/>
    <n v="1.6"/>
    <x v="5"/>
    <s v="Ravi"/>
    <n v="32"/>
    <x v="10"/>
  </r>
  <r>
    <x v="10"/>
    <x v="91"/>
    <n v="40"/>
    <n v="0.4"/>
    <x v="5"/>
    <s v="Ravi"/>
    <n v="16"/>
    <x v="10"/>
  </r>
  <r>
    <x v="10"/>
    <x v="3"/>
    <n v="17"/>
    <n v="0.36"/>
    <x v="2"/>
    <s v="Ravi"/>
    <n v="6.12"/>
    <x v="1"/>
  </r>
  <r>
    <x v="10"/>
    <x v="41"/>
    <n v="36"/>
    <n v="3.5"/>
    <x v="5"/>
    <s v="Ravi"/>
    <n v="126"/>
    <x v="4"/>
  </r>
  <r>
    <x v="10"/>
    <x v="90"/>
    <n v="120"/>
    <n v="0.33999999999999997"/>
    <x v="5"/>
    <s v="Ravi"/>
    <n v="40.799999999999997"/>
    <x v="10"/>
  </r>
  <r>
    <x v="10"/>
    <x v="87"/>
    <n v="48"/>
    <n v="0.08"/>
    <x v="2"/>
    <s v="Ravi"/>
    <n v="3.84"/>
    <x v="1"/>
  </r>
  <r>
    <x v="10"/>
    <x v="83"/>
    <n v="48"/>
    <n v="0.4"/>
    <x v="2"/>
    <s v="Ravi"/>
    <n v="19.200000000000003"/>
    <x v="1"/>
  </r>
  <r>
    <x v="10"/>
    <x v="45"/>
    <n v="37"/>
    <n v="3.4"/>
    <x v="5"/>
    <s v="Ravi"/>
    <n v="125.8"/>
    <x v="1"/>
  </r>
  <r>
    <x v="10"/>
    <x v="113"/>
    <n v="100"/>
    <n v="0.24"/>
    <x v="2"/>
    <s v="Ravi"/>
    <n v="24"/>
    <x v="1"/>
  </r>
  <r>
    <x v="10"/>
    <x v="0"/>
    <n v="14"/>
    <n v="0.60499999999999998"/>
    <x v="0"/>
    <s v="Ravi"/>
    <n v="8.4699999999999989"/>
    <x v="0"/>
  </r>
  <r>
    <x v="10"/>
    <x v="9"/>
    <n v="14.75"/>
    <n v="0.38500000000000001"/>
    <x v="2"/>
    <s v="Ravi"/>
    <n v="5.67875"/>
    <x v="0"/>
  </r>
  <r>
    <x v="10"/>
    <x v="30"/>
    <n v="27.97"/>
    <n v="0.255"/>
    <x v="2"/>
    <s v="Ravi"/>
    <n v="7.1323499999999997"/>
    <x v="0"/>
  </r>
  <r>
    <x v="10"/>
    <x v="14"/>
    <n v="25"/>
    <n v="0.08"/>
    <x v="2"/>
    <s v="Ravi"/>
    <n v="2"/>
    <x v="0"/>
  </r>
  <r>
    <x v="10"/>
    <x v="80"/>
    <n v="50"/>
    <n v="0.62999999999999989"/>
    <x v="5"/>
    <s v="Ravi"/>
    <n v="31.499999999999993"/>
    <x v="10"/>
  </r>
  <r>
    <x v="10"/>
    <x v="81"/>
    <n v="50"/>
    <n v="1.1399999999999999"/>
    <x v="5"/>
    <s v="Ravi"/>
    <n v="56.999999999999993"/>
    <x v="10"/>
  </r>
  <r>
    <x v="10"/>
    <x v="42"/>
    <n v="42"/>
    <n v="1.5"/>
    <x v="1"/>
    <s v="Ravi"/>
    <n v="63"/>
    <x v="4"/>
  </r>
  <r>
    <x v="10"/>
    <x v="41"/>
    <n v="36"/>
    <n v="1.5"/>
    <x v="1"/>
    <s v="Ravi"/>
    <n v="54"/>
    <x v="4"/>
  </r>
  <r>
    <x v="10"/>
    <x v="44"/>
    <n v="52"/>
    <n v="6"/>
    <x v="1"/>
    <s v="Ravi"/>
    <n v="312"/>
    <x v="1"/>
  </r>
  <r>
    <x v="10"/>
    <x v="43"/>
    <n v="28"/>
    <n v="2"/>
    <x v="1"/>
    <s v="Ravi"/>
    <n v="56"/>
    <x v="0"/>
  </r>
  <r>
    <x v="10"/>
    <x v="45"/>
    <n v="37"/>
    <n v="0.3"/>
    <x v="1"/>
    <s v="Ravi"/>
    <n v="11.1"/>
    <x v="1"/>
  </r>
  <r>
    <x v="10"/>
    <x v="47"/>
    <n v="280"/>
    <n v="3.5000000000000003E-2"/>
    <x v="1"/>
    <s v="Ravi"/>
    <n v="9.8000000000000007"/>
    <x v="1"/>
  </r>
  <r>
    <x v="10"/>
    <x v="31"/>
    <n v="120"/>
    <n v="0.02"/>
    <x v="1"/>
    <s v="Ravi"/>
    <n v="2.4"/>
    <x v="1"/>
  </r>
  <r>
    <x v="10"/>
    <x v="73"/>
    <n v="340"/>
    <n v="0.02"/>
    <x v="1"/>
    <s v="Ravi"/>
    <n v="6.8"/>
    <x v="1"/>
  </r>
  <r>
    <x v="10"/>
    <x v="71"/>
    <n v="187.41"/>
    <n v="2.5000000000000001E-2"/>
    <x v="1"/>
    <s v="Ravi"/>
    <n v="4.6852499999999999"/>
    <x v="1"/>
  </r>
  <r>
    <x v="10"/>
    <x v="48"/>
    <n v="7"/>
    <n v="0.34"/>
    <x v="1"/>
    <s v="Ravi"/>
    <n v="2.3800000000000003"/>
    <x v="1"/>
  </r>
  <r>
    <x v="10"/>
    <x v="49"/>
    <n v="96"/>
    <n v="3.5000000000000003E-2"/>
    <x v="1"/>
    <s v="Ravi"/>
    <n v="3.3600000000000003"/>
    <x v="3"/>
  </r>
  <r>
    <x v="10"/>
    <x v="11"/>
    <n v="82"/>
    <n v="1"/>
    <x v="1"/>
    <s v="Ravi"/>
    <n v="82"/>
    <x v="3"/>
  </r>
  <r>
    <x v="10"/>
    <x v="20"/>
    <n v="230"/>
    <n v="2.5000000000000001E-2"/>
    <x v="1"/>
    <s v="Ravi"/>
    <n v="5.75"/>
    <x v="1"/>
  </r>
  <r>
    <x v="10"/>
    <x v="50"/>
    <n v="70"/>
    <n v="3.5000000000000003E-2"/>
    <x v="1"/>
    <s v="Ravi"/>
    <n v="2.4500000000000002"/>
    <x v="1"/>
  </r>
  <r>
    <x v="10"/>
    <x v="51"/>
    <n v="55"/>
    <n v="7.4999999999999997E-2"/>
    <x v="1"/>
    <s v="Ravi"/>
    <n v="4.125"/>
    <x v="1"/>
  </r>
  <r>
    <x v="10"/>
    <x v="0"/>
    <n v="14"/>
    <n v="1.5"/>
    <x v="1"/>
    <s v="Ravi"/>
    <n v="21"/>
    <x v="0"/>
  </r>
  <r>
    <x v="10"/>
    <x v="12"/>
    <n v="28"/>
    <n v="0.15"/>
    <x v="1"/>
    <s v="Ravi"/>
    <n v="4.2"/>
    <x v="0"/>
  </r>
  <r>
    <x v="10"/>
    <x v="13"/>
    <n v="40"/>
    <n v="0.05"/>
    <x v="1"/>
    <s v="Ravi"/>
    <n v="2"/>
    <x v="0"/>
  </r>
  <r>
    <x v="10"/>
    <x v="76"/>
    <n v="34"/>
    <n v="0.75"/>
    <x v="1"/>
    <s v="Ravi"/>
    <n v="25.5"/>
    <x v="1"/>
  </r>
  <r>
    <x v="10"/>
    <x v="56"/>
    <n v="840"/>
    <n v="1.4999999999999999E-2"/>
    <x v="1"/>
    <s v="Ravi"/>
    <n v="12.6"/>
    <x v="1"/>
  </r>
  <r>
    <x v="10"/>
    <x v="55"/>
    <n v="240"/>
    <n v="1.4999999999999999E-2"/>
    <x v="1"/>
    <s v="Ravi"/>
    <n v="3.5999999999999996"/>
    <x v="1"/>
  </r>
  <r>
    <x v="10"/>
    <x v="54"/>
    <n v="170"/>
    <n v="0.05"/>
    <x v="1"/>
    <s v="Ravi"/>
    <n v="8.5"/>
    <x v="1"/>
  </r>
  <r>
    <x v="10"/>
    <x v="9"/>
    <n v="14.75"/>
    <n v="1.9"/>
    <x v="1"/>
    <s v="Ravi"/>
    <n v="28.024999999999999"/>
    <x v="0"/>
  </r>
  <r>
    <x v="10"/>
    <x v="62"/>
    <n v="312.14"/>
    <n v="0.04"/>
    <x v="1"/>
    <s v="Ravi"/>
    <n v="12.4856"/>
    <x v="0"/>
  </r>
  <r>
    <x v="10"/>
    <x v="14"/>
    <n v="25"/>
    <n v="0.2"/>
    <x v="1"/>
    <s v="Ravi"/>
    <n v="5"/>
    <x v="0"/>
  </r>
  <r>
    <x v="10"/>
    <x v="35"/>
    <n v="125"/>
    <n v="0.06"/>
    <x v="1"/>
    <s v="Ravi"/>
    <n v="7.5"/>
    <x v="0"/>
  </r>
  <r>
    <x v="10"/>
    <x v="29"/>
    <n v="43.06"/>
    <n v="0.5"/>
    <x v="1"/>
    <s v="Ravi"/>
    <n v="21.53"/>
    <x v="0"/>
  </r>
  <r>
    <x v="10"/>
    <x v="2"/>
    <n v="30"/>
    <n v="0.1"/>
    <x v="1"/>
    <s v="Ravi"/>
    <n v="3"/>
    <x v="0"/>
  </r>
  <r>
    <x v="10"/>
    <x v="37"/>
    <n v="138"/>
    <n v="2.5000000000000001E-2"/>
    <x v="1"/>
    <s v="Ravi"/>
    <n v="3.45"/>
    <x v="1"/>
  </r>
  <r>
    <x v="10"/>
    <x v="25"/>
    <n v="1450"/>
    <n v="5.0000000000000001E-3"/>
    <x v="1"/>
    <s v="Ravi"/>
    <n v="7.25"/>
    <x v="5"/>
  </r>
  <r>
    <x v="10"/>
    <x v="57"/>
    <n v="64.069999999999993"/>
    <n v="0.3"/>
    <x v="1"/>
    <s v="Ravi"/>
    <n v="19.220999999999997"/>
    <x v="1"/>
  </r>
  <r>
    <x v="10"/>
    <x v="46"/>
    <n v="35"/>
    <n v="1"/>
    <x v="1"/>
    <s v="Ravi"/>
    <n v="35"/>
    <x v="0"/>
  </r>
  <r>
    <x v="10"/>
    <x v="52"/>
    <n v="160"/>
    <n v="0.11"/>
    <x v="1"/>
    <s v="Ravi"/>
    <n v="17.600000000000001"/>
    <x v="1"/>
  </r>
  <r>
    <x v="10"/>
    <x v="53"/>
    <n v="62.03"/>
    <n v="8.5000000000000006E-2"/>
    <x v="1"/>
    <s v="Ravi"/>
    <n v="5.2725500000000007"/>
    <x v="1"/>
  </r>
  <r>
    <x v="10"/>
    <x v="111"/>
    <n v="125"/>
    <n v="0.02"/>
    <x v="1"/>
    <s v="Ravi"/>
    <n v="2.5"/>
    <x v="1"/>
  </r>
  <r>
    <x v="10"/>
    <x v="89"/>
    <n v="86"/>
    <n v="0.2"/>
    <x v="1"/>
    <s v="Ravi"/>
    <n v="17.2"/>
    <x v="1"/>
  </r>
  <r>
    <x v="10"/>
    <x v="92"/>
    <n v="76"/>
    <n v="0.02"/>
    <x v="1"/>
    <s v="Ravi"/>
    <n v="1.52"/>
    <x v="1"/>
  </r>
  <r>
    <x v="10"/>
    <x v="1"/>
    <n v="30"/>
    <n v="0.15"/>
    <x v="1"/>
    <s v="Ravi"/>
    <n v="4.5"/>
    <x v="0"/>
  </r>
  <r>
    <x v="10"/>
    <x v="64"/>
    <n v="78.95"/>
    <n v="19"/>
    <x v="3"/>
    <s v="Common"/>
    <n v="1500.05"/>
    <x v="7"/>
  </r>
  <r>
    <x v="10"/>
    <x v="63"/>
    <n v="3"/>
    <n v="10"/>
    <x v="6"/>
    <s v="Jaggu"/>
    <n v="30"/>
    <x v="0"/>
  </r>
  <r>
    <x v="10"/>
    <x v="0"/>
    <n v="14"/>
    <n v="0.5"/>
    <x v="6"/>
    <s v="Jaggu"/>
    <n v="7"/>
    <x v="0"/>
  </r>
  <r>
    <x v="10"/>
    <x v="41"/>
    <n v="36"/>
    <n v="5"/>
    <x v="5"/>
    <s v="Ravi"/>
    <n v="180"/>
    <x v="4"/>
  </r>
  <r>
    <x v="11"/>
    <x v="64"/>
    <n v="78.95"/>
    <n v="17.5"/>
    <x v="3"/>
    <s v="Common"/>
    <n v="1381.625"/>
    <x v="7"/>
  </r>
  <r>
    <x v="11"/>
    <x v="0"/>
    <n v="14"/>
    <n v="4.3"/>
    <x v="0"/>
    <s v="Murthy"/>
    <n v="60.199999999999996"/>
    <x v="0"/>
  </r>
  <r>
    <x v="11"/>
    <x v="2"/>
    <n v="30"/>
    <n v="0.7"/>
    <x v="0"/>
    <s v="Murthy"/>
    <n v="21"/>
    <x v="0"/>
  </r>
  <r>
    <x v="11"/>
    <x v="1"/>
    <n v="30"/>
    <n v="1.3"/>
    <x v="0"/>
    <s v="Murthy"/>
    <n v="39"/>
    <x v="0"/>
  </r>
  <r>
    <x v="11"/>
    <x v="17"/>
    <n v="140"/>
    <n v="1"/>
    <x v="0"/>
    <s v="Murthy"/>
    <n v="140"/>
    <x v="4"/>
  </r>
  <r>
    <x v="11"/>
    <x v="33"/>
    <n v="175"/>
    <n v="2"/>
    <x v="0"/>
    <s v="Murthy"/>
    <n v="350"/>
    <x v="4"/>
  </r>
  <r>
    <x v="11"/>
    <x v="66"/>
    <n v="3"/>
    <n v="0.14000000000000001"/>
    <x v="0"/>
    <s v="Murthy"/>
    <n v="0.42000000000000004"/>
    <x v="0"/>
  </r>
  <r>
    <x v="11"/>
    <x v="30"/>
    <n v="27.97"/>
    <n v="1.1499999999999999"/>
    <x v="0"/>
    <s v="Murthy"/>
    <n v="32.165499999999994"/>
    <x v="0"/>
  </r>
  <r>
    <x v="11"/>
    <x v="6"/>
    <n v="26"/>
    <n v="10.8"/>
    <x v="0"/>
    <s v="Murthy"/>
    <n v="280.8"/>
    <x v="2"/>
  </r>
  <r>
    <x v="11"/>
    <x v="13"/>
    <n v="40"/>
    <n v="0.3"/>
    <x v="0"/>
    <s v="Murthy"/>
    <n v="12"/>
    <x v="0"/>
  </r>
  <r>
    <x v="11"/>
    <x v="11"/>
    <n v="82"/>
    <n v="5"/>
    <x v="0"/>
    <s v="Murthy"/>
    <n v="410"/>
    <x v="3"/>
  </r>
  <r>
    <x v="11"/>
    <x v="14"/>
    <n v="25"/>
    <n v="0.6"/>
    <x v="0"/>
    <s v="Murthy"/>
    <n v="15"/>
    <x v="0"/>
  </r>
  <r>
    <x v="11"/>
    <x v="35"/>
    <n v="125"/>
    <n v="0.06"/>
    <x v="0"/>
    <s v="Murthy"/>
    <n v="7.5"/>
    <x v="0"/>
  </r>
  <r>
    <x v="11"/>
    <x v="29"/>
    <n v="43.06"/>
    <n v="0.9"/>
    <x v="0"/>
    <s v="Murthy"/>
    <n v="38.754000000000005"/>
    <x v="0"/>
  </r>
  <r>
    <x v="11"/>
    <x v="15"/>
    <n v="43.98"/>
    <n v="0.2"/>
    <x v="0"/>
    <s v="Murthy"/>
    <n v="8.7959999999999994"/>
    <x v="0"/>
  </r>
  <r>
    <x v="11"/>
    <x v="12"/>
    <n v="28"/>
    <n v="0.3"/>
    <x v="0"/>
    <s v="Murthy"/>
    <n v="8.4"/>
    <x v="0"/>
  </r>
  <r>
    <x v="11"/>
    <x v="42"/>
    <n v="42"/>
    <n v="2.5"/>
    <x v="0"/>
    <s v="Murthy"/>
    <n v="105"/>
    <x v="4"/>
  </r>
  <r>
    <x v="11"/>
    <x v="41"/>
    <n v="36"/>
    <n v="3"/>
    <x v="4"/>
    <s v="Vicky"/>
    <n v="108"/>
    <x v="4"/>
  </r>
  <r>
    <x v="11"/>
    <x v="28"/>
    <n v="64"/>
    <n v="2"/>
    <x v="0"/>
    <s v="Murthy"/>
    <n v="128"/>
    <x v="1"/>
  </r>
  <r>
    <x v="11"/>
    <x v="45"/>
    <n v="37"/>
    <n v="0.8"/>
    <x v="4"/>
    <s v="Vicky"/>
    <n v="29.6"/>
    <x v="1"/>
  </r>
  <r>
    <x v="11"/>
    <x v="8"/>
    <n v="29.51"/>
    <n v="2.2999999999999998"/>
    <x v="0"/>
    <s v="Murthy"/>
    <n v="67.873000000000005"/>
    <x v="1"/>
  </r>
  <r>
    <x v="11"/>
    <x v="32"/>
    <n v="32"/>
    <n v="2"/>
    <x v="0"/>
    <s v="Murthy"/>
    <n v="64"/>
    <x v="0"/>
  </r>
  <r>
    <x v="11"/>
    <x v="18"/>
    <n v="40"/>
    <n v="1"/>
    <x v="0"/>
    <s v="Murthy"/>
    <n v="40"/>
    <x v="1"/>
  </r>
  <r>
    <x v="11"/>
    <x v="19"/>
    <n v="23.33"/>
    <n v="1.05"/>
    <x v="0"/>
    <s v="Murthy"/>
    <n v="24.496499999999997"/>
    <x v="0"/>
  </r>
  <r>
    <x v="11"/>
    <x v="38"/>
    <n v="27"/>
    <n v="3.1"/>
    <x v="0"/>
    <s v="Murthy"/>
    <n v="83.7"/>
    <x v="1"/>
  </r>
  <r>
    <x v="11"/>
    <x v="7"/>
    <n v="38"/>
    <n v="1.6"/>
    <x v="0"/>
    <s v="Murthy"/>
    <n v="60.800000000000004"/>
    <x v="0"/>
  </r>
  <r>
    <x v="11"/>
    <x v="39"/>
    <n v="75"/>
    <n v="0.3"/>
    <x v="0"/>
    <s v="Murthy"/>
    <n v="22.5"/>
    <x v="6"/>
  </r>
  <r>
    <x v="11"/>
    <x v="65"/>
    <n v="390"/>
    <n v="0.15"/>
    <x v="4"/>
    <s v="Vicky"/>
    <n v="58.5"/>
    <x v="8"/>
  </r>
  <r>
    <x v="11"/>
    <x v="21"/>
    <n v="272"/>
    <n v="0.25"/>
    <x v="0"/>
    <s v="Murthy"/>
    <n v="68"/>
    <x v="1"/>
  </r>
  <r>
    <x v="11"/>
    <x v="47"/>
    <n v="280"/>
    <n v="0.12"/>
    <x v="0"/>
    <s v="Murthy"/>
    <n v="33.6"/>
    <x v="1"/>
  </r>
  <r>
    <x v="11"/>
    <x v="59"/>
    <n v="57.5"/>
    <n v="0.03"/>
    <x v="0"/>
    <s v="Murthy"/>
    <n v="1.7249999999999999"/>
    <x v="1"/>
  </r>
  <r>
    <x v="11"/>
    <x v="71"/>
    <n v="187.41"/>
    <n v="0.02"/>
    <x v="0"/>
    <s v="Murthy"/>
    <n v="3.7482000000000002"/>
    <x v="1"/>
  </r>
  <r>
    <x v="11"/>
    <x v="3"/>
    <n v="17"/>
    <n v="0.4"/>
    <x v="0"/>
    <s v="Murthy"/>
    <n v="6.8000000000000007"/>
    <x v="1"/>
  </r>
  <r>
    <x v="11"/>
    <x v="97"/>
    <n v="380"/>
    <n v="8.5000000000000006E-2"/>
    <x v="0"/>
    <s v="Murthy"/>
    <n v="32.300000000000004"/>
    <x v="1"/>
  </r>
  <r>
    <x v="11"/>
    <x v="4"/>
    <n v="180"/>
    <n v="0.13500000000000001"/>
    <x v="0"/>
    <s v="Murthy"/>
    <n v="24.3"/>
    <x v="1"/>
  </r>
  <r>
    <x v="11"/>
    <x v="84"/>
    <n v="148"/>
    <n v="7.0000000000000007E-2"/>
    <x v="0"/>
    <s v="Murthy"/>
    <n v="10.360000000000001"/>
    <x v="1"/>
  </r>
  <r>
    <x v="11"/>
    <x v="34"/>
    <n v="51"/>
    <n v="1"/>
    <x v="0"/>
    <s v="Murthy"/>
    <n v="51"/>
    <x v="1"/>
  </r>
  <r>
    <x v="11"/>
    <x v="85"/>
    <n v="24"/>
    <n v="0.1744"/>
    <x v="0"/>
    <s v="Murthy"/>
    <n v="4.1856"/>
    <x v="1"/>
  </r>
  <r>
    <x v="11"/>
    <x v="69"/>
    <n v="33"/>
    <n v="0.1411"/>
    <x v="0"/>
    <s v="Murthy"/>
    <n v="4.6562999999999999"/>
    <x v="6"/>
  </r>
  <r>
    <x v="11"/>
    <x v="39"/>
    <n v="75"/>
    <n v="0.625"/>
    <x v="0"/>
    <s v="Murthy"/>
    <n v="46.875"/>
    <x v="6"/>
  </r>
  <r>
    <x v="11"/>
    <x v="31"/>
    <n v="120"/>
    <n v="0.05"/>
    <x v="0"/>
    <s v="Murthy"/>
    <n v="6"/>
    <x v="1"/>
  </r>
  <r>
    <x v="11"/>
    <x v="16"/>
    <n v="60"/>
    <n v="0.5"/>
    <x v="0"/>
    <s v="Murthy"/>
    <n v="30"/>
    <x v="0"/>
  </r>
  <r>
    <x v="11"/>
    <x v="41"/>
    <n v="36"/>
    <n v="3"/>
    <x v="5"/>
    <s v="Ravi"/>
    <n v="108"/>
    <x v="4"/>
  </r>
  <r>
    <x v="11"/>
    <x v="77"/>
    <n v="30"/>
    <n v="0.58499999999999996"/>
    <x v="5"/>
    <s v="Ravi"/>
    <n v="17.549999999999997"/>
    <x v="10"/>
  </r>
  <r>
    <x v="11"/>
    <x v="88"/>
    <n v="20"/>
    <n v="1.5"/>
    <x v="5"/>
    <s v="Ravi"/>
    <n v="30"/>
    <x v="10"/>
  </r>
  <r>
    <x v="11"/>
    <x v="79"/>
    <n v="20"/>
    <n v="2.2999999999999998"/>
    <x v="5"/>
    <s v="Ravi"/>
    <n v="46"/>
    <x v="10"/>
  </r>
  <r>
    <x v="11"/>
    <x v="91"/>
    <n v="40"/>
    <n v="0.50000000000000011"/>
    <x v="5"/>
    <s v="Ravi"/>
    <n v="20.000000000000004"/>
    <x v="10"/>
  </r>
  <r>
    <x v="11"/>
    <x v="90"/>
    <n v="120"/>
    <n v="0.16"/>
    <x v="5"/>
    <s v="Ravi"/>
    <n v="19.2"/>
    <x v="10"/>
  </r>
  <r>
    <x v="11"/>
    <x v="80"/>
    <n v="50"/>
    <n v="0.57000000000000006"/>
    <x v="5"/>
    <s v="Ravi"/>
    <n v="28.500000000000004"/>
    <x v="10"/>
  </r>
  <r>
    <x v="11"/>
    <x v="81"/>
    <n v="50"/>
    <n v="1.3700000000000006"/>
    <x v="5"/>
    <s v="Ravi"/>
    <n v="68.500000000000028"/>
    <x v="10"/>
  </r>
  <r>
    <x v="11"/>
    <x v="0"/>
    <n v="14"/>
    <n v="1.02"/>
    <x v="2"/>
    <s v="Ravi"/>
    <n v="14.280000000000001"/>
    <x v="0"/>
  </r>
  <r>
    <x v="11"/>
    <x v="9"/>
    <n v="14.75"/>
    <n v="0.58499999999999996"/>
    <x v="2"/>
    <s v="Ravi"/>
    <n v="8.6287500000000001"/>
    <x v="0"/>
  </r>
  <r>
    <x v="11"/>
    <x v="43"/>
    <n v="28"/>
    <n v="0.5"/>
    <x v="2"/>
    <s v="Ravi"/>
    <n v="14"/>
    <x v="0"/>
  </r>
  <r>
    <x v="11"/>
    <x v="14"/>
    <n v="25"/>
    <n v="0.35"/>
    <x v="2"/>
    <s v="Ravi"/>
    <n v="8.75"/>
    <x v="0"/>
  </r>
  <r>
    <x v="11"/>
    <x v="12"/>
    <n v="28"/>
    <n v="0.15"/>
    <x v="2"/>
    <s v="Ravi"/>
    <n v="4.2"/>
    <x v="0"/>
  </r>
  <r>
    <x v="11"/>
    <x v="2"/>
    <n v="30"/>
    <n v="0.15"/>
    <x v="2"/>
    <s v="Ravi"/>
    <n v="4.5"/>
    <x v="0"/>
  </r>
  <r>
    <x v="11"/>
    <x v="99"/>
    <n v="60"/>
    <n v="6.5000000000000002E-2"/>
    <x v="2"/>
    <s v="Ravi"/>
    <n v="3.9000000000000004"/>
    <x v="1"/>
  </r>
  <r>
    <x v="11"/>
    <x v="94"/>
    <n v="20"/>
    <n v="0.2"/>
    <x v="2"/>
    <s v="Ravi"/>
    <n v="4"/>
    <x v="0"/>
  </r>
  <r>
    <x v="11"/>
    <x v="42"/>
    <n v="42"/>
    <n v="0.5"/>
    <x v="2"/>
    <s v="Ravi"/>
    <n v="21"/>
    <x v="4"/>
  </r>
  <r>
    <x v="11"/>
    <x v="13"/>
    <n v="40"/>
    <n v="4.4999999999999998E-2"/>
    <x v="2"/>
    <s v="Ravi"/>
    <n v="1.7999999999999998"/>
    <x v="0"/>
  </r>
  <r>
    <x v="11"/>
    <x v="30"/>
    <n v="27.97"/>
    <n v="0.25"/>
    <x v="2"/>
    <s v="Ravi"/>
    <n v="6.9924999999999997"/>
    <x v="0"/>
  </r>
  <r>
    <x v="11"/>
    <x v="42"/>
    <n v="42"/>
    <n v="1.5"/>
    <x v="1"/>
    <s v="Ravi"/>
    <n v="63"/>
    <x v="4"/>
  </r>
  <r>
    <x v="11"/>
    <x v="41"/>
    <n v="36"/>
    <n v="1.5"/>
    <x v="1"/>
    <s v="Ravi"/>
    <n v="54"/>
    <x v="4"/>
  </r>
  <r>
    <x v="11"/>
    <x v="64"/>
    <n v="78.95"/>
    <n v="1.5"/>
    <x v="1"/>
    <s v="Ravi"/>
    <n v="118.42500000000001"/>
    <x v="7"/>
  </r>
  <r>
    <x v="11"/>
    <x v="44"/>
    <n v="52"/>
    <n v="4"/>
    <x v="1"/>
    <s v="Ravi"/>
    <n v="208"/>
    <x v="1"/>
  </r>
  <r>
    <x v="11"/>
    <x v="43"/>
    <n v="28"/>
    <n v="2"/>
    <x v="1"/>
    <s v="Ravi"/>
    <n v="56"/>
    <x v="0"/>
  </r>
  <r>
    <x v="11"/>
    <x v="45"/>
    <n v="37"/>
    <n v="3.5000000000000003E-2"/>
    <x v="1"/>
    <s v="Ravi"/>
    <n v="1.2950000000000002"/>
    <x v="1"/>
  </r>
  <r>
    <x v="11"/>
    <x v="47"/>
    <n v="280"/>
    <n v="0.09"/>
    <x v="1"/>
    <s v="Ravi"/>
    <n v="25.2"/>
    <x v="1"/>
  </r>
  <r>
    <x v="11"/>
    <x v="73"/>
    <n v="340"/>
    <n v="0.02"/>
    <x v="1"/>
    <s v="Ravi"/>
    <n v="6.8"/>
    <x v="1"/>
  </r>
  <r>
    <x v="11"/>
    <x v="48"/>
    <n v="7"/>
    <n v="0.43"/>
    <x v="1"/>
    <s v="Ravi"/>
    <n v="3.01"/>
    <x v="1"/>
  </r>
  <r>
    <x v="11"/>
    <x v="71"/>
    <n v="187.41"/>
    <n v="2.5000000000000001E-2"/>
    <x v="1"/>
    <s v="Ravi"/>
    <n v="4.6852499999999999"/>
    <x v="1"/>
  </r>
  <r>
    <x v="11"/>
    <x v="59"/>
    <n v="57.5"/>
    <n v="0.03"/>
    <x v="1"/>
    <s v="Ravi"/>
    <n v="1.7249999999999999"/>
    <x v="1"/>
  </r>
  <r>
    <x v="11"/>
    <x v="49"/>
    <n v="96"/>
    <n v="0.13500000000000001"/>
    <x v="1"/>
    <s v="Ravi"/>
    <n v="12.96"/>
    <x v="3"/>
  </r>
  <r>
    <x v="11"/>
    <x v="11"/>
    <n v="82"/>
    <n v="1"/>
    <x v="1"/>
    <s v="Ravi"/>
    <n v="82"/>
    <x v="3"/>
  </r>
  <r>
    <x v="11"/>
    <x v="20"/>
    <n v="230"/>
    <n v="2.5000000000000001E-2"/>
    <x v="1"/>
    <s v="Ravi"/>
    <n v="5.75"/>
    <x v="1"/>
  </r>
  <r>
    <x v="11"/>
    <x v="50"/>
    <n v="70"/>
    <n v="5.5E-2"/>
    <x v="1"/>
    <s v="Ravi"/>
    <n v="3.85"/>
    <x v="1"/>
  </r>
  <r>
    <x v="11"/>
    <x v="0"/>
    <n v="14"/>
    <n v="2"/>
    <x v="1"/>
    <s v="Ravi"/>
    <n v="28"/>
    <x v="0"/>
  </r>
  <r>
    <x v="11"/>
    <x v="12"/>
    <n v="28"/>
    <n v="0.25"/>
    <x v="1"/>
    <s v="Ravi"/>
    <n v="7"/>
    <x v="0"/>
  </r>
  <r>
    <x v="11"/>
    <x v="51"/>
    <n v="55"/>
    <n v="0.13500000000000001"/>
    <x v="1"/>
    <s v="Ravi"/>
    <n v="7.4250000000000007"/>
    <x v="1"/>
  </r>
  <r>
    <x v="11"/>
    <x v="76"/>
    <n v="34"/>
    <n v="0.75"/>
    <x v="1"/>
    <s v="Ravi"/>
    <n v="25.5"/>
    <x v="1"/>
  </r>
  <r>
    <x v="11"/>
    <x v="56"/>
    <n v="840"/>
    <n v="1.4999999999999999E-2"/>
    <x v="1"/>
    <s v="Ravi"/>
    <n v="12.6"/>
    <x v="1"/>
  </r>
  <r>
    <x v="11"/>
    <x v="55"/>
    <n v="34"/>
    <n v="1.4999999999999999E-2"/>
    <x v="1"/>
    <s v="Ravi"/>
    <n v="0.51"/>
    <x v="1"/>
  </r>
  <r>
    <x v="11"/>
    <x v="72"/>
    <n v="62.03"/>
    <n v="0.4"/>
    <x v="1"/>
    <s v="Ravi"/>
    <n v="24.812000000000001"/>
    <x v="1"/>
  </r>
  <r>
    <x v="11"/>
    <x v="53"/>
    <n v="160"/>
    <n v="6.5000000000000002E-2"/>
    <x v="1"/>
    <s v="Ravi"/>
    <n v="10.4"/>
    <x v="1"/>
  </r>
  <r>
    <x v="11"/>
    <x v="52"/>
    <n v="64.069999999999993"/>
    <n v="0.14000000000000001"/>
    <x v="1"/>
    <s v="Ravi"/>
    <n v="8.9697999999999993"/>
    <x v="1"/>
  </r>
  <r>
    <x v="11"/>
    <x v="57"/>
    <n v="170"/>
    <n v="0.5"/>
    <x v="1"/>
    <s v="Ravi"/>
    <n v="85"/>
    <x v="1"/>
  </r>
  <r>
    <x v="11"/>
    <x v="54"/>
    <n v="14.75"/>
    <n v="0.15"/>
    <x v="1"/>
    <s v="Ravi"/>
    <n v="2.2124999999999999"/>
    <x v="1"/>
  </r>
  <r>
    <x v="11"/>
    <x v="9"/>
    <n v="312.14"/>
    <n v="0.9"/>
    <x v="1"/>
    <s v="Ravi"/>
    <n v="280.92599999999999"/>
    <x v="0"/>
  </r>
  <r>
    <x v="11"/>
    <x v="62"/>
    <n v="25"/>
    <n v="0.04"/>
    <x v="1"/>
    <s v="Ravi"/>
    <n v="1"/>
    <x v="0"/>
  </r>
  <r>
    <x v="11"/>
    <x v="14"/>
    <n v="125"/>
    <n v="0.15"/>
    <x v="1"/>
    <s v="Ravi"/>
    <n v="18.75"/>
    <x v="0"/>
  </r>
  <r>
    <x v="11"/>
    <x v="35"/>
    <n v="40"/>
    <n v="0.06"/>
    <x v="1"/>
    <s v="Ravi"/>
    <n v="2.4"/>
    <x v="0"/>
  </r>
  <r>
    <x v="11"/>
    <x v="13"/>
    <n v="43.06"/>
    <n v="0.1"/>
    <x v="1"/>
    <s v="Ravi"/>
    <n v="4.306"/>
    <x v="0"/>
  </r>
  <r>
    <x v="11"/>
    <x v="29"/>
    <n v="60"/>
    <n v="0.7"/>
    <x v="1"/>
    <s v="Ravi"/>
    <n v="42"/>
    <x v="0"/>
  </r>
  <r>
    <x v="11"/>
    <x v="99"/>
    <n v="1450"/>
    <n v="0.1"/>
    <x v="1"/>
    <s v="Ravi"/>
    <n v="145"/>
    <x v="1"/>
  </r>
  <r>
    <x v="11"/>
    <x v="25"/>
    <n v="61.08"/>
    <n v="0.01"/>
    <x v="1"/>
    <s v="Ravi"/>
    <n v="0.61080000000000001"/>
    <x v="5"/>
  </r>
  <r>
    <x v="11"/>
    <x v="61"/>
    <n v="30"/>
    <n v="0.2"/>
    <x v="1"/>
    <s v="Ravi"/>
    <n v="6"/>
    <x v="1"/>
  </r>
  <r>
    <x v="11"/>
    <x v="2"/>
    <n v="138"/>
    <n v="0.12"/>
    <x v="1"/>
    <s v="Ravi"/>
    <n v="16.559999999999999"/>
    <x v="0"/>
  </r>
  <r>
    <x v="11"/>
    <x v="37"/>
    <n v="280"/>
    <n v="0.03"/>
    <x v="1"/>
    <s v="Ravi"/>
    <n v="8.4"/>
    <x v="1"/>
  </r>
  <r>
    <x v="11"/>
    <x v="36"/>
    <n v="108"/>
    <n v="0.02"/>
    <x v="1"/>
    <s v="Ravi"/>
    <n v="2.16"/>
    <x v="1"/>
  </r>
  <r>
    <x v="11"/>
    <x v="75"/>
    <n v="108"/>
    <n v="0.15"/>
    <x v="1"/>
    <s v="Ravi"/>
    <n v="16.2"/>
    <x v="1"/>
  </r>
  <r>
    <x v="11"/>
    <x v="30"/>
    <n v="27.97"/>
    <n v="0.25"/>
    <x v="1"/>
    <s v="Ravi"/>
    <n v="6.9924999999999997"/>
    <x v="0"/>
  </r>
  <r>
    <x v="11"/>
    <x v="46"/>
    <n v="35"/>
    <n v="0.6"/>
    <x v="1"/>
    <s v="Ravi"/>
    <n v="21"/>
    <x v="0"/>
  </r>
  <r>
    <x v="11"/>
    <x v="111"/>
    <n v="125"/>
    <n v="0.02"/>
    <x v="1"/>
    <s v="Ravi"/>
    <n v="2.5"/>
    <x v="1"/>
  </r>
  <r>
    <x v="11"/>
    <x v="92"/>
    <n v="76"/>
    <n v="0.02"/>
    <x v="1"/>
    <s v="Ravi"/>
    <n v="1.52"/>
    <x v="1"/>
  </r>
  <r>
    <x v="11"/>
    <x v="66"/>
    <n v="3"/>
    <n v="1"/>
    <x v="1"/>
    <s v="Ravi"/>
    <n v="3"/>
    <x v="0"/>
  </r>
  <r>
    <x v="12"/>
    <x v="42"/>
    <n v="42"/>
    <m/>
    <x v="3"/>
    <s v="Common"/>
    <n v="0"/>
    <x v="4"/>
  </r>
  <r>
    <x v="12"/>
    <x v="16"/>
    <n v="60"/>
    <m/>
    <x v="0"/>
    <s v="Murthy"/>
    <n v="0"/>
    <x v="0"/>
  </r>
  <r>
    <x v="12"/>
    <x v="33"/>
    <n v="175"/>
    <m/>
    <x v="0"/>
    <s v="Murthy"/>
    <n v="0"/>
    <x v="4"/>
  </r>
  <r>
    <x v="12"/>
    <x v="32"/>
    <n v="32"/>
    <m/>
    <x v="0"/>
    <s v="Murthy"/>
    <n v="0"/>
    <x v="0"/>
  </r>
  <r>
    <x v="12"/>
    <x v="29"/>
    <n v="43.06"/>
    <m/>
    <x v="3"/>
    <s v="Common"/>
    <n v="0"/>
    <x v="0"/>
  </r>
  <r>
    <x v="12"/>
    <x v="30"/>
    <n v="27.97"/>
    <m/>
    <x v="3"/>
    <s v="Common"/>
    <n v="0"/>
    <x v="0"/>
  </r>
  <r>
    <x v="12"/>
    <x v="2"/>
    <n v="30"/>
    <m/>
    <x v="3"/>
    <s v="Common"/>
    <n v="0"/>
    <x v="0"/>
  </r>
  <r>
    <x v="12"/>
    <x v="12"/>
    <n v="28"/>
    <m/>
    <x v="3"/>
    <s v="Common"/>
    <n v="0"/>
    <x v="0"/>
  </r>
  <r>
    <x v="12"/>
    <x v="9"/>
    <n v="14.75"/>
    <m/>
    <x v="3"/>
    <s v="Common"/>
    <n v="0"/>
    <x v="0"/>
  </r>
  <r>
    <x v="12"/>
    <x v="7"/>
    <n v="38"/>
    <m/>
    <x v="0"/>
    <s v="Murthy"/>
    <n v="0"/>
    <x v="0"/>
  </r>
  <r>
    <x v="12"/>
    <x v="14"/>
    <n v="25"/>
    <m/>
    <x v="3"/>
    <s v="Common"/>
    <n v="0"/>
    <x v="0"/>
  </r>
  <r>
    <x v="12"/>
    <x v="62"/>
    <n v="312.14"/>
    <m/>
    <x v="3"/>
    <s v="Common"/>
    <n v="0"/>
    <x v="0"/>
  </r>
  <r>
    <x v="12"/>
    <x v="35"/>
    <n v="125"/>
    <m/>
    <x v="3"/>
    <s v="Common"/>
    <n v="0"/>
    <x v="0"/>
  </r>
  <r>
    <x v="12"/>
    <x v="33"/>
    <n v="175"/>
    <m/>
    <x v="0"/>
    <s v="Murthy"/>
    <n v="0"/>
    <x v="4"/>
  </r>
  <r>
    <x v="12"/>
    <x v="17"/>
    <n v="140"/>
    <m/>
    <x v="0"/>
    <s v="Murthy"/>
    <n v="0"/>
    <x v="4"/>
  </r>
  <r>
    <x v="12"/>
    <x v="109"/>
    <n v="100"/>
    <m/>
    <x v="0"/>
    <s v="Murthy"/>
    <n v="0"/>
    <x v="11"/>
  </r>
  <r>
    <x v="12"/>
    <x v="42"/>
    <n v="42"/>
    <m/>
    <x v="3"/>
    <s v="Common"/>
    <n v="0"/>
    <x v="4"/>
  </r>
  <r>
    <x v="12"/>
    <x v="41"/>
    <n v="36"/>
    <m/>
    <x v="3"/>
    <s v="Common"/>
    <n v="0"/>
    <x v="4"/>
  </r>
  <r>
    <x v="12"/>
    <x v="22"/>
    <n v="62"/>
    <n v="1.5"/>
    <x v="0"/>
    <s v="Murthy"/>
    <n v="93"/>
    <x v="1"/>
  </r>
  <r>
    <x v="12"/>
    <x v="0"/>
    <n v="14"/>
    <n v="6.3"/>
    <x v="0"/>
    <s v="Murthy"/>
    <n v="88.2"/>
    <x v="0"/>
  </r>
  <r>
    <x v="12"/>
    <x v="1"/>
    <n v="30"/>
    <n v="1.2"/>
    <x v="0"/>
    <s v="Murthy"/>
    <n v="36"/>
    <x v="0"/>
  </r>
  <r>
    <x v="12"/>
    <x v="23"/>
    <n v="220"/>
    <n v="5.0000000000000001E-3"/>
    <x v="0"/>
    <s v="Murthy"/>
    <n v="1.1000000000000001"/>
    <x v="5"/>
  </r>
  <r>
    <x v="12"/>
    <x v="24"/>
    <n v="740"/>
    <n v="5.0000000000000001E-3"/>
    <x v="0"/>
    <s v="Murthy"/>
    <n v="3.7"/>
    <x v="5"/>
  </r>
  <r>
    <x v="12"/>
    <x v="25"/>
    <n v="1450"/>
    <n v="5.0000000000000001E-3"/>
    <x v="0"/>
    <s v="Murthy"/>
    <n v="7.25"/>
    <x v="5"/>
  </r>
  <r>
    <x v="12"/>
    <x v="26"/>
    <n v="750"/>
    <n v="5.0000000000000001E-3"/>
    <x v="0"/>
    <s v="Murthy"/>
    <n v="3.75"/>
    <x v="5"/>
  </r>
  <r>
    <x v="12"/>
    <x v="27"/>
    <n v="1480"/>
    <n v="5.0000000000000001E-3"/>
    <x v="0"/>
    <s v="Murthy"/>
    <n v="7.4"/>
    <x v="5"/>
  </r>
  <r>
    <x v="12"/>
    <x v="11"/>
    <n v="82"/>
    <n v="6"/>
    <x v="0"/>
    <s v="Murthy"/>
    <n v="492"/>
    <x v="3"/>
  </r>
  <r>
    <x v="12"/>
    <x v="14"/>
    <n v="25"/>
    <n v="0.45"/>
    <x v="0"/>
    <s v="Murthy"/>
    <n v="11.25"/>
    <x v="0"/>
  </r>
  <r>
    <x v="12"/>
    <x v="78"/>
    <n v="40"/>
    <n v="0.2"/>
    <x v="1"/>
    <s v="Ravi"/>
    <n v="8"/>
    <x v="11"/>
  </r>
  <r>
    <x v="12"/>
    <x v="6"/>
    <n v="26"/>
    <n v="8"/>
    <x v="0"/>
    <s v="Murthy"/>
    <n v="208"/>
    <x v="2"/>
  </r>
  <r>
    <x v="12"/>
    <x v="8"/>
    <n v="29.51"/>
    <n v="4"/>
    <x v="0"/>
    <s v="Murthy"/>
    <n v="118.04"/>
    <x v="1"/>
  </r>
  <r>
    <x v="12"/>
    <x v="9"/>
    <n v="14.75"/>
    <n v="2.2000000000000002"/>
    <x v="0"/>
    <s v="Murthy"/>
    <n v="32.450000000000003"/>
    <x v="0"/>
  </r>
  <r>
    <x v="12"/>
    <x v="66"/>
    <n v="3"/>
    <n v="1.7"/>
    <x v="0"/>
    <s v="Murthy"/>
    <n v="5.0999999999999996"/>
    <x v="0"/>
  </r>
  <r>
    <x v="12"/>
    <x v="30"/>
    <n v="27.97"/>
    <n v="0.3"/>
    <x v="0"/>
    <s v="Murthy"/>
    <n v="8.391"/>
    <x v="0"/>
  </r>
  <r>
    <x v="12"/>
    <x v="10"/>
    <n v="45"/>
    <n v="1"/>
    <x v="0"/>
    <s v="Murthy"/>
    <n v="45"/>
    <x v="1"/>
  </r>
  <r>
    <x v="12"/>
    <x v="2"/>
    <n v="30"/>
    <n v="0.4"/>
    <x v="0"/>
    <s v="Murthy"/>
    <n v="12"/>
    <x v="0"/>
  </r>
  <r>
    <x v="12"/>
    <x v="94"/>
    <n v="20"/>
    <n v="0.2"/>
    <x v="0"/>
    <s v="Murthy"/>
    <n v="4"/>
    <x v="0"/>
  </r>
  <r>
    <x v="12"/>
    <x v="62"/>
    <n v="312.14"/>
    <n v="0.04"/>
    <x v="0"/>
    <s v="Murthy"/>
    <n v="12.4856"/>
    <x v="0"/>
  </r>
  <r>
    <x v="12"/>
    <x v="35"/>
    <n v="125"/>
    <n v="0.06"/>
    <x v="0"/>
    <s v="Murthy"/>
    <n v="7.5"/>
    <x v="0"/>
  </r>
  <r>
    <x v="12"/>
    <x v="16"/>
    <n v="60"/>
    <n v="0.8"/>
    <x v="0"/>
    <s v="Murthy"/>
    <n v="48"/>
    <x v="0"/>
  </r>
  <r>
    <x v="12"/>
    <x v="12"/>
    <n v="28"/>
    <n v="2"/>
    <x v="0"/>
    <s v="Murthy"/>
    <n v="56"/>
    <x v="0"/>
  </r>
  <r>
    <x v="12"/>
    <x v="38"/>
    <n v="27"/>
    <n v="3"/>
    <x v="0"/>
    <s v="Murthy"/>
    <n v="81"/>
    <x v="1"/>
  </r>
  <r>
    <x v="12"/>
    <x v="94"/>
    <n v="20"/>
    <n v="1"/>
    <x v="0"/>
    <s v="Murthy"/>
    <n v="20"/>
    <x v="0"/>
  </r>
  <r>
    <x v="12"/>
    <x v="17"/>
    <n v="140"/>
    <n v="0.5"/>
    <x v="0"/>
    <s v="Murthy"/>
    <n v="70"/>
    <x v="4"/>
  </r>
  <r>
    <x v="12"/>
    <x v="19"/>
    <n v="23.33"/>
    <n v="1.3"/>
    <x v="0"/>
    <s v="Murthy"/>
    <n v="30.328999999999997"/>
    <x v="0"/>
  </r>
  <r>
    <x v="12"/>
    <x v="18"/>
    <n v="40"/>
    <n v="1"/>
    <x v="0"/>
    <s v="Murthy"/>
    <n v="40"/>
    <x v="1"/>
  </r>
  <r>
    <x v="12"/>
    <x v="36"/>
    <n v="280"/>
    <n v="0.15"/>
    <x v="0"/>
    <s v="Murthy"/>
    <n v="42"/>
    <x v="1"/>
  </r>
  <r>
    <x v="12"/>
    <x v="37"/>
    <n v="138"/>
    <n v="0.15"/>
    <x v="0"/>
    <s v="Murthy"/>
    <n v="20.7"/>
    <x v="1"/>
  </r>
  <r>
    <x v="12"/>
    <x v="32"/>
    <n v="32"/>
    <n v="7"/>
    <x v="0"/>
    <s v="Murthy"/>
    <n v="224"/>
    <x v="0"/>
  </r>
  <r>
    <x v="12"/>
    <x v="47"/>
    <n v="280"/>
    <n v="0.16"/>
    <x v="0"/>
    <s v="Murthy"/>
    <n v="44.800000000000004"/>
    <x v="1"/>
  </r>
  <r>
    <x v="12"/>
    <x v="59"/>
    <n v="57.5"/>
    <n v="0.6"/>
    <x v="0"/>
    <s v="Murthy"/>
    <n v="34.5"/>
    <x v="1"/>
  </r>
  <r>
    <x v="12"/>
    <x v="71"/>
    <n v="187.41"/>
    <n v="0.04"/>
    <x v="0"/>
    <s v="Murthy"/>
    <n v="7.4964000000000004"/>
    <x v="1"/>
  </r>
  <r>
    <x v="12"/>
    <x v="87"/>
    <n v="48"/>
    <n v="0.03"/>
    <x v="0"/>
    <s v="Murthy"/>
    <n v="1.44"/>
    <x v="1"/>
  </r>
  <r>
    <x v="12"/>
    <x v="3"/>
    <n v="17"/>
    <n v="0.4"/>
    <x v="0"/>
    <s v="Murthy"/>
    <n v="6.8000000000000007"/>
    <x v="1"/>
  </r>
  <r>
    <x v="12"/>
    <x v="97"/>
    <n v="380"/>
    <n v="7.4999999999999997E-2"/>
    <x v="0"/>
    <s v="Murthy"/>
    <n v="28.5"/>
    <x v="1"/>
  </r>
  <r>
    <x v="12"/>
    <x v="84"/>
    <n v="148"/>
    <n v="0.15"/>
    <x v="0"/>
    <s v="Murthy"/>
    <n v="22.2"/>
    <x v="1"/>
  </r>
  <r>
    <x v="12"/>
    <x v="85"/>
    <n v="24"/>
    <n v="6.5000000000000002E-2"/>
    <x v="0"/>
    <s v="Murthy"/>
    <n v="1.56"/>
    <x v="1"/>
  </r>
  <r>
    <x v="12"/>
    <x v="114"/>
    <n v="135"/>
    <n v="0.02"/>
    <x v="0"/>
    <s v="Murthy"/>
    <n v="2.7"/>
    <x v="3"/>
  </r>
  <r>
    <x v="12"/>
    <x v="31"/>
    <n v="120"/>
    <n v="0.14499999999999999"/>
    <x v="0"/>
    <s v="Murthy"/>
    <n v="17.399999999999999"/>
    <x v="1"/>
  </r>
  <r>
    <x v="12"/>
    <x v="34"/>
    <n v="51"/>
    <n v="0.95"/>
    <x v="0"/>
    <s v="Murthy"/>
    <n v="48.449999999999996"/>
    <x v="1"/>
  </r>
  <r>
    <x v="12"/>
    <x v="5"/>
    <n v="49.5"/>
    <n v="0.65"/>
    <x v="0"/>
    <s v="Murthy"/>
    <n v="32.175000000000004"/>
    <x v="1"/>
  </r>
  <r>
    <x v="12"/>
    <x v="15"/>
    <n v="43.98"/>
    <n v="0.14000000000000001"/>
    <x v="0"/>
    <s v="Murthy"/>
    <n v="6.1572000000000005"/>
    <x v="0"/>
  </r>
  <r>
    <x v="12"/>
    <x v="115"/>
    <n v="0"/>
    <n v="0.7"/>
    <x v="0"/>
    <s v="Murthy"/>
    <n v="0"/>
    <x v="13"/>
  </r>
  <r>
    <x v="12"/>
    <x v="4"/>
    <n v="180"/>
    <n v="0.2"/>
    <x v="0"/>
    <s v="Murthy"/>
    <n v="36"/>
    <x v="1"/>
  </r>
  <r>
    <x v="12"/>
    <x v="77"/>
    <n v="30"/>
    <n v="1.2249999999999996"/>
    <x v="5"/>
    <s v="Ravi"/>
    <n v="36.749999999999986"/>
    <x v="10"/>
  </r>
  <r>
    <x v="12"/>
    <x v="88"/>
    <n v="20"/>
    <n v="0.56000000000000005"/>
    <x v="5"/>
    <s v="Ravi"/>
    <n v="11.200000000000001"/>
    <x v="10"/>
  </r>
  <r>
    <x v="12"/>
    <x v="90"/>
    <n v="120"/>
    <n v="0.2"/>
    <x v="5"/>
    <s v="Ravi"/>
    <n v="24"/>
    <x v="10"/>
  </r>
  <r>
    <x v="12"/>
    <x v="116"/>
    <n v="130"/>
    <n v="0.1"/>
    <x v="5"/>
    <s v="Ravi"/>
    <n v="13"/>
    <x v="10"/>
  </r>
  <r>
    <x v="12"/>
    <x v="91"/>
    <n v="40"/>
    <n v="0.2"/>
    <x v="5"/>
    <s v="Ravi"/>
    <n v="8"/>
    <x v="10"/>
  </r>
  <r>
    <x v="12"/>
    <x v="81"/>
    <n v="50"/>
    <n v="1.45"/>
    <x v="5"/>
    <s v="Ravi"/>
    <n v="72.5"/>
    <x v="10"/>
  </r>
  <r>
    <x v="12"/>
    <x v="80"/>
    <n v="50"/>
    <n v="1.35"/>
    <x v="5"/>
    <s v="Ravi"/>
    <n v="67.5"/>
    <x v="10"/>
  </r>
  <r>
    <x v="12"/>
    <x v="79"/>
    <n v="20"/>
    <n v="2.8"/>
    <x v="5"/>
    <s v="Ravi"/>
    <n v="56"/>
    <x v="10"/>
  </r>
  <r>
    <x v="12"/>
    <x v="42"/>
    <n v="42"/>
    <n v="1"/>
    <x v="5"/>
    <s v="Ravi"/>
    <n v="42"/>
    <x v="4"/>
  </r>
  <r>
    <x v="12"/>
    <x v="41"/>
    <n v="36"/>
    <n v="2"/>
    <x v="5"/>
    <s v="Ravi"/>
    <n v="72"/>
    <x v="4"/>
  </r>
  <r>
    <x v="12"/>
    <x v="64"/>
    <n v="78.95"/>
    <n v="1.019999999999996"/>
    <x v="1"/>
    <s v="Ravi"/>
    <n v="80.528999999999684"/>
    <x v="7"/>
  </r>
  <r>
    <x v="12"/>
    <x v="64"/>
    <n v="78.95"/>
    <n v="17.980000000000004"/>
    <x v="3"/>
    <s v="Common"/>
    <n v="1419.5210000000004"/>
    <x v="7"/>
  </r>
  <r>
    <x v="12"/>
    <x v="63"/>
    <n v="3"/>
    <n v="8"/>
    <x v="2"/>
    <s v="Ravi"/>
    <n v="24"/>
    <x v="0"/>
  </r>
  <r>
    <x v="12"/>
    <x v="0"/>
    <n v="14"/>
    <n v="0.61499999999999999"/>
    <x v="2"/>
    <s v="Ravi"/>
    <n v="8.61"/>
    <x v="0"/>
  </r>
  <r>
    <x v="12"/>
    <x v="30"/>
    <n v="27.97"/>
    <n v="0.22500000000000001"/>
    <x v="2"/>
    <s v="Ravi"/>
    <n v="6.2932499999999996"/>
    <x v="0"/>
  </r>
  <r>
    <x v="12"/>
    <x v="9"/>
    <n v="14.75"/>
    <n v="0.4"/>
    <x v="2"/>
    <s v="Ravi"/>
    <n v="5.9"/>
    <x v="0"/>
  </r>
  <r>
    <x v="12"/>
    <x v="39"/>
    <n v="75"/>
    <n v="1.2"/>
    <x v="6"/>
    <s v="Jaggu"/>
    <n v="90"/>
    <x v="6"/>
  </r>
  <r>
    <x v="12"/>
    <x v="0"/>
    <n v="14"/>
    <n v="0.65"/>
    <x v="6"/>
    <s v="Jaggu"/>
    <n v="9.1"/>
    <x v="0"/>
  </r>
  <r>
    <x v="12"/>
    <x v="63"/>
    <n v="3"/>
    <n v="10"/>
    <x v="6"/>
    <s v="Jaggu"/>
    <n v="30"/>
    <x v="0"/>
  </r>
  <r>
    <x v="12"/>
    <x v="42"/>
    <n v="42"/>
    <n v="2"/>
    <x v="1"/>
    <s v="Ravi"/>
    <n v="84"/>
    <x v="4"/>
  </r>
  <r>
    <x v="12"/>
    <x v="41"/>
    <n v="36"/>
    <n v="1.5"/>
    <x v="1"/>
    <s v="Ravi"/>
    <n v="54"/>
    <x v="4"/>
  </r>
  <r>
    <x v="12"/>
    <x v="43"/>
    <n v="28"/>
    <n v="3"/>
    <x v="1"/>
    <s v="Ravi"/>
    <n v="84"/>
    <x v="0"/>
  </r>
  <r>
    <x v="12"/>
    <x v="44"/>
    <n v="52"/>
    <n v="5.4"/>
    <x v="1"/>
    <s v="Ravi"/>
    <n v="280.8"/>
    <x v="1"/>
  </r>
  <r>
    <x v="12"/>
    <x v="45"/>
    <n v="37"/>
    <n v="0.9"/>
    <x v="1"/>
    <s v="Ravi"/>
    <n v="33.300000000000004"/>
    <x v="1"/>
  </r>
  <r>
    <x v="12"/>
    <x v="47"/>
    <n v="280"/>
    <n v="0.115"/>
    <x v="1"/>
    <s v="Ravi"/>
    <n v="32.200000000000003"/>
    <x v="1"/>
  </r>
  <r>
    <x v="12"/>
    <x v="31"/>
    <n v="120"/>
    <n v="0.02"/>
    <x v="1"/>
    <s v="Ravi"/>
    <n v="2.4"/>
    <x v="1"/>
  </r>
  <r>
    <x v="12"/>
    <x v="73"/>
    <n v="340"/>
    <n v="0.02"/>
    <x v="1"/>
    <s v="Ravi"/>
    <n v="6.8"/>
    <x v="1"/>
  </r>
  <r>
    <x v="12"/>
    <x v="60"/>
    <n v="500"/>
    <n v="5.5E-2"/>
    <x v="1"/>
    <s v="Ravi"/>
    <n v="27.5"/>
    <x v="1"/>
  </r>
  <r>
    <x v="12"/>
    <x v="111"/>
    <n v="125"/>
    <n v="0.23"/>
    <x v="1"/>
    <s v="Ravi"/>
    <n v="28.75"/>
    <x v="1"/>
  </r>
  <r>
    <x v="12"/>
    <x v="71"/>
    <n v="187.41"/>
    <n v="0.03"/>
    <x v="1"/>
    <s v="Ravi"/>
    <n v="5.6223000000000001"/>
    <x v="1"/>
  </r>
  <r>
    <x v="12"/>
    <x v="59"/>
    <n v="57.5"/>
    <n v="0.02"/>
    <x v="1"/>
    <s v="Ravi"/>
    <n v="1.1500000000000001"/>
    <x v="1"/>
  </r>
  <r>
    <x v="12"/>
    <x v="49"/>
    <n v="96"/>
    <n v="0.24"/>
    <x v="1"/>
    <s v="Ravi"/>
    <n v="23.04"/>
    <x v="3"/>
  </r>
  <r>
    <x v="12"/>
    <x v="11"/>
    <n v="82"/>
    <n v="1"/>
    <x v="1"/>
    <s v="Ravi"/>
    <n v="82"/>
    <x v="3"/>
  </r>
  <r>
    <x v="12"/>
    <x v="20"/>
    <n v="230"/>
    <n v="7.0000000000000007E-2"/>
    <x v="1"/>
    <s v="Ravi"/>
    <n v="16.100000000000001"/>
    <x v="1"/>
  </r>
  <r>
    <x v="12"/>
    <x v="50"/>
    <n v="70"/>
    <n v="0.04"/>
    <x v="1"/>
    <s v="Ravi"/>
    <n v="2.8000000000000003"/>
    <x v="1"/>
  </r>
  <r>
    <x v="12"/>
    <x v="51"/>
    <n v="55"/>
    <n v="4.4999999999999998E-2"/>
    <x v="1"/>
    <s v="Ravi"/>
    <n v="2.4750000000000001"/>
    <x v="1"/>
  </r>
  <r>
    <x v="12"/>
    <x v="0"/>
    <n v="14"/>
    <n v="2.5"/>
    <x v="1"/>
    <s v="Ravi"/>
    <n v="35"/>
    <x v="0"/>
  </r>
  <r>
    <x v="12"/>
    <x v="12"/>
    <n v="28"/>
    <n v="0.2"/>
    <x v="1"/>
    <s v="Ravi"/>
    <n v="5.6000000000000005"/>
    <x v="0"/>
  </r>
  <r>
    <x v="12"/>
    <x v="13"/>
    <n v="40"/>
    <n v="0.1"/>
    <x v="1"/>
    <s v="Ravi"/>
    <n v="4"/>
    <x v="0"/>
  </r>
  <r>
    <x v="12"/>
    <x v="76"/>
    <n v="34"/>
    <n v="0.7"/>
    <x v="1"/>
    <s v="Ravi"/>
    <n v="23.799999999999997"/>
    <x v="1"/>
  </r>
  <r>
    <x v="12"/>
    <x v="57"/>
    <n v="64.069999999999993"/>
    <n v="0.5"/>
    <x v="1"/>
    <s v="Ravi"/>
    <n v="32.034999999999997"/>
    <x v="1"/>
  </r>
  <r>
    <x v="12"/>
    <x v="54"/>
    <n v="170"/>
    <n v="0.1"/>
    <x v="1"/>
    <s v="Ravi"/>
    <n v="17"/>
    <x v="1"/>
  </r>
  <r>
    <x v="12"/>
    <x v="37"/>
    <n v="138"/>
    <n v="0.03"/>
    <x v="1"/>
    <s v="Ravi"/>
    <n v="4.1399999999999997"/>
    <x v="1"/>
  </r>
  <r>
    <x v="12"/>
    <x v="2"/>
    <n v="30"/>
    <n v="0.2"/>
    <x v="1"/>
    <s v="Ravi"/>
    <n v="6"/>
    <x v="0"/>
  </r>
  <r>
    <x v="12"/>
    <x v="111"/>
    <n v="125"/>
    <n v="0.01"/>
    <x v="1"/>
    <s v="Ravi"/>
    <n v="1.25"/>
    <x v="1"/>
  </r>
  <r>
    <x v="12"/>
    <x v="92"/>
    <n v="76"/>
    <n v="0.01"/>
    <x v="1"/>
    <s v="Ravi"/>
    <n v="0.76"/>
    <x v="1"/>
  </r>
  <r>
    <x v="12"/>
    <x v="29"/>
    <n v="43.06"/>
    <n v="1"/>
    <x v="1"/>
    <s v="Ravi"/>
    <n v="43.06"/>
    <x v="0"/>
  </r>
  <r>
    <x v="12"/>
    <x v="30"/>
    <n v="27.97"/>
    <n v="0.15"/>
    <x v="1"/>
    <s v="Ravi"/>
    <n v="4.1955"/>
    <x v="0"/>
  </r>
  <r>
    <x v="12"/>
    <x v="14"/>
    <n v="25"/>
    <n v="0.2"/>
    <x v="1"/>
    <s v="Ravi"/>
    <n v="5"/>
    <x v="0"/>
  </r>
  <r>
    <x v="12"/>
    <x v="62"/>
    <n v="312.14"/>
    <n v="0.04"/>
    <x v="1"/>
    <s v="Ravi"/>
    <n v="12.4856"/>
    <x v="0"/>
  </r>
  <r>
    <x v="12"/>
    <x v="9"/>
    <n v="14.75"/>
    <n v="1.2"/>
    <x v="1"/>
    <s v="Ravi"/>
    <n v="17.7"/>
    <x v="0"/>
  </r>
  <r>
    <x v="12"/>
    <x v="46"/>
    <n v="35"/>
    <n v="1"/>
    <x v="1"/>
    <s v="Ravi"/>
    <n v="35"/>
    <x v="0"/>
  </r>
  <r>
    <x v="12"/>
    <x v="52"/>
    <n v="160"/>
    <n v="0.22"/>
    <x v="1"/>
    <s v="Ravi"/>
    <n v="35.200000000000003"/>
    <x v="1"/>
  </r>
  <r>
    <x v="12"/>
    <x v="53"/>
    <n v="62.03"/>
    <n v="0.1"/>
    <x v="1"/>
    <s v="Ravi"/>
    <n v="6.2030000000000003"/>
    <x v="1"/>
  </r>
  <r>
    <x v="12"/>
    <x v="77"/>
    <n v="30"/>
    <n v="0.3"/>
    <x v="1"/>
    <s v="Ravi"/>
    <n v="9"/>
    <x v="10"/>
  </r>
  <r>
    <x v="12"/>
    <x v="1"/>
    <n v="30"/>
    <n v="0.25"/>
    <x v="1"/>
    <s v="Ravi"/>
    <n v="7.5"/>
    <x v="0"/>
  </r>
  <r>
    <x v="12"/>
    <x v="72"/>
    <n v="34"/>
    <n v="0.4"/>
    <x v="1"/>
    <s v="Ravi"/>
    <n v="13.600000000000001"/>
    <x v="1"/>
  </r>
  <r>
    <x v="12"/>
    <x v="100"/>
    <n v="430"/>
    <n v="0.05"/>
    <x v="1"/>
    <s v="Ravi"/>
    <n v="21.5"/>
    <x v="4"/>
  </r>
  <r>
    <x v="12"/>
    <x v="35"/>
    <n v="125"/>
    <n v="0.08"/>
    <x v="1"/>
    <s v="Ravi"/>
    <n v="10"/>
    <x v="0"/>
  </r>
  <r>
    <x v="12"/>
    <x v="41"/>
    <n v="36"/>
    <n v="4"/>
    <x v="4"/>
    <s v="Vicky"/>
    <n v="144"/>
    <x v="4"/>
  </r>
  <r>
    <x v="12"/>
    <x v="45"/>
    <n v="37"/>
    <n v="0.6"/>
    <x v="4"/>
    <s v="Vicky"/>
    <n v="22.2"/>
    <x v="1"/>
  </r>
  <r>
    <x v="12"/>
    <x v="65"/>
    <n v="390"/>
    <n v="0.35"/>
    <x v="4"/>
    <s v="Vicky"/>
    <n v="136.5"/>
    <x v="8"/>
  </r>
  <r>
    <x v="12"/>
    <x v="117"/>
    <n v="2"/>
    <n v="5"/>
    <x v="1"/>
    <s v="Ravi"/>
    <n v="10"/>
    <x v="10"/>
  </r>
  <r>
    <x v="12"/>
    <x v="42"/>
    <n v="42"/>
    <n v="1.5"/>
    <x v="0"/>
    <s v="Murthy"/>
    <n v="63"/>
    <x v="4"/>
  </r>
  <r>
    <x v="12"/>
    <x v="33"/>
    <n v="175"/>
    <n v="1"/>
    <x v="0"/>
    <s v="Murthy"/>
    <n v="175"/>
    <x v="4"/>
  </r>
  <r>
    <x v="12"/>
    <x v="32"/>
    <n v="32"/>
    <m/>
    <x v="0"/>
    <s v="Murthy"/>
    <n v="0"/>
    <x v="0"/>
  </r>
  <r>
    <x v="13"/>
    <x v="17"/>
    <n v="140"/>
    <m/>
    <x v="0"/>
    <s v="Murthy"/>
    <n v="0"/>
    <x v="4"/>
  </r>
  <r>
    <x v="13"/>
    <x v="16"/>
    <n v="60"/>
    <m/>
    <x v="0"/>
    <s v="Murthy"/>
    <n v="0"/>
    <x v="0"/>
  </r>
  <r>
    <x v="13"/>
    <x v="109"/>
    <n v="100"/>
    <m/>
    <x v="0"/>
    <s v="Murthy"/>
    <n v="0"/>
    <x v="11"/>
  </r>
  <r>
    <x v="13"/>
    <x v="118"/>
    <n v="280"/>
    <m/>
    <x v="0"/>
    <s v="Murthy"/>
    <n v="0"/>
    <x v="11"/>
  </r>
  <r>
    <x v="13"/>
    <x v="33"/>
    <n v="175"/>
    <m/>
    <x v="0"/>
    <s v="Murthy"/>
    <n v="0"/>
    <x v="4"/>
  </r>
  <r>
    <x v="13"/>
    <x v="63"/>
    <n v="3"/>
    <m/>
    <x v="3"/>
    <s v="Common"/>
    <n v="0"/>
    <x v="0"/>
  </r>
  <r>
    <x v="13"/>
    <x v="42"/>
    <n v="42"/>
    <m/>
    <x v="3"/>
    <s v="Common"/>
    <n v="0"/>
    <x v="4"/>
  </r>
  <r>
    <x v="13"/>
    <x v="41"/>
    <n v="36"/>
    <m/>
    <x v="3"/>
    <s v="Common"/>
    <n v="0"/>
    <x v="4"/>
  </r>
  <r>
    <x v="13"/>
    <x v="30"/>
    <n v="27.97"/>
    <m/>
    <x v="3"/>
    <s v="Common"/>
    <n v="0"/>
    <x v="0"/>
  </r>
  <r>
    <x v="13"/>
    <x v="14"/>
    <n v="25"/>
    <m/>
    <x v="3"/>
    <s v="Common"/>
    <n v="0"/>
    <x v="0"/>
  </r>
  <r>
    <x v="13"/>
    <x v="7"/>
    <n v="38"/>
    <m/>
    <x v="0"/>
    <s v="Murthy"/>
    <n v="0"/>
    <x v="0"/>
  </r>
  <r>
    <x v="13"/>
    <x v="35"/>
    <n v="125"/>
    <m/>
    <x v="3"/>
    <s v="Common"/>
    <n v="0"/>
    <x v="0"/>
  </r>
  <r>
    <x v="13"/>
    <x v="62"/>
    <n v="312.14"/>
    <m/>
    <x v="3"/>
    <s v="Common"/>
    <n v="0"/>
    <x v="0"/>
  </r>
  <r>
    <x v="13"/>
    <x v="13"/>
    <n v="40"/>
    <m/>
    <x v="3"/>
    <s v="Common"/>
    <n v="0"/>
    <x v="0"/>
  </r>
  <r>
    <x v="13"/>
    <x v="9"/>
    <n v="14.75"/>
    <m/>
    <x v="3"/>
    <s v="Common"/>
    <n v="0"/>
    <x v="0"/>
  </r>
  <r>
    <x v="13"/>
    <x v="33"/>
    <n v="175"/>
    <m/>
    <x v="0"/>
    <s v="Murthy"/>
    <n v="0"/>
    <x v="4"/>
  </r>
  <r>
    <x v="13"/>
    <x v="32"/>
    <n v="32"/>
    <m/>
    <x v="0"/>
    <s v="Murthy"/>
    <n v="0"/>
    <x v="0"/>
  </r>
  <r>
    <x v="13"/>
    <x v="17"/>
    <n v="140"/>
    <m/>
    <x v="0"/>
    <s v="Murthy"/>
    <n v="0"/>
    <x v="4"/>
  </r>
  <r>
    <x v="13"/>
    <x v="16"/>
    <n v="60"/>
    <m/>
    <x v="0"/>
    <s v="Murthy"/>
    <n v="0"/>
    <x v="0"/>
  </r>
  <r>
    <x v="13"/>
    <x v="101"/>
    <n v="190"/>
    <m/>
    <x v="0"/>
    <s v="Murthy"/>
    <n v="0"/>
    <x v="4"/>
  </r>
  <r>
    <x v="13"/>
    <x v="29"/>
    <n v="43.06"/>
    <m/>
    <x v="3"/>
    <s v="Common"/>
    <n v="0"/>
    <x v="0"/>
  </r>
  <r>
    <x v="13"/>
    <x v="6"/>
    <n v="26"/>
    <n v="13.5"/>
    <x v="0"/>
    <s v="Murthy"/>
    <n v="351"/>
    <x v="2"/>
  </r>
  <r>
    <x v="13"/>
    <x v="68"/>
    <n v="75"/>
    <n v="1"/>
    <x v="0"/>
    <s v="Murthy"/>
    <n v="75"/>
    <x v="1"/>
  </r>
  <r>
    <x v="13"/>
    <x v="1"/>
    <n v="30"/>
    <n v="1.5"/>
    <x v="0"/>
    <s v="Murthy"/>
    <n v="45"/>
    <x v="0"/>
  </r>
  <r>
    <x v="13"/>
    <x v="0"/>
    <n v="14"/>
    <n v="7.5"/>
    <x v="0"/>
    <s v="Murthy"/>
    <n v="105"/>
    <x v="0"/>
  </r>
  <r>
    <x v="13"/>
    <x v="28"/>
    <n v="64"/>
    <n v="2.5"/>
    <x v="0"/>
    <s v="Murthy"/>
    <n v="160"/>
    <x v="1"/>
  </r>
  <r>
    <x v="13"/>
    <x v="22"/>
    <n v="62"/>
    <n v="2"/>
    <x v="0"/>
    <s v="Murthy"/>
    <n v="124"/>
    <x v="1"/>
  </r>
  <r>
    <x v="13"/>
    <x v="23"/>
    <n v="220"/>
    <n v="5.0000000000000001E-3"/>
    <x v="0"/>
    <s v="Murthy"/>
    <n v="1.1000000000000001"/>
    <x v="5"/>
  </r>
  <r>
    <x v="13"/>
    <x v="24"/>
    <n v="740"/>
    <n v="5.0000000000000001E-3"/>
    <x v="0"/>
    <s v="Murthy"/>
    <n v="3.7"/>
    <x v="5"/>
  </r>
  <r>
    <x v="13"/>
    <x v="25"/>
    <n v="1450"/>
    <n v="5.0000000000000001E-3"/>
    <x v="0"/>
    <s v="Murthy"/>
    <n v="7.25"/>
    <x v="5"/>
  </r>
  <r>
    <x v="13"/>
    <x v="26"/>
    <n v="750"/>
    <n v="5.0000000000000001E-3"/>
    <x v="0"/>
    <s v="Murthy"/>
    <n v="3.75"/>
    <x v="5"/>
  </r>
  <r>
    <x v="13"/>
    <x v="27"/>
    <n v="1480"/>
    <n v="5.0000000000000001E-3"/>
    <x v="0"/>
    <s v="Murthy"/>
    <n v="7.4"/>
    <x v="5"/>
  </r>
  <r>
    <x v="13"/>
    <x v="7"/>
    <n v="38"/>
    <n v="1.4"/>
    <x v="0"/>
    <s v="Murthy"/>
    <n v="53.199999999999996"/>
    <x v="0"/>
  </r>
  <r>
    <x v="13"/>
    <x v="2"/>
    <n v="30"/>
    <n v="0.65"/>
    <x v="0"/>
    <s v="Murthy"/>
    <n v="19.5"/>
    <x v="0"/>
  </r>
  <r>
    <x v="13"/>
    <x v="14"/>
    <n v="25"/>
    <n v="0.5"/>
    <x v="0"/>
    <s v="Murthy"/>
    <n v="12.5"/>
    <x v="0"/>
  </r>
  <r>
    <x v="13"/>
    <x v="35"/>
    <n v="125"/>
    <n v="0.18"/>
    <x v="0"/>
    <s v="Murthy"/>
    <n v="22.5"/>
    <x v="0"/>
  </r>
  <r>
    <x v="13"/>
    <x v="62"/>
    <n v="312.14"/>
    <n v="0.04"/>
    <x v="0"/>
    <s v="Murthy"/>
    <n v="12.4856"/>
    <x v="0"/>
  </r>
  <r>
    <x v="13"/>
    <x v="30"/>
    <n v="27.97"/>
    <n v="0.8"/>
    <x v="0"/>
    <s v="Murthy"/>
    <n v="22.376000000000001"/>
    <x v="0"/>
  </r>
  <r>
    <x v="13"/>
    <x v="109"/>
    <n v="100"/>
    <n v="1"/>
    <x v="0"/>
    <s v="Murthy"/>
    <n v="100"/>
    <x v="11"/>
  </r>
  <r>
    <x v="13"/>
    <x v="17"/>
    <n v="140"/>
    <n v="1"/>
    <x v="0"/>
    <s v="Murthy"/>
    <n v="140"/>
    <x v="4"/>
  </r>
  <r>
    <x v="13"/>
    <x v="13"/>
    <n v="40"/>
    <n v="0.3"/>
    <x v="0"/>
    <s v="Murthy"/>
    <n v="12"/>
    <x v="0"/>
  </r>
  <r>
    <x v="13"/>
    <x v="29"/>
    <n v="43.06"/>
    <n v="1.6"/>
    <x v="0"/>
    <s v="Murthy"/>
    <n v="68.896000000000001"/>
    <x v="0"/>
  </r>
  <r>
    <x v="13"/>
    <x v="42"/>
    <n v="42"/>
    <n v="1"/>
    <x v="0"/>
    <s v="Murthy"/>
    <n v="42"/>
    <x v="4"/>
  </r>
  <r>
    <x v="13"/>
    <x v="11"/>
    <n v="82"/>
    <n v="4"/>
    <x v="0"/>
    <s v="Murthy"/>
    <n v="328"/>
    <x v="3"/>
  </r>
  <r>
    <x v="13"/>
    <x v="33"/>
    <n v="175"/>
    <n v="1"/>
    <x v="0"/>
    <s v="Murthy"/>
    <n v="175"/>
    <x v="4"/>
  </r>
  <r>
    <x v="13"/>
    <x v="14"/>
    <n v="25"/>
    <n v="0.55000000000000004"/>
    <x v="0"/>
    <s v="Murthy"/>
    <n v="13.750000000000002"/>
    <x v="0"/>
  </r>
  <r>
    <x v="13"/>
    <x v="66"/>
    <n v="3"/>
    <n v="1.33"/>
    <x v="0"/>
    <s v="Murthy"/>
    <n v="3.99"/>
    <x v="0"/>
  </r>
  <r>
    <x v="13"/>
    <x v="10"/>
    <n v="45"/>
    <n v="1"/>
    <x v="0"/>
    <s v="Murthy"/>
    <n v="45"/>
    <x v="1"/>
  </r>
  <r>
    <x v="13"/>
    <x v="32"/>
    <n v="32"/>
    <n v="6"/>
    <x v="0"/>
    <s v="Murthy"/>
    <n v="192"/>
    <x v="0"/>
  </r>
  <r>
    <x v="13"/>
    <x v="5"/>
    <n v="49.5"/>
    <n v="0.05"/>
    <x v="0"/>
    <s v="Murthy"/>
    <n v="2.4750000000000001"/>
    <x v="1"/>
  </r>
  <r>
    <x v="13"/>
    <x v="16"/>
    <n v="60"/>
    <n v="0.2"/>
    <x v="0"/>
    <s v="Murthy"/>
    <n v="12"/>
    <x v="0"/>
  </r>
  <r>
    <x v="13"/>
    <x v="93"/>
    <n v="72"/>
    <n v="0.05"/>
    <x v="0"/>
    <s v="Murthy"/>
    <n v="3.6"/>
    <x v="1"/>
  </r>
  <r>
    <x v="13"/>
    <x v="65"/>
    <n v="390"/>
    <n v="0.35"/>
    <x v="4"/>
    <s v="Vicky"/>
    <n v="136.5"/>
    <x v="8"/>
  </r>
  <r>
    <x v="13"/>
    <x v="42"/>
    <n v="42"/>
    <n v="0.5"/>
    <x v="0"/>
    <s v="Murthy"/>
    <n v="21"/>
    <x v="4"/>
  </r>
  <r>
    <x v="13"/>
    <x v="47"/>
    <n v="280"/>
    <n v="0.05"/>
    <x v="0"/>
    <s v="Murthy"/>
    <n v="14"/>
    <x v="1"/>
  </r>
  <r>
    <x v="13"/>
    <x v="59"/>
    <n v="57.5"/>
    <n v="0.16"/>
    <x v="0"/>
    <s v="Murthy"/>
    <n v="9.2000000000000011"/>
    <x v="1"/>
  </r>
  <r>
    <x v="13"/>
    <x v="5"/>
    <n v="49.5"/>
    <n v="8.5000000000000006E-2"/>
    <x v="0"/>
    <s v="Murthy"/>
    <n v="4.2075000000000005"/>
    <x v="1"/>
  </r>
  <r>
    <x v="13"/>
    <x v="71"/>
    <n v="187.41"/>
    <n v="1.4999999999999999E-2"/>
    <x v="0"/>
    <s v="Murthy"/>
    <n v="2.81115"/>
    <x v="1"/>
  </r>
  <r>
    <x v="13"/>
    <x v="87"/>
    <n v="48"/>
    <n v="2.5000000000000001E-2"/>
    <x v="0"/>
    <s v="Murthy"/>
    <n v="1.2000000000000002"/>
    <x v="1"/>
  </r>
  <r>
    <x v="13"/>
    <x v="3"/>
    <n v="17"/>
    <n v="0.06"/>
    <x v="0"/>
    <s v="Murthy"/>
    <n v="1.02"/>
    <x v="1"/>
  </r>
  <r>
    <x v="13"/>
    <x v="97"/>
    <n v="380"/>
    <n v="0.05"/>
    <x v="0"/>
    <s v="Murthy"/>
    <n v="19"/>
    <x v="1"/>
  </r>
  <r>
    <x v="13"/>
    <x v="34"/>
    <n v="51"/>
    <n v="0.18"/>
    <x v="0"/>
    <s v="Murthy"/>
    <n v="9.18"/>
    <x v="1"/>
  </r>
  <r>
    <x v="13"/>
    <x v="4"/>
    <n v="180"/>
    <n v="0.25"/>
    <x v="0"/>
    <s v="Murthy"/>
    <n v="45"/>
    <x v="1"/>
  </r>
  <r>
    <x v="13"/>
    <x v="84"/>
    <n v="148"/>
    <n v="0.26500000000000001"/>
    <x v="0"/>
    <s v="Murthy"/>
    <n v="39.22"/>
    <x v="1"/>
  </r>
  <r>
    <x v="13"/>
    <x v="85"/>
    <n v="24"/>
    <n v="0.19"/>
    <x v="0"/>
    <s v="Murthy"/>
    <n v="4.5600000000000005"/>
    <x v="1"/>
  </r>
  <r>
    <x v="13"/>
    <x v="69"/>
    <n v="33"/>
    <n v="0.45"/>
    <x v="0"/>
    <s v="Murthy"/>
    <n v="14.85"/>
    <x v="6"/>
  </r>
  <r>
    <x v="13"/>
    <x v="114"/>
    <n v="135"/>
    <n v="0.13500000000000001"/>
    <x v="0"/>
    <s v="Murthy"/>
    <n v="18.225000000000001"/>
    <x v="3"/>
  </r>
  <r>
    <x v="13"/>
    <x v="39"/>
    <n v="75"/>
    <n v="0.63500000000000001"/>
    <x v="0"/>
    <s v="Murthy"/>
    <n v="47.625"/>
    <x v="6"/>
  </r>
  <r>
    <x v="13"/>
    <x v="31"/>
    <n v="120"/>
    <n v="0.115"/>
    <x v="0"/>
    <s v="Murthy"/>
    <n v="13.8"/>
    <x v="1"/>
  </r>
  <r>
    <x v="13"/>
    <x v="64"/>
    <n v="78.95"/>
    <n v="19"/>
    <x v="3"/>
    <s v="Common"/>
    <n v="1500.05"/>
    <x v="7"/>
  </r>
  <r>
    <x v="13"/>
    <x v="119"/>
    <n v="55"/>
    <n v="0.01"/>
    <x v="0"/>
    <s v="Murthy"/>
    <n v="0.55000000000000004"/>
    <x v="6"/>
  </r>
  <r>
    <x v="13"/>
    <x v="120"/>
    <n v="0"/>
    <n v="0.01"/>
    <x v="0"/>
    <s v="Murthy"/>
    <n v="0"/>
    <x v="1"/>
  </r>
  <r>
    <x v="13"/>
    <x v="115"/>
    <n v="0"/>
    <n v="0.7"/>
    <x v="0"/>
    <s v="Murthy"/>
    <n v="0"/>
    <x v="13"/>
  </r>
  <r>
    <x v="13"/>
    <x v="15"/>
    <n v="43.98"/>
    <n v="0.12"/>
    <x v="0"/>
    <s v="Murthy"/>
    <n v="5.2775999999999996"/>
    <x v="0"/>
  </r>
  <r>
    <x v="13"/>
    <x v="18"/>
    <n v="40"/>
    <n v="1"/>
    <x v="0"/>
    <s v="Murthy"/>
    <n v="40"/>
    <x v="1"/>
  </r>
  <r>
    <x v="13"/>
    <x v="109"/>
    <n v="100"/>
    <n v="0.9"/>
    <x v="0"/>
    <s v="Murthy"/>
    <n v="90"/>
    <x v="11"/>
  </r>
  <r>
    <x v="13"/>
    <x v="101"/>
    <n v="190"/>
    <n v="0.33500000000000002"/>
    <x v="0"/>
    <s v="Murthy"/>
    <n v="63.650000000000006"/>
    <x v="4"/>
  </r>
  <r>
    <x v="13"/>
    <x v="121"/>
    <n v="150"/>
    <m/>
    <x v="5"/>
    <s v="Ravi"/>
    <n v="0"/>
    <x v="10"/>
  </r>
  <r>
    <x v="13"/>
    <x v="79"/>
    <n v="20"/>
    <m/>
    <x v="5"/>
    <s v="Ravi"/>
    <n v="0"/>
    <x v="10"/>
  </r>
  <r>
    <x v="13"/>
    <x v="88"/>
    <n v="20"/>
    <m/>
    <x v="5"/>
    <s v="Ravi"/>
    <n v="0"/>
    <x v="10"/>
  </r>
  <r>
    <x v="13"/>
    <x v="77"/>
    <n v="30"/>
    <m/>
    <x v="5"/>
    <s v="Ravi"/>
    <n v="0"/>
    <x v="10"/>
  </r>
  <r>
    <x v="13"/>
    <x v="91"/>
    <n v="40"/>
    <m/>
    <x v="5"/>
    <s v="Ravi"/>
    <n v="0"/>
    <x v="10"/>
  </r>
  <r>
    <x v="13"/>
    <x v="116"/>
    <n v="130"/>
    <m/>
    <x v="5"/>
    <s v="Ravi"/>
    <n v="0"/>
    <x v="10"/>
  </r>
  <r>
    <x v="13"/>
    <x v="90"/>
    <n v="120"/>
    <m/>
    <x v="5"/>
    <s v="Ravi"/>
    <n v="0"/>
    <x v="10"/>
  </r>
  <r>
    <x v="13"/>
    <x v="122"/>
    <n v="20"/>
    <m/>
    <x v="5"/>
    <s v="Ravi"/>
    <n v="0"/>
    <x v="10"/>
  </r>
  <r>
    <x v="13"/>
    <x v="117"/>
    <n v="2"/>
    <m/>
    <x v="5"/>
    <s v="Ravi"/>
    <n v="0"/>
    <x v="10"/>
  </r>
  <r>
    <x v="13"/>
    <x v="77"/>
    <n v="30"/>
    <m/>
    <x v="5"/>
    <s v="Ravi"/>
    <n v="0"/>
    <x v="10"/>
  </r>
  <r>
    <x v="13"/>
    <x v="88"/>
    <n v="20"/>
    <m/>
    <x v="5"/>
    <s v="Ravi"/>
    <n v="0"/>
    <x v="10"/>
  </r>
  <r>
    <x v="13"/>
    <x v="90"/>
    <n v="120"/>
    <m/>
    <x v="5"/>
    <s v="Ravi"/>
    <n v="0"/>
    <x v="10"/>
  </r>
  <r>
    <x v="13"/>
    <x v="80"/>
    <n v="50"/>
    <m/>
    <x v="5"/>
    <s v="Ravi"/>
    <n v="0"/>
    <x v="10"/>
  </r>
  <r>
    <x v="13"/>
    <x v="81"/>
    <n v="50"/>
    <m/>
    <x v="5"/>
    <s v="Ravi"/>
    <n v="0"/>
    <x v="10"/>
  </r>
  <r>
    <x v="13"/>
    <x v="91"/>
    <n v="40"/>
    <m/>
    <x v="5"/>
    <s v="Ravi"/>
    <n v="0"/>
    <x v="10"/>
  </r>
  <r>
    <x v="13"/>
    <x v="122"/>
    <n v="20"/>
    <n v="1"/>
    <x v="5"/>
    <s v="Ravi"/>
    <n v="20"/>
    <x v="10"/>
  </r>
  <r>
    <x v="13"/>
    <x v="116"/>
    <n v="130"/>
    <n v="1"/>
    <x v="5"/>
    <s v="Ravi"/>
    <n v="130"/>
    <x v="10"/>
  </r>
  <r>
    <x v="13"/>
    <x v="121"/>
    <n v="150"/>
    <n v="1"/>
    <x v="5"/>
    <s v="Ravi"/>
    <n v="150"/>
    <x v="10"/>
  </r>
  <r>
    <x v="13"/>
    <x v="79"/>
    <n v="20"/>
    <n v="1.8"/>
    <x v="5"/>
    <s v="Ravi"/>
    <n v="36"/>
    <x v="10"/>
  </r>
  <r>
    <x v="13"/>
    <x v="42"/>
    <n v="42"/>
    <n v="1"/>
    <x v="5"/>
    <s v="Ravi"/>
    <n v="42"/>
    <x v="4"/>
  </r>
  <r>
    <x v="13"/>
    <x v="41"/>
    <n v="36"/>
    <n v="2.5"/>
    <x v="5"/>
    <s v="Ravi"/>
    <n v="90"/>
    <x v="4"/>
  </r>
  <r>
    <x v="13"/>
    <x v="0"/>
    <n v="14"/>
    <n v="0.67"/>
    <x v="2"/>
    <s v="Ravi"/>
    <n v="9.3800000000000008"/>
    <x v="0"/>
  </r>
  <r>
    <x v="13"/>
    <x v="9"/>
    <n v="14.75"/>
    <n v="0.5"/>
    <x v="2"/>
    <s v="Ravi"/>
    <n v="7.375"/>
    <x v="0"/>
  </r>
  <r>
    <x v="13"/>
    <x v="30"/>
    <n v="27.97"/>
    <n v="0.12"/>
    <x v="2"/>
    <s v="Ravi"/>
    <n v="3.3563999999999998"/>
    <x v="0"/>
  </r>
  <r>
    <x v="13"/>
    <x v="14"/>
    <n v="25"/>
    <n v="0.05"/>
    <x v="2"/>
    <s v="Ravi"/>
    <n v="1.25"/>
    <x v="0"/>
  </r>
  <r>
    <x v="13"/>
    <x v="45"/>
    <n v="37"/>
    <n v="5"/>
    <x v="5"/>
    <s v="Ravi"/>
    <n v="185"/>
    <x v="1"/>
  </r>
  <r>
    <x v="13"/>
    <x v="63"/>
    <n v="3"/>
    <n v="4"/>
    <x v="5"/>
    <s v="Ravi"/>
    <n v="12"/>
    <x v="0"/>
  </r>
  <r>
    <x v="13"/>
    <x v="123"/>
    <n v="16"/>
    <m/>
    <x v="5"/>
    <s v="Ravi"/>
    <n v="0"/>
    <x v="14"/>
  </r>
  <r>
    <x v="13"/>
    <x v="41"/>
    <n v="36"/>
    <n v="2.5"/>
    <x v="1"/>
    <s v="Ravi"/>
    <n v="90"/>
    <x v="4"/>
  </r>
  <r>
    <x v="13"/>
    <x v="42"/>
    <n v="42"/>
    <n v="1.5"/>
    <x v="1"/>
    <s v="Ravi"/>
    <n v="63"/>
    <x v="4"/>
  </r>
  <r>
    <x v="13"/>
    <x v="43"/>
    <n v="28"/>
    <n v="3"/>
    <x v="1"/>
    <s v="Ravi"/>
    <n v="84"/>
    <x v="0"/>
  </r>
  <r>
    <x v="13"/>
    <x v="44"/>
    <n v="52"/>
    <n v="6.4"/>
    <x v="1"/>
    <s v="Ravi"/>
    <n v="332.8"/>
    <x v="1"/>
  </r>
  <r>
    <x v="13"/>
    <x v="45"/>
    <n v="37"/>
    <n v="0.9"/>
    <x v="1"/>
    <s v="Ravi"/>
    <n v="33.300000000000004"/>
    <x v="1"/>
  </r>
  <r>
    <x v="13"/>
    <x v="47"/>
    <n v="280"/>
    <n v="0.13"/>
    <x v="1"/>
    <s v="Ravi"/>
    <n v="36.4"/>
    <x v="1"/>
  </r>
  <r>
    <x v="13"/>
    <x v="31"/>
    <n v="120"/>
    <n v="0.02"/>
    <x v="1"/>
    <s v="Ravi"/>
    <n v="2.4"/>
    <x v="1"/>
  </r>
  <r>
    <x v="13"/>
    <x v="73"/>
    <n v="340"/>
    <n v="0.02"/>
    <x v="1"/>
    <s v="Ravi"/>
    <n v="6.8"/>
    <x v="1"/>
  </r>
  <r>
    <x v="13"/>
    <x v="60"/>
    <n v="500"/>
    <n v="0.105"/>
    <x v="1"/>
    <s v="Ravi"/>
    <n v="52.5"/>
    <x v="1"/>
  </r>
  <r>
    <x v="13"/>
    <x v="48"/>
    <n v="7"/>
    <n v="0.53"/>
    <x v="1"/>
    <s v="Ravi"/>
    <n v="3.71"/>
    <x v="1"/>
  </r>
  <r>
    <x v="13"/>
    <x v="71"/>
    <n v="187.41"/>
    <n v="4.4999999999999998E-2"/>
    <x v="1"/>
    <s v="Ravi"/>
    <n v="8.4334499999999988"/>
    <x v="1"/>
  </r>
  <r>
    <x v="13"/>
    <x v="59"/>
    <n v="57.5"/>
    <n v="0.03"/>
    <x v="1"/>
    <s v="Ravi"/>
    <n v="1.7249999999999999"/>
    <x v="1"/>
  </r>
  <r>
    <x v="13"/>
    <x v="49"/>
    <n v="96"/>
    <n v="0.32"/>
    <x v="1"/>
    <s v="Ravi"/>
    <n v="30.72"/>
    <x v="3"/>
  </r>
  <r>
    <x v="13"/>
    <x v="11"/>
    <n v="82"/>
    <n v="1"/>
    <x v="1"/>
    <s v="Ravi"/>
    <n v="82"/>
    <x v="3"/>
  </r>
  <r>
    <x v="13"/>
    <x v="20"/>
    <n v="230"/>
    <n v="0.23"/>
    <x v="1"/>
    <s v="Ravi"/>
    <n v="52.900000000000006"/>
    <x v="1"/>
  </r>
  <r>
    <x v="13"/>
    <x v="50"/>
    <n v="70"/>
    <n v="0.115"/>
    <x v="1"/>
    <s v="Ravi"/>
    <n v="8.0500000000000007"/>
    <x v="1"/>
  </r>
  <r>
    <x v="13"/>
    <x v="51"/>
    <n v="55"/>
    <n v="0.14499999999999999"/>
    <x v="1"/>
    <s v="Ravi"/>
    <n v="7.9749999999999996"/>
    <x v="1"/>
  </r>
  <r>
    <x v="13"/>
    <x v="0"/>
    <n v="14"/>
    <n v="2.5"/>
    <x v="1"/>
    <s v="Ravi"/>
    <n v="35"/>
    <x v="0"/>
  </r>
  <r>
    <x v="13"/>
    <x v="12"/>
    <n v="28"/>
    <n v="0.25"/>
    <x v="1"/>
    <s v="Ravi"/>
    <n v="7"/>
    <x v="0"/>
  </r>
  <r>
    <x v="13"/>
    <x v="13"/>
    <n v="40"/>
    <n v="0.2"/>
    <x v="1"/>
    <s v="Ravi"/>
    <n v="8"/>
    <x v="0"/>
  </r>
  <r>
    <x v="13"/>
    <x v="76"/>
    <n v="34"/>
    <n v="0.8"/>
    <x v="1"/>
    <s v="Ravi"/>
    <n v="27.200000000000003"/>
    <x v="1"/>
  </r>
  <r>
    <x v="13"/>
    <x v="57"/>
    <n v="64.069999999999993"/>
    <n v="0.5"/>
    <x v="1"/>
    <s v="Ravi"/>
    <n v="32.034999999999997"/>
    <x v="1"/>
  </r>
  <r>
    <x v="13"/>
    <x v="54"/>
    <n v="170"/>
    <n v="0.1"/>
    <x v="1"/>
    <s v="Ravi"/>
    <n v="17"/>
    <x v="1"/>
  </r>
  <r>
    <x v="13"/>
    <x v="36"/>
    <n v="280"/>
    <n v="0.02"/>
    <x v="1"/>
    <s v="Ravi"/>
    <n v="5.6000000000000005"/>
    <x v="1"/>
  </r>
  <r>
    <x v="13"/>
    <x v="61"/>
    <n v="61.08"/>
    <n v="0.35"/>
    <x v="1"/>
    <s v="Ravi"/>
    <n v="21.377999999999997"/>
    <x v="1"/>
  </r>
  <r>
    <x v="13"/>
    <x v="37"/>
    <n v="138"/>
    <n v="0.02"/>
    <x v="1"/>
    <s v="Ravi"/>
    <n v="2.7600000000000002"/>
    <x v="1"/>
  </r>
  <r>
    <x v="13"/>
    <x v="92"/>
    <n v="76"/>
    <n v="7.0000000000000007E-2"/>
    <x v="1"/>
    <s v="Ravi"/>
    <n v="5.32"/>
    <x v="1"/>
  </r>
  <r>
    <x v="13"/>
    <x v="35"/>
    <n v="125"/>
    <n v="0.06"/>
    <x v="1"/>
    <s v="Ravi"/>
    <n v="7.5"/>
    <x v="0"/>
  </r>
  <r>
    <x v="13"/>
    <x v="14"/>
    <n v="25"/>
    <n v="0.2"/>
    <x v="1"/>
    <s v="Ravi"/>
    <n v="5"/>
    <x v="0"/>
  </r>
  <r>
    <x v="13"/>
    <x v="62"/>
    <n v="312.14"/>
    <n v="0.04"/>
    <x v="1"/>
    <s v="Ravi"/>
    <n v="12.4856"/>
    <x v="0"/>
  </r>
  <r>
    <x v="13"/>
    <x v="9"/>
    <n v="14.75"/>
    <n v="0.8"/>
    <x v="1"/>
    <s v="Ravi"/>
    <n v="11.8"/>
    <x v="0"/>
  </r>
  <r>
    <x v="13"/>
    <x v="53"/>
    <n v="62.03"/>
    <n v="0.21"/>
    <x v="1"/>
    <s v="Ravi"/>
    <n v="13.026299999999999"/>
    <x v="1"/>
  </r>
  <r>
    <x v="13"/>
    <x v="52"/>
    <n v="160"/>
    <n v="0.08"/>
    <x v="1"/>
    <s v="Ravi"/>
    <n v="12.8"/>
    <x v="1"/>
  </r>
  <r>
    <x v="13"/>
    <x v="46"/>
    <n v="35"/>
    <n v="2"/>
    <x v="1"/>
    <s v="Ravi"/>
    <n v="70"/>
    <x v="0"/>
  </r>
  <r>
    <x v="13"/>
    <x v="25"/>
    <n v="1450"/>
    <n v="0.01"/>
    <x v="1"/>
    <s v="Ravi"/>
    <n v="14.5"/>
    <x v="5"/>
  </r>
  <r>
    <x v="13"/>
    <x v="78"/>
    <n v="40"/>
    <n v="0.3"/>
    <x v="1"/>
    <s v="Ravi"/>
    <n v="12"/>
    <x v="11"/>
  </r>
  <r>
    <x v="13"/>
    <x v="94"/>
    <n v="20"/>
    <n v="1"/>
    <x v="1"/>
    <s v="Ravi"/>
    <n v="20"/>
    <x v="0"/>
  </r>
  <r>
    <x v="13"/>
    <x v="56"/>
    <n v="840"/>
    <n v="2.5000000000000001E-2"/>
    <x v="1"/>
    <s v="Ravi"/>
    <n v="21"/>
    <x v="1"/>
  </r>
  <r>
    <x v="13"/>
    <x v="55"/>
    <n v="240"/>
    <n v="2.5000000000000001E-2"/>
    <x v="1"/>
    <s v="Ravi"/>
    <n v="6"/>
    <x v="1"/>
  </r>
  <r>
    <x v="13"/>
    <x v="0"/>
    <n v="14"/>
    <n v="0.45"/>
    <x v="6"/>
    <s v="Jaggu"/>
    <n v="6.3"/>
    <x v="0"/>
  </r>
  <r>
    <x v="13"/>
    <x v="63"/>
    <n v="3"/>
    <n v="12"/>
    <x v="6"/>
    <s v="Jaggu"/>
    <n v="36"/>
    <x v="0"/>
  </r>
  <r>
    <x v="13"/>
    <x v="2"/>
    <n v="30"/>
    <n v="0.2"/>
    <x v="1"/>
    <s v="Ravi"/>
    <n v="6"/>
    <x v="0"/>
  </r>
  <r>
    <x v="13"/>
    <x v="41"/>
    <n v="36"/>
    <n v="3"/>
    <x v="4"/>
    <s v="Vicky"/>
    <n v="108"/>
    <x v="4"/>
  </r>
  <r>
    <x v="13"/>
    <x v="42"/>
    <n v="42"/>
    <n v="1.5"/>
    <x v="0"/>
    <s v="Murthy"/>
    <n v="63"/>
    <x v="4"/>
  </r>
  <r>
    <x v="13"/>
    <x v="65"/>
    <n v="390"/>
    <n v="0.43"/>
    <x v="4"/>
    <s v="Vicky"/>
    <n v="167.7"/>
    <x v="8"/>
  </r>
  <r>
    <x v="13"/>
    <x v="45"/>
    <n v="37"/>
    <n v="1.2000000000000002"/>
    <x v="4"/>
    <s v="Vicky"/>
    <n v="44.400000000000006"/>
    <x v="1"/>
  </r>
  <r>
    <x v="14"/>
    <x v="16"/>
    <n v="60"/>
    <m/>
    <x v="0"/>
    <s v="Murthy"/>
    <n v="0"/>
    <x v="0"/>
  </r>
  <r>
    <x v="14"/>
    <x v="33"/>
    <n v="175"/>
    <m/>
    <x v="0"/>
    <s v="Murthy"/>
    <n v="0"/>
    <x v="4"/>
  </r>
  <r>
    <x v="14"/>
    <x v="109"/>
    <n v="100"/>
    <m/>
    <x v="0"/>
    <s v="Murthy"/>
    <n v="0"/>
    <x v="11"/>
  </r>
  <r>
    <x v="14"/>
    <x v="17"/>
    <n v="140"/>
    <m/>
    <x v="0"/>
    <s v="Murthy"/>
    <n v="0"/>
    <x v="4"/>
  </r>
  <r>
    <x v="14"/>
    <x v="32"/>
    <n v="32"/>
    <m/>
    <x v="0"/>
    <s v="Murthy"/>
    <n v="0"/>
    <x v="0"/>
  </r>
  <r>
    <x v="14"/>
    <x v="118"/>
    <n v="280"/>
    <m/>
    <x v="0"/>
    <s v="Murthy"/>
    <n v="0"/>
    <x v="11"/>
  </r>
  <r>
    <x v="14"/>
    <x v="42"/>
    <n v="42"/>
    <m/>
    <x v="3"/>
    <s v="Common"/>
    <n v="0"/>
    <x v="4"/>
  </r>
  <r>
    <x v="14"/>
    <x v="101"/>
    <n v="190"/>
    <m/>
    <x v="0"/>
    <s v="Murthy"/>
    <n v="0"/>
    <x v="4"/>
  </r>
  <r>
    <x v="14"/>
    <x v="42"/>
    <n v="42"/>
    <m/>
    <x v="3"/>
    <s v="Common"/>
    <n v="0"/>
    <x v="4"/>
  </r>
  <r>
    <x v="14"/>
    <x v="41"/>
    <n v="36"/>
    <m/>
    <x v="3"/>
    <s v="Common"/>
    <n v="0"/>
    <x v="4"/>
  </r>
  <r>
    <x v="14"/>
    <x v="30"/>
    <n v="27.97"/>
    <m/>
    <x v="3"/>
    <s v="Common"/>
    <n v="0"/>
    <x v="0"/>
  </r>
  <r>
    <x v="14"/>
    <x v="29"/>
    <n v="43.06"/>
    <m/>
    <x v="3"/>
    <s v="Common"/>
    <n v="0"/>
    <x v="0"/>
  </r>
  <r>
    <x v="14"/>
    <x v="2"/>
    <n v="30"/>
    <m/>
    <x v="3"/>
    <s v="Common"/>
    <n v="0"/>
    <x v="0"/>
  </r>
  <r>
    <x v="14"/>
    <x v="12"/>
    <n v="28"/>
    <m/>
    <x v="3"/>
    <s v="Common"/>
    <n v="0"/>
    <x v="0"/>
  </r>
  <r>
    <x v="14"/>
    <x v="19"/>
    <n v="23.33"/>
    <m/>
    <x v="0"/>
    <s v="Murthy"/>
    <n v="0"/>
    <x v="0"/>
  </r>
  <r>
    <x v="14"/>
    <x v="14"/>
    <n v="25"/>
    <m/>
    <x v="3"/>
    <s v="Common"/>
    <n v="0"/>
    <x v="0"/>
  </r>
  <r>
    <x v="14"/>
    <x v="35"/>
    <n v="125"/>
    <m/>
    <x v="3"/>
    <s v="Common"/>
    <n v="0"/>
    <x v="0"/>
  </r>
  <r>
    <x v="14"/>
    <x v="46"/>
    <n v="35"/>
    <m/>
    <x v="1"/>
    <s v="Ravi"/>
    <n v="0"/>
    <x v="0"/>
  </r>
  <r>
    <x v="14"/>
    <x v="58"/>
    <n v="15"/>
    <m/>
    <x v="1"/>
    <s v="Ravi"/>
    <n v="0"/>
    <x v="0"/>
  </r>
  <r>
    <x v="14"/>
    <x v="9"/>
    <n v="14.75"/>
    <m/>
    <x v="0"/>
    <s v="Murthy"/>
    <n v="0"/>
    <x v="0"/>
  </r>
  <r>
    <x v="14"/>
    <x v="62"/>
    <n v="312.14"/>
    <m/>
    <x v="3"/>
    <s v="Common"/>
    <n v="0"/>
    <x v="0"/>
  </r>
  <r>
    <x v="14"/>
    <x v="7"/>
    <n v="38"/>
    <m/>
    <x v="0"/>
    <s v="Murthy"/>
    <n v="0"/>
    <x v="0"/>
  </r>
  <r>
    <x v="14"/>
    <x v="17"/>
    <n v="140"/>
    <m/>
    <x v="0"/>
    <s v="Murthy"/>
    <n v="0"/>
    <x v="4"/>
  </r>
  <r>
    <x v="14"/>
    <x v="33"/>
    <n v="175"/>
    <m/>
    <x v="0"/>
    <s v="Murthy"/>
    <n v="0"/>
    <x v="4"/>
  </r>
  <r>
    <x v="14"/>
    <x v="109"/>
    <n v="100"/>
    <m/>
    <x v="0"/>
    <s v="Murthy"/>
    <n v="0"/>
    <x v="11"/>
  </r>
  <r>
    <x v="14"/>
    <x v="32"/>
    <n v="32"/>
    <m/>
    <x v="0"/>
    <s v="Murthy"/>
    <n v="0"/>
    <x v="0"/>
  </r>
  <r>
    <x v="14"/>
    <x v="65"/>
    <n v="390"/>
    <m/>
    <x v="4"/>
    <s v="Vicky"/>
    <n v="0"/>
    <x v="8"/>
  </r>
  <r>
    <x v="14"/>
    <x v="41"/>
    <n v="36"/>
    <n v="2.5"/>
    <x v="1"/>
    <s v="Ravi"/>
    <n v="90"/>
    <x v="4"/>
  </r>
  <r>
    <x v="14"/>
    <x v="42"/>
    <n v="42"/>
    <n v="1.5"/>
    <x v="1"/>
    <s v="Ravi"/>
    <n v="63"/>
    <x v="4"/>
  </r>
  <r>
    <x v="14"/>
    <x v="44"/>
    <n v="52"/>
    <n v="3"/>
    <x v="1"/>
    <s v="Ravi"/>
    <n v="156"/>
    <x v="1"/>
  </r>
  <r>
    <x v="14"/>
    <x v="43"/>
    <n v="28"/>
    <n v="3"/>
    <x v="1"/>
    <s v="Ravi"/>
    <n v="84"/>
    <x v="0"/>
  </r>
  <r>
    <x v="14"/>
    <x v="45"/>
    <n v="37"/>
    <n v="0.45"/>
    <x v="1"/>
    <s v="Ravi"/>
    <n v="16.650000000000002"/>
    <x v="1"/>
  </r>
  <r>
    <x v="14"/>
    <x v="47"/>
    <n v="280"/>
    <n v="0.16500000000000001"/>
    <x v="1"/>
    <s v="Ravi"/>
    <n v="46.2"/>
    <x v="1"/>
  </r>
  <r>
    <x v="14"/>
    <x v="31"/>
    <n v="120"/>
    <n v="0.05"/>
    <x v="1"/>
    <s v="Ravi"/>
    <n v="6"/>
    <x v="1"/>
  </r>
  <r>
    <x v="14"/>
    <x v="71"/>
    <n v="187.41"/>
    <n v="4.4999999999999998E-2"/>
    <x v="1"/>
    <s v="Ravi"/>
    <n v="8.4334499999999988"/>
    <x v="1"/>
  </r>
  <r>
    <x v="14"/>
    <x v="89"/>
    <n v="86"/>
    <n v="0.35"/>
    <x v="1"/>
    <s v="Ravi"/>
    <n v="30.099999999999998"/>
    <x v="1"/>
  </r>
  <r>
    <x v="14"/>
    <x v="73"/>
    <n v="340"/>
    <n v="0.02"/>
    <x v="1"/>
    <s v="Ravi"/>
    <n v="6.8"/>
    <x v="1"/>
  </r>
  <r>
    <x v="14"/>
    <x v="60"/>
    <n v="500"/>
    <n v="0.1"/>
    <x v="1"/>
    <s v="Ravi"/>
    <n v="50"/>
    <x v="1"/>
  </r>
  <r>
    <x v="14"/>
    <x v="48"/>
    <n v="7"/>
    <n v="0.48"/>
    <x v="1"/>
    <s v="Ravi"/>
    <n v="3.36"/>
    <x v="1"/>
  </r>
  <r>
    <x v="14"/>
    <x v="49"/>
    <n v="96"/>
    <n v="0.57499999999999996"/>
    <x v="1"/>
    <s v="Ravi"/>
    <n v="55.199999999999996"/>
    <x v="3"/>
  </r>
  <r>
    <x v="14"/>
    <x v="11"/>
    <n v="82"/>
    <n v="2"/>
    <x v="1"/>
    <s v="Ravi"/>
    <n v="164"/>
    <x v="3"/>
  </r>
  <r>
    <x v="14"/>
    <x v="59"/>
    <n v="57.5"/>
    <n v="0.01"/>
    <x v="1"/>
    <s v="Ravi"/>
    <n v="0.57500000000000007"/>
    <x v="1"/>
  </r>
  <r>
    <x v="14"/>
    <x v="20"/>
    <n v="230"/>
    <n v="0.16"/>
    <x v="1"/>
    <s v="Ravi"/>
    <n v="36.800000000000004"/>
    <x v="1"/>
  </r>
  <r>
    <x v="14"/>
    <x v="50"/>
    <n v="70"/>
    <n v="7.4999999999999997E-2"/>
    <x v="1"/>
    <s v="Ravi"/>
    <n v="5.25"/>
    <x v="1"/>
  </r>
  <r>
    <x v="14"/>
    <x v="51"/>
    <n v="55"/>
    <n v="0.215"/>
    <x v="1"/>
    <s v="Ravi"/>
    <n v="11.824999999999999"/>
    <x v="1"/>
  </r>
  <r>
    <x v="14"/>
    <x v="0"/>
    <n v="14"/>
    <n v="2.5"/>
    <x v="1"/>
    <s v="Ravi"/>
    <n v="35"/>
    <x v="0"/>
  </r>
  <r>
    <x v="14"/>
    <x v="12"/>
    <n v="28"/>
    <n v="0.2"/>
    <x v="1"/>
    <s v="Ravi"/>
    <n v="5.6000000000000005"/>
    <x v="0"/>
  </r>
  <r>
    <x v="14"/>
    <x v="13"/>
    <n v="40"/>
    <n v="0.1"/>
    <x v="1"/>
    <s v="Ravi"/>
    <n v="4"/>
    <x v="0"/>
  </r>
  <r>
    <x v="14"/>
    <x v="76"/>
    <n v="34"/>
    <n v="0.75"/>
    <x v="1"/>
    <s v="Ravi"/>
    <n v="25.5"/>
    <x v="1"/>
  </r>
  <r>
    <x v="14"/>
    <x v="57"/>
    <n v="64.069999999999993"/>
    <n v="0.5"/>
    <x v="1"/>
    <s v="Ravi"/>
    <n v="32.034999999999997"/>
    <x v="1"/>
  </r>
  <r>
    <x v="14"/>
    <x v="54"/>
    <n v="170"/>
    <n v="0.15"/>
    <x v="1"/>
    <s v="Ravi"/>
    <n v="25.5"/>
    <x v="1"/>
  </r>
  <r>
    <x v="14"/>
    <x v="37"/>
    <n v="138"/>
    <n v="0.03"/>
    <x v="1"/>
    <s v="Ravi"/>
    <n v="4.1399999999999997"/>
    <x v="1"/>
  </r>
  <r>
    <x v="14"/>
    <x v="2"/>
    <n v="30"/>
    <n v="0.3"/>
    <x v="1"/>
    <s v="Ravi"/>
    <n v="9"/>
    <x v="0"/>
  </r>
  <r>
    <x v="14"/>
    <x v="52"/>
    <n v="160"/>
    <n v="0.06"/>
    <x v="1"/>
    <s v="Ravi"/>
    <n v="9.6"/>
    <x v="1"/>
  </r>
  <r>
    <x v="14"/>
    <x v="53"/>
    <n v="62.03"/>
    <n v="0.06"/>
    <x v="1"/>
    <s v="Ravi"/>
    <n v="3.7218"/>
    <x v="1"/>
  </r>
  <r>
    <x v="14"/>
    <x v="25"/>
    <n v="1450"/>
    <n v="2.5000000000000001E-2"/>
    <x v="1"/>
    <s v="Ravi"/>
    <n v="36.25"/>
    <x v="5"/>
  </r>
  <r>
    <x v="14"/>
    <x v="99"/>
    <n v="60"/>
    <n v="0.15"/>
    <x v="1"/>
    <s v="Ravi"/>
    <n v="9"/>
    <x v="1"/>
  </r>
  <r>
    <x v="14"/>
    <x v="75"/>
    <n v="108"/>
    <n v="0.25"/>
    <x v="1"/>
    <s v="Ravi"/>
    <n v="27"/>
    <x v="1"/>
  </r>
  <r>
    <x v="14"/>
    <x v="111"/>
    <n v="125"/>
    <n v="0.01"/>
    <x v="1"/>
    <s v="Ravi"/>
    <n v="1.25"/>
    <x v="1"/>
  </r>
  <r>
    <x v="14"/>
    <x v="92"/>
    <n v="76"/>
    <n v="6.5000000000000002E-2"/>
    <x v="1"/>
    <s v="Ravi"/>
    <n v="4.9400000000000004"/>
    <x v="1"/>
  </r>
  <r>
    <x v="14"/>
    <x v="29"/>
    <n v="43.06"/>
    <n v="0.5"/>
    <x v="1"/>
    <s v="Ravi"/>
    <n v="21.53"/>
    <x v="0"/>
  </r>
  <r>
    <x v="14"/>
    <x v="30"/>
    <n v="27.97"/>
    <n v="0.5"/>
    <x v="1"/>
    <s v="Ravi"/>
    <n v="13.984999999999999"/>
    <x v="0"/>
  </r>
  <r>
    <x v="14"/>
    <x v="35"/>
    <n v="125"/>
    <n v="0.06"/>
    <x v="1"/>
    <s v="Ravi"/>
    <n v="7.5"/>
    <x v="0"/>
  </r>
  <r>
    <x v="14"/>
    <x v="62"/>
    <n v="312.14"/>
    <n v="0.04"/>
    <x v="1"/>
    <s v="Ravi"/>
    <n v="12.4856"/>
    <x v="0"/>
  </r>
  <r>
    <x v="14"/>
    <x v="14"/>
    <n v="25"/>
    <n v="0.2"/>
    <x v="1"/>
    <s v="Ravi"/>
    <n v="5"/>
    <x v="0"/>
  </r>
  <r>
    <x v="14"/>
    <x v="9"/>
    <n v="14.75"/>
    <n v="1.2"/>
    <x v="1"/>
    <s v="Ravi"/>
    <n v="17.7"/>
    <x v="0"/>
  </r>
  <r>
    <x v="14"/>
    <x v="56"/>
    <n v="840"/>
    <n v="2.5000000000000001E-2"/>
    <x v="1"/>
    <s v="Ravi"/>
    <n v="21"/>
    <x v="1"/>
  </r>
  <r>
    <x v="14"/>
    <x v="55"/>
    <n v="240"/>
    <n v="2.5000000000000001E-2"/>
    <x v="1"/>
    <s v="Ravi"/>
    <n v="6"/>
    <x v="1"/>
  </r>
  <r>
    <x v="14"/>
    <x v="74"/>
    <n v="76"/>
    <n v="0.5"/>
    <x v="1"/>
    <s v="Ravi"/>
    <n v="38"/>
    <x v="1"/>
  </r>
  <r>
    <x v="14"/>
    <x v="36"/>
    <n v="280"/>
    <n v="0.03"/>
    <x v="1"/>
    <s v="Ravi"/>
    <n v="8.4"/>
    <x v="1"/>
  </r>
  <r>
    <x v="14"/>
    <x v="78"/>
    <n v="40"/>
    <n v="0.25"/>
    <x v="1"/>
    <s v="Ravi"/>
    <n v="10"/>
    <x v="11"/>
  </r>
  <r>
    <x v="14"/>
    <x v="46"/>
    <n v="35"/>
    <n v="1"/>
    <x v="1"/>
    <s v="Ravi"/>
    <n v="35"/>
    <x v="0"/>
  </r>
  <r>
    <x v="14"/>
    <x v="122"/>
    <n v="20"/>
    <m/>
    <x v="5"/>
    <s v="Ravi"/>
    <n v="0"/>
    <x v="10"/>
  </r>
  <r>
    <x v="14"/>
    <x v="116"/>
    <n v="130"/>
    <m/>
    <x v="5"/>
    <s v="Ravi"/>
    <n v="0"/>
    <x v="10"/>
  </r>
  <r>
    <x v="14"/>
    <x v="91"/>
    <n v="40"/>
    <m/>
    <x v="5"/>
    <s v="Ravi"/>
    <n v="0"/>
    <x v="10"/>
  </r>
  <r>
    <x v="14"/>
    <x v="90"/>
    <n v="120"/>
    <m/>
    <x v="5"/>
    <s v="Ravi"/>
    <n v="0"/>
    <x v="10"/>
  </r>
  <r>
    <x v="14"/>
    <x v="77"/>
    <n v="30"/>
    <m/>
    <x v="5"/>
    <s v="Ravi"/>
    <n v="0"/>
    <x v="10"/>
  </r>
  <r>
    <x v="14"/>
    <x v="121"/>
    <n v="150"/>
    <m/>
    <x v="5"/>
    <s v="Ravi"/>
    <n v="0"/>
    <x v="10"/>
  </r>
  <r>
    <x v="14"/>
    <x v="81"/>
    <n v="50"/>
    <m/>
    <x v="5"/>
    <s v="Ravi"/>
    <n v="0"/>
    <x v="10"/>
  </r>
  <r>
    <x v="14"/>
    <x v="0"/>
    <n v="14"/>
    <n v="0.3"/>
    <x v="6"/>
    <s v="Jaggu"/>
    <n v="4.2"/>
    <x v="0"/>
  </r>
  <r>
    <x v="14"/>
    <x v="63"/>
    <n v="3"/>
    <n v="3"/>
    <x v="6"/>
    <s v="Jaggu"/>
    <n v="9"/>
    <x v="0"/>
  </r>
  <r>
    <x v="14"/>
    <x v="39"/>
    <n v="75"/>
    <n v="0.3"/>
    <x v="6"/>
    <s v="Jaggu"/>
    <n v="22.5"/>
    <x v="6"/>
  </r>
  <r>
    <x v="14"/>
    <x v="7"/>
    <n v="38"/>
    <m/>
    <x v="0"/>
    <s v="Murthy"/>
    <n v="0"/>
    <x v="0"/>
  </r>
  <r>
    <x v="14"/>
    <x v="8"/>
    <n v="29.51"/>
    <m/>
    <x v="0"/>
    <s v="Murthy"/>
    <n v="0"/>
    <x v="1"/>
  </r>
  <r>
    <x v="14"/>
    <x v="1"/>
    <n v="30"/>
    <n v="1.5"/>
    <x v="0"/>
    <s v="Murthy"/>
    <n v="45"/>
    <x v="0"/>
  </r>
  <r>
    <x v="14"/>
    <x v="0"/>
    <n v="14"/>
    <n v="5.5"/>
    <x v="0"/>
    <s v="Murthy"/>
    <n v="77"/>
    <x v="0"/>
  </r>
  <r>
    <x v="14"/>
    <x v="2"/>
    <n v="30"/>
    <n v="0.65"/>
    <x v="0"/>
    <s v="Murthy"/>
    <n v="19.5"/>
    <x v="0"/>
  </r>
  <r>
    <x v="14"/>
    <x v="14"/>
    <n v="25"/>
    <n v="0.57999999999999996"/>
    <x v="0"/>
    <s v="Murthy"/>
    <n v="14.499999999999998"/>
    <x v="0"/>
  </r>
  <r>
    <x v="14"/>
    <x v="22"/>
    <n v="62"/>
    <n v="1.5"/>
    <x v="0"/>
    <s v="Murthy"/>
    <n v="93"/>
    <x v="1"/>
  </r>
  <r>
    <x v="14"/>
    <x v="23"/>
    <n v="220"/>
    <n v="5.0000000000000001E-3"/>
    <x v="0"/>
    <s v="Murthy"/>
    <n v="1.1000000000000001"/>
    <x v="5"/>
  </r>
  <r>
    <x v="14"/>
    <x v="24"/>
    <n v="740"/>
    <n v="5.0000000000000001E-3"/>
    <x v="0"/>
    <s v="Murthy"/>
    <n v="3.7"/>
    <x v="5"/>
  </r>
  <r>
    <x v="14"/>
    <x v="25"/>
    <n v="1450"/>
    <n v="5.0000000000000001E-3"/>
    <x v="0"/>
    <s v="Murthy"/>
    <n v="7.25"/>
    <x v="5"/>
  </r>
  <r>
    <x v="14"/>
    <x v="26"/>
    <n v="750"/>
    <n v="5.0000000000000001E-3"/>
    <x v="0"/>
    <s v="Murthy"/>
    <n v="3.75"/>
    <x v="5"/>
  </r>
  <r>
    <x v="14"/>
    <x v="27"/>
    <n v="1480"/>
    <n v="4.0000000000000001E-3"/>
    <x v="0"/>
    <s v="Murthy"/>
    <n v="5.92"/>
    <x v="5"/>
  </r>
  <r>
    <x v="14"/>
    <x v="28"/>
    <n v="64"/>
    <n v="2"/>
    <x v="0"/>
    <s v="Murthy"/>
    <n v="128"/>
    <x v="1"/>
  </r>
  <r>
    <x v="14"/>
    <x v="6"/>
    <n v="26"/>
    <n v="9.1"/>
    <x v="0"/>
    <s v="Murthy"/>
    <n v="236.6"/>
    <x v="2"/>
  </r>
  <r>
    <x v="14"/>
    <x v="8"/>
    <n v="29.51"/>
    <n v="3"/>
    <x v="0"/>
    <s v="Murthy"/>
    <n v="88.53"/>
    <x v="1"/>
  </r>
  <r>
    <x v="14"/>
    <x v="38"/>
    <n v="27"/>
    <n v="3"/>
    <x v="0"/>
    <s v="Murthy"/>
    <n v="81"/>
    <x v="1"/>
  </r>
  <r>
    <x v="14"/>
    <x v="11"/>
    <n v="82"/>
    <n v="5"/>
    <x v="0"/>
    <s v="Murthy"/>
    <n v="410"/>
    <x v="3"/>
  </r>
  <r>
    <x v="14"/>
    <x v="35"/>
    <n v="125"/>
    <n v="0.06"/>
    <x v="0"/>
    <s v="Murthy"/>
    <n v="7.5"/>
    <x v="0"/>
  </r>
  <r>
    <x v="14"/>
    <x v="41"/>
    <n v="36"/>
    <n v="0.5"/>
    <x v="0"/>
    <s v="Murthy"/>
    <n v="18"/>
    <x v="4"/>
  </r>
  <r>
    <x v="14"/>
    <x v="29"/>
    <n v="43.06"/>
    <n v="1.25"/>
    <x v="0"/>
    <s v="Murthy"/>
    <n v="53.825000000000003"/>
    <x v="0"/>
  </r>
  <r>
    <x v="14"/>
    <x v="30"/>
    <n v="27.97"/>
    <n v="1"/>
    <x v="0"/>
    <s v="Murthy"/>
    <n v="27.97"/>
    <x v="0"/>
  </r>
  <r>
    <x v="14"/>
    <x v="10"/>
    <n v="45"/>
    <n v="1"/>
    <x v="0"/>
    <s v="Murthy"/>
    <n v="45"/>
    <x v="1"/>
  </r>
  <r>
    <x v="14"/>
    <x v="17"/>
    <n v="140"/>
    <n v="1"/>
    <x v="0"/>
    <s v="Murthy"/>
    <n v="140"/>
    <x v="4"/>
  </r>
  <r>
    <x v="14"/>
    <x v="49"/>
    <n v="96"/>
    <n v="0.06"/>
    <x v="0"/>
    <s v="Murthy"/>
    <n v="5.76"/>
    <x v="3"/>
  </r>
  <r>
    <x v="14"/>
    <x v="20"/>
    <n v="230"/>
    <n v="0.05"/>
    <x v="0"/>
    <s v="Murthy"/>
    <n v="11.5"/>
    <x v="1"/>
  </r>
  <r>
    <x v="14"/>
    <x v="108"/>
    <n v="48"/>
    <n v="1"/>
    <x v="0"/>
    <s v="Murthy"/>
    <n v="48"/>
    <x v="12"/>
  </r>
  <r>
    <x v="14"/>
    <x v="63"/>
    <n v="3"/>
    <n v="5"/>
    <x v="0"/>
    <s v="Murthy"/>
    <n v="15"/>
    <x v="0"/>
  </r>
  <r>
    <x v="14"/>
    <x v="42"/>
    <n v="42"/>
    <n v="0.5"/>
    <x v="0"/>
    <s v="Murthy"/>
    <n v="21"/>
    <x v="4"/>
  </r>
  <r>
    <x v="14"/>
    <x v="93"/>
    <n v="72"/>
    <n v="0.1"/>
    <x v="0"/>
    <s v="Murthy"/>
    <n v="7.2"/>
    <x v="1"/>
  </r>
  <r>
    <x v="14"/>
    <x v="115"/>
    <n v="0"/>
    <n v="0.6"/>
    <x v="0"/>
    <s v="Murthy"/>
    <n v="0"/>
    <x v="13"/>
  </r>
  <r>
    <x v="14"/>
    <x v="124"/>
    <n v="0"/>
    <n v="1.4"/>
    <x v="0"/>
    <s v="Murthy"/>
    <n v="0"/>
    <x v="13"/>
  </r>
  <r>
    <x v="14"/>
    <x v="109"/>
    <n v="100"/>
    <n v="0.63"/>
    <x v="0"/>
    <s v="Murthy"/>
    <n v="63"/>
    <x v="11"/>
  </r>
  <r>
    <x v="14"/>
    <x v="118"/>
    <n v="280"/>
    <n v="1.18"/>
    <x v="0"/>
    <s v="Murthy"/>
    <n v="330.4"/>
    <x v="11"/>
  </r>
  <r>
    <x v="14"/>
    <x v="66"/>
    <n v="3"/>
    <n v="1.25"/>
    <x v="0"/>
    <s v="Murthy"/>
    <n v="3.75"/>
    <x v="0"/>
  </r>
  <r>
    <x v="14"/>
    <x v="32"/>
    <n v="32"/>
    <n v="9"/>
    <x v="0"/>
    <s v="Murthy"/>
    <n v="288"/>
    <x v="0"/>
  </r>
  <r>
    <x v="14"/>
    <x v="16"/>
    <n v="60"/>
    <n v="1"/>
    <x v="0"/>
    <s v="Murthy"/>
    <n v="60"/>
    <x v="0"/>
  </r>
  <r>
    <x v="14"/>
    <x v="101"/>
    <n v="190"/>
    <n v="0.3"/>
    <x v="0"/>
    <s v="Murthy"/>
    <n v="57"/>
    <x v="4"/>
  </r>
  <r>
    <x v="14"/>
    <x v="18"/>
    <n v="40"/>
    <n v="1"/>
    <x v="0"/>
    <s v="Murthy"/>
    <n v="40"/>
    <x v="1"/>
  </r>
  <r>
    <x v="14"/>
    <x v="47"/>
    <n v="280"/>
    <n v="0.15"/>
    <x v="0"/>
    <s v="Murthy"/>
    <n v="42"/>
    <x v="1"/>
  </r>
  <r>
    <x v="14"/>
    <x v="59"/>
    <n v="57.5"/>
    <n v="0.05"/>
    <x v="0"/>
    <s v="Murthy"/>
    <n v="2.875"/>
    <x v="1"/>
  </r>
  <r>
    <x v="14"/>
    <x v="71"/>
    <n v="187.41"/>
    <n v="0.01"/>
    <x v="0"/>
    <s v="Murthy"/>
    <n v="1.8741000000000001"/>
    <x v="1"/>
  </r>
  <r>
    <x v="14"/>
    <x v="87"/>
    <n v="48"/>
    <n v="0.1"/>
    <x v="0"/>
    <s v="Murthy"/>
    <n v="4.8000000000000007"/>
    <x v="1"/>
  </r>
  <r>
    <x v="14"/>
    <x v="3"/>
    <n v="17"/>
    <n v="1.07"/>
    <x v="0"/>
    <s v="Murthy"/>
    <n v="18.190000000000001"/>
    <x v="1"/>
  </r>
  <r>
    <x v="14"/>
    <x v="97"/>
    <n v="380"/>
    <n v="7.0000000000000007E-2"/>
    <x v="0"/>
    <s v="Murthy"/>
    <n v="26.6"/>
    <x v="1"/>
  </r>
  <r>
    <x v="14"/>
    <x v="4"/>
    <n v="180"/>
    <n v="0.3"/>
    <x v="0"/>
    <s v="Murthy"/>
    <n v="54"/>
    <x v="1"/>
  </r>
  <r>
    <x v="14"/>
    <x v="84"/>
    <n v="148"/>
    <n v="0.2"/>
    <x v="0"/>
    <s v="Murthy"/>
    <n v="29.6"/>
    <x v="1"/>
  </r>
  <r>
    <x v="14"/>
    <x v="85"/>
    <n v="24"/>
    <n v="0.20499999999999999"/>
    <x v="0"/>
    <s v="Murthy"/>
    <n v="4.92"/>
    <x v="1"/>
  </r>
  <r>
    <x v="14"/>
    <x v="69"/>
    <n v="33"/>
    <n v="0.155"/>
    <x v="0"/>
    <s v="Murthy"/>
    <n v="5.1150000000000002"/>
    <x v="6"/>
  </r>
  <r>
    <x v="14"/>
    <x v="33"/>
    <n v="175"/>
    <n v="1"/>
    <x v="0"/>
    <s v="Murthy"/>
    <n v="175"/>
    <x v="4"/>
  </r>
  <r>
    <x v="14"/>
    <x v="41"/>
    <n v="36"/>
    <n v="3"/>
    <x v="4"/>
    <s v="Vicky"/>
    <n v="108"/>
    <x v="4"/>
  </r>
  <r>
    <x v="14"/>
    <x v="45"/>
    <n v="37"/>
    <n v="1.1599999999999999"/>
    <x v="4"/>
    <s v="Vicky"/>
    <n v="42.919999999999995"/>
    <x v="1"/>
  </r>
  <r>
    <x v="14"/>
    <x v="65"/>
    <n v="390"/>
    <n v="0.33499999999999996"/>
    <x v="4"/>
    <s v="Vicky"/>
    <n v="130.64999999999998"/>
    <x v="8"/>
  </r>
  <r>
    <x v="14"/>
    <x v="42"/>
    <n v="42"/>
    <n v="1.5"/>
    <x v="0"/>
    <s v="Murthy"/>
    <n v="63"/>
    <x v="4"/>
  </r>
  <r>
    <x v="14"/>
    <x v="12"/>
    <n v="28"/>
    <n v="0.19"/>
    <x v="2"/>
    <s v="Ravi"/>
    <n v="5.32"/>
    <x v="0"/>
  </r>
  <r>
    <x v="14"/>
    <x v="13"/>
    <n v="40"/>
    <n v="0.06"/>
    <x v="2"/>
    <s v="Ravi"/>
    <n v="2.4"/>
    <x v="0"/>
  </r>
  <r>
    <x v="14"/>
    <x v="2"/>
    <n v="30"/>
    <n v="0.14000000000000001"/>
    <x v="2"/>
    <s v="Ravi"/>
    <n v="4.2"/>
    <x v="0"/>
  </r>
  <r>
    <x v="14"/>
    <x v="9"/>
    <n v="14.75"/>
    <n v="0.22"/>
    <x v="2"/>
    <s v="Ravi"/>
    <n v="3.2450000000000001"/>
    <x v="0"/>
  </r>
  <r>
    <x v="14"/>
    <x v="35"/>
    <n v="125"/>
    <n v="0.03"/>
    <x v="2"/>
    <s v="Ravi"/>
    <n v="3.75"/>
    <x v="0"/>
  </r>
  <r>
    <x v="14"/>
    <x v="83"/>
    <n v="48"/>
    <n v="0.15"/>
    <x v="2"/>
    <s v="Ravi"/>
    <n v="7.1999999999999993"/>
    <x v="1"/>
  </r>
  <r>
    <x v="14"/>
    <x v="94"/>
    <n v="20"/>
    <n v="0.3"/>
    <x v="2"/>
    <s v="Ravi"/>
    <n v="6"/>
    <x v="0"/>
  </r>
  <r>
    <x v="14"/>
    <x v="14"/>
    <n v="25"/>
    <n v="0.13500000000000001"/>
    <x v="2"/>
    <s v="Ravi"/>
    <n v="3.375"/>
    <x v="0"/>
  </r>
  <r>
    <x v="14"/>
    <x v="43"/>
    <n v="28"/>
    <n v="1"/>
    <x v="2"/>
    <s v="Ravi"/>
    <n v="28"/>
    <x v="0"/>
  </r>
  <r>
    <x v="14"/>
    <x v="59"/>
    <n v="57.5"/>
    <n v="0.04"/>
    <x v="2"/>
    <s v="Ravi"/>
    <n v="2.3000000000000003"/>
    <x v="1"/>
  </r>
  <r>
    <x v="14"/>
    <x v="86"/>
    <n v="46.4"/>
    <n v="0.04"/>
    <x v="2"/>
    <s v="Ravi"/>
    <n v="1.8559999999999999"/>
    <x v="1"/>
  </r>
  <r>
    <x v="14"/>
    <x v="87"/>
    <n v="48"/>
    <n v="0.06"/>
    <x v="2"/>
    <s v="Ravi"/>
    <n v="2.88"/>
    <x v="1"/>
  </r>
  <r>
    <x v="14"/>
    <x v="31"/>
    <n v="120"/>
    <n v="0.05"/>
    <x v="2"/>
    <s v="Ravi"/>
    <n v="6"/>
    <x v="1"/>
  </r>
  <r>
    <x v="14"/>
    <x v="48"/>
    <n v="7"/>
    <n v="7.0000000000000007E-2"/>
    <x v="2"/>
    <s v="Ravi"/>
    <n v="0.49000000000000005"/>
    <x v="1"/>
  </r>
  <r>
    <x v="14"/>
    <x v="5"/>
    <n v="49.5"/>
    <n v="0.02"/>
    <x v="2"/>
    <s v="Ravi"/>
    <n v="0.99"/>
    <x v="1"/>
  </r>
  <r>
    <x v="14"/>
    <x v="40"/>
    <n v="450"/>
    <n v="5.0000000000000001E-3"/>
    <x v="2"/>
    <s v="Ravi"/>
    <n v="2.25"/>
    <x v="1"/>
  </r>
  <r>
    <x v="14"/>
    <x v="45"/>
    <n v="37"/>
    <n v="1.5"/>
    <x v="5"/>
    <s v="Ravi"/>
    <n v="55.5"/>
    <x v="1"/>
  </r>
  <r>
    <x v="14"/>
    <x v="0"/>
    <n v="14"/>
    <n v="0.66"/>
    <x v="2"/>
    <s v="Ravi"/>
    <n v="9.24"/>
    <x v="0"/>
  </r>
  <r>
    <x v="14"/>
    <x v="9"/>
    <n v="14.75"/>
    <n v="0.41"/>
    <x v="2"/>
    <s v="Ravi"/>
    <n v="6.0474999999999994"/>
    <x v="0"/>
  </r>
  <r>
    <x v="14"/>
    <x v="49"/>
    <n v="96"/>
    <n v="0.05"/>
    <x v="2"/>
    <s v="Ravi"/>
    <n v="4.8000000000000007"/>
    <x v="3"/>
  </r>
  <r>
    <x v="14"/>
    <x v="30"/>
    <n v="27.97"/>
    <n v="0.26"/>
    <x v="2"/>
    <s v="Ravi"/>
    <n v="7.2721999999999998"/>
    <x v="0"/>
  </r>
  <r>
    <x v="14"/>
    <x v="41"/>
    <n v="36"/>
    <n v="0.5"/>
    <x v="2"/>
    <s v="Ravi"/>
    <n v="18"/>
    <x v="4"/>
  </r>
  <r>
    <x v="14"/>
    <x v="42"/>
    <n v="42"/>
    <n v="0.5"/>
    <x v="2"/>
    <s v="Ravi"/>
    <n v="21"/>
    <x v="4"/>
  </r>
  <r>
    <x v="14"/>
    <x v="79"/>
    <n v="20"/>
    <n v="1.43"/>
    <x v="5"/>
    <s v="Ravi"/>
    <n v="28.599999999999998"/>
    <x v="10"/>
  </r>
  <r>
    <x v="14"/>
    <x v="81"/>
    <n v="50"/>
    <n v="3"/>
    <x v="5"/>
    <s v="Ravi"/>
    <n v="150"/>
    <x v="10"/>
  </r>
  <r>
    <x v="14"/>
    <x v="63"/>
    <n v="3"/>
    <n v="10"/>
    <x v="5"/>
    <s v="Ravi"/>
    <n v="30"/>
    <x v="0"/>
  </r>
  <r>
    <x v="14"/>
    <x v="39"/>
    <n v="75"/>
    <n v="0.5"/>
    <x v="0"/>
    <s v="Murthy"/>
    <n v="37.5"/>
    <x v="6"/>
  </r>
  <r>
    <x v="14"/>
    <x v="31"/>
    <n v="120"/>
    <n v="0.1"/>
    <x v="0"/>
    <s v="Murthy"/>
    <n v="12"/>
    <x v="1"/>
  </r>
  <r>
    <x v="14"/>
    <x v="120"/>
    <n v="0"/>
    <n v="1.4999999999999999E-2"/>
    <x v="0"/>
    <s v="Murthy"/>
    <n v="0"/>
    <x v="1"/>
  </r>
  <r>
    <x v="14"/>
    <x v="34"/>
    <n v="51"/>
    <n v="0.08"/>
    <x v="0"/>
    <s v="Murthy"/>
    <n v="4.08"/>
    <x v="1"/>
  </r>
  <r>
    <x v="15"/>
    <x v="22"/>
    <n v="62"/>
    <n v="1.5"/>
    <x v="0"/>
    <s v="Murthy"/>
    <n v="93"/>
    <x v="1"/>
  </r>
  <r>
    <x v="15"/>
    <x v="0"/>
    <n v="14"/>
    <n v="6"/>
    <x v="0"/>
    <s v="Murthy"/>
    <n v="84"/>
    <x v="0"/>
  </r>
  <r>
    <x v="15"/>
    <x v="1"/>
    <n v="30"/>
    <n v="1.75"/>
    <x v="0"/>
    <s v="Murthy"/>
    <n v="52.5"/>
    <x v="0"/>
  </r>
  <r>
    <x v="15"/>
    <x v="2"/>
    <n v="30"/>
    <n v="0.65"/>
    <x v="0"/>
    <s v="Murthy"/>
    <n v="19.5"/>
    <x v="0"/>
  </r>
  <r>
    <x v="15"/>
    <x v="28"/>
    <n v="64"/>
    <n v="1.5"/>
    <x v="0"/>
    <s v="Murthy"/>
    <n v="96"/>
    <x v="1"/>
  </r>
  <r>
    <x v="15"/>
    <x v="6"/>
    <n v="26"/>
    <n v="6"/>
    <x v="0"/>
    <s v="Murthy"/>
    <n v="156"/>
    <x v="2"/>
  </r>
  <r>
    <x v="15"/>
    <x v="8"/>
    <n v="29.51"/>
    <n v="2"/>
    <x v="0"/>
    <s v="Murthy"/>
    <n v="59.02"/>
    <x v="1"/>
  </r>
  <r>
    <x v="15"/>
    <x v="14"/>
    <n v="25"/>
    <n v="0.53"/>
    <x v="0"/>
    <s v="Murthy"/>
    <n v="13.25"/>
    <x v="0"/>
  </r>
  <r>
    <x v="15"/>
    <x v="49"/>
    <n v="96"/>
    <n v="0.65"/>
    <x v="0"/>
    <s v="Murthy"/>
    <n v="62.400000000000006"/>
    <x v="3"/>
  </r>
  <r>
    <x v="15"/>
    <x v="8"/>
    <n v="29.51"/>
    <n v="1"/>
    <x v="0"/>
    <s v="Murthy"/>
    <n v="29.51"/>
    <x v="1"/>
  </r>
  <r>
    <x v="15"/>
    <x v="11"/>
    <n v="82"/>
    <n v="4"/>
    <x v="0"/>
    <s v="Murthy"/>
    <n v="328"/>
    <x v="3"/>
  </r>
  <r>
    <x v="15"/>
    <x v="33"/>
    <n v="175"/>
    <n v="1.8"/>
    <x v="0"/>
    <s v="Murthy"/>
    <n v="315"/>
    <x v="4"/>
  </r>
  <r>
    <x v="15"/>
    <x v="25"/>
    <n v="1450"/>
    <n v="5.0000000000000001E-3"/>
    <x v="0"/>
    <s v="Murthy"/>
    <n v="7.25"/>
    <x v="5"/>
  </r>
  <r>
    <x v="15"/>
    <x v="23"/>
    <n v="220"/>
    <n v="5.0000000000000001E-3"/>
    <x v="0"/>
    <s v="Murthy"/>
    <n v="1.1000000000000001"/>
    <x v="5"/>
  </r>
  <r>
    <x v="15"/>
    <x v="24"/>
    <n v="740"/>
    <n v="5.0000000000000001E-3"/>
    <x v="0"/>
    <s v="Murthy"/>
    <n v="3.7"/>
    <x v="5"/>
  </r>
  <r>
    <x v="15"/>
    <x v="26"/>
    <n v="750"/>
    <n v="5.0000000000000001E-3"/>
    <x v="0"/>
    <s v="Murthy"/>
    <n v="3.75"/>
    <x v="5"/>
  </r>
  <r>
    <x v="15"/>
    <x v="27"/>
    <n v="1480"/>
    <n v="5.0000000000000001E-3"/>
    <x v="0"/>
    <s v="Murthy"/>
    <n v="7.4"/>
    <x v="5"/>
  </r>
  <r>
    <x v="15"/>
    <x v="93"/>
    <n v="72"/>
    <n v="0.2"/>
    <x v="0"/>
    <s v="Murthy"/>
    <n v="14.4"/>
    <x v="1"/>
  </r>
  <r>
    <x v="15"/>
    <x v="10"/>
    <n v="45"/>
    <n v="1"/>
    <x v="0"/>
    <s v="Murthy"/>
    <n v="45"/>
    <x v="1"/>
  </r>
  <r>
    <x v="15"/>
    <x v="62"/>
    <n v="312.14"/>
    <n v="0.04"/>
    <x v="0"/>
    <s v="Murthy"/>
    <n v="12.4856"/>
    <x v="0"/>
  </r>
  <r>
    <x v="15"/>
    <x v="35"/>
    <n v="125"/>
    <n v="0.12"/>
    <x v="0"/>
    <s v="Murthy"/>
    <n v="15"/>
    <x v="0"/>
  </r>
  <r>
    <x v="15"/>
    <x v="38"/>
    <n v="27"/>
    <n v="2.5"/>
    <x v="0"/>
    <s v="Murthy"/>
    <n v="67.5"/>
    <x v="1"/>
  </r>
  <r>
    <x v="15"/>
    <x v="19"/>
    <n v="23.33"/>
    <n v="2"/>
    <x v="0"/>
    <s v="Murthy"/>
    <n v="46.66"/>
    <x v="0"/>
  </r>
  <r>
    <x v="15"/>
    <x v="66"/>
    <n v="3"/>
    <n v="1"/>
    <x v="0"/>
    <s v="Murthy"/>
    <n v="3"/>
    <x v="0"/>
  </r>
  <r>
    <x v="15"/>
    <x v="29"/>
    <n v="43.06"/>
    <n v="0.3"/>
    <x v="0"/>
    <s v="Murthy"/>
    <n v="12.918000000000001"/>
    <x v="0"/>
  </r>
  <r>
    <x v="15"/>
    <x v="30"/>
    <n v="27.97"/>
    <n v="0.47"/>
    <x v="0"/>
    <s v="Murthy"/>
    <n v="13.145899999999999"/>
    <x v="0"/>
  </r>
  <r>
    <x v="15"/>
    <x v="9"/>
    <n v="14.75"/>
    <n v="1"/>
    <x v="0"/>
    <s v="Murthy"/>
    <n v="14.75"/>
    <x v="0"/>
  </r>
  <r>
    <x v="15"/>
    <x v="32"/>
    <n v="32"/>
    <n v="6"/>
    <x v="0"/>
    <s v="Murthy"/>
    <n v="192"/>
    <x v="0"/>
  </r>
  <r>
    <x v="15"/>
    <x v="16"/>
    <n v="60"/>
    <n v="0.7"/>
    <x v="0"/>
    <s v="Murthy"/>
    <n v="42"/>
    <x v="0"/>
  </r>
  <r>
    <x v="15"/>
    <x v="67"/>
    <n v="33"/>
    <n v="0.09"/>
    <x v="0"/>
    <s v="Murthy"/>
    <n v="2.9699999999999998"/>
    <x v="9"/>
  </r>
  <r>
    <x v="15"/>
    <x v="101"/>
    <n v="190"/>
    <n v="0.03"/>
    <x v="0"/>
    <s v="Murthy"/>
    <n v="5.7"/>
    <x v="4"/>
  </r>
  <r>
    <x v="15"/>
    <x v="47"/>
    <n v="280"/>
    <n v="0.13"/>
    <x v="0"/>
    <s v="Murthy"/>
    <n v="36.4"/>
    <x v="1"/>
  </r>
  <r>
    <x v="15"/>
    <x v="59"/>
    <n v="57.5"/>
    <n v="5.5E-2"/>
    <x v="0"/>
    <s v="Murthy"/>
    <n v="3.1625000000000001"/>
    <x v="1"/>
  </r>
  <r>
    <x v="15"/>
    <x v="71"/>
    <n v="187.41"/>
    <n v="0.12"/>
    <x v="0"/>
    <s v="Murthy"/>
    <n v="22.4892"/>
    <x v="1"/>
  </r>
  <r>
    <x v="15"/>
    <x v="87"/>
    <n v="48"/>
    <n v="0.02"/>
    <x v="0"/>
    <s v="Murthy"/>
    <n v="0.96"/>
    <x v="1"/>
  </r>
  <r>
    <x v="15"/>
    <x v="3"/>
    <n v="17"/>
    <n v="0.96"/>
    <x v="0"/>
    <s v="Murthy"/>
    <n v="16.32"/>
    <x v="1"/>
  </r>
  <r>
    <x v="15"/>
    <x v="97"/>
    <n v="380"/>
    <n v="0"/>
    <x v="0"/>
    <s v="Murthy"/>
    <n v="0"/>
    <x v="1"/>
  </r>
  <r>
    <x v="15"/>
    <x v="4"/>
    <n v="180"/>
    <n v="0.35499999999999998"/>
    <x v="0"/>
    <s v="Murthy"/>
    <n v="63.9"/>
    <x v="1"/>
  </r>
  <r>
    <x v="15"/>
    <x v="84"/>
    <n v="148"/>
    <n v="0.23"/>
    <x v="0"/>
    <s v="Murthy"/>
    <n v="34.04"/>
    <x v="1"/>
  </r>
  <r>
    <x v="15"/>
    <x v="85"/>
    <n v="24"/>
    <n v="9.5000000000000001E-2"/>
    <x v="0"/>
    <s v="Murthy"/>
    <n v="2.2800000000000002"/>
    <x v="1"/>
  </r>
  <r>
    <x v="15"/>
    <x v="69"/>
    <n v="33"/>
    <n v="0.26"/>
    <x v="0"/>
    <s v="Murthy"/>
    <n v="8.58"/>
    <x v="6"/>
  </r>
  <r>
    <x v="15"/>
    <x v="114"/>
    <n v="135"/>
    <n v="0.02"/>
    <x v="0"/>
    <s v="Murthy"/>
    <n v="2.7"/>
    <x v="3"/>
  </r>
  <r>
    <x v="15"/>
    <x v="39"/>
    <n v="75"/>
    <n v="0.52"/>
    <x v="0"/>
    <s v="Murthy"/>
    <n v="39"/>
    <x v="6"/>
  </r>
  <r>
    <x v="15"/>
    <x v="31"/>
    <n v="120"/>
    <n v="0.11"/>
    <x v="0"/>
    <s v="Murthy"/>
    <n v="13.2"/>
    <x v="1"/>
  </r>
  <r>
    <x v="15"/>
    <x v="119"/>
    <n v="55"/>
    <n v="0.01"/>
    <x v="0"/>
    <s v="Murthy"/>
    <n v="0.55000000000000004"/>
    <x v="6"/>
  </r>
  <r>
    <x v="15"/>
    <x v="120"/>
    <n v="0"/>
    <n v="0.01"/>
    <x v="0"/>
    <s v="Murthy"/>
    <n v="0"/>
    <x v="1"/>
  </r>
  <r>
    <x v="15"/>
    <x v="115"/>
    <n v="0"/>
    <n v="2.9"/>
    <x v="0"/>
    <s v="Murthy"/>
    <n v="0"/>
    <x v="13"/>
  </r>
  <r>
    <x v="15"/>
    <x v="41"/>
    <n v="36"/>
    <n v="0.5"/>
    <x v="0"/>
    <s v="Murthy"/>
    <n v="18"/>
    <x v="4"/>
  </r>
  <r>
    <x v="15"/>
    <x v="124"/>
    <n v="0"/>
    <n v="1.3"/>
    <x v="0"/>
    <s v="Murthy"/>
    <n v="0"/>
    <x v="13"/>
  </r>
  <r>
    <x v="15"/>
    <x v="34"/>
    <n v="51"/>
    <n v="9.5000000000000001E-2"/>
    <x v="0"/>
    <s v="Murthy"/>
    <n v="4.8449999999999998"/>
    <x v="1"/>
  </r>
  <r>
    <x v="15"/>
    <x v="109"/>
    <n v="100"/>
    <n v="0.47"/>
    <x v="0"/>
    <s v="Murthy"/>
    <n v="47"/>
    <x v="11"/>
  </r>
  <r>
    <x v="15"/>
    <x v="37"/>
    <n v="138"/>
    <n v="0.15"/>
    <x v="0"/>
    <s v="Murthy"/>
    <n v="20.7"/>
    <x v="1"/>
  </r>
  <r>
    <x v="15"/>
    <x v="36"/>
    <n v="280"/>
    <n v="0.1"/>
    <x v="0"/>
    <s v="Murthy"/>
    <n v="28"/>
    <x v="1"/>
  </r>
  <r>
    <x v="15"/>
    <x v="17"/>
    <n v="140"/>
    <n v="0.25"/>
    <x v="0"/>
    <s v="Murthy"/>
    <n v="35"/>
    <x v="4"/>
  </r>
  <r>
    <x v="15"/>
    <x v="118"/>
    <n v="280"/>
    <n v="0.25"/>
    <x v="0"/>
    <s v="Murthy"/>
    <n v="70"/>
    <x v="11"/>
  </r>
  <r>
    <x v="15"/>
    <x v="42"/>
    <n v="42"/>
    <n v="2"/>
    <x v="0"/>
    <s v="Murthy"/>
    <n v="84"/>
    <x v="4"/>
  </r>
  <r>
    <x v="15"/>
    <x v="0"/>
    <n v="14"/>
    <n v="17"/>
    <x v="0"/>
    <s v="Murthy"/>
    <n v="238"/>
    <x v="0"/>
  </r>
  <r>
    <x v="15"/>
    <x v="9"/>
    <n v="14.75"/>
    <n v="5.5"/>
    <x v="0"/>
    <s v="Murthy"/>
    <n v="81.125"/>
    <x v="0"/>
  </r>
  <r>
    <x v="15"/>
    <x v="105"/>
    <n v="184"/>
    <n v="1"/>
    <x v="0"/>
    <s v="Murthy"/>
    <n v="184"/>
    <x v="1"/>
  </r>
  <r>
    <x v="15"/>
    <x v="106"/>
    <n v="580"/>
    <n v="0.1"/>
    <x v="0"/>
    <s v="Murthy"/>
    <n v="58"/>
    <x v="1"/>
  </r>
  <r>
    <x v="15"/>
    <x v="107"/>
    <n v="130"/>
    <n v="0.05"/>
    <x v="0"/>
    <s v="Murthy"/>
    <n v="6.5"/>
    <x v="1"/>
  </r>
  <r>
    <x v="15"/>
    <x v="125"/>
    <n v="560"/>
    <n v="0.25"/>
    <x v="0"/>
    <s v="Murthy"/>
    <n v="140"/>
    <x v="1"/>
  </r>
  <r>
    <x v="15"/>
    <x v="59"/>
    <n v="57.5"/>
    <n v="1"/>
    <x v="0"/>
    <s v="Murthy"/>
    <n v="57.5"/>
    <x v="1"/>
  </r>
  <r>
    <x v="15"/>
    <x v="13"/>
    <n v="40"/>
    <n v="0.25"/>
    <x v="0"/>
    <s v="Murthy"/>
    <n v="10"/>
    <x v="0"/>
  </r>
  <r>
    <x v="15"/>
    <x v="12"/>
    <n v="28"/>
    <n v="0.25"/>
    <x v="0"/>
    <s v="Murthy"/>
    <n v="7"/>
    <x v="0"/>
  </r>
  <r>
    <x v="15"/>
    <x v="11"/>
    <n v="82"/>
    <n v="2"/>
    <x v="0"/>
    <s v="Murthy"/>
    <n v="164"/>
    <x v="3"/>
  </r>
  <r>
    <x v="15"/>
    <x v="65"/>
    <n v="390"/>
    <n v="0.29499999999999998"/>
    <x v="4"/>
    <s v="Vicky"/>
    <n v="115.05"/>
    <x v="8"/>
  </r>
  <r>
    <x v="15"/>
    <x v="45"/>
    <n v="37"/>
    <n v="0.65"/>
    <x v="4"/>
    <s v="Vicky"/>
    <n v="24.05"/>
    <x v="1"/>
  </r>
  <r>
    <x v="15"/>
    <x v="41"/>
    <n v="36"/>
    <n v="4"/>
    <x v="4"/>
    <s v="Vicky"/>
    <n v="144"/>
    <x v="4"/>
  </r>
  <r>
    <x v="15"/>
    <x v="41"/>
    <n v="36"/>
    <n v="2.5"/>
    <x v="1"/>
    <s v="Ravi"/>
    <n v="90"/>
    <x v="4"/>
  </r>
  <r>
    <x v="15"/>
    <x v="42"/>
    <n v="42"/>
    <n v="1.5"/>
    <x v="1"/>
    <s v="Ravi"/>
    <n v="63"/>
    <x v="4"/>
  </r>
  <r>
    <x v="15"/>
    <x v="43"/>
    <n v="28"/>
    <n v="3"/>
    <x v="1"/>
    <s v="Ravi"/>
    <n v="84"/>
    <x v="0"/>
  </r>
  <r>
    <x v="15"/>
    <x v="44"/>
    <n v="52"/>
    <n v="5"/>
    <x v="1"/>
    <s v="Ravi"/>
    <n v="260"/>
    <x v="1"/>
  </r>
  <r>
    <x v="15"/>
    <x v="45"/>
    <n v="37"/>
    <n v="0.45"/>
    <x v="1"/>
    <s v="Ravi"/>
    <n v="16.650000000000002"/>
    <x v="1"/>
  </r>
  <r>
    <x v="15"/>
    <x v="47"/>
    <n v="280"/>
    <n v="0.04"/>
    <x v="1"/>
    <s v="Ravi"/>
    <n v="11.200000000000001"/>
    <x v="1"/>
  </r>
  <r>
    <x v="15"/>
    <x v="31"/>
    <n v="120"/>
    <n v="0.05"/>
    <x v="1"/>
    <s v="Ravi"/>
    <n v="6"/>
    <x v="1"/>
  </r>
  <r>
    <x v="15"/>
    <x v="48"/>
    <n v="7"/>
    <n v="0.04"/>
    <x v="1"/>
    <s v="Ravi"/>
    <n v="0.28000000000000003"/>
    <x v="1"/>
  </r>
  <r>
    <x v="15"/>
    <x v="71"/>
    <n v="187.41"/>
    <n v="0.03"/>
    <x v="1"/>
    <s v="Ravi"/>
    <n v="5.6223000000000001"/>
    <x v="1"/>
  </r>
  <r>
    <x v="15"/>
    <x v="49"/>
    <n v="96"/>
    <n v="0.38"/>
    <x v="1"/>
    <s v="Ravi"/>
    <n v="36.480000000000004"/>
    <x v="3"/>
  </r>
  <r>
    <x v="15"/>
    <x v="11"/>
    <n v="82"/>
    <n v="2"/>
    <x v="1"/>
    <s v="Ravi"/>
    <n v="164"/>
    <x v="3"/>
  </r>
  <r>
    <x v="15"/>
    <x v="20"/>
    <n v="230"/>
    <n v="0.155"/>
    <x v="1"/>
    <s v="Ravi"/>
    <n v="35.65"/>
    <x v="1"/>
  </r>
  <r>
    <x v="15"/>
    <x v="50"/>
    <n v="70"/>
    <n v="0.06"/>
    <x v="1"/>
    <s v="Ravi"/>
    <n v="4.2"/>
    <x v="1"/>
  </r>
  <r>
    <x v="15"/>
    <x v="51"/>
    <n v="55"/>
    <n v="0.19"/>
    <x v="1"/>
    <s v="Ravi"/>
    <n v="10.45"/>
    <x v="1"/>
  </r>
  <r>
    <x v="15"/>
    <x v="0"/>
    <n v="14"/>
    <n v="2"/>
    <x v="1"/>
    <s v="Ravi"/>
    <n v="28"/>
    <x v="0"/>
  </r>
  <r>
    <x v="15"/>
    <x v="12"/>
    <n v="28"/>
    <n v="0.15"/>
    <x v="1"/>
    <s v="Ravi"/>
    <n v="4.2"/>
    <x v="0"/>
  </r>
  <r>
    <x v="15"/>
    <x v="76"/>
    <n v="34"/>
    <n v="0.75"/>
    <x v="1"/>
    <s v="Ravi"/>
    <n v="25.5"/>
    <x v="1"/>
  </r>
  <r>
    <x v="15"/>
    <x v="57"/>
    <n v="64.069999999999993"/>
    <n v="0.5"/>
    <x v="1"/>
    <s v="Ravi"/>
    <n v="32.034999999999997"/>
    <x v="1"/>
  </r>
  <r>
    <x v="15"/>
    <x v="54"/>
    <n v="170"/>
    <n v="0.1"/>
    <x v="1"/>
    <s v="Ravi"/>
    <n v="17"/>
    <x v="1"/>
  </r>
  <r>
    <x v="15"/>
    <x v="37"/>
    <n v="138"/>
    <n v="0.03"/>
    <x v="1"/>
    <s v="Ravi"/>
    <n v="4.1399999999999997"/>
    <x v="1"/>
  </r>
  <r>
    <x v="15"/>
    <x v="36"/>
    <n v="280"/>
    <n v="0.03"/>
    <x v="1"/>
    <s v="Ravi"/>
    <n v="8.4"/>
    <x v="1"/>
  </r>
  <r>
    <x v="15"/>
    <x v="2"/>
    <n v="30"/>
    <n v="0.2"/>
    <x v="1"/>
    <s v="Ravi"/>
    <n v="6"/>
    <x v="0"/>
  </r>
  <r>
    <x v="15"/>
    <x v="111"/>
    <n v="125"/>
    <n v="2.5000000000000001E-2"/>
    <x v="1"/>
    <s v="Ravi"/>
    <n v="3.125"/>
    <x v="1"/>
  </r>
  <r>
    <x v="15"/>
    <x v="92"/>
    <n v="76"/>
    <n v="4.4999999999999998E-2"/>
    <x v="1"/>
    <s v="Ravi"/>
    <n v="3.42"/>
    <x v="1"/>
  </r>
  <r>
    <x v="15"/>
    <x v="35"/>
    <n v="125"/>
    <n v="0.06"/>
    <x v="1"/>
    <s v="Ravi"/>
    <n v="7.5"/>
    <x v="0"/>
  </r>
  <r>
    <x v="15"/>
    <x v="14"/>
    <n v="25"/>
    <n v="0.02"/>
    <x v="1"/>
    <s v="Ravi"/>
    <n v="0.5"/>
    <x v="0"/>
  </r>
  <r>
    <x v="15"/>
    <x v="62"/>
    <n v="312.14"/>
    <n v="0.04"/>
    <x v="1"/>
    <s v="Ravi"/>
    <n v="12.4856"/>
    <x v="0"/>
  </r>
  <r>
    <x v="15"/>
    <x v="53"/>
    <n v="62.03"/>
    <n v="0.08"/>
    <x v="1"/>
    <s v="Ravi"/>
    <n v="4.9624000000000006"/>
    <x v="1"/>
  </r>
  <r>
    <x v="15"/>
    <x v="52"/>
    <n v="160"/>
    <n v="0.06"/>
    <x v="1"/>
    <s v="Ravi"/>
    <n v="9.6"/>
    <x v="1"/>
  </r>
  <r>
    <x v="15"/>
    <x v="13"/>
    <n v="40"/>
    <n v="0.1"/>
    <x v="1"/>
    <s v="Ravi"/>
    <n v="4"/>
    <x v="0"/>
  </r>
  <r>
    <x v="15"/>
    <x v="25"/>
    <n v="1450"/>
    <n v="0.03"/>
    <x v="1"/>
    <s v="Ravi"/>
    <n v="43.5"/>
    <x v="5"/>
  </r>
  <r>
    <x v="15"/>
    <x v="56"/>
    <n v="840"/>
    <n v="2.5000000000000001E-2"/>
    <x v="1"/>
    <s v="Ravi"/>
    <n v="21"/>
    <x v="1"/>
  </r>
  <r>
    <x v="15"/>
    <x v="55"/>
    <n v="240"/>
    <n v="2.5000000000000001E-2"/>
    <x v="1"/>
    <s v="Ravi"/>
    <n v="6"/>
    <x v="1"/>
  </r>
  <r>
    <x v="15"/>
    <x v="68"/>
    <n v="75"/>
    <n v="0.3"/>
    <x v="1"/>
    <s v="Ravi"/>
    <n v="22.5"/>
    <x v="1"/>
  </r>
  <r>
    <x v="15"/>
    <x v="46"/>
    <n v="35"/>
    <n v="1"/>
    <x v="1"/>
    <s v="Ravi"/>
    <n v="35"/>
    <x v="0"/>
  </r>
  <r>
    <x v="15"/>
    <x v="98"/>
    <n v="110"/>
    <n v="0.13"/>
    <x v="1"/>
    <s v="Ravi"/>
    <n v="14.3"/>
    <x v="0"/>
  </r>
  <r>
    <x v="15"/>
    <x v="78"/>
    <n v="40"/>
    <n v="0.1"/>
    <x v="1"/>
    <s v="Ravi"/>
    <n v="4"/>
    <x v="11"/>
  </r>
  <r>
    <x v="15"/>
    <x v="0"/>
    <n v="14"/>
    <n v="0.64"/>
    <x v="2"/>
    <s v="Ravi"/>
    <n v="8.9600000000000009"/>
    <x v="0"/>
  </r>
  <r>
    <x v="15"/>
    <x v="9"/>
    <n v="14.75"/>
    <n v="0.42"/>
    <x v="2"/>
    <s v="Ravi"/>
    <n v="6.1949999999999994"/>
    <x v="0"/>
  </r>
  <r>
    <x v="15"/>
    <x v="41"/>
    <n v="36"/>
    <n v="2"/>
    <x v="2"/>
    <s v="Ravi"/>
    <n v="72"/>
    <x v="4"/>
  </r>
  <r>
    <x v="15"/>
    <x v="42"/>
    <n v="42"/>
    <n v="2"/>
    <x v="2"/>
    <s v="Ravi"/>
    <n v="84"/>
    <x v="4"/>
  </r>
  <r>
    <x v="15"/>
    <x v="30"/>
    <n v="27.97"/>
    <n v="0.31"/>
    <x v="2"/>
    <s v="Ravi"/>
    <n v="8.6707000000000001"/>
    <x v="0"/>
  </r>
  <r>
    <x v="15"/>
    <x v="14"/>
    <n v="25"/>
    <n v="0.06"/>
    <x v="2"/>
    <s v="Ravi"/>
    <n v="1.5"/>
    <x v="0"/>
  </r>
  <r>
    <x v="15"/>
    <x v="63"/>
    <n v="3"/>
    <n v="35"/>
    <x v="5"/>
    <s v="Ravi"/>
    <n v="105"/>
    <x v="0"/>
  </r>
  <r>
    <x v="15"/>
    <x v="77"/>
    <n v="30"/>
    <n v="0.7"/>
    <x v="5"/>
    <s v="Ravi"/>
    <n v="21"/>
    <x v="10"/>
  </r>
  <r>
    <x v="15"/>
    <x v="121"/>
    <n v="150"/>
    <n v="1.7"/>
    <x v="5"/>
    <s v="Ravi"/>
    <n v="255"/>
    <x v="10"/>
  </r>
  <r>
    <x v="15"/>
    <x v="79"/>
    <n v="20"/>
    <n v="1.26"/>
    <x v="5"/>
    <s v="Ravi"/>
    <n v="25.2"/>
    <x v="10"/>
  </r>
  <r>
    <x v="15"/>
    <x v="2"/>
    <n v="30"/>
    <n v="0.45"/>
    <x v="2"/>
    <s v="Ravi"/>
    <n v="13.5"/>
    <x v="0"/>
  </r>
  <r>
    <x v="15"/>
    <x v="35"/>
    <n v="125"/>
    <n v="0.3"/>
    <x v="2"/>
    <s v="Ravi"/>
    <n v="37.5"/>
    <x v="0"/>
  </r>
  <r>
    <x v="15"/>
    <x v="14"/>
    <n v="25"/>
    <n v="0.2"/>
    <x v="2"/>
    <s v="Ravi"/>
    <n v="5"/>
    <x v="0"/>
  </r>
  <r>
    <x v="15"/>
    <x v="20"/>
    <n v="230"/>
    <n v="0.05"/>
    <x v="2"/>
    <s v="Ravi"/>
    <n v="11.5"/>
    <x v="1"/>
  </r>
  <r>
    <x v="15"/>
    <x v="13"/>
    <n v="40"/>
    <n v="0.05"/>
    <x v="2"/>
    <s v="Ravi"/>
    <n v="2"/>
    <x v="0"/>
  </r>
  <r>
    <x v="15"/>
    <x v="3"/>
    <n v="17"/>
    <n v="0.04"/>
    <x v="2"/>
    <s v="Ravi"/>
    <n v="0.68"/>
    <x v="1"/>
  </r>
  <r>
    <x v="15"/>
    <x v="12"/>
    <n v="28"/>
    <n v="0.3"/>
    <x v="2"/>
    <s v="Ravi"/>
    <n v="8.4"/>
    <x v="0"/>
  </r>
  <r>
    <x v="15"/>
    <x v="13"/>
    <n v="40"/>
    <n v="0.15"/>
    <x v="2"/>
    <s v="Ravi"/>
    <n v="6"/>
    <x v="0"/>
  </r>
  <r>
    <x v="15"/>
    <x v="36"/>
    <n v="280"/>
    <n v="0.3"/>
    <x v="2"/>
    <s v="Ravi"/>
    <n v="84"/>
    <x v="1"/>
  </r>
  <r>
    <x v="15"/>
    <x v="25"/>
    <n v="1450"/>
    <n v="0.01"/>
    <x v="2"/>
    <s v="Ravi"/>
    <n v="14.5"/>
    <x v="5"/>
  </r>
  <r>
    <x v="15"/>
    <x v="24"/>
    <n v="740"/>
    <n v="5.0000000000000001E-3"/>
    <x v="2"/>
    <s v="Ravi"/>
    <n v="3.7"/>
    <x v="5"/>
  </r>
  <r>
    <x v="15"/>
    <x v="23"/>
    <n v="220"/>
    <n v="5.0000000000000001E-3"/>
    <x v="2"/>
    <s v="Ravi"/>
    <n v="1.1000000000000001"/>
    <x v="5"/>
  </r>
  <r>
    <x v="15"/>
    <x v="99"/>
    <n v="60"/>
    <n v="0.15"/>
    <x v="2"/>
    <s v="Ravi"/>
    <n v="9"/>
    <x v="1"/>
  </r>
  <r>
    <x v="15"/>
    <x v="48"/>
    <n v="7"/>
    <n v="0.06"/>
    <x v="2"/>
    <s v="Ravi"/>
    <n v="0.42"/>
    <x v="1"/>
  </r>
  <r>
    <x v="15"/>
    <x v="98"/>
    <n v="110"/>
    <n v="0.23"/>
    <x v="2"/>
    <s v="Ravi"/>
    <n v="25.3"/>
    <x v="0"/>
  </r>
  <r>
    <x v="15"/>
    <x v="83"/>
    <n v="48"/>
    <n v="0.4"/>
    <x v="2"/>
    <s v="Ravi"/>
    <n v="19.200000000000003"/>
    <x v="1"/>
  </r>
  <r>
    <x v="15"/>
    <x v="63"/>
    <n v="3"/>
    <n v="12"/>
    <x v="6"/>
    <s v="Jaggu"/>
    <n v="36"/>
    <x v="0"/>
  </r>
  <r>
    <x v="15"/>
    <x v="0"/>
    <n v="14"/>
    <n v="0.5"/>
    <x v="6"/>
    <s v="Jaggu"/>
    <n v="7"/>
    <x v="0"/>
  </r>
  <r>
    <x v="15"/>
    <x v="64"/>
    <n v="78.95"/>
    <n v="2"/>
    <x v="1"/>
    <s v="Ravi"/>
    <n v="157.9"/>
    <x v="7"/>
  </r>
  <r>
    <x v="15"/>
    <x v="64"/>
    <n v="78.95"/>
    <n v="17"/>
    <x v="0"/>
    <s v="Murthy"/>
    <n v="1342.15"/>
    <x v="7"/>
  </r>
  <r>
    <x v="16"/>
    <x v="0"/>
    <n v="14"/>
    <n v="6"/>
    <x v="0"/>
    <s v="Murthy"/>
    <n v="84"/>
    <x v="0"/>
  </r>
  <r>
    <x v="16"/>
    <x v="6"/>
    <n v="26"/>
    <n v="9.9"/>
    <x v="0"/>
    <s v="Murthy"/>
    <n v="257.40000000000003"/>
    <x v="2"/>
  </r>
  <r>
    <x v="16"/>
    <x v="2"/>
    <n v="30"/>
    <n v="0.5"/>
    <x v="0"/>
    <s v="Murthy"/>
    <n v="15"/>
    <x v="0"/>
  </r>
  <r>
    <x v="16"/>
    <x v="14"/>
    <n v="25"/>
    <n v="0.55000000000000004"/>
    <x v="0"/>
    <s v="Murthy"/>
    <n v="13.750000000000002"/>
    <x v="0"/>
  </r>
  <r>
    <x v="16"/>
    <x v="28"/>
    <n v="64"/>
    <n v="2"/>
    <x v="0"/>
    <s v="Murthy"/>
    <n v="128"/>
    <x v="1"/>
  </r>
  <r>
    <x v="16"/>
    <x v="30"/>
    <n v="27.97"/>
    <n v="1.2"/>
    <x v="0"/>
    <s v="Murthy"/>
    <n v="33.564"/>
    <x v="0"/>
  </r>
  <r>
    <x v="16"/>
    <x v="13"/>
    <n v="40"/>
    <n v="0.17"/>
    <x v="0"/>
    <s v="Murthy"/>
    <n v="6.8000000000000007"/>
    <x v="0"/>
  </r>
  <r>
    <x v="16"/>
    <x v="11"/>
    <n v="82"/>
    <n v="4"/>
    <x v="0"/>
    <s v="Murthy"/>
    <n v="328"/>
    <x v="3"/>
  </r>
  <r>
    <x v="16"/>
    <x v="8"/>
    <n v="29.51"/>
    <n v="0.55000000000000004"/>
    <x v="0"/>
    <s v="Murthy"/>
    <n v="16.230500000000003"/>
    <x v="1"/>
  </r>
  <r>
    <x v="16"/>
    <x v="17"/>
    <n v="140"/>
    <n v="0.75"/>
    <x v="0"/>
    <s v="Murthy"/>
    <n v="105"/>
    <x v="4"/>
  </r>
  <r>
    <x v="16"/>
    <x v="68"/>
    <n v="75"/>
    <n v="1"/>
    <x v="0"/>
    <s v="Murthy"/>
    <n v="75"/>
    <x v="1"/>
  </r>
  <r>
    <x v="16"/>
    <x v="7"/>
    <n v="38"/>
    <n v="1.3"/>
    <x v="0"/>
    <s v="Murthy"/>
    <n v="49.4"/>
    <x v="0"/>
  </r>
  <r>
    <x v="16"/>
    <x v="29"/>
    <n v="43.06"/>
    <n v="0.25"/>
    <x v="0"/>
    <s v="Murthy"/>
    <n v="10.765000000000001"/>
    <x v="0"/>
  </r>
  <r>
    <x v="16"/>
    <x v="22"/>
    <n v="62"/>
    <n v="1"/>
    <x v="0"/>
    <s v="Murthy"/>
    <n v="62"/>
    <x v="1"/>
  </r>
  <r>
    <x v="16"/>
    <x v="23"/>
    <n v="220"/>
    <n v="4.0000000000000001E-3"/>
    <x v="0"/>
    <s v="Murthy"/>
    <n v="0.88"/>
    <x v="5"/>
  </r>
  <r>
    <x v="16"/>
    <x v="24"/>
    <n v="740"/>
    <n v="4.0000000000000001E-3"/>
    <x v="0"/>
    <s v="Murthy"/>
    <n v="2.96"/>
    <x v="5"/>
  </r>
  <r>
    <x v="16"/>
    <x v="25"/>
    <n v="1450"/>
    <n v="4.0000000000000001E-3"/>
    <x v="0"/>
    <s v="Murthy"/>
    <n v="5.8"/>
    <x v="5"/>
  </r>
  <r>
    <x v="16"/>
    <x v="26"/>
    <n v="750"/>
    <n v="4.0000000000000001E-3"/>
    <x v="0"/>
    <s v="Murthy"/>
    <n v="3"/>
    <x v="5"/>
  </r>
  <r>
    <x v="16"/>
    <x v="9"/>
    <n v="14.75"/>
    <n v="1.6"/>
    <x v="0"/>
    <s v="Murthy"/>
    <n v="23.6"/>
    <x v="0"/>
  </r>
  <r>
    <x v="16"/>
    <x v="38"/>
    <n v="27"/>
    <n v="2.5"/>
    <x v="0"/>
    <s v="Murthy"/>
    <n v="67.5"/>
    <x v="1"/>
  </r>
  <r>
    <x v="16"/>
    <x v="63"/>
    <n v="3"/>
    <n v="5"/>
    <x v="0"/>
    <s v="Murthy"/>
    <n v="15"/>
    <x v="0"/>
  </r>
  <r>
    <x v="16"/>
    <x v="47"/>
    <n v="280"/>
    <n v="0.08"/>
    <x v="0"/>
    <s v="Murthy"/>
    <n v="22.400000000000002"/>
    <x v="1"/>
  </r>
  <r>
    <x v="16"/>
    <x v="59"/>
    <n v="57.5"/>
    <n v="0.06"/>
    <x v="0"/>
    <s v="Murthy"/>
    <n v="3.4499999999999997"/>
    <x v="1"/>
  </r>
  <r>
    <x v="16"/>
    <x v="71"/>
    <n v="187.41"/>
    <n v="2.5000000000000001E-2"/>
    <x v="0"/>
    <s v="Murthy"/>
    <n v="4.6852499999999999"/>
    <x v="1"/>
  </r>
  <r>
    <x v="16"/>
    <x v="87"/>
    <n v="48"/>
    <n v="0.01"/>
    <x v="0"/>
    <s v="Murthy"/>
    <n v="0.48"/>
    <x v="1"/>
  </r>
  <r>
    <x v="16"/>
    <x v="3"/>
    <n v="17"/>
    <n v="0.4"/>
    <x v="0"/>
    <s v="Murthy"/>
    <n v="6.8000000000000007"/>
    <x v="1"/>
  </r>
  <r>
    <x v="16"/>
    <x v="97"/>
    <n v="380"/>
    <n v="0.01"/>
    <x v="0"/>
    <s v="Murthy"/>
    <n v="3.8000000000000003"/>
    <x v="1"/>
  </r>
  <r>
    <x v="16"/>
    <x v="4"/>
    <n v="180"/>
    <n v="0.16"/>
    <x v="0"/>
    <s v="Murthy"/>
    <n v="28.8"/>
    <x v="1"/>
  </r>
  <r>
    <x v="16"/>
    <x v="84"/>
    <n v="148"/>
    <n v="0.15"/>
    <x v="0"/>
    <s v="Murthy"/>
    <n v="22.2"/>
    <x v="1"/>
  </r>
  <r>
    <x v="16"/>
    <x v="85"/>
    <n v="24"/>
    <n v="0.1"/>
    <x v="0"/>
    <s v="Murthy"/>
    <n v="2.4000000000000004"/>
    <x v="1"/>
  </r>
  <r>
    <x v="16"/>
    <x v="69"/>
    <n v="33"/>
    <n v="0.1"/>
    <x v="0"/>
    <s v="Murthy"/>
    <n v="3.3000000000000003"/>
    <x v="6"/>
  </r>
  <r>
    <x v="16"/>
    <x v="114"/>
    <n v="135"/>
    <n v="0.01"/>
    <x v="0"/>
    <s v="Murthy"/>
    <n v="1.35"/>
    <x v="3"/>
  </r>
  <r>
    <x v="16"/>
    <x v="39"/>
    <n v="75"/>
    <n v="0.35"/>
    <x v="0"/>
    <s v="Murthy"/>
    <n v="26.25"/>
    <x v="6"/>
  </r>
  <r>
    <x v="16"/>
    <x v="31"/>
    <n v="120"/>
    <n v="0.04"/>
    <x v="0"/>
    <s v="Murthy"/>
    <n v="4.8"/>
    <x v="1"/>
  </r>
  <r>
    <x v="16"/>
    <x v="115"/>
    <n v="0"/>
    <n v="0.9"/>
    <x v="0"/>
    <s v="Murthy"/>
    <n v="0"/>
    <x v="13"/>
  </r>
  <r>
    <x v="16"/>
    <x v="49"/>
    <n v="96"/>
    <n v="0.15"/>
    <x v="0"/>
    <s v="Murthy"/>
    <n v="14.399999999999999"/>
    <x v="3"/>
  </r>
  <r>
    <x v="16"/>
    <x v="124"/>
    <n v="0"/>
    <n v="0.9"/>
    <x v="0"/>
    <s v="Murthy"/>
    <n v="0"/>
    <x v="13"/>
  </r>
  <r>
    <x v="16"/>
    <x v="34"/>
    <n v="51"/>
    <n v="8.5000000000000006E-2"/>
    <x v="0"/>
    <s v="Murthy"/>
    <n v="4.335"/>
    <x v="1"/>
  </r>
  <r>
    <x v="16"/>
    <x v="109"/>
    <n v="100"/>
    <n v="0.25"/>
    <x v="0"/>
    <s v="Murthy"/>
    <n v="25"/>
    <x v="11"/>
  </r>
  <r>
    <x v="16"/>
    <x v="16"/>
    <n v="60"/>
    <n v="0.2"/>
    <x v="0"/>
    <s v="Murthy"/>
    <n v="12"/>
    <x v="0"/>
  </r>
  <r>
    <x v="16"/>
    <x v="67"/>
    <n v="33"/>
    <n v="0.1"/>
    <x v="0"/>
    <s v="Murthy"/>
    <n v="3.3000000000000003"/>
    <x v="9"/>
  </r>
  <r>
    <x v="16"/>
    <x v="33"/>
    <n v="175"/>
    <n v="1"/>
    <x v="0"/>
    <s v="Murthy"/>
    <n v="175"/>
    <x v="4"/>
  </r>
  <r>
    <x v="16"/>
    <x v="32"/>
    <n v="32"/>
    <n v="4"/>
    <x v="0"/>
    <s v="Murthy"/>
    <n v="128"/>
    <x v="0"/>
  </r>
  <r>
    <x v="16"/>
    <x v="35"/>
    <n v="125"/>
    <n v="0.12"/>
    <x v="0"/>
    <s v="Murthy"/>
    <n v="15"/>
    <x v="0"/>
  </r>
  <r>
    <x v="16"/>
    <x v="42"/>
    <n v="42"/>
    <n v="0.5"/>
    <x v="0"/>
    <s v="Murthy"/>
    <n v="21"/>
    <x v="4"/>
  </r>
  <r>
    <x v="16"/>
    <x v="64"/>
    <n v="78.95"/>
    <n v="2"/>
    <x v="1"/>
    <s v="Ravi"/>
    <n v="157.9"/>
    <x v="7"/>
  </r>
  <r>
    <x v="16"/>
    <x v="64"/>
    <n v="78.95"/>
    <n v="17"/>
    <x v="0"/>
    <s v="Murthy"/>
    <n v="1342.15"/>
    <x v="7"/>
  </r>
  <r>
    <x v="16"/>
    <x v="41"/>
    <n v="36"/>
    <n v="5.5"/>
    <x v="4"/>
    <s v="Vicky"/>
    <n v="198"/>
    <x v="4"/>
  </r>
  <r>
    <x v="16"/>
    <x v="45"/>
    <n v="37"/>
    <n v="0.6"/>
    <x v="4"/>
    <s v="Vicky"/>
    <n v="22.2"/>
    <x v="1"/>
  </r>
  <r>
    <x v="16"/>
    <x v="42"/>
    <n v="42"/>
    <n v="1.5"/>
    <x v="0"/>
    <s v="Murthy"/>
    <n v="63"/>
    <x v="4"/>
  </r>
  <r>
    <x v="16"/>
    <x v="41"/>
    <n v="36"/>
    <n v="0.5"/>
    <x v="0"/>
    <s v="Murthy"/>
    <n v="18"/>
    <x v="4"/>
  </r>
  <r>
    <x v="16"/>
    <x v="88"/>
    <n v="20"/>
    <n v="0.56999999999999995"/>
    <x v="5"/>
    <s v="Ravi"/>
    <n v="11.399999999999999"/>
    <x v="10"/>
  </r>
  <r>
    <x v="16"/>
    <x v="126"/>
    <n v="0"/>
    <n v="1"/>
    <x v="5"/>
    <s v="Ravi"/>
    <n v="0"/>
    <x v="10"/>
  </r>
  <r>
    <x v="16"/>
    <x v="116"/>
    <n v="130"/>
    <n v="1"/>
    <x v="5"/>
    <s v="Ravi"/>
    <n v="130"/>
    <x v="10"/>
  </r>
  <r>
    <x v="16"/>
    <x v="91"/>
    <n v="40"/>
    <n v="2"/>
    <x v="5"/>
    <s v="Ravi"/>
    <n v="80"/>
    <x v="10"/>
  </r>
  <r>
    <x v="16"/>
    <x v="121"/>
    <n v="150"/>
    <n v="2"/>
    <x v="5"/>
    <s v="Ravi"/>
    <n v="300"/>
    <x v="10"/>
  </r>
  <r>
    <x v="16"/>
    <x v="42"/>
    <n v="42"/>
    <n v="1.5"/>
    <x v="5"/>
    <s v="Ravi"/>
    <n v="63"/>
    <x v="4"/>
  </r>
  <r>
    <x v="16"/>
    <x v="41"/>
    <n v="36"/>
    <n v="2.5"/>
    <x v="5"/>
    <s v="Ravi"/>
    <n v="90"/>
    <x v="4"/>
  </r>
  <r>
    <x v="16"/>
    <x v="77"/>
    <n v="30"/>
    <n v="0.35"/>
    <x v="5"/>
    <s v="Ravi"/>
    <n v="10.5"/>
    <x v="10"/>
  </r>
  <r>
    <x v="16"/>
    <x v="0"/>
    <n v="14"/>
    <n v="0.6"/>
    <x v="2"/>
    <s v="Ravi"/>
    <n v="8.4"/>
    <x v="0"/>
  </r>
  <r>
    <x v="16"/>
    <x v="9"/>
    <n v="14.75"/>
    <n v="0.43"/>
    <x v="2"/>
    <s v="Ravi"/>
    <n v="6.3425000000000002"/>
    <x v="0"/>
  </r>
  <r>
    <x v="16"/>
    <x v="30"/>
    <n v="27.97"/>
    <n v="0.30499999999999999"/>
    <x v="2"/>
    <s v="Ravi"/>
    <n v="8.5308499999999992"/>
    <x v="0"/>
  </r>
  <r>
    <x v="16"/>
    <x v="14"/>
    <n v="25"/>
    <n v="0.08"/>
    <x v="2"/>
    <s v="Ravi"/>
    <n v="2"/>
    <x v="0"/>
  </r>
  <r>
    <x v="16"/>
    <x v="83"/>
    <n v="48"/>
    <n v="0.4"/>
    <x v="2"/>
    <s v="Ravi"/>
    <n v="19.200000000000003"/>
    <x v="1"/>
  </r>
  <r>
    <x v="16"/>
    <x v="72"/>
    <n v="34"/>
    <n v="0.5"/>
    <x v="1"/>
    <s v="Ravi"/>
    <n v="17"/>
    <x v="1"/>
  </r>
  <r>
    <x v="16"/>
    <x v="42"/>
    <n v="42"/>
    <n v="1.5"/>
    <x v="1"/>
    <s v="Ravi"/>
    <n v="63"/>
    <x v="4"/>
  </r>
  <r>
    <x v="16"/>
    <x v="43"/>
    <n v="28"/>
    <n v="3"/>
    <x v="1"/>
    <s v="Ravi"/>
    <n v="84"/>
    <x v="0"/>
  </r>
  <r>
    <x v="16"/>
    <x v="44"/>
    <n v="52"/>
    <n v="4"/>
    <x v="1"/>
    <s v="Ravi"/>
    <n v="208"/>
    <x v="1"/>
  </r>
  <r>
    <x v="16"/>
    <x v="45"/>
    <n v="37"/>
    <n v="0.9"/>
    <x v="1"/>
    <s v="Ravi"/>
    <n v="33.300000000000004"/>
    <x v="1"/>
  </r>
  <r>
    <x v="16"/>
    <x v="47"/>
    <n v="280"/>
    <n v="0.04"/>
    <x v="1"/>
    <s v="Ravi"/>
    <n v="11.200000000000001"/>
    <x v="1"/>
  </r>
  <r>
    <x v="16"/>
    <x v="31"/>
    <n v="120"/>
    <n v="0.03"/>
    <x v="1"/>
    <s v="Ravi"/>
    <n v="3.5999999999999996"/>
    <x v="1"/>
  </r>
  <r>
    <x v="16"/>
    <x v="60"/>
    <n v="500"/>
    <n v="0.1"/>
    <x v="1"/>
    <s v="Ravi"/>
    <n v="50"/>
    <x v="1"/>
  </r>
  <r>
    <x v="16"/>
    <x v="48"/>
    <n v="7"/>
    <n v="0.13"/>
    <x v="1"/>
    <s v="Ravi"/>
    <n v="0.91"/>
    <x v="1"/>
  </r>
  <r>
    <x v="16"/>
    <x v="71"/>
    <n v="187.41"/>
    <n v="0.04"/>
    <x v="1"/>
    <s v="Ravi"/>
    <n v="7.4964000000000004"/>
    <x v="1"/>
  </r>
  <r>
    <x v="16"/>
    <x v="49"/>
    <n v="96"/>
    <n v="0.22"/>
    <x v="1"/>
    <s v="Ravi"/>
    <n v="21.12"/>
    <x v="3"/>
  </r>
  <r>
    <x v="16"/>
    <x v="11"/>
    <n v="82"/>
    <n v="1"/>
    <x v="1"/>
    <s v="Ravi"/>
    <n v="82"/>
    <x v="3"/>
  </r>
  <r>
    <x v="16"/>
    <x v="20"/>
    <n v="230"/>
    <n v="0.09"/>
    <x v="1"/>
    <s v="Ravi"/>
    <n v="20.7"/>
    <x v="1"/>
  </r>
  <r>
    <x v="16"/>
    <x v="50"/>
    <n v="70"/>
    <n v="0.06"/>
    <x v="1"/>
    <s v="Ravi"/>
    <n v="4.2"/>
    <x v="1"/>
  </r>
  <r>
    <x v="16"/>
    <x v="0"/>
    <n v="14"/>
    <n v="2.5"/>
    <x v="1"/>
    <s v="Ravi"/>
    <n v="35"/>
    <x v="0"/>
  </r>
  <r>
    <x v="16"/>
    <x v="12"/>
    <n v="28"/>
    <n v="0.25"/>
    <x v="1"/>
    <s v="Ravi"/>
    <n v="7"/>
    <x v="0"/>
  </r>
  <r>
    <x v="16"/>
    <x v="76"/>
    <n v="34"/>
    <n v="0.8"/>
    <x v="1"/>
    <s v="Ravi"/>
    <n v="27.200000000000003"/>
    <x v="1"/>
  </r>
  <r>
    <x v="16"/>
    <x v="57"/>
    <n v="64.069999999999993"/>
    <n v="0.5"/>
    <x v="1"/>
    <s v="Ravi"/>
    <n v="32.034999999999997"/>
    <x v="1"/>
  </r>
  <r>
    <x v="16"/>
    <x v="54"/>
    <n v="170"/>
    <n v="0.1"/>
    <x v="1"/>
    <s v="Ravi"/>
    <n v="17"/>
    <x v="1"/>
  </r>
  <r>
    <x v="16"/>
    <x v="37"/>
    <n v="138"/>
    <n v="0.03"/>
    <x v="1"/>
    <s v="Ravi"/>
    <n v="4.1399999999999997"/>
    <x v="1"/>
  </r>
  <r>
    <x v="16"/>
    <x v="36"/>
    <n v="280"/>
    <n v="0.03"/>
    <x v="1"/>
    <s v="Ravi"/>
    <n v="8.4"/>
    <x v="1"/>
  </r>
  <r>
    <x v="16"/>
    <x v="2"/>
    <n v="30"/>
    <n v="0.2"/>
    <x v="1"/>
    <s v="Ravi"/>
    <n v="6"/>
    <x v="0"/>
  </r>
  <r>
    <x v="16"/>
    <x v="92"/>
    <n v="76"/>
    <n v="4.4999999999999998E-2"/>
    <x v="1"/>
    <s v="Ravi"/>
    <n v="3.42"/>
    <x v="1"/>
  </r>
  <r>
    <x v="16"/>
    <x v="35"/>
    <n v="125"/>
    <n v="0.06"/>
    <x v="1"/>
    <s v="Ravi"/>
    <n v="7.5"/>
    <x v="0"/>
  </r>
  <r>
    <x v="16"/>
    <x v="62"/>
    <n v="312.14"/>
    <n v="0.04"/>
    <x v="1"/>
    <s v="Ravi"/>
    <n v="12.4856"/>
    <x v="0"/>
  </r>
  <r>
    <x v="16"/>
    <x v="9"/>
    <n v="14.75"/>
    <n v="1.5"/>
    <x v="1"/>
    <s v="Ravi"/>
    <n v="22.125"/>
    <x v="0"/>
  </r>
  <r>
    <x v="16"/>
    <x v="14"/>
    <n v="25"/>
    <n v="0.25"/>
    <x v="1"/>
    <s v="Ravi"/>
    <n v="6.25"/>
    <x v="0"/>
  </r>
  <r>
    <x v="16"/>
    <x v="53"/>
    <n v="62.03"/>
    <n v="0.06"/>
    <x v="1"/>
    <s v="Ravi"/>
    <n v="3.7218"/>
    <x v="1"/>
  </r>
  <r>
    <x v="16"/>
    <x v="52"/>
    <n v="160"/>
    <n v="7.0000000000000007E-2"/>
    <x v="1"/>
    <s v="Ravi"/>
    <n v="11.200000000000001"/>
    <x v="1"/>
  </r>
  <r>
    <x v="16"/>
    <x v="77"/>
    <n v="30"/>
    <n v="2.5"/>
    <x v="1"/>
    <s v="Ravi"/>
    <n v="75"/>
    <x v="10"/>
  </r>
  <r>
    <x v="16"/>
    <x v="13"/>
    <n v="40"/>
    <n v="0.1"/>
    <x v="1"/>
    <s v="Ravi"/>
    <n v="4"/>
    <x v="0"/>
  </r>
  <r>
    <x v="16"/>
    <x v="25"/>
    <n v="1450"/>
    <n v="0.01"/>
    <x v="1"/>
    <s v="Ravi"/>
    <n v="14.5"/>
    <x v="5"/>
  </r>
  <r>
    <x v="16"/>
    <x v="56"/>
    <n v="840"/>
    <n v="2.5000000000000001E-2"/>
    <x v="1"/>
    <s v="Ravi"/>
    <n v="21"/>
    <x v="1"/>
  </r>
  <r>
    <x v="16"/>
    <x v="55"/>
    <n v="240"/>
    <n v="2.5000000000000001E-2"/>
    <x v="1"/>
    <s v="Ravi"/>
    <n v="6"/>
    <x v="1"/>
  </r>
  <r>
    <x v="16"/>
    <x v="66"/>
    <n v="3"/>
    <n v="1.5"/>
    <x v="1"/>
    <s v="Ravi"/>
    <n v="4.5"/>
    <x v="0"/>
  </r>
  <r>
    <x v="16"/>
    <x v="78"/>
    <n v="40"/>
    <n v="0.2"/>
    <x v="1"/>
    <s v="Ravi"/>
    <n v="8"/>
    <x v="11"/>
  </r>
  <r>
    <x v="16"/>
    <x v="94"/>
    <n v="20"/>
    <n v="1"/>
    <x v="1"/>
    <s v="Ravi"/>
    <n v="20"/>
    <x v="0"/>
  </r>
  <r>
    <x v="16"/>
    <x v="42"/>
    <n v="42"/>
    <m/>
    <x v="3"/>
    <s v="Common"/>
    <n v="0"/>
    <x v="4"/>
  </r>
  <r>
    <x v="16"/>
    <x v="33"/>
    <n v="175"/>
    <m/>
    <x v="0"/>
    <s v="Murthy"/>
    <n v="0"/>
    <x v="4"/>
  </r>
  <r>
    <x v="16"/>
    <x v="101"/>
    <n v="190"/>
    <m/>
    <x v="0"/>
    <s v="Murthy"/>
    <n v="0"/>
    <x v="4"/>
  </r>
  <r>
    <x v="16"/>
    <x v="67"/>
    <n v="33"/>
    <m/>
    <x v="0"/>
    <s v="Murthy"/>
    <n v="0"/>
    <x v="9"/>
  </r>
  <r>
    <x v="16"/>
    <x v="17"/>
    <n v="140"/>
    <m/>
    <x v="0"/>
    <s v="Murthy"/>
    <n v="0"/>
    <x v="4"/>
  </r>
  <r>
    <x v="16"/>
    <x v="32"/>
    <n v="32"/>
    <m/>
    <x v="0"/>
    <s v="Murthy"/>
    <n v="0"/>
    <x v="0"/>
  </r>
  <r>
    <x v="16"/>
    <x v="109"/>
    <n v="100"/>
    <m/>
    <x v="0"/>
    <s v="Murthy"/>
    <n v="0"/>
    <x v="11"/>
  </r>
  <r>
    <x v="16"/>
    <x v="79"/>
    <n v="20"/>
    <m/>
    <x v="5"/>
    <s v="Ravi"/>
    <n v="0"/>
    <x v="10"/>
  </r>
  <r>
    <x v="16"/>
    <x v="122"/>
    <n v="20"/>
    <m/>
    <x v="5"/>
    <s v="Ravi"/>
    <n v="0"/>
    <x v="10"/>
  </r>
  <r>
    <x v="16"/>
    <x v="77"/>
    <n v="30"/>
    <m/>
    <x v="5"/>
    <s v="Ravi"/>
    <n v="0"/>
    <x v="10"/>
  </r>
  <r>
    <x v="16"/>
    <x v="91"/>
    <n v="40"/>
    <m/>
    <x v="5"/>
    <s v="Ravi"/>
    <n v="0"/>
    <x v="10"/>
  </r>
  <r>
    <x v="16"/>
    <x v="90"/>
    <n v="120"/>
    <m/>
    <x v="5"/>
    <s v="Ravi"/>
    <n v="0"/>
    <x v="10"/>
  </r>
  <r>
    <x v="16"/>
    <x v="81"/>
    <n v="50"/>
    <m/>
    <x v="5"/>
    <s v="Ravi"/>
    <n v="0"/>
    <x v="10"/>
  </r>
  <r>
    <x v="16"/>
    <x v="63"/>
    <n v="3"/>
    <m/>
    <x v="5"/>
    <s v="Ravi"/>
    <n v="0"/>
    <x v="0"/>
  </r>
  <r>
    <x v="16"/>
    <x v="121"/>
    <n v="150"/>
    <m/>
    <x v="5"/>
    <s v="Ravi"/>
    <n v="0"/>
    <x v="10"/>
  </r>
  <r>
    <x v="16"/>
    <x v="116"/>
    <n v="130"/>
    <m/>
    <x v="5"/>
    <s v="Ravi"/>
    <n v="0"/>
    <x v="10"/>
  </r>
  <r>
    <x v="16"/>
    <x v="0"/>
    <n v="14"/>
    <n v="0.3"/>
    <x v="6"/>
    <s v="Jaggu"/>
    <n v="4.2"/>
    <x v="0"/>
  </r>
  <r>
    <x v="16"/>
    <x v="63"/>
    <n v="3"/>
    <n v="6"/>
    <x v="6"/>
    <s v="Jaggu"/>
    <n v="18"/>
    <x v="0"/>
  </r>
  <r>
    <x v="16"/>
    <x v="41"/>
    <n v="36"/>
    <m/>
    <x v="7"/>
    <m/>
    <n v="0"/>
    <x v="4"/>
  </r>
  <r>
    <x v="16"/>
    <x v="42"/>
    <n v="42"/>
    <m/>
    <x v="7"/>
    <m/>
    <n v="0"/>
    <x v="4"/>
  </r>
  <r>
    <x v="16"/>
    <x v="29"/>
    <n v="43.06"/>
    <m/>
    <x v="7"/>
    <m/>
    <n v="0"/>
    <x v="0"/>
  </r>
  <r>
    <x v="16"/>
    <x v="2"/>
    <n v="30"/>
    <m/>
    <x v="7"/>
    <m/>
    <n v="0"/>
    <x v="0"/>
  </r>
  <r>
    <x v="16"/>
    <x v="13"/>
    <n v="40"/>
    <m/>
    <x v="7"/>
    <m/>
    <n v="0"/>
    <x v="0"/>
  </r>
  <r>
    <x v="16"/>
    <x v="30"/>
    <n v="27.97"/>
    <m/>
    <x v="7"/>
    <m/>
    <n v="0"/>
    <x v="0"/>
  </r>
  <r>
    <x v="16"/>
    <x v="14"/>
    <n v="25"/>
    <m/>
    <x v="7"/>
    <m/>
    <n v="0"/>
    <x v="0"/>
  </r>
  <r>
    <x v="16"/>
    <x v="9"/>
    <n v="14.75"/>
    <m/>
    <x v="7"/>
    <m/>
    <n v="0"/>
    <x v="0"/>
  </r>
  <r>
    <x v="16"/>
    <x v="58"/>
    <n v="15"/>
    <m/>
    <x v="7"/>
    <m/>
    <n v="0"/>
    <x v="0"/>
  </r>
  <r>
    <x v="16"/>
    <x v="1"/>
    <n v="30"/>
    <m/>
    <x v="7"/>
    <m/>
    <n v="0"/>
    <x v="0"/>
  </r>
  <r>
    <x v="16"/>
    <x v="35"/>
    <n v="125"/>
    <m/>
    <x v="7"/>
    <m/>
    <n v="0"/>
    <x v="0"/>
  </r>
  <r>
    <x v="16"/>
    <x v="62"/>
    <n v="312.14"/>
    <m/>
    <x v="7"/>
    <m/>
    <n v="0"/>
    <x v="0"/>
  </r>
  <r>
    <x v="16"/>
    <x v="90"/>
    <n v="120"/>
    <m/>
    <x v="7"/>
    <m/>
    <n v="0"/>
    <x v="10"/>
  </r>
  <r>
    <x v="16"/>
    <x v="116"/>
    <n v="130"/>
    <m/>
    <x v="7"/>
    <m/>
    <n v="0"/>
    <x v="10"/>
  </r>
  <r>
    <x v="16"/>
    <x v="122"/>
    <n v="20"/>
    <m/>
    <x v="7"/>
    <m/>
    <n v="0"/>
    <x v="10"/>
  </r>
  <r>
    <x v="16"/>
    <x v="79"/>
    <n v="20"/>
    <m/>
    <x v="7"/>
    <m/>
    <n v="0"/>
    <x v="10"/>
  </r>
  <r>
    <x v="16"/>
    <x v="91"/>
    <n v="40"/>
    <m/>
    <x v="7"/>
    <m/>
    <n v="0"/>
    <x v="10"/>
  </r>
  <r>
    <x v="16"/>
    <x v="126"/>
    <n v="0"/>
    <m/>
    <x v="7"/>
    <m/>
    <n v="0"/>
    <x v="10"/>
  </r>
  <r>
    <x v="16"/>
    <x v="33"/>
    <n v="175"/>
    <m/>
    <x v="7"/>
    <m/>
    <n v="0"/>
    <x v="4"/>
  </r>
  <r>
    <x v="16"/>
    <x v="32"/>
    <n v="32"/>
    <m/>
    <x v="7"/>
    <m/>
    <n v="0"/>
    <x v="0"/>
  </r>
  <r>
    <x v="16"/>
    <x v="101"/>
    <n v="190"/>
    <m/>
    <x v="7"/>
    <m/>
    <n v="0"/>
    <x v="4"/>
  </r>
  <r>
    <x v="16"/>
    <x v="16"/>
    <n v="60"/>
    <m/>
    <x v="7"/>
    <m/>
    <n v="0"/>
    <x v="0"/>
  </r>
  <r>
    <x v="16"/>
    <x v="88"/>
    <n v="20"/>
    <m/>
    <x v="7"/>
    <m/>
    <n v="0"/>
    <x v="10"/>
  </r>
  <r>
    <x v="17"/>
    <x v="0"/>
    <n v="14"/>
    <n v="3"/>
    <x v="0"/>
    <s v="Murthy"/>
    <n v="42"/>
    <x v="0"/>
  </r>
  <r>
    <x v="17"/>
    <x v="1"/>
    <n v="30"/>
    <n v="1.3"/>
    <x v="0"/>
    <s v="Murthy"/>
    <n v="39"/>
    <x v="0"/>
  </r>
  <r>
    <x v="17"/>
    <x v="14"/>
    <n v="25"/>
    <n v="0.3"/>
    <x v="0"/>
    <s v="Murthy"/>
    <n v="7.5"/>
    <x v="0"/>
  </r>
  <r>
    <x v="17"/>
    <x v="2"/>
    <n v="30"/>
    <n v="0.3"/>
    <x v="0"/>
    <s v="Murthy"/>
    <n v="9"/>
    <x v="0"/>
  </r>
  <r>
    <x v="17"/>
    <x v="6"/>
    <n v="26"/>
    <n v="13"/>
    <x v="0"/>
    <s v="Murthy"/>
    <n v="338"/>
    <x v="2"/>
  </r>
  <r>
    <x v="17"/>
    <x v="11"/>
    <n v="82"/>
    <n v="4"/>
    <x v="0"/>
    <s v="Murthy"/>
    <n v="328"/>
    <x v="3"/>
  </r>
  <r>
    <x v="17"/>
    <x v="63"/>
    <n v="3"/>
    <n v="5"/>
    <x v="0"/>
    <s v="Murthy"/>
    <n v="15"/>
    <x v="0"/>
  </r>
  <r>
    <x v="17"/>
    <x v="30"/>
    <n v="27.97"/>
    <n v="825"/>
    <x v="0"/>
    <s v="Murthy"/>
    <n v="23075.25"/>
    <x v="0"/>
  </r>
  <r>
    <x v="17"/>
    <x v="19"/>
    <n v="23.33"/>
    <n v="1.3"/>
    <x v="0"/>
    <s v="Murthy"/>
    <n v="30.328999999999997"/>
    <x v="0"/>
  </r>
  <r>
    <x v="17"/>
    <x v="35"/>
    <n v="125"/>
    <n v="0.12"/>
    <x v="0"/>
    <s v="Murthy"/>
    <n v="15"/>
    <x v="0"/>
  </r>
  <r>
    <x v="17"/>
    <x v="94"/>
    <n v="20"/>
    <n v="1"/>
    <x v="0"/>
    <s v="Murthy"/>
    <n v="20"/>
    <x v="0"/>
  </r>
  <r>
    <x v="17"/>
    <x v="66"/>
    <n v="3"/>
    <n v="1.2"/>
    <x v="0"/>
    <s v="Murthy"/>
    <n v="3.5999999999999996"/>
    <x v="0"/>
  </r>
  <r>
    <x v="17"/>
    <x v="18"/>
    <n v="40"/>
    <n v="1"/>
    <x v="0"/>
    <s v="Murthy"/>
    <n v="40"/>
    <x v="1"/>
  </r>
  <r>
    <x v="17"/>
    <x v="29"/>
    <n v="43.06"/>
    <n v="0.4"/>
    <x v="0"/>
    <s v="Murthy"/>
    <n v="17.224"/>
    <x v="0"/>
  </r>
  <r>
    <x v="17"/>
    <x v="8"/>
    <n v="29.51"/>
    <n v="2"/>
    <x v="0"/>
    <s v="Murthy"/>
    <n v="59.02"/>
    <x v="1"/>
  </r>
  <r>
    <x v="17"/>
    <x v="28"/>
    <n v="64"/>
    <n v="1.5"/>
    <x v="0"/>
    <s v="Murthy"/>
    <n v="96"/>
    <x v="1"/>
  </r>
  <r>
    <x v="17"/>
    <x v="38"/>
    <n v="27"/>
    <n v="3.5"/>
    <x v="0"/>
    <s v="Murthy"/>
    <n v="94.5"/>
    <x v="1"/>
  </r>
  <r>
    <x v="17"/>
    <x v="8"/>
    <n v="29.51"/>
    <n v="0.46"/>
    <x v="0"/>
    <s v="Murthy"/>
    <n v="13.574600000000002"/>
    <x v="1"/>
  </r>
  <r>
    <x v="17"/>
    <x v="108"/>
    <n v="48"/>
    <n v="1"/>
    <x v="0"/>
    <s v="Murthy"/>
    <n v="48"/>
    <x v="12"/>
  </r>
  <r>
    <x v="17"/>
    <x v="17"/>
    <n v="140"/>
    <n v="0.75"/>
    <x v="0"/>
    <s v="Murthy"/>
    <n v="105"/>
    <x v="4"/>
  </r>
  <r>
    <x v="17"/>
    <x v="16"/>
    <n v="60"/>
    <n v="0.16500000000000001"/>
    <x v="0"/>
    <s v="Murthy"/>
    <n v="9.9"/>
    <x v="0"/>
  </r>
  <r>
    <x v="17"/>
    <x v="109"/>
    <n v="100"/>
    <n v="0.57499999999999996"/>
    <x v="0"/>
    <s v="Murthy"/>
    <n v="57.499999999999993"/>
    <x v="11"/>
  </r>
  <r>
    <x v="17"/>
    <x v="67"/>
    <n v="33"/>
    <n v="0.3"/>
    <x v="0"/>
    <s v="Murthy"/>
    <n v="9.9"/>
    <x v="9"/>
  </r>
  <r>
    <x v="17"/>
    <x v="33"/>
    <n v="175"/>
    <n v="0"/>
    <x v="0"/>
    <s v="Murthy"/>
    <n v="0"/>
    <x v="4"/>
  </r>
  <r>
    <x v="17"/>
    <x v="47"/>
    <n v="280"/>
    <n v="0.1"/>
    <x v="0"/>
    <s v="Murthy"/>
    <n v="28"/>
    <x v="1"/>
  </r>
  <r>
    <x v="17"/>
    <x v="59"/>
    <n v="57.5"/>
    <n v="0.03"/>
    <x v="0"/>
    <s v="Murthy"/>
    <n v="1.7249999999999999"/>
    <x v="1"/>
  </r>
  <r>
    <x v="17"/>
    <x v="71"/>
    <n v="187.41"/>
    <n v="0.03"/>
    <x v="0"/>
    <s v="Murthy"/>
    <n v="5.6223000000000001"/>
    <x v="1"/>
  </r>
  <r>
    <x v="17"/>
    <x v="87"/>
    <n v="48"/>
    <n v="2.5000000000000001E-2"/>
    <x v="0"/>
    <s v="Murthy"/>
    <n v="1.2000000000000002"/>
    <x v="1"/>
  </r>
  <r>
    <x v="17"/>
    <x v="3"/>
    <n v="17"/>
    <n v="0.54500000000000004"/>
    <x v="0"/>
    <s v="Murthy"/>
    <n v="9.2650000000000006"/>
    <x v="1"/>
  </r>
  <r>
    <x v="17"/>
    <x v="97"/>
    <n v="380"/>
    <n v="0.03"/>
    <x v="0"/>
    <s v="Murthy"/>
    <n v="11.4"/>
    <x v="1"/>
  </r>
  <r>
    <x v="17"/>
    <x v="84"/>
    <n v="148"/>
    <n v="0.877"/>
    <x v="0"/>
    <s v="Murthy"/>
    <n v="129.79599999999999"/>
    <x v="1"/>
  </r>
  <r>
    <x v="17"/>
    <x v="85"/>
    <n v="24"/>
    <n v="0.01"/>
    <x v="0"/>
    <s v="Murthy"/>
    <n v="0.24"/>
    <x v="1"/>
  </r>
  <r>
    <x v="17"/>
    <x v="39"/>
    <n v="75"/>
    <n v="0.37"/>
    <x v="0"/>
    <s v="Murthy"/>
    <n v="27.75"/>
    <x v="6"/>
  </r>
  <r>
    <x v="17"/>
    <x v="41"/>
    <n v="36"/>
    <n v="0.5"/>
    <x v="0"/>
    <s v="Murthy"/>
    <n v="18"/>
    <x v="4"/>
  </r>
  <r>
    <x v="17"/>
    <x v="31"/>
    <n v="120"/>
    <n v="0.05"/>
    <x v="0"/>
    <s v="Murthy"/>
    <n v="6"/>
    <x v="1"/>
  </r>
  <r>
    <x v="17"/>
    <x v="120"/>
    <n v="0"/>
    <n v="0.1"/>
    <x v="0"/>
    <s v="Murthy"/>
    <n v="0"/>
    <x v="1"/>
  </r>
  <r>
    <x v="17"/>
    <x v="115"/>
    <n v="0"/>
    <n v="0.77500000000000002"/>
    <x v="0"/>
    <s v="Murthy"/>
    <n v="0"/>
    <x v="13"/>
  </r>
  <r>
    <x v="17"/>
    <x v="124"/>
    <n v="0"/>
    <n v="1.6"/>
    <x v="0"/>
    <s v="Murthy"/>
    <n v="0"/>
    <x v="13"/>
  </r>
  <r>
    <x v="17"/>
    <x v="34"/>
    <n v="51"/>
    <n v="7.4999999999999997E-2"/>
    <x v="0"/>
    <s v="Murthy"/>
    <n v="3.8249999999999997"/>
    <x v="1"/>
  </r>
  <r>
    <x v="17"/>
    <x v="49"/>
    <n v="96"/>
    <n v="0.11600000000000001"/>
    <x v="0"/>
    <s v="Murthy"/>
    <n v="11.136000000000001"/>
    <x v="3"/>
  </r>
  <r>
    <x v="17"/>
    <x v="119"/>
    <n v="55"/>
    <n v="1.4999999999999999E-2"/>
    <x v="0"/>
    <s v="Murthy"/>
    <n v="0.82499999999999996"/>
    <x v="6"/>
  </r>
  <r>
    <x v="17"/>
    <x v="37"/>
    <n v="138"/>
    <n v="0.04"/>
    <x v="0"/>
    <s v="Murthy"/>
    <n v="5.5200000000000005"/>
    <x v="1"/>
  </r>
  <r>
    <x v="17"/>
    <x v="56"/>
    <n v="840"/>
    <n v="0.06"/>
    <x v="0"/>
    <s v="Murthy"/>
    <n v="50.4"/>
    <x v="1"/>
  </r>
  <r>
    <x v="17"/>
    <x v="32"/>
    <n v="32"/>
    <n v="5"/>
    <x v="0"/>
    <s v="Murthy"/>
    <n v="160"/>
    <x v="0"/>
  </r>
  <r>
    <x v="17"/>
    <x v="35"/>
    <n v="125"/>
    <n v="0.15"/>
    <x v="0"/>
    <s v="Murthy"/>
    <n v="18.75"/>
    <x v="0"/>
  </r>
  <r>
    <x v="17"/>
    <x v="118"/>
    <n v="280"/>
    <n v="0.375"/>
    <x v="0"/>
    <s v="Murthy"/>
    <n v="105"/>
    <x v="11"/>
  </r>
  <r>
    <x v="17"/>
    <x v="82"/>
    <n v="580"/>
    <n v="0.02"/>
    <x v="0"/>
    <s v="Murthy"/>
    <n v="11.6"/>
    <x v="1"/>
  </r>
  <r>
    <x v="17"/>
    <x v="78"/>
    <n v="40"/>
    <n v="0.2"/>
    <x v="1"/>
    <s v="Ravi"/>
    <n v="8"/>
    <x v="11"/>
  </r>
  <r>
    <x v="17"/>
    <x v="41"/>
    <n v="36"/>
    <n v="3"/>
    <x v="1"/>
    <s v="Ravi"/>
    <n v="108"/>
    <x v="4"/>
  </r>
  <r>
    <x v="17"/>
    <x v="42"/>
    <n v="42"/>
    <n v="1.5"/>
    <x v="1"/>
    <s v="Ravi"/>
    <n v="63"/>
    <x v="4"/>
  </r>
  <r>
    <x v="17"/>
    <x v="43"/>
    <n v="28"/>
    <n v="4"/>
    <x v="1"/>
    <s v="Ravi"/>
    <n v="112"/>
    <x v="0"/>
  </r>
  <r>
    <x v="17"/>
    <x v="44"/>
    <n v="52"/>
    <n v="4.4000000000000004"/>
    <x v="1"/>
    <s v="Ravi"/>
    <n v="228.8"/>
    <x v="1"/>
  </r>
  <r>
    <x v="17"/>
    <x v="45"/>
    <n v="37"/>
    <n v="0.45"/>
    <x v="1"/>
    <s v="Ravi"/>
    <n v="16.650000000000002"/>
    <x v="1"/>
  </r>
  <r>
    <x v="17"/>
    <x v="47"/>
    <n v="280"/>
    <n v="0.12"/>
    <x v="1"/>
    <s v="Ravi"/>
    <n v="33.6"/>
    <x v="1"/>
  </r>
  <r>
    <x v="17"/>
    <x v="31"/>
    <n v="120"/>
    <n v="3.5000000000000003E-2"/>
    <x v="1"/>
    <s v="Ravi"/>
    <n v="4.2"/>
    <x v="1"/>
  </r>
  <r>
    <x v="17"/>
    <x v="73"/>
    <n v="340"/>
    <n v="0"/>
    <x v="1"/>
    <s v="Ravi"/>
    <n v="0"/>
    <x v="1"/>
  </r>
  <r>
    <x v="17"/>
    <x v="60"/>
    <n v="500"/>
    <n v="0.11"/>
    <x v="1"/>
    <s v="Ravi"/>
    <n v="55"/>
    <x v="1"/>
  </r>
  <r>
    <x v="17"/>
    <x v="48"/>
    <n v="7"/>
    <n v="0.6"/>
    <x v="1"/>
    <s v="Ravi"/>
    <n v="4.2"/>
    <x v="1"/>
  </r>
  <r>
    <x v="17"/>
    <x v="71"/>
    <n v="187.41"/>
    <n v="0.08"/>
    <x v="1"/>
    <s v="Ravi"/>
    <n v="14.992800000000001"/>
    <x v="1"/>
  </r>
  <r>
    <x v="17"/>
    <x v="49"/>
    <n v="96"/>
    <n v="0.44"/>
    <x v="1"/>
    <s v="Ravi"/>
    <n v="42.24"/>
    <x v="3"/>
  </r>
  <r>
    <x v="17"/>
    <x v="11"/>
    <n v="82"/>
    <n v="1"/>
    <x v="1"/>
    <s v="Ravi"/>
    <n v="82"/>
    <x v="3"/>
  </r>
  <r>
    <x v="17"/>
    <x v="20"/>
    <n v="230"/>
    <n v="7.0000000000000007E-2"/>
    <x v="1"/>
    <s v="Ravi"/>
    <n v="16.100000000000001"/>
    <x v="1"/>
  </r>
  <r>
    <x v="17"/>
    <x v="50"/>
    <n v="70"/>
    <n v="0.03"/>
    <x v="1"/>
    <s v="Ravi"/>
    <n v="2.1"/>
    <x v="1"/>
  </r>
  <r>
    <x v="17"/>
    <x v="51"/>
    <n v="55"/>
    <n v="0.1"/>
    <x v="1"/>
    <s v="Ravi"/>
    <n v="5.5"/>
    <x v="1"/>
  </r>
  <r>
    <x v="17"/>
    <x v="0"/>
    <n v="14"/>
    <n v="3"/>
    <x v="1"/>
    <s v="Ravi"/>
    <n v="42"/>
    <x v="0"/>
  </r>
  <r>
    <x v="17"/>
    <x v="12"/>
    <n v="28"/>
    <n v="0.3"/>
    <x v="1"/>
    <s v="Ravi"/>
    <n v="8.4"/>
    <x v="0"/>
  </r>
  <r>
    <x v="17"/>
    <x v="76"/>
    <n v="34"/>
    <n v="0.75"/>
    <x v="1"/>
    <s v="Ravi"/>
    <n v="25.5"/>
    <x v="1"/>
  </r>
  <r>
    <x v="17"/>
    <x v="57"/>
    <n v="64.069999999999993"/>
    <n v="0.6"/>
    <x v="1"/>
    <s v="Ravi"/>
    <n v="38.441999999999993"/>
    <x v="1"/>
  </r>
  <r>
    <x v="17"/>
    <x v="54"/>
    <n v="170"/>
    <n v="0.16"/>
    <x v="1"/>
    <s v="Ravi"/>
    <n v="27.2"/>
    <x v="1"/>
  </r>
  <r>
    <x v="17"/>
    <x v="99"/>
    <n v="60"/>
    <n v="0.15"/>
    <x v="1"/>
    <s v="Ravi"/>
    <n v="9"/>
    <x v="1"/>
  </r>
  <r>
    <x v="17"/>
    <x v="61"/>
    <n v="61.08"/>
    <n v="0.4"/>
    <x v="1"/>
    <s v="Ravi"/>
    <n v="24.432000000000002"/>
    <x v="1"/>
  </r>
  <r>
    <x v="17"/>
    <x v="37"/>
    <n v="138"/>
    <n v="0.03"/>
    <x v="1"/>
    <s v="Ravi"/>
    <n v="4.1399999999999997"/>
    <x v="1"/>
  </r>
  <r>
    <x v="17"/>
    <x v="2"/>
    <n v="30"/>
    <n v="0.2"/>
    <x v="1"/>
    <s v="Ravi"/>
    <n v="6"/>
    <x v="0"/>
  </r>
  <r>
    <x v="17"/>
    <x v="111"/>
    <n v="125"/>
    <n v="0.01"/>
    <x v="1"/>
    <s v="Ravi"/>
    <n v="1.25"/>
    <x v="1"/>
  </r>
  <r>
    <x v="17"/>
    <x v="92"/>
    <n v="76"/>
    <n v="0.115"/>
    <x v="1"/>
    <s v="Ravi"/>
    <n v="8.74"/>
    <x v="1"/>
  </r>
  <r>
    <x v="17"/>
    <x v="29"/>
    <n v="43.06"/>
    <n v="1.25"/>
    <x v="1"/>
    <s v="Ravi"/>
    <n v="53.825000000000003"/>
    <x v="0"/>
  </r>
  <r>
    <x v="17"/>
    <x v="30"/>
    <n v="27.97"/>
    <n v="0.25"/>
    <x v="1"/>
    <s v="Ravi"/>
    <n v="6.9924999999999997"/>
    <x v="0"/>
  </r>
  <r>
    <x v="17"/>
    <x v="35"/>
    <n v="125"/>
    <n v="0.2"/>
    <x v="1"/>
    <s v="Ravi"/>
    <n v="25"/>
    <x v="0"/>
  </r>
  <r>
    <x v="17"/>
    <x v="14"/>
    <n v="25"/>
    <n v="0.3"/>
    <x v="1"/>
    <s v="Ravi"/>
    <n v="7.5"/>
    <x v="0"/>
  </r>
  <r>
    <x v="17"/>
    <x v="62"/>
    <n v="312.14"/>
    <n v="0.06"/>
    <x v="1"/>
    <s v="Ravi"/>
    <n v="18.728399999999997"/>
    <x v="0"/>
  </r>
  <r>
    <x v="17"/>
    <x v="9"/>
    <n v="14.75"/>
    <n v="1.5"/>
    <x v="1"/>
    <s v="Ravi"/>
    <n v="22.125"/>
    <x v="0"/>
  </r>
  <r>
    <x v="17"/>
    <x v="53"/>
    <n v="62.03"/>
    <n v="0.08"/>
    <x v="1"/>
    <s v="Ravi"/>
    <n v="4.9624000000000006"/>
    <x v="1"/>
  </r>
  <r>
    <x v="17"/>
    <x v="52"/>
    <n v="160"/>
    <n v="0.05"/>
    <x v="1"/>
    <s v="Ravi"/>
    <n v="8"/>
    <x v="1"/>
  </r>
  <r>
    <x v="17"/>
    <x v="13"/>
    <n v="40"/>
    <n v="0.15"/>
    <x v="1"/>
    <s v="Ravi"/>
    <n v="6"/>
    <x v="0"/>
  </r>
  <r>
    <x v="17"/>
    <x v="25"/>
    <n v="1450"/>
    <n v="2.5000000000000001E-2"/>
    <x v="1"/>
    <s v="Ravi"/>
    <n v="36.25"/>
    <x v="5"/>
  </r>
  <r>
    <x v="17"/>
    <x v="56"/>
    <n v="840"/>
    <n v="2.5000000000000001E-2"/>
    <x v="1"/>
    <s v="Ravi"/>
    <n v="21"/>
    <x v="1"/>
  </r>
  <r>
    <x v="17"/>
    <x v="55"/>
    <n v="240"/>
    <n v="2.5000000000000001E-2"/>
    <x v="1"/>
    <s v="Ravi"/>
    <n v="6"/>
    <x v="1"/>
  </r>
  <r>
    <x v="17"/>
    <x v="46"/>
    <n v="35"/>
    <n v="2"/>
    <x v="1"/>
    <s v="Ravi"/>
    <n v="70"/>
    <x v="0"/>
  </r>
  <r>
    <x v="17"/>
    <x v="19"/>
    <n v="23.33"/>
    <n v="0.09"/>
    <x v="1"/>
    <s v="Ravi"/>
    <n v="2.0996999999999999"/>
    <x v="0"/>
  </r>
  <r>
    <x v="17"/>
    <x v="127"/>
    <n v="90"/>
    <n v="0.09"/>
    <x v="1"/>
    <s v="Ravi"/>
    <n v="8.1"/>
    <x v="15"/>
  </r>
  <r>
    <x v="17"/>
    <x v="79"/>
    <n v="20"/>
    <n v="1"/>
    <x v="5"/>
    <s v="Ravi"/>
    <n v="20"/>
    <x v="15"/>
  </r>
  <r>
    <x v="17"/>
    <x v="88"/>
    <n v="20"/>
    <n v="1.25"/>
    <x v="5"/>
    <s v="Ravi"/>
    <n v="25"/>
    <x v="15"/>
  </r>
  <r>
    <x v="17"/>
    <x v="41"/>
    <n v="36"/>
    <n v="2.5"/>
    <x v="5"/>
    <s v="Ravi"/>
    <n v="90"/>
    <x v="15"/>
  </r>
  <r>
    <x v="17"/>
    <x v="42"/>
    <n v="42"/>
    <n v="1"/>
    <x v="5"/>
    <s v="Ravi"/>
    <n v="42"/>
    <x v="15"/>
  </r>
  <r>
    <x v="17"/>
    <x v="79"/>
    <n v="20"/>
    <n v="1.3"/>
    <x v="5"/>
    <s v="Ravi"/>
    <n v="26"/>
    <x v="15"/>
  </r>
  <r>
    <x v="17"/>
    <x v="81"/>
    <n v="50"/>
    <n v="1.1000000000000001"/>
    <x v="5"/>
    <s v="Ravi"/>
    <n v="55.000000000000007"/>
    <x v="15"/>
  </r>
  <r>
    <x v="17"/>
    <x v="128"/>
    <n v="220"/>
    <n v="0.5"/>
    <x v="5"/>
    <s v="Ravi"/>
    <n v="110"/>
    <x v="15"/>
  </r>
  <r>
    <x v="17"/>
    <x v="77"/>
    <n v="30"/>
    <n v="0.8"/>
    <x v="5"/>
    <s v="Ravi"/>
    <n v="24"/>
    <x v="15"/>
  </r>
  <r>
    <x v="17"/>
    <x v="41"/>
    <n v="36"/>
    <n v="1"/>
    <x v="5"/>
    <s v="Ravi"/>
    <n v="36"/>
    <x v="15"/>
  </r>
  <r>
    <x v="17"/>
    <x v="12"/>
    <n v="28"/>
    <n v="0.185"/>
    <x v="2"/>
    <s v="Ravi"/>
    <n v="5.18"/>
    <x v="15"/>
  </r>
  <r>
    <x v="17"/>
    <x v="13"/>
    <n v="40"/>
    <n v="7.4999999999999997E-2"/>
    <x v="2"/>
    <s v="Ravi"/>
    <n v="3"/>
    <x v="15"/>
  </r>
  <r>
    <x v="17"/>
    <x v="14"/>
    <n v="25"/>
    <n v="0.09"/>
    <x v="2"/>
    <s v="Ravi"/>
    <n v="2.25"/>
    <x v="15"/>
  </r>
  <r>
    <x v="17"/>
    <x v="43"/>
    <n v="28"/>
    <n v="1"/>
    <x v="2"/>
    <s v="Ravi"/>
    <n v="28"/>
    <x v="15"/>
  </r>
  <r>
    <x v="17"/>
    <x v="0"/>
    <n v="14"/>
    <n v="0.71"/>
    <x v="2"/>
    <s v="Ravi"/>
    <n v="9.94"/>
    <x v="15"/>
  </r>
  <r>
    <x v="17"/>
    <x v="30"/>
    <n v="27.97"/>
    <n v="0.255"/>
    <x v="2"/>
    <s v="Ravi"/>
    <n v="7.1323499999999997"/>
    <x v="15"/>
  </r>
  <r>
    <x v="17"/>
    <x v="9"/>
    <n v="14.75"/>
    <n v="0.45"/>
    <x v="2"/>
    <s v="Ravi"/>
    <n v="6.6375000000000002"/>
    <x v="15"/>
  </r>
  <r>
    <x v="17"/>
    <x v="87"/>
    <n v="48"/>
    <n v="0.01"/>
    <x v="2"/>
    <s v="Ravi"/>
    <n v="0.48"/>
    <x v="15"/>
  </r>
  <r>
    <x v="17"/>
    <x v="86"/>
    <n v="46.4"/>
    <n v="0.01"/>
    <x v="2"/>
    <s v="Ravi"/>
    <n v="0.46399999999999997"/>
    <x v="15"/>
  </r>
  <r>
    <x v="17"/>
    <x v="42"/>
    <n v="42"/>
    <n v="0.5"/>
    <x v="2"/>
    <s v="Ravi"/>
    <n v="21"/>
    <x v="15"/>
  </r>
  <r>
    <x v="17"/>
    <x v="63"/>
    <n v="3"/>
    <n v="4"/>
    <x v="6"/>
    <s v="Jaggu"/>
    <n v="12"/>
    <x v="15"/>
  </r>
  <r>
    <x v="17"/>
    <x v="0"/>
    <n v="14"/>
    <n v="0.25"/>
    <x v="6"/>
    <s v="Jaggu"/>
    <n v="3.5"/>
    <x v="15"/>
  </r>
  <r>
    <x v="17"/>
    <x v="45"/>
    <n v="37"/>
    <n v="0.6"/>
    <x v="4"/>
    <s v="Jaggu"/>
    <n v="22.2"/>
    <x v="15"/>
  </r>
  <r>
    <x v="17"/>
    <x v="41"/>
    <n v="36"/>
    <n v="3.5"/>
    <x v="4"/>
    <s v="Jaggu"/>
    <n v="126"/>
    <x v="15"/>
  </r>
  <r>
    <x v="17"/>
    <x v="42"/>
    <n v="42"/>
    <n v="2"/>
    <x v="0"/>
    <s v="Murthy"/>
    <n v="84"/>
    <x v="15"/>
  </r>
  <r>
    <x v="17"/>
    <x v="41"/>
    <n v="36"/>
    <n v="0.5"/>
    <x v="0"/>
    <s v="Murthy"/>
    <n v="18"/>
    <x v="15"/>
  </r>
  <r>
    <x v="17"/>
    <x v="65"/>
    <n v="390"/>
    <m/>
    <x v="4"/>
    <s v="Jaggu"/>
    <n v="0"/>
    <x v="15"/>
  </r>
  <r>
    <x v="17"/>
    <x v="41"/>
    <n v="36"/>
    <m/>
    <x v="4"/>
    <s v="Jaggu"/>
    <n v="0"/>
    <x v="15"/>
  </r>
  <r>
    <x v="18"/>
    <x v="64"/>
    <n v="78.95"/>
    <n v="15"/>
    <x v="3"/>
    <s v="Common"/>
    <n v="1184.25"/>
    <x v="15"/>
  </r>
  <r>
    <x v="18"/>
    <x v="6"/>
    <n v="26"/>
    <n v="7"/>
    <x v="0"/>
    <s v="Murthy"/>
    <n v="182"/>
    <x v="15"/>
  </r>
  <r>
    <x v="18"/>
    <x v="1"/>
    <n v="30"/>
    <n v="1"/>
    <x v="0"/>
    <s v="Murthy"/>
    <n v="30"/>
    <x v="15"/>
  </r>
  <r>
    <x v="18"/>
    <x v="0"/>
    <n v="14"/>
    <n v="3"/>
    <x v="0"/>
    <s v="Murthy"/>
    <n v="42"/>
    <x v="15"/>
  </r>
  <r>
    <x v="18"/>
    <x v="2"/>
    <n v="30"/>
    <n v="0.5"/>
    <x v="0"/>
    <s v="Murthy"/>
    <n v="15"/>
    <x v="15"/>
  </r>
  <r>
    <x v="18"/>
    <x v="22"/>
    <n v="62"/>
    <n v="2"/>
    <x v="0"/>
    <s v="Murthy"/>
    <n v="124"/>
    <x v="15"/>
  </r>
  <r>
    <x v="18"/>
    <x v="14"/>
    <n v="25"/>
    <n v="0.81"/>
    <x v="0"/>
    <s v="Murthy"/>
    <n v="20.25"/>
    <x v="15"/>
  </r>
  <r>
    <x v="18"/>
    <x v="12"/>
    <n v="28"/>
    <n v="0.3"/>
    <x v="0"/>
    <s v="Murthy"/>
    <n v="8.4"/>
    <x v="15"/>
  </r>
  <r>
    <x v="18"/>
    <x v="11"/>
    <n v="82"/>
    <n v="4"/>
    <x v="0"/>
    <s v="Murthy"/>
    <n v="328"/>
    <x v="15"/>
  </r>
  <r>
    <x v="18"/>
    <x v="23"/>
    <n v="220"/>
    <n v="5.0000000000000001E-3"/>
    <x v="0"/>
    <s v="Murthy"/>
    <n v="1.1000000000000001"/>
    <x v="15"/>
  </r>
  <r>
    <x v="18"/>
    <x v="24"/>
    <n v="740"/>
    <n v="5.0000000000000001E-3"/>
    <x v="0"/>
    <s v="Murthy"/>
    <n v="3.7"/>
    <x v="15"/>
  </r>
  <r>
    <x v="18"/>
    <x v="25"/>
    <n v="1450"/>
    <n v="5.0000000000000001E-3"/>
    <x v="0"/>
    <s v="Murthy"/>
    <n v="7.25"/>
    <x v="15"/>
  </r>
  <r>
    <x v="18"/>
    <x v="26"/>
    <n v="750"/>
    <n v="5.0000000000000001E-3"/>
    <x v="0"/>
    <s v="Murthy"/>
    <n v="3.75"/>
    <x v="15"/>
  </r>
  <r>
    <x v="18"/>
    <x v="27"/>
    <n v="1480"/>
    <n v="5.0000000000000001E-3"/>
    <x v="0"/>
    <s v="Murthy"/>
    <n v="7.4"/>
    <x v="15"/>
  </r>
  <r>
    <x v="18"/>
    <x v="13"/>
    <n v="40"/>
    <n v="0.3"/>
    <x v="0"/>
    <s v="Murthy"/>
    <n v="12"/>
    <x v="15"/>
  </r>
  <r>
    <x v="18"/>
    <x v="37"/>
    <n v="138"/>
    <n v="0.02"/>
    <x v="0"/>
    <s v="Murthy"/>
    <n v="2.7600000000000002"/>
    <x v="15"/>
  </r>
  <r>
    <x v="18"/>
    <x v="18"/>
    <n v="40"/>
    <n v="1"/>
    <x v="0"/>
    <s v="Murthy"/>
    <n v="40"/>
    <x v="15"/>
  </r>
  <r>
    <x v="18"/>
    <x v="7"/>
    <n v="38"/>
    <n v="1.7"/>
    <x v="0"/>
    <s v="Murthy"/>
    <n v="64.599999999999994"/>
    <x v="15"/>
  </r>
  <r>
    <x v="18"/>
    <x v="8"/>
    <n v="29.51"/>
    <n v="0.56000000000000005"/>
    <x v="0"/>
    <s v="Murthy"/>
    <n v="16.525600000000001"/>
    <x v="15"/>
  </r>
  <r>
    <x v="18"/>
    <x v="29"/>
    <n v="43.06"/>
    <n v="0.8"/>
    <x v="0"/>
    <s v="Murthy"/>
    <n v="34.448"/>
    <x v="15"/>
  </r>
  <r>
    <x v="18"/>
    <x v="30"/>
    <n v="27.97"/>
    <n v="1.05"/>
    <x v="0"/>
    <s v="Murthy"/>
    <n v="29.368500000000001"/>
    <x v="15"/>
  </r>
  <r>
    <x v="18"/>
    <x v="93"/>
    <n v="72"/>
    <n v="0.11"/>
    <x v="0"/>
    <s v="Murthy"/>
    <n v="7.92"/>
    <x v="15"/>
  </r>
  <r>
    <x v="18"/>
    <x v="10"/>
    <n v="45"/>
    <n v="1"/>
    <x v="0"/>
    <s v="Murthy"/>
    <n v="45"/>
    <x v="15"/>
  </r>
  <r>
    <x v="18"/>
    <x v="12"/>
    <n v="28"/>
    <n v="0.25"/>
    <x v="0"/>
    <s v="Murthy"/>
    <n v="7"/>
    <x v="15"/>
  </r>
  <r>
    <x v="18"/>
    <x v="47"/>
    <n v="280"/>
    <n v="0.14000000000000001"/>
    <x v="0"/>
    <s v="Murthy"/>
    <n v="39.200000000000003"/>
    <x v="15"/>
  </r>
  <r>
    <x v="18"/>
    <x v="59"/>
    <n v="57.5"/>
    <n v="0.02"/>
    <x v="0"/>
    <s v="Murthy"/>
    <n v="1.1500000000000001"/>
    <x v="15"/>
  </r>
  <r>
    <x v="18"/>
    <x v="71"/>
    <n v="187.41"/>
    <n v="0.03"/>
    <x v="0"/>
    <s v="Murthy"/>
    <n v="5.6223000000000001"/>
    <x v="15"/>
  </r>
  <r>
    <x v="18"/>
    <x v="87"/>
    <n v="48"/>
    <n v="0.01"/>
    <x v="0"/>
    <s v="Murthy"/>
    <n v="0.48"/>
    <x v="15"/>
  </r>
  <r>
    <x v="18"/>
    <x v="3"/>
    <n v="17"/>
    <n v="0.59499999999999997"/>
    <x v="0"/>
    <s v="Murthy"/>
    <n v="10.115"/>
    <x v="15"/>
  </r>
  <r>
    <x v="18"/>
    <x v="97"/>
    <n v="380"/>
    <n v="0.03"/>
    <x v="0"/>
    <s v="Murthy"/>
    <n v="11.4"/>
    <x v="15"/>
  </r>
  <r>
    <x v="18"/>
    <x v="4"/>
    <n v="180"/>
    <n v="0.27500000000000002"/>
    <x v="0"/>
    <s v="Murthy"/>
    <n v="49.500000000000007"/>
    <x v="15"/>
  </r>
  <r>
    <x v="18"/>
    <x v="84"/>
    <n v="148"/>
    <n v="0.17499999999999999"/>
    <x v="0"/>
    <s v="Murthy"/>
    <n v="25.9"/>
    <x v="15"/>
  </r>
  <r>
    <x v="18"/>
    <x v="85"/>
    <n v="24"/>
    <n v="7.4999999999999997E-2"/>
    <x v="0"/>
    <s v="Murthy"/>
    <n v="1.7999999999999998"/>
    <x v="15"/>
  </r>
  <r>
    <x v="18"/>
    <x v="69"/>
    <n v="33"/>
    <n v="0.15"/>
    <x v="0"/>
    <s v="Murthy"/>
    <n v="4.95"/>
    <x v="15"/>
  </r>
  <r>
    <x v="18"/>
    <x v="39"/>
    <n v="75"/>
    <n v="0.51"/>
    <x v="0"/>
    <s v="Murthy"/>
    <n v="38.25"/>
    <x v="15"/>
  </r>
  <r>
    <x v="18"/>
    <x v="31"/>
    <n v="120"/>
    <n v="0.02"/>
    <x v="0"/>
    <s v="Murthy"/>
    <n v="2.4"/>
    <x v="15"/>
  </r>
  <r>
    <x v="18"/>
    <x v="115"/>
    <n v="0"/>
    <n v="0.9"/>
    <x v="0"/>
    <s v="Murthy"/>
    <n v="0"/>
    <x v="15"/>
  </r>
  <r>
    <x v="18"/>
    <x v="124"/>
    <n v="0"/>
    <n v="1"/>
    <x v="0"/>
    <s v="Murthy"/>
    <n v="0"/>
    <x v="15"/>
  </r>
  <r>
    <x v="18"/>
    <x v="34"/>
    <n v="51"/>
    <n v="1"/>
    <x v="0"/>
    <s v="Murthy"/>
    <n v="51"/>
    <x v="15"/>
  </r>
  <r>
    <x v="18"/>
    <x v="49"/>
    <n v="96"/>
    <n v="9.5000000000000001E-2"/>
    <x v="0"/>
    <s v="Murthy"/>
    <n v="9.120000000000001"/>
    <x v="15"/>
  </r>
  <r>
    <x v="18"/>
    <x v="101"/>
    <n v="190"/>
    <n v="0.19"/>
    <x v="0"/>
    <s v="Murthy"/>
    <n v="36.1"/>
    <x v="15"/>
  </r>
  <r>
    <x v="18"/>
    <x v="100"/>
    <n v="430"/>
    <n v="0.22"/>
    <x v="0"/>
    <s v="Murthy"/>
    <n v="94.6"/>
    <x v="15"/>
  </r>
  <r>
    <x v="18"/>
    <x v="17"/>
    <n v="140"/>
    <n v="0.5"/>
    <x v="0"/>
    <s v="Murthy"/>
    <n v="70"/>
    <x v="15"/>
  </r>
  <r>
    <x v="18"/>
    <x v="16"/>
    <n v="60"/>
    <n v="0.435"/>
    <x v="0"/>
    <s v="Murthy"/>
    <n v="26.1"/>
    <x v="15"/>
  </r>
  <r>
    <x v="18"/>
    <x v="33"/>
    <n v="175"/>
    <n v="1.33"/>
    <x v="0"/>
    <s v="Murthy"/>
    <n v="232.75"/>
    <x v="15"/>
  </r>
  <r>
    <x v="18"/>
    <x v="32"/>
    <n v="32"/>
    <n v="5"/>
    <x v="0"/>
    <s v="Murthy"/>
    <n v="160"/>
    <x v="15"/>
  </r>
  <r>
    <x v="18"/>
    <x v="118"/>
    <n v="280"/>
    <n v="0.625"/>
    <x v="0"/>
    <s v="Murthy"/>
    <n v="175"/>
    <x v="15"/>
  </r>
  <r>
    <x v="18"/>
    <x v="77"/>
    <n v="30"/>
    <n v="1.1399999999999999"/>
    <x v="5"/>
    <s v="Ravi"/>
    <n v="34.199999999999996"/>
    <x v="15"/>
  </r>
  <r>
    <x v="18"/>
    <x v="41"/>
    <n v="36"/>
    <n v="2"/>
    <x v="5"/>
    <s v="Ravi"/>
    <n v="72"/>
    <x v="15"/>
  </r>
  <r>
    <x v="18"/>
    <x v="88"/>
    <n v="20"/>
    <n v="1.8"/>
    <x v="5"/>
    <s v="Ravi"/>
    <n v="36"/>
    <x v="15"/>
  </r>
  <r>
    <x v="18"/>
    <x v="81"/>
    <n v="50"/>
    <n v="2"/>
    <x v="5"/>
    <s v="Ravi"/>
    <n v="100"/>
    <x v="15"/>
  </r>
  <r>
    <x v="18"/>
    <x v="63"/>
    <n v="3"/>
    <n v="40"/>
    <x v="5"/>
    <s v="Ravi"/>
    <n v="120"/>
    <x v="15"/>
  </r>
  <r>
    <x v="18"/>
    <x v="79"/>
    <n v="20"/>
    <n v="2.6850000000000001"/>
    <x v="5"/>
    <s v="Ravi"/>
    <n v="53.7"/>
    <x v="15"/>
  </r>
  <r>
    <x v="18"/>
    <x v="45"/>
    <n v="37"/>
    <n v="4.8"/>
    <x v="5"/>
    <s v="Ravi"/>
    <n v="177.6"/>
    <x v="15"/>
  </r>
  <r>
    <x v="18"/>
    <x v="79"/>
    <n v="20"/>
    <n v="1.76"/>
    <x v="5"/>
    <s v="Ravi"/>
    <n v="35.200000000000003"/>
    <x v="15"/>
  </r>
  <r>
    <x v="18"/>
    <x v="42"/>
    <n v="42"/>
    <n v="1.5"/>
    <x v="5"/>
    <s v="Ravi"/>
    <n v="63"/>
    <x v="15"/>
  </r>
  <r>
    <x v="18"/>
    <x v="39"/>
    <n v="75"/>
    <n v="0.76"/>
    <x v="8"/>
    <s v="Manju"/>
    <n v="57"/>
    <x v="15"/>
  </r>
  <r>
    <x v="18"/>
    <x v="129"/>
    <n v="33"/>
    <n v="0.36"/>
    <x v="8"/>
    <s v="Manju"/>
    <n v="11.879999999999999"/>
    <x v="15"/>
  </r>
  <r>
    <x v="18"/>
    <x v="130"/>
    <n v="14"/>
    <n v="3"/>
    <x v="8"/>
    <s v="Manju"/>
    <n v="42"/>
    <x v="15"/>
  </r>
  <r>
    <x v="18"/>
    <x v="0"/>
    <n v="14"/>
    <n v="0.3"/>
    <x v="6"/>
    <s v="Jaggu"/>
    <n v="4.2"/>
    <x v="15"/>
  </r>
  <r>
    <x v="18"/>
    <x v="41"/>
    <n v="36"/>
    <n v="5.5"/>
    <x v="4"/>
    <s v="Vicky"/>
    <n v="198"/>
    <x v="15"/>
  </r>
  <r>
    <x v="18"/>
    <x v="65"/>
    <n v="390"/>
    <n v="0.22"/>
    <x v="4"/>
    <s v="Vicky"/>
    <n v="85.8"/>
    <x v="15"/>
  </r>
  <r>
    <x v="18"/>
    <x v="45"/>
    <n v="37"/>
    <n v="1.24"/>
    <x v="4"/>
    <s v="Vicky"/>
    <n v="45.88"/>
    <x v="15"/>
  </r>
  <r>
    <x v="18"/>
    <x v="42"/>
    <n v="42"/>
    <n v="2.5"/>
    <x v="4"/>
    <s v="Vicky"/>
    <n v="105"/>
    <x v="15"/>
  </r>
  <r>
    <x v="18"/>
    <x v="41"/>
    <n v="36"/>
    <n v="3.5"/>
    <x v="1"/>
    <s v="Ravi"/>
    <n v="126"/>
    <x v="15"/>
  </r>
  <r>
    <x v="18"/>
    <x v="42"/>
    <n v="42"/>
    <n v="3"/>
    <x v="1"/>
    <s v="Ravi"/>
    <n v="126"/>
    <x v="15"/>
  </r>
  <r>
    <x v="18"/>
    <x v="44"/>
    <n v="52"/>
    <n v="4.5"/>
    <x v="1"/>
    <s v="Ravi"/>
    <n v="234"/>
    <x v="15"/>
  </r>
  <r>
    <x v="18"/>
    <x v="78"/>
    <n v="40"/>
    <n v="0.2"/>
    <x v="1"/>
    <s v="Ravi"/>
    <n v="8"/>
    <x v="15"/>
  </r>
  <r>
    <x v="18"/>
    <x v="43"/>
    <n v="28"/>
    <n v="4"/>
    <x v="1"/>
    <s v="Ravi"/>
    <n v="112"/>
    <x v="15"/>
  </r>
  <r>
    <x v="18"/>
    <x v="45"/>
    <n v="37"/>
    <n v="0.45"/>
    <x v="1"/>
    <s v="Ravi"/>
    <n v="16.650000000000002"/>
    <x v="15"/>
  </r>
  <r>
    <x v="18"/>
    <x v="47"/>
    <n v="280"/>
    <n v="0.04"/>
    <x v="1"/>
    <s v="Ravi"/>
    <n v="11.200000000000001"/>
    <x v="15"/>
  </r>
  <r>
    <x v="18"/>
    <x v="31"/>
    <n v="120"/>
    <n v="0.04"/>
    <x v="1"/>
    <s v="Ravi"/>
    <n v="4.8"/>
    <x v="15"/>
  </r>
  <r>
    <x v="18"/>
    <x v="60"/>
    <n v="500"/>
    <n v="0.09"/>
    <x v="1"/>
    <s v="Ravi"/>
    <n v="45"/>
    <x v="15"/>
  </r>
  <r>
    <x v="18"/>
    <x v="48"/>
    <n v="7"/>
    <n v="0.62"/>
    <x v="1"/>
    <s v="Ravi"/>
    <n v="4.34"/>
    <x v="15"/>
  </r>
  <r>
    <x v="18"/>
    <x v="71"/>
    <n v="187.41"/>
    <n v="0.01"/>
    <x v="1"/>
    <s v="Ravi"/>
    <n v="1.8741000000000001"/>
    <x v="15"/>
  </r>
  <r>
    <x v="18"/>
    <x v="49"/>
    <n v="96"/>
    <n v="0.4"/>
    <x v="1"/>
    <s v="Ravi"/>
    <n v="38.400000000000006"/>
    <x v="15"/>
  </r>
  <r>
    <x v="18"/>
    <x v="11"/>
    <n v="82"/>
    <n v="2"/>
    <x v="1"/>
    <s v="Ravi"/>
    <n v="164"/>
    <x v="15"/>
  </r>
  <r>
    <x v="18"/>
    <x v="20"/>
    <n v="230"/>
    <n v="0.09"/>
    <x v="1"/>
    <s v="Ravi"/>
    <n v="20.7"/>
    <x v="15"/>
  </r>
  <r>
    <x v="18"/>
    <x v="50"/>
    <n v="70"/>
    <n v="7.0000000000000007E-2"/>
    <x v="1"/>
    <s v="Ravi"/>
    <n v="4.9000000000000004"/>
    <x v="15"/>
  </r>
  <r>
    <x v="18"/>
    <x v="51"/>
    <n v="55"/>
    <n v="0.185"/>
    <x v="1"/>
    <s v="Ravi"/>
    <n v="10.175000000000001"/>
    <x v="15"/>
  </r>
  <r>
    <x v="18"/>
    <x v="0"/>
    <n v="14"/>
    <n v="3"/>
    <x v="1"/>
    <s v="Ravi"/>
    <n v="42"/>
    <x v="15"/>
  </r>
  <r>
    <x v="18"/>
    <x v="12"/>
    <n v="28"/>
    <n v="0.3"/>
    <x v="1"/>
    <s v="Ravi"/>
    <n v="8.4"/>
    <x v="15"/>
  </r>
  <r>
    <x v="18"/>
    <x v="76"/>
    <n v="34"/>
    <n v="0.75"/>
    <x v="1"/>
    <s v="Ravi"/>
    <n v="25.5"/>
    <x v="15"/>
  </r>
  <r>
    <x v="18"/>
    <x v="54"/>
    <n v="170"/>
    <n v="0.15"/>
    <x v="1"/>
    <s v="Ravi"/>
    <n v="25.5"/>
    <x v="15"/>
  </r>
  <r>
    <x v="18"/>
    <x v="99"/>
    <n v="60"/>
    <n v="0.15"/>
    <x v="1"/>
    <s v="Ravi"/>
    <n v="9"/>
    <x v="15"/>
  </r>
  <r>
    <x v="18"/>
    <x v="89"/>
    <n v="86"/>
    <n v="0.35"/>
    <x v="1"/>
    <s v="Ravi"/>
    <n v="30.099999999999998"/>
    <x v="15"/>
  </r>
  <r>
    <x v="18"/>
    <x v="37"/>
    <n v="138"/>
    <n v="0.03"/>
    <x v="1"/>
    <s v="Ravi"/>
    <n v="4.1399999999999997"/>
    <x v="15"/>
  </r>
  <r>
    <x v="18"/>
    <x v="2"/>
    <n v="30"/>
    <n v="0.2"/>
    <x v="1"/>
    <s v="Ravi"/>
    <n v="6"/>
    <x v="15"/>
  </r>
  <r>
    <x v="18"/>
    <x v="75"/>
    <n v="108"/>
    <n v="0.2"/>
    <x v="1"/>
    <s v="Ravi"/>
    <n v="21.6"/>
    <x v="15"/>
  </r>
  <r>
    <x v="18"/>
    <x v="29"/>
    <n v="43.06"/>
    <n v="0.75"/>
    <x v="1"/>
    <s v="Ravi"/>
    <n v="32.295000000000002"/>
    <x v="15"/>
  </r>
  <r>
    <x v="18"/>
    <x v="30"/>
    <n v="27.97"/>
    <n v="1.25"/>
    <x v="1"/>
    <s v="Ravi"/>
    <n v="34.962499999999999"/>
    <x v="15"/>
  </r>
  <r>
    <x v="18"/>
    <x v="62"/>
    <n v="312.14"/>
    <n v="0.06"/>
    <x v="1"/>
    <s v="Ravi"/>
    <n v="18.728399999999997"/>
    <x v="15"/>
  </r>
  <r>
    <x v="18"/>
    <x v="35"/>
    <n v="125"/>
    <n v="0.06"/>
    <x v="1"/>
    <s v="Ravi"/>
    <n v="7.5"/>
    <x v="15"/>
  </r>
  <r>
    <x v="18"/>
    <x v="14"/>
    <n v="25"/>
    <n v="0.25"/>
    <x v="1"/>
    <s v="Ravi"/>
    <n v="6.25"/>
    <x v="15"/>
  </r>
  <r>
    <x v="18"/>
    <x v="58"/>
    <n v="15"/>
    <n v="1.5"/>
    <x v="1"/>
    <s v="Ravi"/>
    <n v="22.5"/>
    <x v="15"/>
  </r>
  <r>
    <x v="18"/>
    <x v="53"/>
    <n v="62.03"/>
    <n v="0.08"/>
    <x v="1"/>
    <s v="Ravi"/>
    <n v="4.9624000000000006"/>
    <x v="15"/>
  </r>
  <r>
    <x v="18"/>
    <x v="52"/>
    <n v="160"/>
    <n v="0.04"/>
    <x v="1"/>
    <s v="Ravi"/>
    <n v="6.4"/>
    <x v="15"/>
  </r>
  <r>
    <x v="18"/>
    <x v="13"/>
    <n v="40"/>
    <n v="0.15"/>
    <x v="1"/>
    <s v="Ravi"/>
    <n v="6"/>
    <x v="15"/>
  </r>
  <r>
    <x v="18"/>
    <x v="1"/>
    <n v="30"/>
    <n v="0.25"/>
    <x v="1"/>
    <s v="Ravi"/>
    <n v="7.5"/>
    <x v="15"/>
  </r>
  <r>
    <x v="18"/>
    <x v="25"/>
    <n v="1450"/>
    <n v="0.01"/>
    <x v="1"/>
    <s v="Ravi"/>
    <n v="14.5"/>
    <x v="15"/>
  </r>
  <r>
    <x v="18"/>
    <x v="56"/>
    <n v="840"/>
    <n v="2.5000000000000001E-2"/>
    <x v="1"/>
    <s v="Ravi"/>
    <n v="21"/>
    <x v="15"/>
  </r>
  <r>
    <x v="18"/>
    <x v="55"/>
    <n v="240"/>
    <n v="2.5000000000000001E-2"/>
    <x v="1"/>
    <s v="Ravi"/>
    <n v="6"/>
    <x v="15"/>
  </r>
  <r>
    <x v="18"/>
    <x v="46"/>
    <n v="35"/>
    <n v="1.5"/>
    <x v="1"/>
    <s v="Ravi"/>
    <n v="52.5"/>
    <x v="15"/>
  </r>
  <r>
    <x v="18"/>
    <x v="19"/>
    <n v="23.33"/>
    <n v="0.09"/>
    <x v="1"/>
    <s v="Ravi"/>
    <n v="2.0996999999999999"/>
    <x v="15"/>
  </r>
  <r>
    <x v="18"/>
    <x v="27"/>
    <n v="1480"/>
    <n v="0.01"/>
    <x v="1"/>
    <s v="Ravi"/>
    <n v="14.8"/>
    <x v="15"/>
  </r>
  <r>
    <x v="18"/>
    <x v="26"/>
    <n v="750"/>
    <n v="0.01"/>
    <x v="1"/>
    <s v="Ravi"/>
    <n v="7.5"/>
    <x v="15"/>
  </r>
  <r>
    <x v="18"/>
    <x v="25"/>
    <n v="1450"/>
    <n v="5.0000000000000001E-3"/>
    <x v="1"/>
    <s v="Ravi"/>
    <n v="7.25"/>
    <x v="15"/>
  </r>
  <r>
    <x v="18"/>
    <x v="23"/>
    <n v="220"/>
    <n v="5.0000000000000001E-3"/>
    <x v="1"/>
    <s v="Ravi"/>
    <n v="1.1000000000000001"/>
    <x v="15"/>
  </r>
  <r>
    <x v="18"/>
    <x v="24"/>
    <n v="740"/>
    <n v="5.0000000000000001E-3"/>
    <x v="1"/>
    <s v="Ravi"/>
    <n v="3.7"/>
    <x v="15"/>
  </r>
  <r>
    <x v="18"/>
    <x v="127"/>
    <n v="90"/>
    <n v="0.09"/>
    <x v="1"/>
    <s v="Ravi"/>
    <n v="8.1"/>
    <x v="15"/>
  </r>
  <r>
    <x v="18"/>
    <x v="44"/>
    <n v="52"/>
    <n v="2"/>
    <x v="1"/>
    <s v="Ravi"/>
    <n v="104"/>
    <x v="15"/>
  </r>
  <r>
    <x v="18"/>
    <x v="94"/>
    <n v="20"/>
    <n v="0.6"/>
    <x v="1"/>
    <s v="Ravi"/>
    <n v="12"/>
    <x v="15"/>
  </r>
  <r>
    <x v="18"/>
    <x v="1"/>
    <n v="30"/>
    <n v="0.34"/>
    <x v="1"/>
    <s v="Ravi"/>
    <n v="10.200000000000001"/>
    <x v="15"/>
  </r>
  <r>
    <x v="18"/>
    <x v="63"/>
    <n v="3"/>
    <n v="2"/>
    <x v="1"/>
    <s v="Ravi"/>
    <n v="6"/>
    <x v="15"/>
  </r>
  <r>
    <x v="18"/>
    <x v="83"/>
    <n v="48"/>
    <n v="0.4"/>
    <x v="2"/>
    <s v="Ravi"/>
    <n v="19.200000000000003"/>
    <x v="15"/>
  </r>
  <r>
    <x v="18"/>
    <x v="2"/>
    <n v="30"/>
    <n v="0.28499999999999998"/>
    <x v="2"/>
    <s v="Ravi"/>
    <n v="8.5499999999999989"/>
    <x v="15"/>
  </r>
  <r>
    <x v="18"/>
    <x v="0"/>
    <n v="14"/>
    <n v="0.64"/>
    <x v="2"/>
    <s v="Ravi"/>
    <n v="8.9600000000000009"/>
    <x v="15"/>
  </r>
  <r>
    <x v="18"/>
    <x v="30"/>
    <n v="27.97"/>
    <n v="0.21"/>
    <x v="2"/>
    <s v="Ravi"/>
    <n v="5.8736999999999995"/>
    <x v="15"/>
  </r>
  <r>
    <x v="18"/>
    <x v="9"/>
    <n v="14.75"/>
    <n v="0.42499999999999999"/>
    <x v="2"/>
    <s v="Ravi"/>
    <n v="6.2687499999999998"/>
    <x v="15"/>
  </r>
  <r>
    <x v="18"/>
    <x v="14"/>
    <n v="25"/>
    <n v="0.125"/>
    <x v="2"/>
    <s v="Ravi"/>
    <n v="3.125"/>
    <x v="15"/>
  </r>
  <r>
    <x v="18"/>
    <x v="41"/>
    <n v="36"/>
    <n v="2"/>
    <x v="9"/>
    <s v="Staff"/>
    <n v="72"/>
    <x v="15"/>
  </r>
  <r>
    <x v="19"/>
    <x v="45"/>
    <n v="37"/>
    <n v="1.2450000000000001"/>
    <x v="4"/>
    <s v="Vicky"/>
    <n v="46.065000000000005"/>
    <x v="15"/>
  </r>
  <r>
    <x v="19"/>
    <x v="41"/>
    <n v="36"/>
    <n v="6.5"/>
    <x v="4"/>
    <s v="Vicky"/>
    <n v="234"/>
    <x v="15"/>
  </r>
  <r>
    <x v="19"/>
    <x v="65"/>
    <n v="390"/>
    <n v="0.2"/>
    <x v="4"/>
    <s v="Vicky"/>
    <n v="78"/>
    <x v="15"/>
  </r>
  <r>
    <x v="19"/>
    <x v="42"/>
    <n v="42"/>
    <n v="2"/>
    <x v="4"/>
    <s v="Vicky"/>
    <n v="84"/>
    <x v="15"/>
  </r>
  <r>
    <x v="19"/>
    <x v="1"/>
    <n v="30"/>
    <n v="1"/>
    <x v="0"/>
    <s v="Murthy"/>
    <n v="30"/>
    <x v="15"/>
  </r>
  <r>
    <x v="19"/>
    <x v="0"/>
    <n v="14"/>
    <n v="6.3"/>
    <x v="0"/>
    <s v="Murthy"/>
    <n v="88.2"/>
    <x v="15"/>
  </r>
  <r>
    <x v="19"/>
    <x v="2"/>
    <n v="30"/>
    <n v="0.5"/>
    <x v="0"/>
    <s v="Murthy"/>
    <n v="15"/>
    <x v="15"/>
  </r>
  <r>
    <x v="19"/>
    <x v="30"/>
    <n v="27.97"/>
    <n v="0.6"/>
    <x v="0"/>
    <s v="Murthy"/>
    <n v="16.782"/>
    <x v="15"/>
  </r>
  <r>
    <x v="19"/>
    <x v="9"/>
    <n v="14.75"/>
    <n v="0.8"/>
    <x v="0"/>
    <s v="Murthy"/>
    <n v="11.8"/>
    <x v="15"/>
  </r>
  <r>
    <x v="19"/>
    <x v="6"/>
    <n v="26"/>
    <n v="11.9"/>
    <x v="0"/>
    <s v="Murthy"/>
    <n v="309.40000000000003"/>
    <x v="15"/>
  </r>
  <r>
    <x v="19"/>
    <x v="68"/>
    <n v="75"/>
    <n v="1"/>
    <x v="0"/>
    <s v="Murthy"/>
    <n v="75"/>
    <x v="15"/>
  </r>
  <r>
    <x v="19"/>
    <x v="14"/>
    <n v="25"/>
    <n v="0.28000000000000003"/>
    <x v="0"/>
    <s v="Murthy"/>
    <n v="7.0000000000000009"/>
    <x v="15"/>
  </r>
  <r>
    <x v="19"/>
    <x v="35"/>
    <n v="125"/>
    <n v="0.12"/>
    <x v="0"/>
    <s v="Murthy"/>
    <n v="15"/>
    <x v="15"/>
  </r>
  <r>
    <x v="19"/>
    <x v="29"/>
    <n v="43.06"/>
    <n v="0.5"/>
    <x v="0"/>
    <s v="Murthy"/>
    <n v="21.53"/>
    <x v="15"/>
  </r>
  <r>
    <x v="19"/>
    <x v="11"/>
    <n v="82"/>
    <n v="3"/>
    <x v="0"/>
    <s v="Murthy"/>
    <n v="246"/>
    <x v="15"/>
  </r>
  <r>
    <x v="19"/>
    <x v="36"/>
    <n v="280"/>
    <n v="0.2"/>
    <x v="0"/>
    <s v="Murthy"/>
    <n v="56"/>
    <x v="15"/>
  </r>
  <r>
    <x v="19"/>
    <x v="37"/>
    <n v="138"/>
    <n v="0.3"/>
    <x v="0"/>
    <s v="Murthy"/>
    <n v="41.4"/>
    <x v="15"/>
  </r>
  <r>
    <x v="19"/>
    <x v="38"/>
    <n v="27"/>
    <n v="2.64"/>
    <x v="0"/>
    <s v="Murthy"/>
    <n v="71.28"/>
    <x v="15"/>
  </r>
  <r>
    <x v="19"/>
    <x v="12"/>
    <n v="28"/>
    <n v="0.7"/>
    <x v="0"/>
    <s v="Murthy"/>
    <n v="19.599999999999998"/>
    <x v="15"/>
  </r>
  <r>
    <x v="19"/>
    <x v="8"/>
    <n v="29.51"/>
    <n v="2.6"/>
    <x v="0"/>
    <s v="Murthy"/>
    <n v="76.726000000000013"/>
    <x v="15"/>
  </r>
  <r>
    <x v="19"/>
    <x v="13"/>
    <n v="40"/>
    <n v="0.15"/>
    <x v="0"/>
    <s v="Murthy"/>
    <n v="6"/>
    <x v="15"/>
  </r>
  <r>
    <x v="19"/>
    <x v="19"/>
    <n v="23.33"/>
    <n v="3"/>
    <x v="0"/>
    <s v="Murthy"/>
    <n v="69.989999999999995"/>
    <x v="15"/>
  </r>
  <r>
    <x v="19"/>
    <x v="22"/>
    <n v="62"/>
    <n v="1.5"/>
    <x v="0"/>
    <s v="Murthy"/>
    <n v="93"/>
    <x v="15"/>
  </r>
  <r>
    <x v="19"/>
    <x v="42"/>
    <n v="42"/>
    <n v="0.5"/>
    <x v="0"/>
    <s v="Murthy"/>
    <n v="21"/>
    <x v="15"/>
  </r>
  <r>
    <x v="19"/>
    <x v="41"/>
    <n v="36"/>
    <n v="0.5"/>
    <x v="0"/>
    <s v="Murthy"/>
    <n v="18"/>
    <x v="15"/>
  </r>
  <r>
    <x v="19"/>
    <x v="23"/>
    <n v="220"/>
    <n v="5.0000000000000001E-3"/>
    <x v="0"/>
    <s v="Murthy"/>
    <n v="1.1000000000000001"/>
    <x v="15"/>
  </r>
  <r>
    <x v="19"/>
    <x v="27"/>
    <n v="1480"/>
    <n v="5.0000000000000001E-3"/>
    <x v="0"/>
    <s v="Murthy"/>
    <n v="7.4"/>
    <x v="15"/>
  </r>
  <r>
    <x v="19"/>
    <x v="24"/>
    <n v="740"/>
    <n v="5.0000000000000001E-3"/>
    <x v="0"/>
    <s v="Murthy"/>
    <n v="3.7"/>
    <x v="15"/>
  </r>
  <r>
    <x v="19"/>
    <x v="26"/>
    <n v="750"/>
    <n v="5.0000000000000001E-3"/>
    <x v="0"/>
    <s v="Murthy"/>
    <n v="3.75"/>
    <x v="15"/>
  </r>
  <r>
    <x v="19"/>
    <x v="25"/>
    <n v="1450"/>
    <n v="5.0000000000000001E-3"/>
    <x v="0"/>
    <s v="Murthy"/>
    <n v="7.25"/>
    <x v="15"/>
  </r>
  <r>
    <x v="19"/>
    <x v="9"/>
    <n v="14.75"/>
    <n v="2"/>
    <x v="0"/>
    <s v="Murthy"/>
    <n v="29.5"/>
    <x v="15"/>
  </r>
  <r>
    <x v="19"/>
    <x v="15"/>
    <n v="43.98"/>
    <n v="0.25"/>
    <x v="0"/>
    <s v="Murthy"/>
    <n v="10.994999999999999"/>
    <x v="15"/>
  </r>
  <r>
    <x v="19"/>
    <x v="47"/>
    <n v="280"/>
    <n v="0.14000000000000001"/>
    <x v="0"/>
    <s v="Murthy"/>
    <n v="39.200000000000003"/>
    <x v="15"/>
  </r>
  <r>
    <x v="19"/>
    <x v="59"/>
    <n v="57.5"/>
    <n v="0.03"/>
    <x v="0"/>
    <s v="Murthy"/>
    <n v="1.7249999999999999"/>
    <x v="15"/>
  </r>
  <r>
    <x v="19"/>
    <x v="121"/>
    <n v="150"/>
    <n v="1"/>
    <x v="5"/>
    <s v="Ravi"/>
    <n v="150"/>
    <x v="15"/>
  </r>
  <r>
    <x v="19"/>
    <x v="41"/>
    <n v="36"/>
    <n v="2"/>
    <x v="5"/>
    <s v="Ravi"/>
    <n v="72"/>
    <x v="15"/>
  </r>
  <r>
    <x v="19"/>
    <x v="42"/>
    <n v="42"/>
    <n v="1"/>
    <x v="5"/>
    <s v="Ravi"/>
    <n v="42"/>
    <x v="15"/>
  </r>
  <r>
    <x v="19"/>
    <x v="79"/>
    <n v="20"/>
    <n v="1.2"/>
    <x v="5"/>
    <s v="Ravi"/>
    <n v="24"/>
    <x v="15"/>
  </r>
  <r>
    <x v="19"/>
    <x v="88"/>
    <n v="20"/>
    <n v="2.8499999999999996"/>
    <x v="5"/>
    <s v="Ravi"/>
    <n v="56.999999999999993"/>
    <x v="15"/>
  </r>
  <r>
    <x v="19"/>
    <x v="12"/>
    <n v="28"/>
    <n v="0.21"/>
    <x v="2"/>
    <s v="Ravi"/>
    <n v="5.88"/>
    <x v="15"/>
  </r>
  <r>
    <x v="19"/>
    <x v="13"/>
    <n v="40"/>
    <n v="5.5E-2"/>
    <x v="2"/>
    <s v="Ravi"/>
    <n v="2.2000000000000002"/>
    <x v="15"/>
  </r>
  <r>
    <x v="19"/>
    <x v="9"/>
    <n v="14.75"/>
    <n v="0.11"/>
    <x v="2"/>
    <s v="Ravi"/>
    <n v="1.6225000000000001"/>
    <x v="15"/>
  </r>
  <r>
    <x v="19"/>
    <x v="14"/>
    <n v="25"/>
    <n v="0.09"/>
    <x v="2"/>
    <s v="Ravi"/>
    <n v="2.25"/>
    <x v="15"/>
  </r>
  <r>
    <x v="19"/>
    <x v="43"/>
    <n v="28"/>
    <n v="1"/>
    <x v="2"/>
    <s v="Ravi"/>
    <n v="28"/>
    <x v="15"/>
  </r>
  <r>
    <x v="19"/>
    <x v="94"/>
    <n v="20"/>
    <n v="0.3"/>
    <x v="2"/>
    <s v="Ravi"/>
    <n v="6"/>
    <x v="15"/>
  </r>
  <r>
    <x v="19"/>
    <x v="99"/>
    <n v="60"/>
    <n v="0.05"/>
    <x v="2"/>
    <s v="Ravi"/>
    <n v="3"/>
    <x v="15"/>
  </r>
  <r>
    <x v="19"/>
    <x v="23"/>
    <n v="220"/>
    <n v="0.01"/>
    <x v="2"/>
    <s v="Ravi"/>
    <n v="2.2000000000000002"/>
    <x v="15"/>
  </r>
  <r>
    <x v="19"/>
    <x v="24"/>
    <n v="740"/>
    <n v="0.01"/>
    <x v="2"/>
    <s v="Ravi"/>
    <n v="7.4"/>
    <x v="15"/>
  </r>
  <r>
    <x v="19"/>
    <x v="5"/>
    <n v="49.5"/>
    <n v="0.4"/>
    <x v="2"/>
    <s v="Ravi"/>
    <n v="19.8"/>
    <x v="15"/>
  </r>
  <r>
    <x v="19"/>
    <x v="0"/>
    <n v="14"/>
    <n v="0.61499999999999999"/>
    <x v="2"/>
    <s v="Ravi"/>
    <n v="8.61"/>
    <x v="15"/>
  </r>
  <r>
    <x v="19"/>
    <x v="40"/>
    <n v="450"/>
    <n v="5.0000000000000001E-3"/>
    <x v="2"/>
    <s v="Ravi"/>
    <n v="2.25"/>
    <x v="15"/>
  </r>
  <r>
    <x v="19"/>
    <x v="9"/>
    <n v="14.75"/>
    <n v="0.35"/>
    <x v="2"/>
    <s v="Ravi"/>
    <n v="5.1624999999999996"/>
    <x v="15"/>
  </r>
  <r>
    <x v="19"/>
    <x v="30"/>
    <n v="27.97"/>
    <n v="0.3"/>
    <x v="2"/>
    <s v="Ravi"/>
    <n v="8.391"/>
    <x v="15"/>
  </r>
  <r>
    <x v="19"/>
    <x v="14"/>
    <n v="25"/>
    <n v="0.08"/>
    <x v="2"/>
    <s v="Ravi"/>
    <n v="2"/>
    <x v="15"/>
  </r>
  <r>
    <x v="19"/>
    <x v="0"/>
    <n v="14"/>
    <n v="0.37"/>
    <x v="6"/>
    <s v="Jaggu"/>
    <n v="5.18"/>
    <x v="15"/>
  </r>
  <r>
    <x v="19"/>
    <x v="63"/>
    <n v="3"/>
    <n v="4"/>
    <x v="6"/>
    <s v="Jaggu"/>
    <n v="12"/>
    <x v="15"/>
  </r>
  <r>
    <x v="19"/>
    <x v="130"/>
    <n v="14"/>
    <n v="3"/>
    <x v="8"/>
    <s v="Manju"/>
    <n v="42"/>
    <x v="15"/>
  </r>
  <r>
    <x v="19"/>
    <x v="45"/>
    <n v="37"/>
    <n v="0.31"/>
    <x v="8"/>
    <s v="Manju"/>
    <n v="11.47"/>
    <x v="15"/>
  </r>
  <r>
    <x v="19"/>
    <x v="71"/>
    <n v="187.41"/>
    <n v="0.45"/>
    <x v="0"/>
    <s v="Murthy"/>
    <n v="84.334500000000006"/>
    <x v="15"/>
  </r>
  <r>
    <x v="19"/>
    <x v="87"/>
    <n v="48"/>
    <n v="0.2"/>
    <x v="0"/>
    <s v="Murthy"/>
    <n v="9.6000000000000014"/>
    <x v="15"/>
  </r>
  <r>
    <x v="19"/>
    <x v="104"/>
    <n v="45"/>
    <n v="0.1"/>
    <x v="0"/>
    <s v="Murthy"/>
    <n v="4.5"/>
    <x v="15"/>
  </r>
  <r>
    <x v="19"/>
    <x v="3"/>
    <n v="17"/>
    <n v="0.54"/>
    <x v="0"/>
    <s v="Murthy"/>
    <n v="9.18"/>
    <x v="15"/>
  </r>
  <r>
    <x v="19"/>
    <x v="97"/>
    <n v="380"/>
    <n v="1.4999999999999999E-2"/>
    <x v="0"/>
    <s v="Murthy"/>
    <n v="5.7"/>
    <x v="15"/>
  </r>
  <r>
    <x v="19"/>
    <x v="4"/>
    <n v="180"/>
    <n v="0.19"/>
    <x v="0"/>
    <s v="Murthy"/>
    <n v="34.200000000000003"/>
    <x v="15"/>
  </r>
  <r>
    <x v="19"/>
    <x v="84"/>
    <n v="148"/>
    <n v="0.11"/>
    <x v="0"/>
    <s v="Murthy"/>
    <n v="16.28"/>
    <x v="15"/>
  </r>
  <r>
    <x v="19"/>
    <x v="85"/>
    <n v="24"/>
    <n v="7.0000000000000007E-2"/>
    <x v="0"/>
    <s v="Murthy"/>
    <n v="1.6800000000000002"/>
    <x v="15"/>
  </r>
  <r>
    <x v="19"/>
    <x v="69"/>
    <n v="33"/>
    <n v="0.05"/>
    <x v="0"/>
    <s v="Murthy"/>
    <n v="1.6500000000000001"/>
    <x v="15"/>
  </r>
  <r>
    <x v="19"/>
    <x v="39"/>
    <n v="75"/>
    <n v="0.34"/>
    <x v="0"/>
    <s v="Murthy"/>
    <n v="25.500000000000004"/>
    <x v="15"/>
  </r>
  <r>
    <x v="19"/>
    <x v="31"/>
    <n v="120"/>
    <n v="0.02"/>
    <x v="0"/>
    <s v="Murthy"/>
    <n v="2.4"/>
    <x v="15"/>
  </r>
  <r>
    <x v="19"/>
    <x v="115"/>
    <n v="0"/>
    <n v="2.1"/>
    <x v="0"/>
    <s v="Murthy"/>
    <n v="0"/>
    <x v="15"/>
  </r>
  <r>
    <x v="19"/>
    <x v="124"/>
    <n v="0"/>
    <n v="0.32"/>
    <x v="0"/>
    <s v="Murthy"/>
    <n v="0"/>
    <x v="15"/>
  </r>
  <r>
    <x v="19"/>
    <x v="34"/>
    <n v="51"/>
    <n v="0.9"/>
    <x v="0"/>
    <s v="Murthy"/>
    <n v="45.9"/>
    <x v="15"/>
  </r>
  <r>
    <x v="19"/>
    <x v="101"/>
    <n v="190"/>
    <n v="0.04"/>
    <x v="0"/>
    <s v="Murthy"/>
    <n v="7.6000000000000005"/>
    <x v="15"/>
  </r>
  <r>
    <x v="19"/>
    <x v="100"/>
    <n v="430"/>
    <n v="0.05"/>
    <x v="0"/>
    <s v="Murthy"/>
    <n v="21.5"/>
    <x v="15"/>
  </r>
  <r>
    <x v="19"/>
    <x v="32"/>
    <n v="32"/>
    <n v="5"/>
    <x v="0"/>
    <s v="Murthy"/>
    <n v="160"/>
    <x v="15"/>
  </r>
  <r>
    <x v="19"/>
    <x v="17"/>
    <n v="140"/>
    <n v="0.4"/>
    <x v="0"/>
    <s v="Murthy"/>
    <n v="56"/>
    <x v="15"/>
  </r>
  <r>
    <x v="19"/>
    <x v="33"/>
    <n v="175"/>
    <n v="0.35"/>
    <x v="0"/>
    <s v="Murthy"/>
    <n v="61.249999999999993"/>
    <x v="15"/>
  </r>
  <r>
    <x v="19"/>
    <x v="16"/>
    <n v="60"/>
    <n v="0.2"/>
    <x v="0"/>
    <s v="Murthy"/>
    <n v="12"/>
    <x v="15"/>
  </r>
  <r>
    <x v="19"/>
    <x v="109"/>
    <n v="100"/>
    <n v="0.7"/>
    <x v="0"/>
    <s v="Murthy"/>
    <n v="70"/>
    <x v="15"/>
  </r>
  <r>
    <x v="19"/>
    <x v="118"/>
    <n v="280"/>
    <n v="0.75"/>
    <x v="0"/>
    <s v="Murthy"/>
    <n v="210"/>
    <x v="15"/>
  </r>
  <r>
    <x v="19"/>
    <x v="78"/>
    <n v="40"/>
    <n v="0.3"/>
    <x v="1"/>
    <s v="Ravi"/>
    <n v="12"/>
    <x v="15"/>
  </r>
  <r>
    <x v="19"/>
    <x v="94"/>
    <n v="20"/>
    <n v="1.4"/>
    <x v="1"/>
    <s v="Ravi"/>
    <n v="28"/>
    <x v="15"/>
  </r>
  <r>
    <x v="19"/>
    <x v="72"/>
    <n v="34"/>
    <n v="0.45"/>
    <x v="1"/>
    <s v="Ravi"/>
    <n v="15.3"/>
    <x v="15"/>
  </r>
  <r>
    <x v="19"/>
    <x v="41"/>
    <n v="36"/>
    <n v="0.5"/>
    <x v="1"/>
    <s v="Ravi"/>
    <n v="18"/>
    <x v="15"/>
  </r>
  <r>
    <x v="19"/>
    <x v="42"/>
    <n v="42"/>
    <n v="1.5"/>
    <x v="1"/>
    <s v="Ravi"/>
    <n v="63"/>
    <x v="15"/>
  </r>
  <r>
    <x v="19"/>
    <x v="43"/>
    <n v="28"/>
    <n v="3"/>
    <x v="1"/>
    <s v="Ravi"/>
    <n v="84"/>
    <x v="15"/>
  </r>
  <r>
    <x v="19"/>
    <x v="44"/>
    <n v="52"/>
    <n v="5"/>
    <x v="1"/>
    <s v="Ravi"/>
    <n v="260"/>
    <x v="15"/>
  </r>
  <r>
    <x v="19"/>
    <x v="45"/>
    <n v="37"/>
    <n v="0.9"/>
    <x v="1"/>
    <s v="Ravi"/>
    <n v="33.300000000000004"/>
    <x v="15"/>
  </r>
  <r>
    <x v="19"/>
    <x v="47"/>
    <n v="280"/>
    <n v="8.5000000000000006E-2"/>
    <x v="1"/>
    <s v="Ravi"/>
    <n v="23.8"/>
    <x v="15"/>
  </r>
  <r>
    <x v="19"/>
    <x v="31"/>
    <n v="120"/>
    <n v="2.5000000000000001E-2"/>
    <x v="1"/>
    <s v="Ravi"/>
    <n v="3"/>
    <x v="15"/>
  </r>
  <r>
    <x v="19"/>
    <x v="127"/>
    <n v="90"/>
    <n v="0.19"/>
    <x v="1"/>
    <s v="Ravi"/>
    <n v="17.100000000000001"/>
    <x v="15"/>
  </r>
  <r>
    <x v="19"/>
    <x v="48"/>
    <n v="7"/>
    <n v="0.48"/>
    <x v="1"/>
    <s v="Ravi"/>
    <n v="3.36"/>
    <x v="15"/>
  </r>
  <r>
    <x v="19"/>
    <x v="71"/>
    <n v="187.41"/>
    <n v="5.5E-2"/>
    <x v="1"/>
    <s v="Ravi"/>
    <n v="10.307549999999999"/>
    <x v="15"/>
  </r>
  <r>
    <x v="19"/>
    <x v="37"/>
    <n v="138"/>
    <n v="0.02"/>
    <x v="1"/>
    <s v="Ravi"/>
    <n v="2.7600000000000002"/>
    <x v="15"/>
  </r>
  <r>
    <x v="19"/>
    <x v="11"/>
    <n v="82"/>
    <n v="1"/>
    <x v="1"/>
    <s v="Ravi"/>
    <n v="82"/>
    <x v="15"/>
  </r>
  <r>
    <x v="19"/>
    <x v="20"/>
    <n v="230"/>
    <n v="8.5000000000000006E-2"/>
    <x v="1"/>
    <s v="Ravi"/>
    <n v="19.55"/>
    <x v="15"/>
  </r>
  <r>
    <x v="19"/>
    <x v="50"/>
    <n v="70"/>
    <n v="0.05"/>
    <x v="1"/>
    <s v="Ravi"/>
    <n v="3.5"/>
    <x v="15"/>
  </r>
  <r>
    <x v="19"/>
    <x v="51"/>
    <n v="55"/>
    <n v="0.19"/>
    <x v="1"/>
    <s v="Ravi"/>
    <n v="10.45"/>
    <x v="15"/>
  </r>
  <r>
    <x v="19"/>
    <x v="0"/>
    <n v="14"/>
    <n v="3"/>
    <x v="1"/>
    <s v="Ravi"/>
    <n v="42"/>
    <x v="15"/>
  </r>
  <r>
    <x v="19"/>
    <x v="12"/>
    <n v="28"/>
    <n v="0.25"/>
    <x v="1"/>
    <s v="Ravi"/>
    <n v="7"/>
    <x v="15"/>
  </r>
  <r>
    <x v="19"/>
    <x v="76"/>
    <n v="34"/>
    <n v="0.75"/>
    <x v="1"/>
    <s v="Ravi"/>
    <n v="25.5"/>
    <x v="15"/>
  </r>
  <r>
    <x v="19"/>
    <x v="57"/>
    <n v="64.069999999999993"/>
    <n v="0.6"/>
    <x v="1"/>
    <s v="Ravi"/>
    <n v="38.441999999999993"/>
    <x v="15"/>
  </r>
  <r>
    <x v="19"/>
    <x v="54"/>
    <n v="170"/>
    <n v="0.18"/>
    <x v="1"/>
    <s v="Ravi"/>
    <n v="30.599999999999998"/>
    <x v="15"/>
  </r>
  <r>
    <x v="19"/>
    <x v="99"/>
    <n v="60"/>
    <n v="0.1"/>
    <x v="1"/>
    <s v="Ravi"/>
    <n v="6"/>
    <x v="15"/>
  </r>
  <r>
    <x v="19"/>
    <x v="37"/>
    <n v="138"/>
    <n v="0.03"/>
    <x v="1"/>
    <s v="Ravi"/>
    <n v="4.1399999999999997"/>
    <x v="15"/>
  </r>
  <r>
    <x v="19"/>
    <x v="2"/>
    <n v="30"/>
    <n v="0.25"/>
    <x v="1"/>
    <s v="Ravi"/>
    <n v="7.5"/>
    <x v="15"/>
  </r>
  <r>
    <x v="19"/>
    <x v="75"/>
    <n v="108"/>
    <n v="0.2"/>
    <x v="1"/>
    <s v="Ravi"/>
    <n v="21.6"/>
    <x v="15"/>
  </r>
  <r>
    <x v="19"/>
    <x v="111"/>
    <n v="125"/>
    <n v="0.08"/>
    <x v="1"/>
    <s v="Ravi"/>
    <n v="10"/>
    <x v="15"/>
  </r>
  <r>
    <x v="19"/>
    <x v="92"/>
    <n v="76"/>
    <n v="0.19500000000000001"/>
    <x v="1"/>
    <s v="Ravi"/>
    <n v="14.82"/>
    <x v="15"/>
  </r>
  <r>
    <x v="19"/>
    <x v="29"/>
    <n v="43.06"/>
    <n v="0.5"/>
    <x v="1"/>
    <s v="Ravi"/>
    <n v="21.53"/>
    <x v="15"/>
  </r>
  <r>
    <x v="19"/>
    <x v="30"/>
    <n v="27.97"/>
    <n v="0.6"/>
    <x v="1"/>
    <s v="Ravi"/>
    <n v="16.782"/>
    <x v="15"/>
  </r>
  <r>
    <x v="19"/>
    <x v="35"/>
    <n v="125"/>
    <n v="0.12"/>
    <x v="1"/>
    <s v="Ravi"/>
    <n v="15"/>
    <x v="15"/>
  </r>
  <r>
    <x v="19"/>
    <x v="62"/>
    <n v="312.14"/>
    <n v="0.06"/>
    <x v="1"/>
    <s v="Ravi"/>
    <n v="18.728399999999997"/>
    <x v="15"/>
  </r>
  <r>
    <x v="19"/>
    <x v="58"/>
    <n v="15"/>
    <n v="1.5"/>
    <x v="1"/>
    <s v="Ravi"/>
    <n v="22.5"/>
    <x v="15"/>
  </r>
  <r>
    <x v="19"/>
    <x v="131"/>
    <n v="44"/>
    <n v="1.3"/>
    <x v="1"/>
    <s v="Ravi"/>
    <n v="57.2"/>
    <x v="15"/>
  </r>
  <r>
    <x v="19"/>
    <x v="53"/>
    <n v="62.03"/>
    <n v="7.0000000000000007E-2"/>
    <x v="1"/>
    <s v="Ravi"/>
    <n v="4.3421000000000003"/>
    <x v="15"/>
  </r>
  <r>
    <x v="19"/>
    <x v="52"/>
    <n v="160"/>
    <n v="0.06"/>
    <x v="1"/>
    <s v="Ravi"/>
    <n v="9.6"/>
    <x v="15"/>
  </r>
  <r>
    <x v="19"/>
    <x v="90"/>
    <n v="120"/>
    <n v="0.15"/>
    <x v="1"/>
    <s v="Ravi"/>
    <n v="18"/>
    <x v="15"/>
  </r>
  <r>
    <x v="19"/>
    <x v="13"/>
    <n v="40"/>
    <n v="0.2"/>
    <x v="1"/>
    <s v="Ravi"/>
    <n v="8"/>
    <x v="15"/>
  </r>
  <r>
    <x v="19"/>
    <x v="1"/>
    <n v="30"/>
    <n v="0.01"/>
    <x v="1"/>
    <s v="Ravi"/>
    <n v="0.3"/>
    <x v="15"/>
  </r>
  <r>
    <x v="19"/>
    <x v="25"/>
    <n v="1450"/>
    <n v="0.05"/>
    <x v="1"/>
    <s v="Ravi"/>
    <n v="72.5"/>
    <x v="15"/>
  </r>
  <r>
    <x v="19"/>
    <x v="56"/>
    <n v="840"/>
    <n v="2.5000000000000001E-2"/>
    <x v="1"/>
    <s v="Ravi"/>
    <n v="21"/>
    <x v="15"/>
  </r>
  <r>
    <x v="19"/>
    <x v="55"/>
    <n v="240"/>
    <n v="2.5000000000000001E-2"/>
    <x v="1"/>
    <s v="Ravi"/>
    <n v="6"/>
    <x v="15"/>
  </r>
  <r>
    <x v="19"/>
    <x v="36"/>
    <n v="280"/>
    <n v="0.03"/>
    <x v="1"/>
    <s v="Ravi"/>
    <n v="8.4"/>
    <x v="15"/>
  </r>
  <r>
    <x v="19"/>
    <x v="46"/>
    <n v="35"/>
    <n v="2.5"/>
    <x v="1"/>
    <s v="Ravi"/>
    <n v="87.5"/>
    <x v="15"/>
  </r>
  <r>
    <x v="19"/>
    <x v="19"/>
    <n v="23.33"/>
    <n v="0.11"/>
    <x v="1"/>
    <s v="Ravi"/>
    <n v="2.5663"/>
    <x v="15"/>
  </r>
  <r>
    <x v="19"/>
    <x v="14"/>
    <n v="25"/>
    <n v="0.26"/>
    <x v="1"/>
    <s v="Ravi"/>
    <n v="6.5"/>
    <x v="15"/>
  </r>
  <r>
    <x v="19"/>
    <x v="94"/>
    <n v="20"/>
    <n v="1.4"/>
    <x v="1"/>
    <s v="Ravi"/>
    <n v="28"/>
    <x v="15"/>
  </r>
  <r>
    <x v="19"/>
    <x v="64"/>
    <n v="78.95"/>
    <n v="15"/>
    <x v="3"/>
    <s v="Common"/>
    <n v="1184.25"/>
    <x v="15"/>
  </r>
  <r>
    <x v="20"/>
    <x v="41"/>
    <n v="36"/>
    <n v="2.5"/>
    <x v="1"/>
    <s v="Ravi"/>
    <n v="90"/>
    <x v="15"/>
  </r>
  <r>
    <x v="20"/>
    <x v="42"/>
    <n v="42"/>
    <n v="1.5"/>
    <x v="1"/>
    <s v="Ravi"/>
    <n v="63"/>
    <x v="15"/>
  </r>
  <r>
    <x v="20"/>
    <x v="43"/>
    <n v="28"/>
    <n v="4"/>
    <x v="1"/>
    <s v="Ravi"/>
    <n v="112"/>
    <x v="15"/>
  </r>
  <r>
    <x v="20"/>
    <x v="44"/>
    <n v="52"/>
    <n v="4.5"/>
    <x v="1"/>
    <s v="Ravi"/>
    <n v="234"/>
    <x v="15"/>
  </r>
  <r>
    <x v="20"/>
    <x v="45"/>
    <n v="37"/>
    <n v="0.45"/>
    <x v="1"/>
    <s v="Ravi"/>
    <n v="16.650000000000002"/>
    <x v="15"/>
  </r>
  <r>
    <x v="20"/>
    <x v="47"/>
    <n v="280"/>
    <n v="0.1"/>
    <x v="1"/>
    <s v="Ravi"/>
    <n v="28"/>
    <x v="15"/>
  </r>
  <r>
    <x v="20"/>
    <x v="31"/>
    <n v="120"/>
    <n v="7.0000000000000007E-2"/>
    <x v="1"/>
    <s v="Ravi"/>
    <n v="8.4"/>
    <x v="15"/>
  </r>
  <r>
    <x v="20"/>
    <x v="48"/>
    <n v="7"/>
    <n v="0.8"/>
    <x v="1"/>
    <s v="Ravi"/>
    <n v="5.6000000000000005"/>
    <x v="15"/>
  </r>
  <r>
    <x v="20"/>
    <x v="71"/>
    <n v="187.41"/>
    <n v="4.4999999999999998E-2"/>
    <x v="1"/>
    <s v="Ravi"/>
    <n v="8.4334499999999988"/>
    <x v="15"/>
  </r>
  <r>
    <x v="20"/>
    <x v="11"/>
    <n v="82"/>
    <n v="1"/>
    <x v="1"/>
    <s v="Ravi"/>
    <n v="82"/>
    <x v="15"/>
  </r>
  <r>
    <x v="20"/>
    <x v="20"/>
    <n v="230"/>
    <n v="0.115"/>
    <x v="1"/>
    <s v="Ravi"/>
    <n v="26.450000000000003"/>
    <x v="15"/>
  </r>
  <r>
    <x v="20"/>
    <x v="50"/>
    <n v="70"/>
    <n v="0.05"/>
    <x v="1"/>
    <s v="Ravi"/>
    <n v="3.5"/>
    <x v="15"/>
  </r>
  <r>
    <x v="20"/>
    <x v="51"/>
    <n v="55"/>
    <n v="0.22"/>
    <x v="1"/>
    <s v="Ravi"/>
    <n v="12.1"/>
    <x v="15"/>
  </r>
  <r>
    <x v="20"/>
    <x v="0"/>
    <n v="14"/>
    <n v="3"/>
    <x v="1"/>
    <s v="Ravi"/>
    <n v="42"/>
    <x v="15"/>
  </r>
  <r>
    <x v="20"/>
    <x v="12"/>
    <n v="28"/>
    <n v="0.3"/>
    <x v="1"/>
    <s v="Ravi"/>
    <n v="8.4"/>
    <x v="15"/>
  </r>
  <r>
    <x v="20"/>
    <x v="13"/>
    <n v="40"/>
    <n v="0.15"/>
    <x v="1"/>
    <s v="Ravi"/>
    <n v="6"/>
    <x v="15"/>
  </r>
  <r>
    <x v="20"/>
    <x v="76"/>
    <n v="34"/>
    <n v="0.75"/>
    <x v="1"/>
    <s v="Ravi"/>
    <n v="25.5"/>
    <x v="15"/>
  </r>
  <r>
    <x v="20"/>
    <x v="99"/>
    <n v="60"/>
    <n v="0.12"/>
    <x v="1"/>
    <s v="Ravi"/>
    <n v="7.1999999999999993"/>
    <x v="15"/>
  </r>
  <r>
    <x v="20"/>
    <x v="61"/>
    <n v="61.08"/>
    <n v="0.45"/>
    <x v="1"/>
    <s v="Ravi"/>
    <n v="27.486000000000001"/>
    <x v="15"/>
  </r>
  <r>
    <x v="20"/>
    <x v="37"/>
    <n v="138"/>
    <n v="0.03"/>
    <x v="1"/>
    <s v="Ravi"/>
    <n v="4.1399999999999997"/>
    <x v="15"/>
  </r>
  <r>
    <x v="20"/>
    <x v="36"/>
    <n v="280"/>
    <n v="0.03"/>
    <x v="1"/>
    <s v="Ravi"/>
    <n v="8.4"/>
    <x v="15"/>
  </r>
  <r>
    <x v="20"/>
    <x v="2"/>
    <n v="30"/>
    <n v="0.3"/>
    <x v="1"/>
    <s v="Ravi"/>
    <n v="9"/>
    <x v="15"/>
  </r>
  <r>
    <x v="20"/>
    <x v="111"/>
    <n v="125"/>
    <n v="3.5000000000000003E-2"/>
    <x v="1"/>
    <s v="Ravi"/>
    <n v="4.375"/>
    <x v="15"/>
  </r>
  <r>
    <x v="20"/>
    <x v="92"/>
    <n v="76"/>
    <n v="0.115"/>
    <x v="1"/>
    <s v="Ravi"/>
    <n v="8.74"/>
    <x v="15"/>
  </r>
  <r>
    <x v="20"/>
    <x v="29"/>
    <n v="43.06"/>
    <n v="0.5"/>
    <x v="1"/>
    <s v="Ravi"/>
    <n v="21.53"/>
    <x v="15"/>
  </r>
  <r>
    <x v="20"/>
    <x v="30"/>
    <n v="27.97"/>
    <n v="0.4"/>
    <x v="1"/>
    <s v="Ravi"/>
    <n v="11.188000000000001"/>
    <x v="15"/>
  </r>
  <r>
    <x v="20"/>
    <x v="19"/>
    <n v="23.33"/>
    <n v="0.12"/>
    <x v="1"/>
    <s v="Ravi"/>
    <n v="2.7995999999999999"/>
    <x v="15"/>
  </r>
  <r>
    <x v="20"/>
    <x v="35"/>
    <n v="125"/>
    <n v="0.06"/>
    <x v="1"/>
    <s v="Ravi"/>
    <n v="7.5"/>
    <x v="15"/>
  </r>
  <r>
    <x v="20"/>
    <x v="62"/>
    <n v="312.14"/>
    <n v="0.06"/>
    <x v="1"/>
    <s v="Ravi"/>
    <n v="18.728399999999997"/>
    <x v="15"/>
  </r>
  <r>
    <x v="20"/>
    <x v="14"/>
    <n v="25"/>
    <n v="0.25"/>
    <x v="1"/>
    <s v="Ravi"/>
    <n v="6.25"/>
    <x v="15"/>
  </r>
  <r>
    <x v="20"/>
    <x v="58"/>
    <n v="15"/>
    <n v="1.5"/>
    <x v="1"/>
    <s v="Ravi"/>
    <n v="22.5"/>
    <x v="15"/>
  </r>
  <r>
    <x v="20"/>
    <x v="46"/>
    <n v="35"/>
    <n v="1"/>
    <x v="1"/>
    <s v="Ravi"/>
    <n v="35"/>
    <x v="15"/>
  </r>
  <r>
    <x v="20"/>
    <x v="53"/>
    <n v="62.03"/>
    <n v="0.11"/>
    <x v="1"/>
    <s v="Ravi"/>
    <n v="6.8233000000000006"/>
    <x v="15"/>
  </r>
  <r>
    <x v="20"/>
    <x v="52"/>
    <n v="160"/>
    <n v="0.08"/>
    <x v="1"/>
    <s v="Ravi"/>
    <n v="12.8"/>
    <x v="15"/>
  </r>
  <r>
    <x v="20"/>
    <x v="46"/>
    <n v="35"/>
    <n v="1.7"/>
    <x v="1"/>
    <s v="Ravi"/>
    <n v="59.5"/>
    <x v="15"/>
  </r>
  <r>
    <x v="20"/>
    <x v="1"/>
    <n v="30"/>
    <n v="0.35"/>
    <x v="1"/>
    <s v="Ravi"/>
    <n v="10.5"/>
    <x v="15"/>
  </r>
  <r>
    <x v="20"/>
    <x v="25"/>
    <n v="1450"/>
    <n v="0.01"/>
    <x v="1"/>
    <s v="Ravi"/>
    <n v="14.5"/>
    <x v="15"/>
  </r>
  <r>
    <x v="20"/>
    <x v="46"/>
    <n v="35"/>
    <n v="1"/>
    <x v="1"/>
    <s v="Ravi"/>
    <n v="35"/>
    <x v="15"/>
  </r>
  <r>
    <x v="20"/>
    <x v="78"/>
    <n v="40"/>
    <n v="0.3"/>
    <x v="1"/>
    <s v="Ravi"/>
    <n v="12"/>
    <x v="15"/>
  </r>
  <r>
    <x v="19"/>
    <x v="57"/>
    <n v="64.069999999999993"/>
    <n v="0.5"/>
    <x v="1"/>
    <s v="Ravi"/>
    <n v="32.034999999999997"/>
    <x v="15"/>
  </r>
  <r>
    <x v="20"/>
    <x v="57"/>
    <n v="64.069999999999993"/>
    <n v="0.5"/>
    <x v="1"/>
    <s v="Ravi"/>
    <n v="32.034999999999997"/>
    <x v="15"/>
  </r>
  <r>
    <x v="20"/>
    <x v="41"/>
    <n v="36"/>
    <n v="0.5"/>
    <x v="1"/>
    <s v="Ravi"/>
    <n v="18"/>
    <x v="15"/>
  </r>
  <r>
    <x v="20"/>
    <x v="56"/>
    <n v="840"/>
    <n v="2.5000000000000001E-2"/>
    <x v="1"/>
    <s v="Ravi"/>
    <n v="21"/>
    <x v="15"/>
  </r>
  <r>
    <x v="20"/>
    <x v="55"/>
    <n v="240"/>
    <n v="2.5000000000000001E-2"/>
    <x v="1"/>
    <s v="Ravi"/>
    <n v="6"/>
    <x v="15"/>
  </r>
  <r>
    <x v="20"/>
    <x v="64"/>
    <n v="78.95"/>
    <n v="4.3"/>
    <x v="1"/>
    <s v="Ravi"/>
    <n v="339.48500000000001"/>
    <x v="15"/>
  </r>
  <r>
    <x v="20"/>
    <x v="64"/>
    <n v="78.95"/>
    <n v="0.4"/>
    <x v="2"/>
    <s v="Ravi"/>
    <n v="31.580000000000002"/>
    <x v="15"/>
  </r>
  <r>
    <x v="20"/>
    <x v="64"/>
    <n v="78.95"/>
    <n v="11.2"/>
    <x v="0"/>
    <s v="Murthy"/>
    <n v="884.24"/>
    <x v="15"/>
  </r>
  <r>
    <x v="20"/>
    <x v="41"/>
    <n v="36"/>
    <n v="2.5"/>
    <x v="5"/>
    <s v="Ravi"/>
    <n v="90"/>
    <x v="15"/>
  </r>
  <r>
    <x v="20"/>
    <x v="77"/>
    <n v="30"/>
    <n v="0.56000000000000005"/>
    <x v="5"/>
    <s v="Ravi"/>
    <n v="16.8"/>
    <x v="15"/>
  </r>
  <r>
    <x v="20"/>
    <x v="79"/>
    <n v="20"/>
    <n v="3.15"/>
    <x v="5"/>
    <s v="Ravi"/>
    <n v="63"/>
    <x v="15"/>
  </r>
  <r>
    <x v="20"/>
    <x v="121"/>
    <n v="150"/>
    <n v="2"/>
    <x v="5"/>
    <s v="Ravi"/>
    <n v="300"/>
    <x v="15"/>
  </r>
  <r>
    <x v="20"/>
    <x v="77"/>
    <n v="30"/>
    <n v="1.05"/>
    <x v="5"/>
    <s v="Ravi"/>
    <n v="31.5"/>
    <x v="15"/>
  </r>
  <r>
    <x v="20"/>
    <x v="88"/>
    <n v="20"/>
    <n v="0.9"/>
    <x v="5"/>
    <s v="Ravi"/>
    <n v="18"/>
    <x v="15"/>
  </r>
  <r>
    <x v="20"/>
    <x v="79"/>
    <n v="20"/>
    <n v="2.835"/>
    <x v="5"/>
    <s v="Ravi"/>
    <n v="56.7"/>
    <x v="15"/>
  </r>
  <r>
    <x v="20"/>
    <x v="122"/>
    <n v="20"/>
    <n v="1.7"/>
    <x v="5"/>
    <s v="Ravi"/>
    <n v="34"/>
    <x v="15"/>
  </r>
  <r>
    <x v="20"/>
    <x v="83"/>
    <n v="48"/>
    <n v="0.4"/>
    <x v="2"/>
    <s v="Ravi"/>
    <n v="19.200000000000003"/>
    <x v="15"/>
  </r>
  <r>
    <x v="20"/>
    <x v="9"/>
    <n v="14.75"/>
    <n v="0.4"/>
    <x v="2"/>
    <s v="Ravi"/>
    <n v="5.9"/>
    <x v="15"/>
  </r>
  <r>
    <x v="20"/>
    <x v="0"/>
    <n v="14"/>
    <n v="0.5"/>
    <x v="2"/>
    <s v="Ravi"/>
    <n v="7"/>
    <x v="15"/>
  </r>
  <r>
    <x v="20"/>
    <x v="30"/>
    <n v="27.97"/>
    <n v="0.28000000000000003"/>
    <x v="2"/>
    <s v="Ravi"/>
    <n v="7.8316000000000008"/>
    <x v="15"/>
  </r>
  <r>
    <x v="20"/>
    <x v="14"/>
    <n v="25"/>
    <n v="0.04"/>
    <x v="2"/>
    <s v="Ravi"/>
    <n v="1"/>
    <x v="15"/>
  </r>
  <r>
    <x v="20"/>
    <x v="5"/>
    <n v="49.5"/>
    <n v="0.4"/>
    <x v="2"/>
    <s v="Ravi"/>
    <n v="19.8"/>
    <x v="15"/>
  </r>
  <r>
    <x v="20"/>
    <x v="0"/>
    <n v="14"/>
    <n v="0.2"/>
    <x v="6"/>
    <s v="Jaggu"/>
    <n v="2.8000000000000003"/>
    <x v="15"/>
  </r>
  <r>
    <x v="20"/>
    <x v="63"/>
    <n v="3"/>
    <n v="8"/>
    <x v="6"/>
    <s v="Jaggu"/>
    <n v="24"/>
    <x v="15"/>
  </r>
  <r>
    <x v="20"/>
    <x v="130"/>
    <n v="14"/>
    <n v="3"/>
    <x v="8"/>
    <s v="Manju"/>
    <n v="42"/>
    <x v="15"/>
  </r>
  <r>
    <x v="20"/>
    <x v="45"/>
    <n v="37"/>
    <n v="1"/>
    <x v="4"/>
    <s v="Vicky"/>
    <n v="37"/>
    <x v="15"/>
  </r>
  <r>
    <x v="20"/>
    <x v="41"/>
    <n v="36"/>
    <n v="4.5"/>
    <x v="4"/>
    <s v="Vicky"/>
    <n v="162"/>
    <x v="15"/>
  </r>
  <r>
    <x v="20"/>
    <x v="42"/>
    <n v="42"/>
    <n v="0.5"/>
    <x v="2"/>
    <s v="Ravi"/>
    <n v="21"/>
    <x v="15"/>
  </r>
  <r>
    <x v="20"/>
    <x v="65"/>
    <n v="390"/>
    <n v="0.3"/>
    <x v="4"/>
    <s v="Vicky"/>
    <n v="117"/>
    <x v="15"/>
  </r>
  <r>
    <x v="20"/>
    <x v="42"/>
    <n v="42"/>
    <n v="1"/>
    <x v="0"/>
    <s v="Murthy"/>
    <n v="42"/>
    <x v="15"/>
  </r>
  <r>
    <x v="20"/>
    <x v="1"/>
    <n v="30"/>
    <n v="1.1000000000000001"/>
    <x v="0"/>
    <s v="Murthy"/>
    <n v="33"/>
    <x v="15"/>
  </r>
  <r>
    <x v="20"/>
    <x v="0"/>
    <n v="14"/>
    <n v="4.5"/>
    <x v="0"/>
    <s v="Murthy"/>
    <n v="63"/>
    <x v="15"/>
  </r>
  <r>
    <x v="20"/>
    <x v="2"/>
    <n v="30"/>
    <n v="0.6"/>
    <x v="0"/>
    <s v="Murthy"/>
    <n v="18"/>
    <x v="15"/>
  </r>
  <r>
    <x v="20"/>
    <x v="68"/>
    <n v="75"/>
    <n v="1"/>
    <x v="0"/>
    <s v="Murthy"/>
    <n v="75"/>
    <x v="15"/>
  </r>
  <r>
    <x v="20"/>
    <x v="29"/>
    <n v="43.06"/>
    <n v="1.2"/>
    <x v="0"/>
    <s v="Murthy"/>
    <n v="51.672000000000004"/>
    <x v="15"/>
  </r>
  <r>
    <x v="20"/>
    <x v="14"/>
    <n v="25"/>
    <n v="0.5"/>
    <x v="0"/>
    <s v="Murthy"/>
    <n v="12.5"/>
    <x v="15"/>
  </r>
  <r>
    <x v="20"/>
    <x v="28"/>
    <n v="64"/>
    <n v="3.5"/>
    <x v="0"/>
    <s v="Murthy"/>
    <n v="224"/>
    <x v="15"/>
  </r>
  <r>
    <x v="20"/>
    <x v="38"/>
    <n v="27"/>
    <n v="3.1"/>
    <x v="0"/>
    <s v="Murthy"/>
    <n v="83.7"/>
    <x v="15"/>
  </r>
  <r>
    <x v="20"/>
    <x v="11"/>
    <n v="82"/>
    <n v="6"/>
    <x v="0"/>
    <s v="Murthy"/>
    <n v="492"/>
    <x v="15"/>
  </r>
  <r>
    <x v="20"/>
    <x v="7"/>
    <n v="38"/>
    <n v="2.4"/>
    <x v="0"/>
    <s v="Murthy"/>
    <n v="91.2"/>
    <x v="15"/>
  </r>
  <r>
    <x v="20"/>
    <x v="35"/>
    <n v="125"/>
    <n v="0.12"/>
    <x v="0"/>
    <s v="Murthy"/>
    <n v="15"/>
    <x v="15"/>
  </r>
  <r>
    <x v="20"/>
    <x v="30"/>
    <n v="27.97"/>
    <n v="1.2"/>
    <x v="0"/>
    <s v="Murthy"/>
    <n v="33.564"/>
    <x v="15"/>
  </r>
  <r>
    <x v="20"/>
    <x v="20"/>
    <n v="230"/>
    <n v="0.05"/>
    <x v="0"/>
    <s v="Murthy"/>
    <n v="11.5"/>
    <x v="15"/>
  </r>
  <r>
    <x v="20"/>
    <x v="8"/>
    <n v="29.51"/>
    <n v="2.42"/>
    <x v="0"/>
    <s v="Murthy"/>
    <n v="71.414200000000008"/>
    <x v="15"/>
  </r>
  <r>
    <x v="20"/>
    <x v="22"/>
    <n v="62"/>
    <n v="1.5"/>
    <x v="0"/>
    <s v="Murthy"/>
    <n v="93"/>
    <x v="15"/>
  </r>
  <r>
    <x v="20"/>
    <x v="23"/>
    <n v="220"/>
    <n v="5.0000000000000001E-3"/>
    <x v="0"/>
    <s v="Murthy"/>
    <n v="1.1000000000000001"/>
    <x v="15"/>
  </r>
  <r>
    <x v="20"/>
    <x v="24"/>
    <n v="740"/>
    <n v="5.0000000000000001E-3"/>
    <x v="0"/>
    <s v="Murthy"/>
    <n v="3.7"/>
    <x v="15"/>
  </r>
  <r>
    <x v="20"/>
    <x v="25"/>
    <n v="1450"/>
    <n v="5.0000000000000001E-3"/>
    <x v="0"/>
    <s v="Murthy"/>
    <n v="7.25"/>
    <x v="15"/>
  </r>
  <r>
    <x v="20"/>
    <x v="26"/>
    <n v="750"/>
    <n v="5.0000000000000001E-3"/>
    <x v="0"/>
    <s v="Murthy"/>
    <n v="3.75"/>
    <x v="15"/>
  </r>
  <r>
    <x v="20"/>
    <x v="27"/>
    <n v="1480"/>
    <n v="5.0000000000000001E-3"/>
    <x v="0"/>
    <s v="Murthy"/>
    <n v="7.4"/>
    <x v="15"/>
  </r>
  <r>
    <x v="20"/>
    <x v="14"/>
    <n v="25"/>
    <n v="0.25"/>
    <x v="0"/>
    <s v="Murthy"/>
    <n v="6.25"/>
    <x v="15"/>
  </r>
  <r>
    <x v="20"/>
    <x v="6"/>
    <n v="26"/>
    <n v="10"/>
    <x v="0"/>
    <s v="Murthy"/>
    <n v="260"/>
    <x v="15"/>
  </r>
  <r>
    <x v="20"/>
    <x v="66"/>
    <n v="3"/>
    <n v="0.5"/>
    <x v="0"/>
    <s v="Murthy"/>
    <n v="1.5"/>
    <x v="15"/>
  </r>
  <r>
    <x v="20"/>
    <x v="47"/>
    <n v="280"/>
    <n v="0.18"/>
    <x v="0"/>
    <s v="Murthy"/>
    <n v="50.4"/>
    <x v="15"/>
  </r>
  <r>
    <x v="20"/>
    <x v="59"/>
    <n v="57.5"/>
    <n v="0.01"/>
    <x v="0"/>
    <s v="Murthy"/>
    <n v="0.57500000000000007"/>
    <x v="15"/>
  </r>
  <r>
    <x v="20"/>
    <x v="71"/>
    <n v="187.41"/>
    <n v="0.02"/>
    <x v="0"/>
    <s v="Murthy"/>
    <n v="3.7482000000000002"/>
    <x v="15"/>
  </r>
  <r>
    <x v="20"/>
    <x v="87"/>
    <n v="48"/>
    <n v="0.08"/>
    <x v="0"/>
    <s v="Murthy"/>
    <n v="3.84"/>
    <x v="15"/>
  </r>
  <r>
    <x v="20"/>
    <x v="3"/>
    <n v="17"/>
    <n v="0.41"/>
    <x v="0"/>
    <s v="Murthy"/>
    <n v="6.97"/>
    <x v="15"/>
  </r>
  <r>
    <x v="20"/>
    <x v="97"/>
    <n v="380"/>
    <n v="2.5000000000000001E-2"/>
    <x v="0"/>
    <s v="Murthy"/>
    <n v="9.5"/>
    <x v="15"/>
  </r>
  <r>
    <x v="20"/>
    <x v="4"/>
    <n v="180"/>
    <n v="0.27"/>
    <x v="0"/>
    <s v="Murthy"/>
    <n v="48.6"/>
    <x v="15"/>
  </r>
  <r>
    <x v="20"/>
    <x v="84"/>
    <n v="148"/>
    <n v="0.28000000000000003"/>
    <x v="0"/>
    <s v="Murthy"/>
    <n v="41.440000000000005"/>
    <x v="15"/>
  </r>
  <r>
    <x v="20"/>
    <x v="85"/>
    <n v="24"/>
    <n v="0.17499999999999999"/>
    <x v="0"/>
    <s v="Murthy"/>
    <n v="4.1999999999999993"/>
    <x v="15"/>
  </r>
  <r>
    <x v="20"/>
    <x v="69"/>
    <n v="33"/>
    <n v="0.16"/>
    <x v="0"/>
    <s v="Murthy"/>
    <n v="5.28"/>
    <x v="15"/>
  </r>
  <r>
    <x v="20"/>
    <x v="39"/>
    <n v="75"/>
    <n v="0.77"/>
    <x v="0"/>
    <s v="Murthy"/>
    <n v="57.75"/>
    <x v="15"/>
  </r>
  <r>
    <x v="20"/>
    <x v="31"/>
    <n v="120"/>
    <n v="0.125"/>
    <x v="0"/>
    <s v="Murthy"/>
    <n v="15"/>
    <x v="15"/>
  </r>
  <r>
    <x v="20"/>
    <x v="119"/>
    <n v="55"/>
    <n v="5.0000000000000001E-3"/>
    <x v="0"/>
    <s v="Murthy"/>
    <n v="0.27500000000000002"/>
    <x v="15"/>
  </r>
  <r>
    <x v="20"/>
    <x v="34"/>
    <n v="51"/>
    <n v="6.5000000000000002E-2"/>
    <x v="0"/>
    <s v="Murthy"/>
    <n v="3.3149999999999999"/>
    <x v="15"/>
  </r>
  <r>
    <x v="20"/>
    <x v="101"/>
    <n v="190"/>
    <n v="0.25"/>
    <x v="0"/>
    <s v="Murthy"/>
    <n v="47.5"/>
    <x v="15"/>
  </r>
  <r>
    <x v="20"/>
    <x v="100"/>
    <n v="430"/>
    <n v="0.22"/>
    <x v="0"/>
    <s v="Murthy"/>
    <n v="94.6"/>
    <x v="15"/>
  </r>
  <r>
    <x v="20"/>
    <x v="16"/>
    <n v="60"/>
    <n v="0.8"/>
    <x v="0"/>
    <s v="Murthy"/>
    <n v="48"/>
    <x v="15"/>
  </r>
  <r>
    <x v="20"/>
    <x v="17"/>
    <n v="140"/>
    <n v="0.9"/>
    <x v="0"/>
    <s v="Murthy"/>
    <n v="126"/>
    <x v="15"/>
  </r>
  <r>
    <x v="20"/>
    <x v="32"/>
    <n v="32"/>
    <n v="6"/>
    <x v="0"/>
    <s v="Murthy"/>
    <n v="192"/>
    <x v="15"/>
  </r>
  <r>
    <x v="20"/>
    <x v="118"/>
    <n v="280"/>
    <n v="0.3"/>
    <x v="0"/>
    <s v="Murthy"/>
    <n v="84"/>
    <x v="15"/>
  </r>
  <r>
    <x v="20"/>
    <x v="67"/>
    <n v="33"/>
    <n v="0.2"/>
    <x v="0"/>
    <s v="Murthy"/>
    <n v="6.6000000000000005"/>
    <x v="15"/>
  </r>
  <r>
    <x v="20"/>
    <x v="109"/>
    <n v="100"/>
    <n v="0.48"/>
    <x v="0"/>
    <s v="Murthy"/>
    <n v="48"/>
    <x v="15"/>
  </r>
  <r>
    <x v="20"/>
    <x v="124"/>
    <n v="0"/>
    <n v="1.47"/>
    <x v="0"/>
    <s v="Murthy"/>
    <n v="0"/>
    <x v="15"/>
  </r>
  <r>
    <x v="20"/>
    <x v="115"/>
    <n v="0"/>
    <n v="2.12"/>
    <x v="0"/>
    <s v="Murthy"/>
    <n v="0"/>
    <x v="15"/>
  </r>
  <r>
    <x v="20"/>
    <x v="41"/>
    <n v="36"/>
    <n v="0.5"/>
    <x v="0"/>
    <s v="Murthy"/>
    <n v="18"/>
    <x v="15"/>
  </r>
  <r>
    <x v="20"/>
    <x v="41"/>
    <n v="36"/>
    <n v="2"/>
    <x v="9"/>
    <s v="Staff"/>
    <n v="72"/>
    <x v="15"/>
  </r>
  <r>
    <x v="21"/>
    <x v="28"/>
    <n v="64"/>
    <n v="2.1"/>
    <x v="0"/>
    <s v="Murthy"/>
    <n v="134.4"/>
    <x v="15"/>
  </r>
  <r>
    <x v="21"/>
    <x v="1"/>
    <n v="30"/>
    <n v="1.55"/>
    <x v="0"/>
    <s v="Murthy"/>
    <n v="46.5"/>
    <x v="15"/>
  </r>
  <r>
    <x v="21"/>
    <x v="0"/>
    <n v="14"/>
    <n v="9.1999999999999993"/>
    <x v="0"/>
    <s v="Murthy"/>
    <n v="128.79999999999998"/>
    <x v="15"/>
  </r>
  <r>
    <x v="21"/>
    <x v="2"/>
    <n v="30"/>
    <n v="0.6"/>
    <x v="0"/>
    <s v="Murthy"/>
    <n v="18"/>
    <x v="15"/>
  </r>
  <r>
    <x v="21"/>
    <x v="38"/>
    <n v="27"/>
    <n v="3"/>
    <x v="0"/>
    <s v="Murthy"/>
    <n v="81"/>
    <x v="15"/>
  </r>
  <r>
    <x v="21"/>
    <x v="14"/>
    <n v="25"/>
    <n v="0.82000000000000006"/>
    <x v="0"/>
    <s v="Murthy"/>
    <n v="20.5"/>
    <x v="15"/>
  </r>
  <r>
    <x v="21"/>
    <x v="66"/>
    <n v="3"/>
    <n v="2.5"/>
    <x v="0"/>
    <s v="Murthy"/>
    <n v="7.5"/>
    <x v="15"/>
  </r>
  <r>
    <x v="21"/>
    <x v="30"/>
    <n v="27.97"/>
    <n v="0.9"/>
    <x v="0"/>
    <s v="Murthy"/>
    <n v="25.172999999999998"/>
    <x v="15"/>
  </r>
  <r>
    <x v="21"/>
    <x v="8"/>
    <n v="29.51"/>
    <n v="0.7"/>
    <x v="0"/>
    <s v="Murthy"/>
    <n v="20.657"/>
    <x v="15"/>
  </r>
  <r>
    <x v="21"/>
    <x v="41"/>
    <n v="36"/>
    <n v="0.5"/>
    <x v="0"/>
    <s v="Murthy"/>
    <n v="18"/>
    <x v="15"/>
  </r>
  <r>
    <x v="21"/>
    <x v="12"/>
    <n v="28"/>
    <n v="0.5"/>
    <x v="0"/>
    <s v="Murthy"/>
    <n v="14"/>
    <x v="15"/>
  </r>
  <r>
    <x v="21"/>
    <x v="13"/>
    <n v="40"/>
    <n v="0.15"/>
    <x v="0"/>
    <s v="Murthy"/>
    <n v="6"/>
    <x v="15"/>
  </r>
  <r>
    <x v="21"/>
    <x v="11"/>
    <n v="82"/>
    <n v="5"/>
    <x v="0"/>
    <s v="Murthy"/>
    <n v="410"/>
    <x v="15"/>
  </r>
  <r>
    <x v="21"/>
    <x v="8"/>
    <n v="29.51"/>
    <n v="2.4"/>
    <x v="0"/>
    <s v="Murthy"/>
    <n v="70.823999999999998"/>
    <x v="15"/>
  </r>
  <r>
    <x v="21"/>
    <x v="22"/>
    <n v="62"/>
    <n v="1"/>
    <x v="0"/>
    <s v="Murthy"/>
    <n v="62"/>
    <x v="15"/>
  </r>
  <r>
    <x v="21"/>
    <x v="63"/>
    <n v="3"/>
    <n v="5"/>
    <x v="0"/>
    <s v="Murthy"/>
    <n v="15"/>
    <x v="15"/>
  </r>
  <r>
    <x v="21"/>
    <x v="23"/>
    <n v="220"/>
    <n v="0.01"/>
    <x v="0"/>
    <s v="Murthy"/>
    <n v="2.2000000000000002"/>
    <x v="15"/>
  </r>
  <r>
    <x v="21"/>
    <x v="24"/>
    <n v="740"/>
    <n v="0.01"/>
    <x v="0"/>
    <s v="Murthy"/>
    <n v="7.4"/>
    <x v="15"/>
  </r>
  <r>
    <x v="21"/>
    <x v="25"/>
    <n v="1450"/>
    <n v="0.01"/>
    <x v="0"/>
    <s v="Murthy"/>
    <n v="14.5"/>
    <x v="15"/>
  </r>
  <r>
    <x v="21"/>
    <x v="26"/>
    <n v="750"/>
    <n v="0.01"/>
    <x v="0"/>
    <s v="Murthy"/>
    <n v="7.5"/>
    <x v="15"/>
  </r>
  <r>
    <x v="21"/>
    <x v="132"/>
    <n v="250"/>
    <n v="5.0000000000000001E-3"/>
    <x v="0"/>
    <s v="Murthy"/>
    <n v="1.25"/>
    <x v="15"/>
  </r>
  <r>
    <x v="21"/>
    <x v="93"/>
    <n v="72"/>
    <n v="0.1"/>
    <x v="0"/>
    <s v="Murthy"/>
    <n v="7.2"/>
    <x v="15"/>
  </r>
  <r>
    <x v="21"/>
    <x v="19"/>
    <n v="23.33"/>
    <n v="0.2"/>
    <x v="0"/>
    <s v="Murthy"/>
    <n v="4.6659999999999995"/>
    <x v="15"/>
  </r>
  <r>
    <x v="21"/>
    <x v="68"/>
    <n v="75"/>
    <n v="0.5"/>
    <x v="0"/>
    <s v="Murthy"/>
    <n v="37.5"/>
    <x v="15"/>
  </r>
  <r>
    <x v="21"/>
    <x v="29"/>
    <n v="43.06"/>
    <n v="1"/>
    <x v="0"/>
    <s v="Murthy"/>
    <n v="43.06"/>
    <x v="15"/>
  </r>
  <r>
    <x v="21"/>
    <x v="30"/>
    <n v="27.97"/>
    <n v="1.1000000000000001"/>
    <x v="0"/>
    <s v="Murthy"/>
    <n v="30.766999999999999"/>
    <x v="15"/>
  </r>
  <r>
    <x v="21"/>
    <x v="6"/>
    <n v="26"/>
    <n v="10"/>
    <x v="0"/>
    <s v="Murthy"/>
    <n v="260"/>
    <x v="15"/>
  </r>
  <r>
    <x v="21"/>
    <x v="47"/>
    <n v="280"/>
    <n v="0.155"/>
    <x v="0"/>
    <s v="Murthy"/>
    <n v="43.4"/>
    <x v="15"/>
  </r>
  <r>
    <x v="21"/>
    <x v="59"/>
    <n v="57.5"/>
    <n v="0.1"/>
    <x v="0"/>
    <s v="Murthy"/>
    <n v="5.75"/>
    <x v="15"/>
  </r>
  <r>
    <x v="21"/>
    <x v="71"/>
    <n v="187.41"/>
    <n v="0.04"/>
    <x v="0"/>
    <s v="Murthy"/>
    <n v="7.4964000000000004"/>
    <x v="15"/>
  </r>
  <r>
    <x v="21"/>
    <x v="87"/>
    <n v="48"/>
    <n v="0.65"/>
    <x v="0"/>
    <s v="Murthy"/>
    <n v="31.200000000000003"/>
    <x v="15"/>
  </r>
  <r>
    <x v="21"/>
    <x v="3"/>
    <n v="17"/>
    <n v="0.49"/>
    <x v="0"/>
    <s v="Murthy"/>
    <n v="8.33"/>
    <x v="15"/>
  </r>
  <r>
    <x v="21"/>
    <x v="97"/>
    <n v="380"/>
    <n v="0.02"/>
    <x v="0"/>
    <s v="Murthy"/>
    <n v="7.6000000000000005"/>
    <x v="15"/>
  </r>
  <r>
    <x v="21"/>
    <x v="4"/>
    <n v="180"/>
    <n v="0.36"/>
    <x v="0"/>
    <s v="Murthy"/>
    <n v="64.8"/>
    <x v="15"/>
  </r>
  <r>
    <x v="21"/>
    <x v="84"/>
    <n v="148"/>
    <n v="0.17499999999999999"/>
    <x v="0"/>
    <s v="Murthy"/>
    <n v="25.9"/>
    <x v="15"/>
  </r>
  <r>
    <x v="21"/>
    <x v="69"/>
    <n v="33"/>
    <n v="0.27500000000000002"/>
    <x v="0"/>
    <s v="Murthy"/>
    <n v="9.0750000000000011"/>
    <x v="15"/>
  </r>
  <r>
    <x v="21"/>
    <x v="39"/>
    <n v="75"/>
    <n v="0.86"/>
    <x v="0"/>
    <s v="Murthy"/>
    <n v="64.5"/>
    <x v="15"/>
  </r>
  <r>
    <x v="21"/>
    <x v="31"/>
    <n v="120"/>
    <n v="5.5E-2"/>
    <x v="0"/>
    <s v="Murthy"/>
    <n v="6.6"/>
    <x v="15"/>
  </r>
  <r>
    <x v="21"/>
    <x v="115"/>
    <n v="0"/>
    <n v="1.9"/>
    <x v="0"/>
    <s v="Murthy"/>
    <n v="0"/>
    <x v="15"/>
  </r>
  <r>
    <x v="21"/>
    <x v="124"/>
    <n v="0"/>
    <n v="0.91"/>
    <x v="0"/>
    <s v="Murthy"/>
    <n v="0"/>
    <x v="15"/>
  </r>
  <r>
    <x v="21"/>
    <x v="17"/>
    <n v="140"/>
    <n v="0.9"/>
    <x v="0"/>
    <s v="Murthy"/>
    <n v="126"/>
    <x v="15"/>
  </r>
  <r>
    <x v="21"/>
    <x v="67"/>
    <n v="33"/>
    <n v="0.15"/>
    <x v="0"/>
    <s v="Murthy"/>
    <n v="4.95"/>
    <x v="15"/>
  </r>
  <r>
    <x v="21"/>
    <x v="33"/>
    <n v="175"/>
    <n v="0.4"/>
    <x v="0"/>
    <s v="Murthy"/>
    <n v="70"/>
    <x v="15"/>
  </r>
  <r>
    <x v="21"/>
    <x v="32"/>
    <n v="32"/>
    <n v="4"/>
    <x v="0"/>
    <s v="Murthy"/>
    <n v="128"/>
    <x v="15"/>
  </r>
  <r>
    <x v="21"/>
    <x v="16"/>
    <n v="60"/>
    <n v="0.25"/>
    <x v="0"/>
    <s v="Murthy"/>
    <n v="15"/>
    <x v="15"/>
  </r>
  <r>
    <x v="21"/>
    <x v="118"/>
    <n v="280"/>
    <n v="0.1"/>
    <x v="0"/>
    <s v="Murthy"/>
    <n v="28"/>
    <x v="15"/>
  </r>
  <r>
    <x v="21"/>
    <x v="109"/>
    <n v="100"/>
    <n v="0.46500000000000002"/>
    <x v="0"/>
    <s v="Murthy"/>
    <n v="46.5"/>
    <x v="15"/>
  </r>
  <r>
    <x v="21"/>
    <x v="64"/>
    <n v="78.95"/>
    <n v="4.3"/>
    <x v="1"/>
    <s v="Ravi"/>
    <n v="339.48500000000001"/>
    <x v="15"/>
  </r>
  <r>
    <x v="21"/>
    <x v="64"/>
    <n v="78.95"/>
    <n v="0.4"/>
    <x v="2"/>
    <s v="Ravi"/>
    <n v="31.580000000000002"/>
    <x v="15"/>
  </r>
  <r>
    <x v="21"/>
    <x v="64"/>
    <n v="78.95"/>
    <n v="11.2"/>
    <x v="0"/>
    <s v="Murthy"/>
    <n v="884.24"/>
    <x v="15"/>
  </r>
  <r>
    <x v="21"/>
    <x v="39"/>
    <n v="75"/>
    <n v="1"/>
    <x v="8"/>
    <s v="Manju"/>
    <n v="75"/>
    <x v="15"/>
  </r>
  <r>
    <x v="21"/>
    <x v="63"/>
    <n v="3"/>
    <n v="8"/>
    <x v="6"/>
    <s v="Jaggu"/>
    <n v="24"/>
    <x v="15"/>
  </r>
  <r>
    <x v="21"/>
    <x v="0"/>
    <n v="14"/>
    <n v="0.5"/>
    <x v="6"/>
    <s v="Jaggu"/>
    <n v="7"/>
    <x v="15"/>
  </r>
  <r>
    <x v="21"/>
    <x v="78"/>
    <n v="40"/>
    <n v="0.3"/>
    <x v="1"/>
    <s v="Ravi"/>
    <n v="12"/>
    <x v="15"/>
  </r>
  <r>
    <x v="21"/>
    <x v="44"/>
    <n v="52"/>
    <n v="5.7"/>
    <x v="1"/>
    <s v="Ravi"/>
    <n v="296.40000000000003"/>
    <x v="15"/>
  </r>
  <r>
    <x v="21"/>
    <x v="41"/>
    <n v="36"/>
    <n v="3"/>
    <x v="1"/>
    <s v="Ravi"/>
    <n v="108"/>
    <x v="15"/>
  </r>
  <r>
    <x v="21"/>
    <x v="42"/>
    <n v="42"/>
    <n v="1.5"/>
    <x v="1"/>
    <s v="Ravi"/>
    <n v="63"/>
    <x v="15"/>
  </r>
  <r>
    <x v="21"/>
    <x v="43"/>
    <n v="28"/>
    <n v="3"/>
    <x v="1"/>
    <s v="Ravi"/>
    <n v="84"/>
    <x v="15"/>
  </r>
  <r>
    <x v="21"/>
    <x v="44"/>
    <n v="52"/>
    <n v="5.6"/>
    <x v="1"/>
    <s v="Ravi"/>
    <n v="291.2"/>
    <x v="15"/>
  </r>
  <r>
    <x v="21"/>
    <x v="45"/>
    <n v="37"/>
    <n v="0.5"/>
    <x v="1"/>
    <s v="Ravi"/>
    <n v="18.5"/>
    <x v="15"/>
  </r>
  <r>
    <x v="21"/>
    <x v="47"/>
    <n v="280"/>
    <n v="9.5000000000000001E-2"/>
    <x v="1"/>
    <s v="Ravi"/>
    <n v="26.6"/>
    <x v="15"/>
  </r>
  <r>
    <x v="21"/>
    <x v="31"/>
    <n v="120"/>
    <n v="0.06"/>
    <x v="1"/>
    <s v="Ravi"/>
    <n v="7.1999999999999993"/>
    <x v="15"/>
  </r>
  <r>
    <x v="21"/>
    <x v="48"/>
    <n v="7"/>
    <n v="0.79"/>
    <x v="1"/>
    <s v="Ravi"/>
    <n v="5.53"/>
    <x v="15"/>
  </r>
  <r>
    <x v="21"/>
    <x v="71"/>
    <n v="187.41"/>
    <n v="0.04"/>
    <x v="1"/>
    <s v="Ravi"/>
    <n v="7.4964000000000004"/>
    <x v="15"/>
  </r>
  <r>
    <x v="21"/>
    <x v="11"/>
    <n v="82"/>
    <n v="1"/>
    <x v="1"/>
    <s v="Ravi"/>
    <n v="82"/>
    <x v="15"/>
  </r>
  <r>
    <x v="21"/>
    <x v="20"/>
    <n v="230"/>
    <n v="9.5000000000000001E-2"/>
    <x v="1"/>
    <s v="Ravi"/>
    <n v="21.85"/>
    <x v="15"/>
  </r>
  <r>
    <x v="21"/>
    <x v="50"/>
    <n v="70"/>
    <n v="0.06"/>
    <x v="1"/>
    <s v="Ravi"/>
    <n v="4.2"/>
    <x v="15"/>
  </r>
  <r>
    <x v="21"/>
    <x v="51"/>
    <n v="55"/>
    <n v="0.18"/>
    <x v="1"/>
    <s v="Ravi"/>
    <n v="9.9"/>
    <x v="15"/>
  </r>
  <r>
    <x v="21"/>
    <x v="0"/>
    <n v="14"/>
    <n v="3"/>
    <x v="1"/>
    <s v="Ravi"/>
    <n v="42"/>
    <x v="15"/>
  </r>
  <r>
    <x v="21"/>
    <x v="12"/>
    <n v="28"/>
    <n v="0.25"/>
    <x v="1"/>
    <s v="Ravi"/>
    <n v="7"/>
    <x v="15"/>
  </r>
  <r>
    <x v="21"/>
    <x v="13"/>
    <n v="40"/>
    <n v="0.15"/>
    <x v="1"/>
    <s v="Ravi"/>
    <n v="6"/>
    <x v="15"/>
  </r>
  <r>
    <x v="21"/>
    <x v="76"/>
    <n v="34"/>
    <n v="0.75"/>
    <x v="1"/>
    <s v="Ravi"/>
    <n v="25.5"/>
    <x v="15"/>
  </r>
  <r>
    <x v="21"/>
    <x v="54"/>
    <n v="170"/>
    <n v="0.12"/>
    <x v="1"/>
    <s v="Ravi"/>
    <n v="20.399999999999999"/>
    <x v="15"/>
  </r>
  <r>
    <x v="21"/>
    <x v="57"/>
    <n v="64.069999999999993"/>
    <n v="0.6"/>
    <x v="1"/>
    <s v="Ravi"/>
    <n v="38.441999999999993"/>
    <x v="15"/>
  </r>
  <r>
    <x v="21"/>
    <x v="61"/>
    <n v="61.08"/>
    <n v="0.45"/>
    <x v="1"/>
    <s v="Ravi"/>
    <n v="27.486000000000001"/>
    <x v="15"/>
  </r>
  <r>
    <x v="21"/>
    <x v="37"/>
    <n v="138"/>
    <n v="0.03"/>
    <x v="1"/>
    <s v="Ravi"/>
    <n v="4.1399999999999997"/>
    <x v="15"/>
  </r>
  <r>
    <x v="21"/>
    <x v="36"/>
    <n v="280"/>
    <n v="0.03"/>
    <x v="1"/>
    <s v="Ravi"/>
    <n v="8.4"/>
    <x v="15"/>
  </r>
  <r>
    <x v="21"/>
    <x v="2"/>
    <n v="30"/>
    <n v="0.2"/>
    <x v="1"/>
    <s v="Ravi"/>
    <n v="6"/>
    <x v="15"/>
  </r>
  <r>
    <x v="21"/>
    <x v="111"/>
    <n v="125"/>
    <n v="4.4999999999999998E-2"/>
    <x v="1"/>
    <s v="Ravi"/>
    <n v="5.625"/>
    <x v="15"/>
  </r>
  <r>
    <x v="21"/>
    <x v="92"/>
    <n v="76"/>
    <n v="0.04"/>
    <x v="1"/>
    <s v="Ravi"/>
    <n v="3.04"/>
    <x v="15"/>
  </r>
  <r>
    <x v="21"/>
    <x v="29"/>
    <n v="43.06"/>
    <n v="1.1000000000000001"/>
    <x v="1"/>
    <s v="Ravi"/>
    <n v="47.366000000000007"/>
    <x v="15"/>
  </r>
  <r>
    <x v="21"/>
    <x v="30"/>
    <n v="27.97"/>
    <n v="0.5"/>
    <x v="1"/>
    <s v="Ravi"/>
    <n v="13.984999999999999"/>
    <x v="15"/>
  </r>
  <r>
    <x v="21"/>
    <x v="35"/>
    <n v="125"/>
    <n v="0.06"/>
    <x v="1"/>
    <s v="Ravi"/>
    <n v="7.5"/>
    <x v="15"/>
  </r>
  <r>
    <x v="21"/>
    <x v="62"/>
    <n v="312.14"/>
    <n v="7.0000000000000007E-2"/>
    <x v="1"/>
    <s v="Ravi"/>
    <n v="21.849800000000002"/>
    <x v="15"/>
  </r>
  <r>
    <x v="21"/>
    <x v="14"/>
    <n v="25"/>
    <n v="0.28000000000000003"/>
    <x v="1"/>
    <s v="Ravi"/>
    <n v="7.0000000000000009"/>
    <x v="15"/>
  </r>
  <r>
    <x v="21"/>
    <x v="58"/>
    <n v="15"/>
    <n v="1.5"/>
    <x v="1"/>
    <s v="Ravi"/>
    <n v="22.5"/>
    <x v="15"/>
  </r>
  <r>
    <x v="21"/>
    <x v="53"/>
    <n v="62.03"/>
    <n v="0.105"/>
    <x v="1"/>
    <s v="Ravi"/>
    <n v="6.5131499999999996"/>
    <x v="15"/>
  </r>
  <r>
    <x v="21"/>
    <x v="52"/>
    <n v="160"/>
    <n v="0.09"/>
    <x v="1"/>
    <s v="Ravi"/>
    <n v="14.399999999999999"/>
    <x v="15"/>
  </r>
  <r>
    <x v="21"/>
    <x v="46"/>
    <n v="35"/>
    <n v="2"/>
    <x v="1"/>
    <s v="Ravi"/>
    <n v="70"/>
    <x v="15"/>
  </r>
  <r>
    <x v="21"/>
    <x v="56"/>
    <n v="840"/>
    <n v="2.5000000000000001E-2"/>
    <x v="1"/>
    <s v="Ravi"/>
    <n v="21"/>
    <x v="15"/>
  </r>
  <r>
    <x v="21"/>
    <x v="55"/>
    <n v="240"/>
    <n v="2.5000000000000001E-2"/>
    <x v="1"/>
    <s v="Ravi"/>
    <n v="6"/>
    <x v="15"/>
  </r>
  <r>
    <x v="21"/>
    <x v="127"/>
    <n v="90"/>
    <n v="0.09"/>
    <x v="1"/>
    <s v="Ravi"/>
    <n v="8.1"/>
    <x v="15"/>
  </r>
  <r>
    <x v="21"/>
    <x v="79"/>
    <n v="20"/>
    <n v="3.5999999999999996"/>
    <x v="5"/>
    <s v="Ravi"/>
    <n v="72"/>
    <x v="15"/>
  </r>
  <r>
    <x v="21"/>
    <x v="81"/>
    <n v="50"/>
    <n v="2.1"/>
    <x v="5"/>
    <s v="Ravi"/>
    <n v="105"/>
    <x v="15"/>
  </r>
  <r>
    <x v="21"/>
    <x v="122"/>
    <n v="20"/>
    <n v="1.5"/>
    <x v="5"/>
    <s v="Ravi"/>
    <n v="30"/>
    <x v="15"/>
  </r>
  <r>
    <x v="21"/>
    <x v="79"/>
    <n v="20"/>
    <n v="1.3"/>
    <x v="5"/>
    <s v="Ravi"/>
    <n v="26"/>
    <x v="15"/>
  </r>
  <r>
    <x v="21"/>
    <x v="45"/>
    <n v="37"/>
    <n v="3"/>
    <x v="5"/>
    <s v="Ravi"/>
    <n v="111"/>
    <x v="15"/>
  </r>
  <r>
    <x v="21"/>
    <x v="41"/>
    <n v="36"/>
    <n v="3"/>
    <x v="5"/>
    <s v="Ravi"/>
    <n v="108"/>
    <x v="15"/>
  </r>
  <r>
    <x v="21"/>
    <x v="42"/>
    <n v="42"/>
    <n v="1"/>
    <x v="5"/>
    <s v="Ravi"/>
    <n v="42"/>
    <x v="15"/>
  </r>
  <r>
    <x v="21"/>
    <x v="77"/>
    <n v="30"/>
    <n v="2"/>
    <x v="5"/>
    <s v="Ravi"/>
    <n v="60"/>
    <x v="15"/>
  </r>
  <r>
    <x v="21"/>
    <x v="88"/>
    <n v="20"/>
    <n v="3.8"/>
    <x v="5"/>
    <s v="Ravi"/>
    <n v="76"/>
    <x v="15"/>
  </r>
  <r>
    <x v="21"/>
    <x v="80"/>
    <n v="50"/>
    <n v="2"/>
    <x v="5"/>
    <s v="Ravi"/>
    <n v="100"/>
    <x v="15"/>
  </r>
  <r>
    <x v="21"/>
    <x v="91"/>
    <n v="40"/>
    <n v="1"/>
    <x v="5"/>
    <s v="Ravi"/>
    <n v="40"/>
    <x v="15"/>
  </r>
  <r>
    <x v="21"/>
    <x v="121"/>
    <n v="150"/>
    <n v="2"/>
    <x v="5"/>
    <s v="Ravi"/>
    <n v="300"/>
    <x v="15"/>
  </r>
  <r>
    <x v="21"/>
    <x v="90"/>
    <n v="120"/>
    <n v="1"/>
    <x v="5"/>
    <s v="Ravi"/>
    <n v="120"/>
    <x v="15"/>
  </r>
  <r>
    <x v="21"/>
    <x v="0"/>
    <n v="14"/>
    <n v="0.68500000000000005"/>
    <x v="2"/>
    <s v="Ravi"/>
    <n v="9.59"/>
    <x v="15"/>
  </r>
  <r>
    <x v="21"/>
    <x v="9"/>
    <n v="14.75"/>
    <n v="0.48499999999999999"/>
    <x v="2"/>
    <s v="Ravi"/>
    <n v="7.1537499999999996"/>
    <x v="15"/>
  </r>
  <r>
    <x v="21"/>
    <x v="30"/>
    <n v="27.97"/>
    <n v="0.3"/>
    <x v="2"/>
    <s v="Ravi"/>
    <n v="8.391"/>
    <x v="15"/>
  </r>
  <r>
    <x v="21"/>
    <x v="14"/>
    <n v="25"/>
    <n v="9.5000000000000001E-2"/>
    <x v="2"/>
    <s v="Ravi"/>
    <n v="2.375"/>
    <x v="15"/>
  </r>
  <r>
    <x v="21"/>
    <x v="41"/>
    <n v="36"/>
    <n v="2"/>
    <x v="9"/>
    <s v="Staff"/>
    <n v="72"/>
    <x v="15"/>
  </r>
  <r>
    <x v="22"/>
    <x v="133"/>
    <s v=""/>
    <m/>
    <x v="7"/>
    <m/>
    <s v=""/>
    <x v="15"/>
  </r>
  <r>
    <x v="22"/>
    <x v="133"/>
    <s v=""/>
    <m/>
    <x v="7"/>
    <m/>
    <s v=""/>
    <x v="15"/>
  </r>
  <r>
    <x v="22"/>
    <x v="133"/>
    <s v=""/>
    <m/>
    <x v="7"/>
    <m/>
    <s v=""/>
    <x v="15"/>
  </r>
  <r>
    <x v="22"/>
    <x v="133"/>
    <s v=""/>
    <m/>
    <x v="7"/>
    <m/>
    <s v=""/>
    <x v="15"/>
  </r>
  <r>
    <x v="22"/>
    <x v="133"/>
    <s v=""/>
    <m/>
    <x v="7"/>
    <m/>
    <s v=""/>
    <x v="15"/>
  </r>
  <r>
    <x v="22"/>
    <x v="133"/>
    <s v=""/>
    <m/>
    <x v="7"/>
    <m/>
    <s v=""/>
    <x v="15"/>
  </r>
  <r>
    <x v="22"/>
    <x v="133"/>
    <s v=""/>
    <m/>
    <x v="7"/>
    <m/>
    <s v=""/>
    <x v="15"/>
  </r>
  <r>
    <x v="22"/>
    <x v="133"/>
    <s v=""/>
    <m/>
    <x v="7"/>
    <m/>
    <s v=""/>
    <x v="15"/>
  </r>
  <r>
    <x v="22"/>
    <x v="133"/>
    <s v=""/>
    <m/>
    <x v="7"/>
    <m/>
    <s v=""/>
    <x v="15"/>
  </r>
  <r>
    <x v="22"/>
    <x v="133"/>
    <s v=""/>
    <m/>
    <x v="7"/>
    <m/>
    <s v=""/>
    <x v="15"/>
  </r>
  <r>
    <x v="22"/>
    <x v="133"/>
    <s v=""/>
    <m/>
    <x v="7"/>
    <m/>
    <s v=""/>
    <x v="15"/>
  </r>
  <r>
    <x v="22"/>
    <x v="133"/>
    <s v=""/>
    <m/>
    <x v="7"/>
    <m/>
    <s v=""/>
    <x v="15"/>
  </r>
  <r>
    <x v="22"/>
    <x v="133"/>
    <s v=""/>
    <m/>
    <x v="7"/>
    <m/>
    <s v=""/>
    <x v="15"/>
  </r>
  <r>
    <x v="22"/>
    <x v="133"/>
    <s v=""/>
    <m/>
    <x v="7"/>
    <m/>
    <s v=""/>
    <x v="15"/>
  </r>
  <r>
    <x v="22"/>
    <x v="133"/>
    <s v=""/>
    <m/>
    <x v="7"/>
    <m/>
    <s v=""/>
    <x v="15"/>
  </r>
  <r>
    <x v="22"/>
    <x v="133"/>
    <s v=""/>
    <m/>
    <x v="7"/>
    <m/>
    <s v=""/>
    <x v="15"/>
  </r>
  <r>
    <x v="22"/>
    <x v="133"/>
    <s v=""/>
    <m/>
    <x v="7"/>
    <m/>
    <s v=""/>
    <x v="15"/>
  </r>
  <r>
    <x v="22"/>
    <x v="133"/>
    <s v=""/>
    <m/>
    <x v="7"/>
    <m/>
    <s v=""/>
    <x v="15"/>
  </r>
  <r>
    <x v="22"/>
    <x v="133"/>
    <s v=""/>
    <m/>
    <x v="7"/>
    <m/>
    <s v=""/>
    <x v="15"/>
  </r>
  <r>
    <x v="22"/>
    <x v="133"/>
    <s v=""/>
    <m/>
    <x v="7"/>
    <m/>
    <s v=""/>
    <x v="15"/>
  </r>
  <r>
    <x v="22"/>
    <x v="133"/>
    <s v=""/>
    <m/>
    <x v="7"/>
    <m/>
    <s v=""/>
    <x v="15"/>
  </r>
  <r>
    <x v="22"/>
    <x v="133"/>
    <s v=""/>
    <m/>
    <x v="7"/>
    <m/>
    <s v=""/>
    <x v="15"/>
  </r>
  <r>
    <x v="22"/>
    <x v="133"/>
    <s v=""/>
    <m/>
    <x v="7"/>
    <m/>
    <s v=""/>
    <x v="15"/>
  </r>
  <r>
    <x v="22"/>
    <x v="133"/>
    <s v=""/>
    <m/>
    <x v="7"/>
    <m/>
    <s v=""/>
    <x v="15"/>
  </r>
  <r>
    <x v="22"/>
    <x v="133"/>
    <s v=""/>
    <m/>
    <x v="7"/>
    <m/>
    <s v=""/>
    <x v="15"/>
  </r>
  <r>
    <x v="22"/>
    <x v="133"/>
    <s v=""/>
    <m/>
    <x v="7"/>
    <m/>
    <s v=""/>
    <x v="15"/>
  </r>
  <r>
    <x v="22"/>
    <x v="133"/>
    <s v=""/>
    <m/>
    <x v="7"/>
    <m/>
    <s v=""/>
    <x v="15"/>
  </r>
  <r>
    <x v="22"/>
    <x v="133"/>
    <s v=""/>
    <m/>
    <x v="7"/>
    <m/>
    <s v=""/>
    <x v="15"/>
  </r>
  <r>
    <x v="22"/>
    <x v="133"/>
    <s v=""/>
    <m/>
    <x v="7"/>
    <m/>
    <s v=""/>
    <x v="15"/>
  </r>
  <r>
    <x v="22"/>
    <x v="133"/>
    <s v=""/>
    <m/>
    <x v="7"/>
    <m/>
    <s v=""/>
    <x v="15"/>
  </r>
  <r>
    <x v="22"/>
    <x v="133"/>
    <s v=""/>
    <m/>
    <x v="7"/>
    <m/>
    <s v=""/>
    <x v="15"/>
  </r>
  <r>
    <x v="22"/>
    <x v="133"/>
    <s v=""/>
    <m/>
    <x v="7"/>
    <m/>
    <s v=""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s v=""/>
    <m/>
    <x v="7"/>
    <m/>
    <m/>
    <x v="15"/>
  </r>
  <r>
    <x v="22"/>
    <x v="133"/>
    <m/>
    <m/>
    <x v="7"/>
    <m/>
    <m/>
    <x v="1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776">
  <r>
    <x v="0"/>
    <s v="Onion-Erulli-kg-kg-1.0000"/>
    <n v="14"/>
    <n v="19"/>
    <x v="0"/>
    <s v="Murthy"/>
    <n v="266"/>
    <s v="Vegetable"/>
    <m/>
    <m/>
    <m/>
    <m/>
    <m/>
    <x v="0"/>
  </r>
  <r>
    <x v="0"/>
    <s v="Capsicum-Capsicum-kg-kg-1.0000"/>
    <n v="30"/>
    <n v="1"/>
    <x v="0"/>
    <s v="Murthy"/>
    <n v="30"/>
    <s v="Vegetable"/>
    <m/>
    <m/>
    <m/>
    <m/>
    <m/>
    <x v="0"/>
  </r>
  <r>
    <x v="0"/>
    <s v="Green chilly-hasinmenshinkayi-kg-kg-1.0000"/>
    <n v="30"/>
    <n v="0.5"/>
    <x v="0"/>
    <s v="Murthy"/>
    <n v="15"/>
    <s v="Vegetable"/>
    <m/>
    <m/>
    <m/>
    <m/>
    <m/>
    <x v="0"/>
  </r>
  <r>
    <x v="0"/>
    <s v="Salt Powder-Uppu-kg-kg-1.0000"/>
    <n v="17"/>
    <n v="1"/>
    <x v="0"/>
    <s v="Murthy"/>
    <n v="17"/>
    <s v="Dry Grocery"/>
    <m/>
    <m/>
    <m/>
    <m/>
    <m/>
    <x v="0"/>
  </r>
  <r>
    <x v="0"/>
    <s v="White Pepper Powder (500 gram)-Billi menasu pudi-kg-kg-1.0000"/>
    <n v="180"/>
    <n v="0.5"/>
    <x v="0"/>
    <s v="Murthy"/>
    <n v="90"/>
    <s v="Dry Grocery"/>
    <m/>
    <m/>
    <m/>
    <m/>
    <m/>
    <x v="0"/>
  </r>
  <r>
    <x v="0"/>
    <s v="Meat Masala Powder (100 gram)-meat masala-pkt-kg-0.1000"/>
    <n v="49.5"/>
    <n v="0.1"/>
    <x v="0"/>
    <s v="Murthy"/>
    <n v="4.95"/>
    <s v="Dry Grocery"/>
    <m/>
    <m/>
    <m/>
    <m/>
    <m/>
    <x v="0"/>
  </r>
  <r>
    <x v="0"/>
    <s v="Charcoal-Charcoal-kg-kg-1.0000"/>
    <n v="26"/>
    <n v="14.4"/>
    <x v="0"/>
    <s v="Murthy"/>
    <n v="374.40000000000003"/>
    <s v="Heating"/>
    <m/>
    <m/>
    <m/>
    <m/>
    <m/>
    <x v="0"/>
  </r>
  <r>
    <x v="0"/>
    <s v="Palak leaves-Palak soppu-kg-kg-1.0000"/>
    <n v="38"/>
    <n v="1"/>
    <x v="0"/>
    <s v="Murthy"/>
    <n v="38"/>
    <s v="Vegetable"/>
    <m/>
    <m/>
    <m/>
    <m/>
    <m/>
    <x v="0"/>
  </r>
  <r>
    <x v="0"/>
    <s v="Maida-Maida-kg-kg-1.0000"/>
    <n v="29.51"/>
    <n v="3.5"/>
    <x v="0"/>
    <s v="Murthy"/>
    <n v="103.28500000000001"/>
    <s v="Dry Grocery"/>
    <m/>
    <m/>
    <m/>
    <m/>
    <m/>
    <x v="0"/>
  </r>
  <r>
    <x v="0"/>
    <s v="Tomato (Jam)-tomatojam-kg-kg-1.0000"/>
    <n v="14.75"/>
    <n v="0.3"/>
    <x v="0"/>
    <s v="Murthy"/>
    <n v="4.4249999999999998"/>
    <s v="Vegetable"/>
    <m/>
    <m/>
    <m/>
    <m/>
    <m/>
    <x v="0"/>
  </r>
  <r>
    <x v="0"/>
    <s v="Corn flour-Corn flour-kg-kg-1.0000"/>
    <n v="45"/>
    <n v="1"/>
    <x v="0"/>
    <s v="Murthy"/>
    <n v="45"/>
    <s v="Dry Grocery"/>
    <m/>
    <m/>
    <m/>
    <m/>
    <m/>
    <x v="0"/>
  </r>
  <r>
    <x v="0"/>
    <s v="Oil-Yenne-lts-kg-0.9150"/>
    <n v="82"/>
    <n v="3"/>
    <x v="0"/>
    <s v="Murthy"/>
    <n v="246"/>
    <s v="Oil"/>
    <m/>
    <m/>
    <m/>
    <m/>
    <m/>
    <x v="0"/>
  </r>
  <r>
    <x v="0"/>
    <s v="Garlic-Belulli-kg-kg-1.0000"/>
    <n v="28"/>
    <n v="1"/>
    <x v="0"/>
    <s v="Murthy"/>
    <n v="28"/>
    <s v="Vegetable"/>
    <m/>
    <m/>
    <m/>
    <m/>
    <m/>
    <x v="0"/>
  </r>
  <r>
    <x v="0"/>
    <s v="Ginger-shunti-kg-kg-1.0000"/>
    <n v="40"/>
    <n v="0.25"/>
    <x v="0"/>
    <s v="Murthy"/>
    <n v="10"/>
    <s v="Vegetable"/>
    <m/>
    <m/>
    <m/>
    <m/>
    <m/>
    <x v="0"/>
  </r>
  <r>
    <x v="0"/>
    <s v="Coriander leaves-Kothamiri Soppu-kg-kg-1.0000"/>
    <n v="25"/>
    <n v="0.3"/>
    <x v="0"/>
    <s v="Murthy"/>
    <n v="7.5"/>
    <s v="Vegetable"/>
    <m/>
    <m/>
    <m/>
    <m/>
    <m/>
    <x v="0"/>
  </r>
  <r>
    <x v="0"/>
    <s v="Cucumber-sothekayi-kg-kg-1.0000"/>
    <n v="43.98"/>
    <n v="0.3"/>
    <x v="0"/>
    <s v="Murthy"/>
    <n v="13.193999999999999"/>
    <s v="Vegetable"/>
    <m/>
    <m/>
    <m/>
    <m/>
    <m/>
    <x v="0"/>
  </r>
  <r>
    <x v="0"/>
    <s v="Babycorn-Babycorn-kg-kg-1.0000"/>
    <n v="60"/>
    <n v="0.7"/>
    <x v="0"/>
    <s v="Murthy"/>
    <n v="42"/>
    <s v="Vegetable"/>
    <m/>
    <m/>
    <m/>
    <m/>
    <m/>
    <x v="0"/>
  </r>
  <r>
    <x v="0"/>
    <s v="Butter-Butter-kg-kg-1.0000"/>
    <n v="140"/>
    <n v="0.5"/>
    <x v="0"/>
    <s v="Murthy"/>
    <n v="70"/>
    <s v="Dairy"/>
    <m/>
    <m/>
    <m/>
    <m/>
    <m/>
    <x v="0"/>
  </r>
  <r>
    <x v="0"/>
    <s v="Hakka Noodles-Hakka Noodles-pkt-kg-0.4000"/>
    <n v="40"/>
    <n v="1"/>
    <x v="0"/>
    <s v="Murthy"/>
    <n v="40"/>
    <s v="Dry Grocery"/>
    <m/>
    <m/>
    <m/>
    <m/>
    <m/>
    <x v="0"/>
  </r>
  <r>
    <x v="0"/>
    <s v="Cauliflower-hookosu-kg-kg-1.0000"/>
    <n v="23.33"/>
    <n v="1"/>
    <x v="0"/>
    <s v="Murthy"/>
    <n v="23.33"/>
    <s v="Vegetable"/>
    <m/>
    <m/>
    <m/>
    <m/>
    <m/>
    <x v="0"/>
  </r>
  <r>
    <x v="0"/>
    <s v="Jeera Seeds-Jeerge-kg-kg-1.0000"/>
    <n v="230"/>
    <n v="0.2"/>
    <x v="0"/>
    <s v="Murthy"/>
    <n v="46"/>
    <s v="Dry Grocery"/>
    <m/>
    <m/>
    <m/>
    <m/>
    <m/>
    <x v="0"/>
  </r>
  <r>
    <x v="0"/>
    <s v="Masala papad-Masala papad-kg-kg-1.0000"/>
    <n v="272"/>
    <n v="0.13500000000000001"/>
    <x v="0"/>
    <s v="Murthy"/>
    <n v="36.72"/>
    <s v="Dry Grocery"/>
    <m/>
    <m/>
    <m/>
    <m/>
    <m/>
    <x v="0"/>
  </r>
  <r>
    <x v="0"/>
    <s v="Basumathi Rice-Basumathi Rice-kg-kg-1.0000"/>
    <n v="62"/>
    <n v="2"/>
    <x v="0"/>
    <s v="Murthy"/>
    <n v="124"/>
    <s v="Dry Grocery"/>
    <m/>
    <m/>
    <m/>
    <m/>
    <m/>
    <x v="0"/>
  </r>
  <r>
    <x v="0"/>
    <s v="Cinnamon-Chekke-kg-kg-1.0000"/>
    <n v="220"/>
    <n v="0.01"/>
    <x v="0"/>
    <s v="Murthy"/>
    <n v="2.2000000000000002"/>
    <s v="Spice"/>
    <m/>
    <m/>
    <m/>
    <m/>
    <m/>
    <x v="0"/>
  </r>
  <r>
    <x v="0"/>
    <s v="Cloves-lavanga-kg-kg-1.0000"/>
    <n v="740"/>
    <n v="0.01"/>
    <x v="0"/>
    <s v="Murthy"/>
    <n v="7.4"/>
    <s v="Spice"/>
    <m/>
    <m/>
    <m/>
    <m/>
    <m/>
    <x v="0"/>
  </r>
  <r>
    <x v="0"/>
    <s v="Elaichi-yelakki-kg-kg-1.0000"/>
    <n v="1450"/>
    <n v="0.01"/>
    <x v="0"/>
    <s v="Murthy"/>
    <n v="14.5"/>
    <s v="Spice"/>
    <m/>
    <m/>
    <m/>
    <m/>
    <m/>
    <x v="0"/>
  </r>
  <r>
    <x v="0"/>
    <s v="Maratimoggu-Maratimoggu-kg-kg-1.0000"/>
    <n v="750"/>
    <n v="0.01"/>
    <x v="0"/>
    <s v="Murthy"/>
    <n v="7.5"/>
    <s v="Spice"/>
    <m/>
    <m/>
    <m/>
    <m/>
    <m/>
    <x v="0"/>
  </r>
  <r>
    <x v="0"/>
    <s v="Mace-japathre-kg-kg-1.0000"/>
    <n v="1480"/>
    <n v="5.0000000000000001E-3"/>
    <x v="0"/>
    <s v="Murthy"/>
    <n v="7.4"/>
    <s v="Spice"/>
    <m/>
    <m/>
    <m/>
    <m/>
    <m/>
    <x v="0"/>
  </r>
  <r>
    <x v="0"/>
    <s v="Bullet Rice-Bullet Rice-kg-kg-1.0000"/>
    <n v="64"/>
    <n v="3.5"/>
    <x v="0"/>
    <s v="Murthy"/>
    <n v="224"/>
    <s v="Dry Grocery"/>
    <m/>
    <m/>
    <m/>
    <m/>
    <m/>
    <x v="0"/>
  </r>
  <r>
    <x v="0"/>
    <s v="Beans-Beans-kg-kg-1.0000"/>
    <n v="43.06"/>
    <n v="0.8"/>
    <x v="0"/>
    <s v="Murthy"/>
    <n v="34.448"/>
    <s v="Vegetable"/>
    <m/>
    <m/>
    <m/>
    <m/>
    <m/>
    <x v="0"/>
  </r>
  <r>
    <x v="0"/>
    <s v="Carrot-carrot-kg-kg-1.0000"/>
    <n v="27.97"/>
    <n v="1.1499999999999999"/>
    <x v="0"/>
    <s v="Murthy"/>
    <n v="32.165499999999994"/>
    <s v="Vegetable"/>
    <m/>
    <m/>
    <m/>
    <m/>
    <m/>
    <x v="0"/>
  </r>
  <r>
    <x v="0"/>
    <s v="Coriander Powder (500 gram)-Dhanya Powder (500 gram)-kg-kg-1.0000"/>
    <n v="120"/>
    <n v="0.35"/>
    <x v="0"/>
    <s v="Murthy"/>
    <n v="42"/>
    <s v="Dry Grocery"/>
    <m/>
    <m/>
    <m/>
    <m/>
    <m/>
    <x v="0"/>
  </r>
  <r>
    <x v="0"/>
    <s v="Mushroom-Mushroom-pkt-pkt-1.0000"/>
    <n v="32"/>
    <n v="0.5"/>
    <x v="0"/>
    <s v="Murthy"/>
    <n v="16"/>
    <s v="Vegetable"/>
    <m/>
    <m/>
    <m/>
    <m/>
    <m/>
    <x v="0"/>
  </r>
  <r>
    <x v="0"/>
    <s v="Paneer-Paneer-kg-kg-1.0000"/>
    <n v="175"/>
    <n v="1"/>
    <x v="0"/>
    <s v="Murthy"/>
    <n v="175"/>
    <s v="Dairy"/>
    <m/>
    <m/>
    <m/>
    <m/>
    <m/>
    <x v="0"/>
  </r>
  <r>
    <x v="0"/>
    <s v="Kitchen king (100 gram)-Kitchen king (100 gram)-pkt-kg-0.1000"/>
    <n v="51"/>
    <n v="0.1"/>
    <x v="0"/>
    <s v="Murthy"/>
    <n v="5.1000000000000005"/>
    <s v="Dry Grocery"/>
    <m/>
    <m/>
    <m/>
    <m/>
    <m/>
    <x v="0"/>
  </r>
  <r>
    <x v="0"/>
    <s v="Pudina-Pudina-kg-kg-1.0000"/>
    <n v="125"/>
    <n v="0.11"/>
    <x v="0"/>
    <s v="Murthy"/>
    <n v="13.75"/>
    <s v="Vegetable"/>
    <m/>
    <m/>
    <m/>
    <m/>
    <m/>
    <x v="0"/>
  </r>
  <r>
    <x v="0"/>
    <s v="Byadagi chilly-Byadagi chilly-kg-kg-1.0000"/>
    <n v="280"/>
    <n v="0.1"/>
    <x v="0"/>
    <s v="Murthy"/>
    <n v="28"/>
    <s v="Dry Grocery"/>
    <m/>
    <m/>
    <m/>
    <m/>
    <m/>
    <x v="0"/>
  </r>
  <r>
    <x v="0"/>
    <s v="Guntur -guntur-kg-kg-1.0000"/>
    <n v="138"/>
    <n v="0.2"/>
    <x v="0"/>
    <s v="Murthy"/>
    <n v="27.6"/>
    <s v="Dry Grocery"/>
    <m/>
    <m/>
    <m/>
    <m/>
    <m/>
    <x v="0"/>
  </r>
  <r>
    <x v="0"/>
    <s v="Roti Wheat-Roti atta-kg-kg-1.0000"/>
    <n v="27"/>
    <n v="2"/>
    <x v="0"/>
    <s v="Murthy"/>
    <n v="54"/>
    <s v="Dry Grocery"/>
    <m/>
    <m/>
    <m/>
    <m/>
    <m/>
    <x v="0"/>
  </r>
  <r>
    <x v="0"/>
    <s v="Ketchup(1.2 kg)-ketchup-bottle-kg-1.2000"/>
    <n v="75"/>
    <n v="1.2"/>
    <x v="0"/>
    <s v="Murthy"/>
    <n v="90"/>
    <s v="Sauce"/>
    <m/>
    <m/>
    <m/>
    <m/>
    <m/>
    <x v="0"/>
  </r>
  <r>
    <x v="0"/>
    <s v="Oil-Yenne-lts-kg-0.9150"/>
    <n v="82"/>
    <n v="1"/>
    <x v="0"/>
    <s v="Murthy"/>
    <n v="82"/>
    <s v="Oil"/>
    <m/>
    <m/>
    <m/>
    <m/>
    <m/>
    <x v="0"/>
  </r>
  <r>
    <x v="0"/>
    <s v="Beans-Beans-kg-kg-1.0000"/>
    <n v="43.06"/>
    <n v="0.5"/>
    <x v="0"/>
    <s v="Murthy"/>
    <n v="21.53"/>
    <s v="Vegetable"/>
    <m/>
    <m/>
    <m/>
    <m/>
    <m/>
    <x v="0"/>
  </r>
  <r>
    <x v="0"/>
    <s v="Carrot-carrot-kg-kg-1.0000"/>
    <n v="27.97"/>
    <n v="0.5"/>
    <x v="0"/>
    <s v="Murthy"/>
    <n v="13.984999999999999"/>
    <s v="Vegetable"/>
    <m/>
    <m/>
    <m/>
    <m/>
    <m/>
    <x v="0"/>
  </r>
  <r>
    <x v="0"/>
    <s v="Paneer-Paneer-kg-kg-1.0000"/>
    <n v="175"/>
    <n v="1"/>
    <x v="0"/>
    <s v="Murthy"/>
    <n v="175"/>
    <s v="Dairy"/>
    <m/>
    <m/>
    <m/>
    <m/>
    <m/>
    <x v="0"/>
  </r>
  <r>
    <x v="0"/>
    <s v="Mushroom-Mushroom-pkt-pkt-1.0000"/>
    <n v="32"/>
    <n v="0.5"/>
    <x v="0"/>
    <s v="Murthy"/>
    <n v="16"/>
    <s v="Vegetable"/>
    <m/>
    <m/>
    <m/>
    <m/>
    <m/>
    <x v="0"/>
  </r>
  <r>
    <x v="0"/>
    <s v="Kasoori Methi-Kasoori Methi-kg-kg-1.0000"/>
    <n v="450"/>
    <n v="0.05"/>
    <x v="0"/>
    <s v="Murthy"/>
    <n v="22.5"/>
    <s v="Dry Grocery"/>
    <m/>
    <m/>
    <m/>
    <m/>
    <m/>
    <x v="0"/>
  </r>
  <r>
    <x v="0"/>
    <s v="Milk-Haalu-lts-kg-1.0300"/>
    <n v="36"/>
    <n v="1.5"/>
    <x v="1"/>
    <s v="Ravi"/>
    <n v="54"/>
    <s v="Dairy"/>
    <m/>
    <m/>
    <m/>
    <m/>
    <m/>
    <x v="0"/>
  </r>
  <r>
    <x v="0"/>
    <s v="Curd-Mosaru-lts-kg-1.0300"/>
    <n v="42"/>
    <n v="1.5"/>
    <x v="1"/>
    <s v="Ravi"/>
    <n v="63"/>
    <s v="Dairy"/>
    <m/>
    <m/>
    <m/>
    <m/>
    <m/>
    <x v="0"/>
  </r>
  <r>
    <x v="0"/>
    <s v="Coconut-Theginkai-count-count-1.0000"/>
    <n v="28"/>
    <n v="2"/>
    <x v="1"/>
    <s v="Ravi"/>
    <n v="56"/>
    <s v="Vegetable"/>
    <m/>
    <m/>
    <m/>
    <m/>
    <m/>
    <x v="0"/>
  </r>
  <r>
    <x v="0"/>
    <s v="South Rice-South Hakki-kg-kg-1.0000"/>
    <n v="52"/>
    <n v="4.4000000000000004"/>
    <x v="1"/>
    <s v="Ravi"/>
    <n v="228.8"/>
    <s v="Dry Grocery"/>
    <m/>
    <m/>
    <m/>
    <m/>
    <m/>
    <x v="0"/>
  </r>
  <r>
    <x v="0"/>
    <s v="Sugar-Sakkre-kg-kg-1.0000"/>
    <n v="37"/>
    <n v="0.3"/>
    <x v="1"/>
    <s v="Ravi"/>
    <n v="11.1"/>
    <s v="Dry Grocery"/>
    <m/>
    <m/>
    <m/>
    <m/>
    <m/>
    <x v="0"/>
  </r>
  <r>
    <x v="0"/>
    <s v="mixed vegetables-mixed tharkari-kg-kg-1.0000"/>
    <n v="35"/>
    <n v="0.7"/>
    <x v="1"/>
    <s v="Ravi"/>
    <n v="24.5"/>
    <s v="Vegetable"/>
    <m/>
    <m/>
    <m/>
    <m/>
    <m/>
    <x v="0"/>
  </r>
  <r>
    <x v="0"/>
    <s v="Chilly Powder-Chilly Powder-kg-kg-1.0000"/>
    <n v="280"/>
    <n v="5.5E-2"/>
    <x v="1"/>
    <s v="Ravi"/>
    <n v="15.4"/>
    <s v="Dry Grocery"/>
    <m/>
    <m/>
    <m/>
    <m/>
    <m/>
    <x v="0"/>
  </r>
  <r>
    <x v="0"/>
    <s v="Coriander Powder (500 gram)-Dhanya Powder (500 gram)-kg-kg-1.0000"/>
    <n v="120"/>
    <n v="0.02"/>
    <x v="1"/>
    <s v="Ravi"/>
    <n v="2.4"/>
    <s v="Dry Grocery"/>
    <m/>
    <m/>
    <m/>
    <m/>
    <m/>
    <x v="0"/>
  </r>
  <r>
    <x v="0"/>
    <s v="Salt Powder-Uppu-kg-kg-1.0000"/>
    <n v="17"/>
    <n v="0.01"/>
    <x v="1"/>
    <s v="Ravi"/>
    <n v="0.17"/>
    <s v="Dry Grocery"/>
    <m/>
    <m/>
    <m/>
    <m/>
    <m/>
    <x v="0"/>
  </r>
  <r>
    <x v="0"/>
    <s v="Crystal Salt-Kalluppu-kg-kg-1.0000"/>
    <n v="7"/>
    <n v="0.5"/>
    <x v="1"/>
    <s v="Ravi"/>
    <n v="3.5"/>
    <s v="Dry Grocery"/>
    <m/>
    <m/>
    <m/>
    <m/>
    <m/>
    <x v="0"/>
  </r>
  <r>
    <x v="0"/>
    <s v="Dalda-dalda-lts-kg-0.9050"/>
    <n v="96"/>
    <n v="7.4999999999999997E-2"/>
    <x v="1"/>
    <s v="Ravi"/>
    <n v="7.1999999999999993"/>
    <s v="Oil"/>
    <m/>
    <m/>
    <m/>
    <m/>
    <m/>
    <x v="0"/>
  </r>
  <r>
    <x v="0"/>
    <s v="Oil-Yenne-lts-kg-0.9150"/>
    <n v="82"/>
    <n v="1"/>
    <x v="1"/>
    <s v="Ravi"/>
    <n v="82"/>
    <s v="Oil"/>
    <m/>
    <m/>
    <m/>
    <m/>
    <m/>
    <x v="0"/>
  </r>
  <r>
    <x v="0"/>
    <s v="Jeera Seeds-Jeerge-kg-kg-1.0000"/>
    <n v="230"/>
    <n v="2.5000000000000001E-2"/>
    <x v="1"/>
    <s v="Ravi"/>
    <n v="5.75"/>
    <s v="Dry Grocery"/>
    <m/>
    <m/>
    <m/>
    <m/>
    <m/>
    <x v="0"/>
  </r>
  <r>
    <x v="0"/>
    <s v="Mustard-Sasive-kg-kg-1.0000"/>
    <n v="70"/>
    <n v="4.4999999999999998E-2"/>
    <x v="1"/>
    <s v="Ravi"/>
    <n v="3.15"/>
    <s v="Dry Grocery"/>
    <m/>
    <m/>
    <m/>
    <m/>
    <m/>
    <x v="0"/>
  </r>
  <r>
    <x v="0"/>
    <s v="channadal(split)-Kadlebele-kg-kg-1.0000"/>
    <n v="55"/>
    <n v="0.09"/>
    <x v="1"/>
    <s v="Ravi"/>
    <n v="4.95"/>
    <s v="Dry Grocery"/>
    <m/>
    <m/>
    <m/>
    <m/>
    <m/>
    <x v="0"/>
  </r>
  <r>
    <x v="0"/>
    <s v="Elaichi-yelakki-kg-kg-1.0000"/>
    <n v="1450"/>
    <n v="5.0000000000000001E-3"/>
    <x v="1"/>
    <s v="Ravi"/>
    <n v="7.25"/>
    <s v="Spice"/>
    <m/>
    <m/>
    <m/>
    <m/>
    <m/>
    <x v="0"/>
  </r>
  <r>
    <x v="0"/>
    <s v="Onion-Erulli-kg-kg-1.0000"/>
    <n v="14"/>
    <n v="2.1"/>
    <x v="1"/>
    <s v="Ravi"/>
    <n v="29.400000000000002"/>
    <s v="Vegetable"/>
    <m/>
    <m/>
    <m/>
    <m/>
    <m/>
    <x v="0"/>
  </r>
  <r>
    <x v="0"/>
    <s v="Garlic-Belulli-kg-kg-1.0000"/>
    <n v="28"/>
    <n v="0.17"/>
    <x v="1"/>
    <s v="Ravi"/>
    <n v="4.7600000000000007"/>
    <s v="Vegetable"/>
    <m/>
    <m/>
    <m/>
    <m/>
    <m/>
    <x v="0"/>
  </r>
  <r>
    <x v="0"/>
    <s v="Green chilly-hasinmenshinkayi-kg-kg-1.0000"/>
    <n v="30"/>
    <n v="0.14000000000000001"/>
    <x v="1"/>
    <s v="Ravi"/>
    <n v="4.2"/>
    <s v="Vegetable"/>
    <m/>
    <m/>
    <m/>
    <m/>
    <m/>
    <x v="0"/>
  </r>
  <r>
    <x v="0"/>
    <s v="Guntur -guntur-kg-kg-1.0000"/>
    <n v="138"/>
    <n v="0.01"/>
    <x v="1"/>
    <s v="Ravi"/>
    <n v="1.3800000000000001"/>
    <s v="Dry Grocery"/>
    <m/>
    <m/>
    <m/>
    <m/>
    <m/>
    <x v="0"/>
  </r>
  <r>
    <x v="0"/>
    <s v="North Papad (1 kg)-North Papad (1 kg)-kg-kg-1.0000"/>
    <n v="160"/>
    <n v="0.09"/>
    <x v="1"/>
    <s v="Ravi"/>
    <n v="14.399999999999999"/>
    <s v="Dry Grocery"/>
    <m/>
    <m/>
    <m/>
    <m/>
    <m/>
    <x v="0"/>
  </r>
  <r>
    <x v="0"/>
    <s v="South Papad (500 gram)-South Papad (500 gram)-pkt-kg-0.5000"/>
    <n v="62.03"/>
    <n v="4.4999999999999998E-2"/>
    <x v="1"/>
    <s v="Ravi"/>
    <n v="2.79135"/>
    <s v="Dry Grocery"/>
    <m/>
    <m/>
    <m/>
    <m/>
    <m/>
    <x v="0"/>
  </r>
  <r>
    <x v="0"/>
    <s v="Tamarind-hunsehannu-kg-kg-1.0000"/>
    <n v="170"/>
    <n v="4.4999999999999998E-2"/>
    <x v="1"/>
    <s v="Ravi"/>
    <n v="7.6499999999999995"/>
    <s v="Dry Grocery"/>
    <m/>
    <m/>
    <m/>
    <m/>
    <m/>
    <x v="0"/>
  </r>
  <r>
    <x v="0"/>
    <s v="Raisin-drakshi-kg-kg-1.0000"/>
    <n v="240"/>
    <n v="1.2999999999999999E-2"/>
    <x v="1"/>
    <s v="Ravi"/>
    <n v="3.1199999999999997"/>
    <s v="Dry Grocery"/>
    <m/>
    <m/>
    <m/>
    <m/>
    <m/>
    <x v="0"/>
  </r>
  <r>
    <x v="0"/>
    <s v="Cashew-Godambi-kg-kg-1.0000"/>
    <n v="840"/>
    <n v="1.2E-2"/>
    <x v="1"/>
    <s v="Ravi"/>
    <n v="10.08"/>
    <s v="Dry Grocery"/>
    <m/>
    <m/>
    <m/>
    <m/>
    <m/>
    <x v="0"/>
  </r>
  <r>
    <x v="0"/>
    <s v="Toordal-Thogaribele-kg-kg-1.0000"/>
    <n v="64.069999999999993"/>
    <n v="0.3"/>
    <x v="1"/>
    <s v="Ravi"/>
    <n v="19.220999999999997"/>
    <s v="Dry Grocery"/>
    <m/>
    <m/>
    <m/>
    <m/>
    <m/>
    <x v="0"/>
  </r>
  <r>
    <x v="0"/>
    <s v="Tomato (Huli)-tomatohuli-kg-kg-1.0000"/>
    <n v="15"/>
    <n v="0.95"/>
    <x v="1"/>
    <s v="Ravi"/>
    <n v="14.25"/>
    <s v="Vegetable"/>
    <m/>
    <m/>
    <m/>
    <m/>
    <m/>
    <x v="0"/>
  </r>
  <r>
    <x v="0"/>
    <s v="Garam Masala (100 gram)-garam masala-pkt-kg-0.1000"/>
    <n v="57.5"/>
    <n v="0.01"/>
    <x v="1"/>
    <s v="Ravi"/>
    <n v="0.57500000000000007"/>
    <s v="Dry Grocery"/>
    <m/>
    <m/>
    <m/>
    <m/>
    <m/>
    <x v="0"/>
  </r>
  <r>
    <x v="0"/>
    <s v="Sambar powder-Sambar powder-kg-kg-1.0000"/>
    <n v="500"/>
    <n v="0.05"/>
    <x v="1"/>
    <s v="Ravi"/>
    <n v="25"/>
    <s v="Dry Grocery"/>
    <m/>
    <m/>
    <m/>
    <m/>
    <m/>
    <x v="0"/>
  </r>
  <r>
    <x v="0"/>
    <s v="Carrot-carrot-kg-kg-1.0000"/>
    <n v="27.97"/>
    <n v="0.72499999999999998"/>
    <x v="1"/>
    <s v="Ravi"/>
    <n v="20.27825"/>
    <s v="Vegetable"/>
    <m/>
    <m/>
    <m/>
    <m/>
    <m/>
    <x v="0"/>
  </r>
  <r>
    <x v="0"/>
    <s v="vermicelli-Shavige-kg-kg-1.0000"/>
    <n v="61.08"/>
    <n v="0.15"/>
    <x v="1"/>
    <s v="Ravi"/>
    <n v="9.161999999999999"/>
    <s v="Dry Grocery"/>
    <m/>
    <m/>
    <m/>
    <m/>
    <m/>
    <x v="0"/>
  </r>
  <r>
    <x v="0"/>
    <s v="curry leaves-karbensoppu-kg-kg-1.0000"/>
    <n v="312.14"/>
    <n v="0.04"/>
    <x v="1"/>
    <s v="Ravi"/>
    <n v="12.4856"/>
    <s v="Vegetable"/>
    <m/>
    <m/>
    <m/>
    <m/>
    <m/>
    <x v="0"/>
  </r>
  <r>
    <x v="0"/>
    <s v="Ginger-shunti-kg-kg-1.0000"/>
    <n v="40"/>
    <n v="0.03"/>
    <x v="1"/>
    <s v="Ravi"/>
    <n v="1.2"/>
    <s v="Vegetable"/>
    <m/>
    <m/>
    <m/>
    <m/>
    <m/>
    <x v="0"/>
  </r>
  <r>
    <x v="0"/>
    <s v="Coriander leaves-Kothamiri Soppu-kg-kg-1.0000"/>
    <n v="25"/>
    <n v="0.1"/>
    <x v="1"/>
    <s v="Ravi"/>
    <n v="2.5"/>
    <s v="Vegetable"/>
    <m/>
    <m/>
    <m/>
    <m/>
    <m/>
    <x v="0"/>
  </r>
  <r>
    <x v="0"/>
    <s v="Pudina-Pudina-kg-kg-1.0000"/>
    <n v="125"/>
    <n v="0.17"/>
    <x v="1"/>
    <s v="Ravi"/>
    <n v="21.25"/>
    <s v="Vegetable"/>
    <m/>
    <m/>
    <m/>
    <m/>
    <m/>
    <x v="0"/>
  </r>
  <r>
    <x v="0"/>
    <s v="Lemon-Nimbehannu-count-count-1.0000"/>
    <n v="3"/>
    <n v="2"/>
    <x v="2"/>
    <s v="Ravi"/>
    <n v="6"/>
    <s v="Vegetable"/>
    <m/>
    <m/>
    <m/>
    <m/>
    <m/>
    <x v="0"/>
  </r>
  <r>
    <x v="0"/>
    <s v="Onion-Erulli-kg-kg-1.0000"/>
    <n v="14"/>
    <n v="0.70000000000000007"/>
    <x v="2"/>
    <s v="Ravi"/>
    <n v="9.8000000000000007"/>
    <s v="Vegetable"/>
    <m/>
    <m/>
    <m/>
    <m/>
    <m/>
    <x v="0"/>
  </r>
  <r>
    <x v="0"/>
    <s v="Carrot-carrot-kg-kg-1.0000"/>
    <n v="27.97"/>
    <n v="0.185"/>
    <x v="2"/>
    <s v="Ravi"/>
    <n v="5.1744499999999993"/>
    <s v="Vegetable"/>
    <m/>
    <m/>
    <m/>
    <m/>
    <m/>
    <x v="0"/>
  </r>
  <r>
    <x v="0"/>
    <s v="Coriander leaves-Kothamiri Soppu-kg-kg-1.0000"/>
    <n v="25"/>
    <n v="0.1"/>
    <x v="2"/>
    <s v="Ravi"/>
    <n v="2.5"/>
    <s v="Vegetable"/>
    <m/>
    <m/>
    <m/>
    <m/>
    <m/>
    <x v="0"/>
  </r>
  <r>
    <x v="0"/>
    <s v="Tomato (Jam)-tomatojam-kg-kg-1.0000"/>
    <n v="14.75"/>
    <n v="0.3"/>
    <x v="2"/>
    <s v="Ravi"/>
    <n v="4.4249999999999998"/>
    <s v="Vegetable"/>
    <m/>
    <m/>
    <m/>
    <m/>
    <m/>
    <x v="0"/>
  </r>
  <r>
    <x v="0"/>
    <s v="Salt Powder-Uppu-kg-kg-1.0000"/>
    <n v="17"/>
    <n v="0.17"/>
    <x v="2"/>
    <s v="Ravi"/>
    <n v="2.89"/>
    <s v="Dry Grocery"/>
    <m/>
    <m/>
    <m/>
    <m/>
    <m/>
    <x v="0"/>
  </r>
  <r>
    <x v="0"/>
    <s v="Gas-Gas-kg-kg-1.0000"/>
    <n v="78.95"/>
    <n v="19"/>
    <x v="3"/>
    <s v="Common"/>
    <n v="1500.05"/>
    <s v="Gas"/>
    <m/>
    <m/>
    <m/>
    <m/>
    <m/>
    <x v="0"/>
  </r>
  <r>
    <x v="1"/>
    <s v="Gas-Gas-kg-kg-1.0000"/>
    <n v="78.95"/>
    <n v="19"/>
    <x v="3"/>
    <s v="Common"/>
    <n v="1500.05"/>
    <s v="Gas"/>
    <m/>
    <m/>
    <m/>
    <m/>
    <m/>
    <x v="0"/>
  </r>
  <r>
    <x v="1"/>
    <s v="Charcoal-Charcoal-kg-kg-1.0000"/>
    <n v="26"/>
    <n v="14.5"/>
    <x v="0"/>
    <s v="Murthy"/>
    <n v="377"/>
    <s v="Heating"/>
    <m/>
    <m/>
    <m/>
    <m/>
    <m/>
    <x v="0"/>
  </r>
  <r>
    <x v="1"/>
    <s v="Onion-Erulli-kg-kg-1.0000"/>
    <n v="14"/>
    <n v="7"/>
    <x v="0"/>
    <s v="Murthy"/>
    <n v="98"/>
    <s v="Vegetable"/>
    <m/>
    <m/>
    <m/>
    <m/>
    <m/>
    <x v="0"/>
  </r>
  <r>
    <x v="1"/>
    <s v="Capsicum-Capsicum-kg-kg-1.0000"/>
    <n v="30"/>
    <n v="1"/>
    <x v="0"/>
    <s v="Murthy"/>
    <n v="30"/>
    <s v="Vegetable"/>
    <m/>
    <m/>
    <m/>
    <m/>
    <m/>
    <x v="0"/>
  </r>
  <r>
    <x v="1"/>
    <s v="Green chilly-hasinmenshinkayi-kg-kg-1.0000"/>
    <n v="30"/>
    <n v="0.75"/>
    <x v="0"/>
    <s v="Murthy"/>
    <n v="22.5"/>
    <s v="Vegetable"/>
    <m/>
    <m/>
    <m/>
    <m/>
    <m/>
    <x v="0"/>
  </r>
  <r>
    <x v="1"/>
    <s v="Coriander leaves-Kothamiri Soppu-kg-kg-1.0000"/>
    <n v="25"/>
    <n v="0.9"/>
    <x v="0"/>
    <s v="Murthy"/>
    <n v="22.5"/>
    <s v="Vegetable"/>
    <m/>
    <m/>
    <m/>
    <m/>
    <m/>
    <x v="0"/>
  </r>
  <r>
    <x v="1"/>
    <s v="Pudina-Pudina-kg-kg-1.0000"/>
    <n v="125"/>
    <n v="0.14000000000000001"/>
    <x v="0"/>
    <s v="Murthy"/>
    <n v="17.5"/>
    <s v="Vegetable"/>
    <m/>
    <m/>
    <m/>
    <m/>
    <m/>
    <x v="0"/>
  </r>
  <r>
    <x v="1"/>
    <s v="Tea powder-Tea powder-kg-kg-1.0000"/>
    <n v="390"/>
    <n v="0.5"/>
    <x v="4"/>
    <s v="Vicky"/>
    <n v="195"/>
    <s v="Hot Beverage"/>
    <m/>
    <m/>
    <m/>
    <m/>
    <m/>
    <x v="0"/>
  </r>
  <r>
    <x v="1"/>
    <s v="Mushroom-Mushroom-pkt-pkt-1.0000"/>
    <n v="32"/>
    <n v="5"/>
    <x v="0"/>
    <s v="Murthy"/>
    <n v="160"/>
    <s v="Vegetable"/>
    <m/>
    <m/>
    <m/>
    <m/>
    <m/>
    <x v="0"/>
  </r>
  <r>
    <x v="1"/>
    <s v="Garlic-Belulli-kg-kg-1.0000"/>
    <n v="28"/>
    <n v="1"/>
    <x v="0"/>
    <s v="Murthy"/>
    <n v="28"/>
    <s v="Vegetable"/>
    <m/>
    <m/>
    <m/>
    <m/>
    <m/>
    <x v="0"/>
  </r>
  <r>
    <x v="1"/>
    <s v="Carrot-carrot-kg-kg-1.0000"/>
    <n v="27.97"/>
    <n v="1.345"/>
    <x v="0"/>
    <s v="Murthy"/>
    <n v="37.61965"/>
    <s v="Vegetable"/>
    <m/>
    <m/>
    <m/>
    <m/>
    <m/>
    <x v="0"/>
  </r>
  <r>
    <x v="1"/>
    <s v="Beans-Beans-kg-kg-1.0000"/>
    <n v="43.06"/>
    <n v="0.56000000000000005"/>
    <x v="0"/>
    <s v="Murthy"/>
    <n v="24.113600000000005"/>
    <s v="Vegetable"/>
    <m/>
    <m/>
    <m/>
    <m/>
    <m/>
    <x v="0"/>
  </r>
  <r>
    <x v="1"/>
    <s v="Cabbage-geddekosu-kg-kg-1.0000"/>
    <n v="3"/>
    <n v="1.3"/>
    <x v="0"/>
    <s v="Murthy"/>
    <n v="3.9000000000000004"/>
    <s v="Vegetable"/>
    <m/>
    <m/>
    <m/>
    <m/>
    <m/>
    <x v="0"/>
  </r>
  <r>
    <x v="1"/>
    <s v="Tomato (Jam)-tomatojam-kg-kg-1.0000"/>
    <n v="14.75"/>
    <n v="7.2"/>
    <x v="0"/>
    <s v="Murthy"/>
    <n v="106.2"/>
    <s v="Vegetable"/>
    <m/>
    <m/>
    <m/>
    <m/>
    <m/>
    <x v="0"/>
  </r>
  <r>
    <x v="1"/>
    <s v="Oil-Yenne-lts-kg-0.9150"/>
    <n v="82"/>
    <n v="4"/>
    <x v="0"/>
    <s v="Murthy"/>
    <n v="328"/>
    <s v="Oil"/>
    <m/>
    <m/>
    <m/>
    <m/>
    <m/>
    <x v="0"/>
  </r>
  <r>
    <x v="1"/>
    <s v="Maida-Maida-kg-kg-1.0000"/>
    <n v="29.51"/>
    <m/>
    <x v="0"/>
    <s v="Murthy"/>
    <n v="0"/>
    <s v="Dry Grocery"/>
    <m/>
    <m/>
    <m/>
    <m/>
    <m/>
    <x v="0"/>
  </r>
  <r>
    <x v="1"/>
    <s v="Paneer-Paneer-kg-kg-1.0000"/>
    <n v="175"/>
    <n v="2"/>
    <x v="0"/>
    <s v="Murthy"/>
    <n v="350"/>
    <s v="Dairy"/>
    <m/>
    <m/>
    <m/>
    <m/>
    <m/>
    <x v="0"/>
  </r>
  <r>
    <x v="1"/>
    <s v="Lemon-Nimbehannu-count-count-1.0000"/>
    <n v="3"/>
    <n v="3"/>
    <x v="0"/>
    <s v="Murthy"/>
    <n v="9"/>
    <s v="Vegetable"/>
    <m/>
    <m/>
    <m/>
    <m/>
    <m/>
    <x v="0"/>
  </r>
  <r>
    <x v="1"/>
    <s v="Garam Masala (100 gram)-garam masala-pkt-kg-0.1000"/>
    <n v="57.5"/>
    <n v="0.1"/>
    <x v="0"/>
    <s v="Murthy"/>
    <n v="5.75"/>
    <s v="Dry Grocery"/>
    <m/>
    <m/>
    <m/>
    <m/>
    <m/>
    <x v="0"/>
  </r>
  <r>
    <x v="1"/>
    <s v="Butter-Butter-kg-kg-1.0000"/>
    <n v="140"/>
    <n v="0.5"/>
    <x v="0"/>
    <s v="Murthy"/>
    <n v="70"/>
    <s v="Dairy"/>
    <m/>
    <m/>
    <m/>
    <m/>
    <m/>
    <x v="0"/>
  </r>
  <r>
    <x v="1"/>
    <s v="Babycorn-Babycorn-kg-kg-1.0000"/>
    <n v="60"/>
    <n v="0.5"/>
    <x v="0"/>
    <s v="Murthy"/>
    <n v="30"/>
    <s v="Vegetable"/>
    <m/>
    <m/>
    <m/>
    <m/>
    <m/>
    <x v="0"/>
  </r>
  <r>
    <x v="1"/>
    <s v="Sweetcorn-Sweetcorn-tin-kg-0.4000"/>
    <n v="33"/>
    <n v="0.4"/>
    <x v="0"/>
    <s v="Murthy"/>
    <n v="13.200000000000001"/>
    <s v="Canned Food"/>
    <m/>
    <m/>
    <m/>
    <m/>
    <m/>
    <x v="0"/>
  </r>
  <r>
    <x v="1"/>
    <s v="Roti Wheat-Roti atta-kg-kg-1.0000"/>
    <n v="27"/>
    <n v="2.2000000000000002"/>
    <x v="0"/>
    <s v="Murthy"/>
    <n v="59.400000000000006"/>
    <s v="Dry Grocery"/>
    <m/>
    <m/>
    <m/>
    <m/>
    <m/>
    <x v="0"/>
  </r>
  <r>
    <x v="1"/>
    <s v="Kasoori Methi-Kasoori Methi-kg-kg-1.0000"/>
    <n v="450"/>
    <n v="0.03"/>
    <x v="0"/>
    <s v="Murthy"/>
    <n v="13.5"/>
    <s v="Dry Grocery"/>
    <m/>
    <m/>
    <m/>
    <m/>
    <m/>
    <x v="0"/>
  </r>
  <r>
    <x v="1"/>
    <s v="Moong Dal-Hesaru bele-kg-kg-1.0000"/>
    <n v="75"/>
    <n v="1.1000000000000001"/>
    <x v="0"/>
    <s v="Murthy"/>
    <n v="82.5"/>
    <s v="Dry Grocery"/>
    <m/>
    <m/>
    <m/>
    <m/>
    <m/>
    <x v="0"/>
  </r>
  <r>
    <x v="1"/>
    <s v="Dark soya souce-Dark soya souce-bottle-kg-0.8150"/>
    <n v="33"/>
    <n v="0.81499999999999995"/>
    <x v="0"/>
    <s v="Murthy"/>
    <n v="26.895"/>
    <s v="Sauce"/>
    <m/>
    <m/>
    <m/>
    <m/>
    <m/>
    <x v="0"/>
  </r>
  <r>
    <x v="1"/>
    <s v="Oil-Yenne-lts-kg-0.9150"/>
    <n v="82"/>
    <n v="3"/>
    <x v="0"/>
    <s v="Murthy"/>
    <n v="246"/>
    <s v="Oil"/>
    <m/>
    <m/>
    <m/>
    <m/>
    <m/>
    <x v="0"/>
  </r>
  <r>
    <x v="1"/>
    <s v="Bread Powder-bread powder-kg-kg-1.0000"/>
    <n v="280"/>
    <n v="0.03"/>
    <x v="0"/>
    <s v="Murthy"/>
    <n v="8.4"/>
    <s v="Dry Grocery"/>
    <m/>
    <m/>
    <m/>
    <m/>
    <m/>
    <x v="0"/>
  </r>
  <r>
    <x v="1"/>
    <s v="Onion-Erulli-kg-kg-1.0000"/>
    <n v="14"/>
    <n v="1"/>
    <x v="0"/>
    <s v="Murthy"/>
    <n v="14"/>
    <s v="Vegetable"/>
    <m/>
    <m/>
    <m/>
    <m/>
    <m/>
    <x v="0"/>
  </r>
  <r>
    <x v="1"/>
    <s v="Mushroom-Mushroom-pkt-pkt-1.0000"/>
    <n v="32"/>
    <n v="2"/>
    <x v="0"/>
    <s v="Murthy"/>
    <n v="64"/>
    <s v="Vegetable"/>
    <m/>
    <m/>
    <m/>
    <m/>
    <m/>
    <x v="0"/>
  </r>
  <r>
    <x v="1"/>
    <s v="Capsicum-Capsicum-kg-kg-1.0000"/>
    <n v="30"/>
    <n v="0.5"/>
    <x v="0"/>
    <s v="Murthy"/>
    <n v="15"/>
    <s v="Vegetable"/>
    <m/>
    <m/>
    <m/>
    <m/>
    <m/>
    <x v="0"/>
  </r>
  <r>
    <x v="1"/>
    <s v="Charcoal-Charcoal-kg-kg-1.0000"/>
    <n v="26"/>
    <n v="5.4"/>
    <x v="0"/>
    <s v="Murthy"/>
    <n v="140.4"/>
    <s v="Heating"/>
    <m/>
    <m/>
    <m/>
    <m/>
    <m/>
    <x v="0"/>
  </r>
  <r>
    <x v="1"/>
    <s v="Onion-Erulli-kg-kg-1.0000"/>
    <n v="14"/>
    <n v="0.5"/>
    <x v="0"/>
    <s v="Murthy"/>
    <n v="7"/>
    <s v="Vegetable"/>
    <m/>
    <m/>
    <m/>
    <m/>
    <m/>
    <x v="0"/>
  </r>
  <r>
    <x v="1"/>
    <s v="Capsicum-Capsicum-kg-kg-1.0000"/>
    <n v="30"/>
    <n v="0.5"/>
    <x v="0"/>
    <s v="Murthy"/>
    <n v="15"/>
    <s v="Vegetable"/>
    <m/>
    <m/>
    <m/>
    <m/>
    <m/>
    <x v="0"/>
  </r>
  <r>
    <x v="1"/>
    <s v="Salt Powder-Uppu-kg-kg-1.0000"/>
    <n v="17"/>
    <n v="1"/>
    <x v="0"/>
    <s v="Murthy"/>
    <n v="17"/>
    <s v="Dry Grocery"/>
    <m/>
    <m/>
    <m/>
    <m/>
    <m/>
    <x v="0"/>
  </r>
  <r>
    <x v="1"/>
    <s v="Cauliflower-hookosu-kg-kg-1.0000"/>
    <n v="23.33"/>
    <n v="1.5"/>
    <x v="0"/>
    <s v="Murthy"/>
    <n v="34.994999999999997"/>
    <s v="Vegetable"/>
    <m/>
    <m/>
    <m/>
    <m/>
    <m/>
    <x v="0"/>
  </r>
  <r>
    <x v="1"/>
    <s v="Corn flour-Corn flour-kg-kg-1.0000"/>
    <n v="45"/>
    <n v="1"/>
    <x v="0"/>
    <s v="Murthy"/>
    <n v="45"/>
    <s v="Dry Grocery"/>
    <m/>
    <m/>
    <m/>
    <m/>
    <m/>
    <x v="0"/>
  </r>
  <r>
    <x v="1"/>
    <s v="Green chilly-hasinmenshinkayi-kg-kg-1.0000"/>
    <n v="30"/>
    <n v="0.1"/>
    <x v="0"/>
    <s v="Murthy"/>
    <n v="3"/>
    <s v="Vegetable"/>
    <m/>
    <m/>
    <m/>
    <m/>
    <m/>
    <x v="0"/>
  </r>
  <r>
    <x v="1"/>
    <s v="Coriander leaves-Kothamiri Soppu-kg-kg-1.0000"/>
    <n v="25"/>
    <n v="0.25"/>
    <x v="0"/>
    <s v="Murthy"/>
    <n v="6.25"/>
    <s v="Vegetable"/>
    <m/>
    <m/>
    <m/>
    <m/>
    <m/>
    <x v="0"/>
  </r>
  <r>
    <x v="1"/>
    <s v="Lemon-Nimbehannu-count-count-1.0000"/>
    <n v="3"/>
    <n v="2"/>
    <x v="0"/>
    <s v="Murthy"/>
    <n v="6"/>
    <s v="Vegetable"/>
    <m/>
    <m/>
    <m/>
    <m/>
    <m/>
    <x v="0"/>
  </r>
  <r>
    <x v="1"/>
    <s v="Butter-Butter-kg-kg-1.0000"/>
    <n v="140"/>
    <n v="0.5"/>
    <x v="0"/>
    <s v="Murthy"/>
    <n v="70"/>
    <s v="Dairy"/>
    <m/>
    <m/>
    <m/>
    <m/>
    <m/>
    <x v="0"/>
  </r>
  <r>
    <x v="1"/>
    <s v="Babycorn-Babycorn-kg-kg-1.0000"/>
    <n v="60"/>
    <n v="0.5"/>
    <x v="0"/>
    <s v="Murthy"/>
    <n v="30"/>
    <s v="Vegetable"/>
    <m/>
    <m/>
    <m/>
    <m/>
    <m/>
    <x v="0"/>
  </r>
  <r>
    <x v="1"/>
    <s v="Mushroom-Mushroom-pkt-pkt-1.0000"/>
    <n v="32"/>
    <n v="1"/>
    <x v="0"/>
    <s v="Murthy"/>
    <n v="32"/>
    <s v="Vegetable"/>
    <m/>
    <m/>
    <m/>
    <m/>
    <m/>
    <x v="0"/>
  </r>
  <r>
    <x v="1"/>
    <s v="Curd-Mosaru-lts-kg-1.0300"/>
    <n v="42"/>
    <n v="1.5089999999999999"/>
    <x v="1"/>
    <s v="Ravi"/>
    <n v="63.377999999999993"/>
    <s v="Dairy"/>
    <m/>
    <m/>
    <m/>
    <m/>
    <m/>
    <x v="0"/>
  </r>
  <r>
    <x v="1"/>
    <s v="South Rice-South Hakki-kg-kg-1.0000"/>
    <n v="52"/>
    <n v="5.9"/>
    <x v="1"/>
    <s v="Ravi"/>
    <n v="306.8"/>
    <s v="Dry Grocery"/>
    <m/>
    <m/>
    <m/>
    <m/>
    <m/>
    <x v="0"/>
  </r>
  <r>
    <x v="1"/>
    <s v="Coconut-Theginkai-count-count-1.0000"/>
    <n v="28"/>
    <n v="2"/>
    <x v="1"/>
    <s v="Ravi"/>
    <n v="56"/>
    <s v="Vegetable"/>
    <m/>
    <m/>
    <m/>
    <m/>
    <m/>
    <x v="0"/>
  </r>
  <r>
    <x v="1"/>
    <s v="Sugar-Sakkre-kg-kg-1.0000"/>
    <n v="37"/>
    <n v="0.6"/>
    <x v="1"/>
    <s v="Ravi"/>
    <n v="22.2"/>
    <s v="Dry Grocery"/>
    <m/>
    <m/>
    <m/>
    <m/>
    <m/>
    <x v="0"/>
  </r>
  <r>
    <x v="1"/>
    <s v="Chilly Powder-Chilly Powder-kg-kg-1.0000"/>
    <n v="280"/>
    <n v="6.5000000000000002E-2"/>
    <x v="1"/>
    <s v="Ravi"/>
    <n v="18.2"/>
    <s v="Dry Grocery"/>
    <m/>
    <m/>
    <m/>
    <m/>
    <m/>
    <x v="0"/>
  </r>
  <r>
    <x v="1"/>
    <s v="Coriander Powder (500 gram)-Dhanya Powder (500 gram)-kg-kg-1.0000"/>
    <n v="120"/>
    <n v="5.5E-2"/>
    <x v="1"/>
    <s v="Ravi"/>
    <n v="6.6"/>
    <s v="Dry Grocery"/>
    <m/>
    <m/>
    <m/>
    <m/>
    <m/>
    <x v="0"/>
  </r>
  <r>
    <x v="1"/>
    <s v="Salt Powder-Uppu-kg-kg-1.0000"/>
    <n v="17"/>
    <m/>
    <x v="1"/>
    <s v="Ravi"/>
    <n v="0"/>
    <s v="Dry Grocery"/>
    <m/>
    <m/>
    <m/>
    <m/>
    <m/>
    <x v="0"/>
  </r>
  <r>
    <x v="1"/>
    <s v="Crystal Salt-Kalluppu-kg-kg-1.0000"/>
    <n v="7"/>
    <n v="0.43"/>
    <x v="1"/>
    <s v="Ravi"/>
    <n v="3.01"/>
    <s v="Dry Grocery"/>
    <m/>
    <m/>
    <m/>
    <m/>
    <m/>
    <x v="0"/>
  </r>
  <r>
    <x v="1"/>
    <s v="Turmeric Powder-Arishina pudi-kg-kg-1.0000"/>
    <n v="187.41"/>
    <n v="0.03"/>
    <x v="1"/>
    <s v="Ravi"/>
    <n v="5.6223000000000001"/>
    <s v="Dry Grocery"/>
    <m/>
    <m/>
    <m/>
    <m/>
    <m/>
    <x v="0"/>
  </r>
  <r>
    <x v="1"/>
    <s v="Dalda-dalda-lts-kg-0.9050"/>
    <n v="96"/>
    <n v="0.35499999999999998"/>
    <x v="1"/>
    <s v="Ravi"/>
    <n v="34.08"/>
    <s v="Oil"/>
    <m/>
    <m/>
    <m/>
    <m/>
    <m/>
    <x v="0"/>
  </r>
  <r>
    <x v="1"/>
    <s v="Oil-Yenne-lts-kg-0.9150"/>
    <n v="82"/>
    <n v="1"/>
    <x v="1"/>
    <s v="Ravi"/>
    <n v="82"/>
    <s v="Oil"/>
    <m/>
    <m/>
    <m/>
    <m/>
    <m/>
    <x v="0"/>
  </r>
  <r>
    <x v="1"/>
    <s v="Jeera Seeds-Jeerge-kg-kg-1.0000"/>
    <n v="230"/>
    <n v="0.02"/>
    <x v="1"/>
    <s v="Ravi"/>
    <n v="4.6000000000000005"/>
    <s v="Dry Grocery"/>
    <m/>
    <m/>
    <m/>
    <m/>
    <m/>
    <x v="0"/>
  </r>
  <r>
    <x v="1"/>
    <s v="Onion-Erulli-kg-kg-1.0000"/>
    <n v="14"/>
    <n v="2.0350000000000001"/>
    <x v="1"/>
    <s v="Ravi"/>
    <n v="28.490000000000002"/>
    <s v="Vegetable"/>
    <m/>
    <m/>
    <m/>
    <m/>
    <m/>
    <x v="0"/>
  </r>
  <r>
    <x v="1"/>
    <s v="Garlic-Belulli-kg-kg-1.0000"/>
    <n v="28"/>
    <n v="0.2"/>
    <x v="1"/>
    <s v="Ravi"/>
    <n v="5.6000000000000005"/>
    <s v="Vegetable"/>
    <m/>
    <m/>
    <m/>
    <m/>
    <m/>
    <x v="0"/>
  </r>
  <r>
    <x v="1"/>
    <s v="Green chilly-hasinmenshinkayi-kg-kg-1.0000"/>
    <n v="30"/>
    <n v="0.12"/>
    <x v="1"/>
    <s v="Ravi"/>
    <n v="3.5999999999999996"/>
    <s v="Vegetable"/>
    <m/>
    <m/>
    <m/>
    <m/>
    <m/>
    <x v="0"/>
  </r>
  <r>
    <x v="1"/>
    <s v="Guntur -guntur-kg-kg-1.0000"/>
    <n v="138"/>
    <n v="0.02"/>
    <x v="1"/>
    <s v="Ravi"/>
    <n v="2.7600000000000002"/>
    <s v="Dry Grocery"/>
    <m/>
    <m/>
    <m/>
    <m/>
    <m/>
    <x v="0"/>
  </r>
  <r>
    <x v="1"/>
    <s v="North Papad (1 kg)-North Papad (1 kg)-kg-kg-1.0000"/>
    <n v="160"/>
    <n v="0.1"/>
    <x v="1"/>
    <s v="Ravi"/>
    <n v="16"/>
    <s v="Dry Grocery"/>
    <m/>
    <m/>
    <m/>
    <m/>
    <m/>
    <x v="0"/>
  </r>
  <r>
    <x v="1"/>
    <s v="South Papad (500 gram)-South Papad (500 gram)-pkt-kg-0.5000"/>
    <n v="62.03"/>
    <n v="8.5000000000000006E-2"/>
    <x v="1"/>
    <s v="Ravi"/>
    <n v="5.2725500000000007"/>
    <s v="Dry Grocery"/>
    <m/>
    <m/>
    <m/>
    <m/>
    <m/>
    <x v="0"/>
  </r>
  <r>
    <x v="1"/>
    <s v="Cashew-Godambi-kg-kg-1.0000"/>
    <n v="840"/>
    <n v="1.2999999999999999E-2"/>
    <x v="1"/>
    <s v="Ravi"/>
    <n v="10.92"/>
    <s v="Dry Grocery"/>
    <m/>
    <m/>
    <m/>
    <m/>
    <m/>
    <x v="0"/>
  </r>
  <r>
    <x v="1"/>
    <s v="Raisin-drakshi-kg-kg-1.0000"/>
    <n v="240"/>
    <n v="1.2E-2"/>
    <x v="1"/>
    <s v="Ravi"/>
    <n v="2.88"/>
    <s v="Dry Grocery"/>
    <m/>
    <m/>
    <m/>
    <m/>
    <m/>
    <x v="0"/>
  </r>
  <r>
    <x v="1"/>
    <s v="Toordal-Thogaribele-kg-kg-1.0000"/>
    <n v="64.069999999999993"/>
    <n v="0.35"/>
    <x v="1"/>
    <s v="Ravi"/>
    <n v="22.424499999999995"/>
    <s v="Dry Grocery"/>
    <m/>
    <m/>
    <m/>
    <m/>
    <m/>
    <x v="0"/>
  </r>
  <r>
    <x v="1"/>
    <s v="Tomato (Jam)-tomatojam-kg-kg-1.0000"/>
    <n v="14.75"/>
    <n v="1.1000000000000001"/>
    <x v="1"/>
    <s v="Ravi"/>
    <n v="16.225000000000001"/>
    <s v="Vegetable"/>
    <m/>
    <m/>
    <m/>
    <m/>
    <m/>
    <x v="0"/>
  </r>
  <r>
    <x v="1"/>
    <s v="Garam Masala (100 gram)-garam masala-pkt-kg-0.1000"/>
    <n v="57.5"/>
    <n v="3.5000000000000003E-2"/>
    <x v="1"/>
    <s v="Ravi"/>
    <n v="2.0125000000000002"/>
    <s v="Dry Grocery"/>
    <m/>
    <m/>
    <m/>
    <m/>
    <m/>
    <x v="0"/>
  </r>
  <r>
    <x v="1"/>
    <s v="curry leaves-karbensoppu-kg-kg-1.0000"/>
    <n v="312.14"/>
    <n v="0.06"/>
    <x v="1"/>
    <s v="Ravi"/>
    <n v="18.728399999999997"/>
    <s v="Vegetable"/>
    <m/>
    <m/>
    <m/>
    <m/>
    <m/>
    <x v="0"/>
  </r>
  <r>
    <x v="1"/>
    <s v="Coriander leaves-Kothamiri Soppu-kg-kg-1.0000"/>
    <n v="25"/>
    <n v="0.1"/>
    <x v="1"/>
    <s v="Ravi"/>
    <n v="2.5"/>
    <s v="Vegetable"/>
    <m/>
    <m/>
    <m/>
    <m/>
    <m/>
    <x v="0"/>
  </r>
  <r>
    <x v="1"/>
    <s v="Pudina-Pudina-kg-kg-1.0000"/>
    <n v="125"/>
    <n v="0.44"/>
    <x v="1"/>
    <s v="Ravi"/>
    <n v="55"/>
    <s v="Vegetable"/>
    <m/>
    <m/>
    <m/>
    <m/>
    <m/>
    <x v="0"/>
  </r>
  <r>
    <x v="1"/>
    <s v="Ginger-shunti-kg-kg-1.0000"/>
    <n v="40"/>
    <n v="4.4999999999999998E-2"/>
    <x v="1"/>
    <s v="Ravi"/>
    <n v="1.7999999999999998"/>
    <s v="Vegetable"/>
    <m/>
    <m/>
    <m/>
    <m/>
    <m/>
    <x v="0"/>
  </r>
  <r>
    <x v="1"/>
    <s v="mixed vegetables-mixed tharkari-kg-kg-1.0000"/>
    <n v="35"/>
    <n v="1"/>
    <x v="1"/>
    <s v="Ravi"/>
    <n v="35"/>
    <s v="Vegetable"/>
    <m/>
    <m/>
    <m/>
    <m/>
    <m/>
    <x v="0"/>
  </r>
  <r>
    <x v="1"/>
    <s v="Chiroti Semolina-Chiroti rava-kg-kg-1.0000"/>
    <n v="34"/>
    <n v="0.3"/>
    <x v="1"/>
    <s v="Ravi"/>
    <n v="10.199999999999999"/>
    <s v="Dry Grocery"/>
    <m/>
    <m/>
    <m/>
    <m/>
    <m/>
    <x v="0"/>
  </r>
  <r>
    <x v="1"/>
    <s v="Carrot-carrot-kg-kg-1.0000"/>
    <n v="27.97"/>
    <n v="0.38"/>
    <x v="1"/>
    <s v="Ravi"/>
    <n v="10.6286"/>
    <s v="Vegetable"/>
    <m/>
    <m/>
    <m/>
    <m/>
    <m/>
    <x v="0"/>
  </r>
  <r>
    <x v="1"/>
    <s v="Beans-Beans-kg-kg-1.0000"/>
    <n v="43.06"/>
    <n v="0.33"/>
    <x v="1"/>
    <s v="Ravi"/>
    <n v="14.209800000000001"/>
    <s v="Vegetable"/>
    <m/>
    <m/>
    <m/>
    <m/>
    <m/>
    <x v="0"/>
  </r>
  <r>
    <x v="1"/>
    <s v="Rasam powder-Rasam powder-kg-kg-1.0000"/>
    <n v="340"/>
    <n v="0.02"/>
    <x v="1"/>
    <s v="Ravi"/>
    <n v="6.8"/>
    <s v="Dry Grocery"/>
    <m/>
    <m/>
    <m/>
    <m/>
    <m/>
    <x v="0"/>
  </r>
  <r>
    <x v="1"/>
    <s v="Sambar powder-Sambar powder-kg-kg-1.0000"/>
    <n v="500"/>
    <n v="0.05"/>
    <x v="1"/>
    <s v="Ravi"/>
    <n v="25"/>
    <s v="Dry Grocery"/>
    <m/>
    <m/>
    <m/>
    <m/>
    <m/>
    <x v="0"/>
  </r>
  <r>
    <x v="1"/>
    <s v="CHICK PEAS-kadalekalu-kg-kg-1.0000"/>
    <n v="76"/>
    <n v="0.27"/>
    <x v="1"/>
    <s v="Ravi"/>
    <n v="20.520000000000003"/>
    <s v="Dry Grocery"/>
    <m/>
    <m/>
    <m/>
    <m/>
    <m/>
    <x v="0"/>
  </r>
  <r>
    <x v="1"/>
    <s v="Groundnut Seeds-Kadlekayi Beeja-kg-kg-1.0000"/>
    <n v="108"/>
    <n v="9.5000000000000001E-2"/>
    <x v="1"/>
    <s v="Ravi"/>
    <n v="10.26"/>
    <s v="Dry Grocery"/>
    <m/>
    <m/>
    <m/>
    <m/>
    <m/>
    <x v="0"/>
  </r>
  <r>
    <x v="1"/>
    <s v="Wheat-Godhi-kg-kg-1.0000"/>
    <n v="34"/>
    <n v="0.7"/>
    <x v="1"/>
    <s v="Ravi"/>
    <n v="23.799999999999997"/>
    <s v="Dry Grocery"/>
    <m/>
    <m/>
    <m/>
    <m/>
    <m/>
    <x v="0"/>
  </r>
  <r>
    <x v="1"/>
    <s v="Pineapple-ANNANAS-kg-kg-1.0000"/>
    <n v="30"/>
    <n v="0.4"/>
    <x v="1"/>
    <s v="Ravi"/>
    <n v="12"/>
    <s v="Fruits"/>
    <m/>
    <m/>
    <m/>
    <m/>
    <m/>
    <x v="0"/>
  </r>
  <r>
    <x v="1"/>
    <s v="Pickle-Uppinkayi-kg-kg-1.0000"/>
    <n v="40"/>
    <n v="0.3"/>
    <x v="1"/>
    <s v="Ravi"/>
    <n v="12"/>
    <s v="Processed Food"/>
    <m/>
    <m/>
    <m/>
    <m/>
    <m/>
    <x v="0"/>
  </r>
  <r>
    <x v="1"/>
    <s v="Milk-Haalu-lts-kg-1.0300"/>
    <n v="36"/>
    <n v="0.501"/>
    <x v="5"/>
    <s v="Ravi"/>
    <n v="18.036000000000001"/>
    <s v="Dairy"/>
    <m/>
    <m/>
    <m/>
    <m/>
    <m/>
    <x v="0"/>
  </r>
  <r>
    <x v="1"/>
    <s v="Watermelon-Watermelon-kg-kg-1.0000"/>
    <n v="20"/>
    <n v="4.7"/>
    <x v="5"/>
    <s v="Ravi"/>
    <n v="94"/>
    <s v="Fruits"/>
    <m/>
    <m/>
    <m/>
    <m/>
    <m/>
    <x v="0"/>
  </r>
  <r>
    <x v="1"/>
    <s v="Pineapple-ANNANAS-kg-kg-1.0000"/>
    <n v="30"/>
    <n v="0.62"/>
    <x v="5"/>
    <s v="Ravi"/>
    <n v="18.600000000000001"/>
    <s v="Fruits"/>
    <m/>
    <m/>
    <m/>
    <m/>
    <m/>
    <x v="0"/>
  </r>
  <r>
    <x v="1"/>
    <s v="Orange -Kitlehannu-kg-kg-1.0000"/>
    <n v="50"/>
    <n v="2"/>
    <x v="5"/>
    <s v="Ravi"/>
    <n v="100"/>
    <s v="Fruits"/>
    <m/>
    <m/>
    <m/>
    <m/>
    <m/>
    <x v="0"/>
  </r>
  <r>
    <x v="1"/>
    <s v="Moosambi-MOOSAMBI-kg-kg-1.0000"/>
    <n v="50"/>
    <n v="3.6"/>
    <x v="5"/>
    <s v="Ravi"/>
    <n v="180"/>
    <s v="Fruits"/>
    <m/>
    <m/>
    <m/>
    <m/>
    <m/>
    <x v="0"/>
  </r>
  <r>
    <x v="1"/>
    <s v="Pudina-Pudina-kg-kg-1.0000"/>
    <n v="125"/>
    <n v="0.1"/>
    <x v="2"/>
    <s v="Ravi"/>
    <n v="12.5"/>
    <s v="Vegetable"/>
    <m/>
    <m/>
    <m/>
    <m/>
    <m/>
    <x v="0"/>
  </r>
  <r>
    <x v="1"/>
    <s v="Coriander leaves-Kothamiri Soppu-kg-kg-1.0000"/>
    <n v="25"/>
    <n v="0.315"/>
    <x v="2"/>
    <s v="Ravi"/>
    <n v="7.875"/>
    <s v="Vegetable"/>
    <m/>
    <m/>
    <m/>
    <m/>
    <m/>
    <x v="0"/>
  </r>
  <r>
    <x v="1"/>
    <s v="Green chilly-hasinmenshinkayi-kg-kg-1.0000"/>
    <n v="30"/>
    <n v="0.35"/>
    <x v="2"/>
    <s v="Ravi"/>
    <n v="10.5"/>
    <s v="Vegetable"/>
    <m/>
    <m/>
    <m/>
    <m/>
    <m/>
    <x v="0"/>
  </r>
  <r>
    <x v="1"/>
    <s v="Ginger-shunti-kg-kg-1.0000"/>
    <n v="40"/>
    <n v="0.05"/>
    <x v="2"/>
    <s v="Ravi"/>
    <n v="2"/>
    <s v="Vegetable"/>
    <m/>
    <m/>
    <m/>
    <m/>
    <m/>
    <x v="0"/>
  </r>
  <r>
    <x v="1"/>
    <s v="Crystal Salt-Kalluppu-kg-kg-1.0000"/>
    <n v="7"/>
    <n v="0.04"/>
    <x v="2"/>
    <s v="Ravi"/>
    <n v="0.28000000000000003"/>
    <s v="Dry Grocery"/>
    <m/>
    <m/>
    <m/>
    <m/>
    <m/>
    <x v="0"/>
  </r>
  <r>
    <x v="1"/>
    <s v="Turmeric Powder-Arishina pudi-kg-kg-1.0000"/>
    <n v="187.41"/>
    <n v="0.1"/>
    <x v="2"/>
    <s v="Ravi"/>
    <n v="18.741"/>
    <s v="Dry Grocery"/>
    <m/>
    <m/>
    <m/>
    <m/>
    <m/>
    <x v="0"/>
  </r>
  <r>
    <x v="1"/>
    <s v="Jeera Seeds-Jeerge-kg-kg-1.0000"/>
    <n v="230"/>
    <n v="0.01"/>
    <x v="2"/>
    <s v="Ravi"/>
    <n v="2.3000000000000003"/>
    <s v="Dry Grocery"/>
    <m/>
    <m/>
    <m/>
    <m/>
    <m/>
    <x v="0"/>
  </r>
  <r>
    <x v="1"/>
    <s v="Black pepper-kal menasu-kg-kg-1.0000"/>
    <n v="580"/>
    <n v="1.4999999999999999E-2"/>
    <x v="2"/>
    <s v="Ravi"/>
    <n v="8.6999999999999993"/>
    <s v="Dry Grocery"/>
    <m/>
    <m/>
    <m/>
    <m/>
    <m/>
    <x v="0"/>
  </r>
  <r>
    <x v="1"/>
    <s v="Peas-batani-kg-kg-1.0000"/>
    <n v="48"/>
    <n v="0.4"/>
    <x v="2"/>
    <s v="Ravi"/>
    <n v="19.200000000000003"/>
    <s v="Dry Grocery"/>
    <m/>
    <m/>
    <m/>
    <m/>
    <m/>
    <x v="0"/>
  </r>
  <r>
    <x v="1"/>
    <s v="Lemon-Nimbehannu-count-count-1.0000"/>
    <n v="3"/>
    <n v="20"/>
    <x v="5"/>
    <s v="Ravi"/>
    <n v="60"/>
    <s v="Vegetable"/>
    <m/>
    <m/>
    <m/>
    <m/>
    <m/>
    <x v="0"/>
  </r>
  <r>
    <x v="1"/>
    <s v="Onion-Erulli-kg-kg-1.0000"/>
    <n v="14"/>
    <n v="0.5"/>
    <x v="2"/>
    <s v="Ravi"/>
    <n v="7"/>
    <s v="Vegetable"/>
    <m/>
    <m/>
    <m/>
    <m/>
    <m/>
    <x v="0"/>
  </r>
  <r>
    <x v="1"/>
    <s v="Tomato (Jam)-tomatojam-kg-kg-1.0000"/>
    <n v="14.75"/>
    <n v="0.37"/>
    <x v="2"/>
    <s v="Ravi"/>
    <n v="5.4574999999999996"/>
    <s v="Vegetable"/>
    <m/>
    <m/>
    <m/>
    <m/>
    <m/>
    <x v="0"/>
  </r>
  <r>
    <x v="1"/>
    <s v="Carrot-carrot-kg-kg-1.0000"/>
    <n v="27.97"/>
    <n v="0.25"/>
    <x v="2"/>
    <s v="Ravi"/>
    <n v="6.9924999999999997"/>
    <s v="Vegetable"/>
    <m/>
    <m/>
    <m/>
    <m/>
    <m/>
    <x v="0"/>
  </r>
  <r>
    <x v="1"/>
    <s v="Curd-Mosaru-lts-kg-1.0300"/>
    <n v="42"/>
    <n v="0.501"/>
    <x v="2"/>
    <s v="Ravi"/>
    <n v="21.042000000000002"/>
    <s v="Dairy"/>
    <m/>
    <m/>
    <m/>
    <m/>
    <m/>
    <x v="0"/>
  </r>
  <r>
    <x v="2"/>
    <s v="Onion-Erulli-kg-kg-1.0000"/>
    <n v="14"/>
    <n v="3"/>
    <x v="0"/>
    <s v="Murthy"/>
    <n v="42"/>
    <s v="Vegetable"/>
    <m/>
    <m/>
    <m/>
    <m/>
    <m/>
    <x v="0"/>
  </r>
  <r>
    <x v="2"/>
    <s v="Capsicum-Capsicum-kg-kg-1.0000"/>
    <n v="30"/>
    <n v="1"/>
    <x v="0"/>
    <s v="Murthy"/>
    <n v="30"/>
    <s v="Vegetable"/>
    <m/>
    <m/>
    <m/>
    <m/>
    <m/>
    <x v="0"/>
  </r>
  <r>
    <x v="2"/>
    <s v="Green chilly-hasinmenshinkayi-kg-kg-1.0000"/>
    <n v="30"/>
    <n v="0.5"/>
    <x v="0"/>
    <s v="Murthy"/>
    <n v="15"/>
    <s v="Vegetable"/>
    <m/>
    <m/>
    <m/>
    <m/>
    <m/>
    <x v="0"/>
  </r>
  <r>
    <x v="2"/>
    <s v="Basumathi Rice-Basumathi Rice-kg-kg-1.0000"/>
    <n v="62"/>
    <n v="2"/>
    <x v="0"/>
    <s v="Murthy"/>
    <n v="124"/>
    <s v="Dry Grocery"/>
    <m/>
    <m/>
    <m/>
    <m/>
    <m/>
    <x v="0"/>
  </r>
  <r>
    <x v="2"/>
    <s v="Tomato (Jam)-tomatojam-kg-kg-1.0000"/>
    <n v="14.75"/>
    <n v="0.5"/>
    <x v="0"/>
    <s v="Murthy"/>
    <n v="7.375"/>
    <s v="Vegetable"/>
    <m/>
    <m/>
    <m/>
    <m/>
    <m/>
    <x v="0"/>
  </r>
  <r>
    <x v="2"/>
    <s v="Oil-Yenne-lts-kg-0.9150"/>
    <n v="82"/>
    <n v="3"/>
    <x v="0"/>
    <s v="Murthy"/>
    <n v="246"/>
    <s v="Oil"/>
    <m/>
    <m/>
    <m/>
    <m/>
    <m/>
    <x v="0"/>
  </r>
  <r>
    <x v="2"/>
    <s v="Cabbage-geddekosu-kg-kg-1.0000"/>
    <n v="3"/>
    <n v="1.1000000000000001"/>
    <x v="0"/>
    <s v="Murthy"/>
    <n v="3.3000000000000003"/>
    <s v="Vegetable"/>
    <m/>
    <m/>
    <m/>
    <m/>
    <m/>
    <x v="0"/>
  </r>
  <r>
    <x v="2"/>
    <s v="Palak leaves-Palak soppu-kg-kg-1.0000"/>
    <n v="38"/>
    <n v="1.7"/>
    <x v="0"/>
    <s v="Murthy"/>
    <n v="64.599999999999994"/>
    <s v="Vegetable"/>
    <m/>
    <m/>
    <m/>
    <m/>
    <m/>
    <x v="0"/>
  </r>
  <r>
    <x v="2"/>
    <s v="Paneer-Paneer-kg-kg-1.0000"/>
    <n v="175"/>
    <n v="1"/>
    <x v="0"/>
    <s v="Murthy"/>
    <n v="175"/>
    <s v="Dairy"/>
    <m/>
    <m/>
    <m/>
    <m/>
    <m/>
    <x v="0"/>
  </r>
  <r>
    <x v="2"/>
    <s v="Sugar-Sakkre-kg-kg-1.0000"/>
    <n v="37"/>
    <n v="0.6"/>
    <x v="0"/>
    <s v="Murthy"/>
    <n v="22.2"/>
    <s v="Dry Grocery"/>
    <m/>
    <m/>
    <m/>
    <m/>
    <m/>
    <x v="0"/>
  </r>
  <r>
    <x v="2"/>
    <s v="Garlic-Belulli-kg-kg-1.0000"/>
    <n v="28"/>
    <n v="0.5"/>
    <x v="0"/>
    <s v="Murthy"/>
    <n v="14"/>
    <s v="Vegetable"/>
    <m/>
    <m/>
    <m/>
    <m/>
    <m/>
    <x v="0"/>
  </r>
  <r>
    <x v="2"/>
    <s v="Ginger-shunti-kg-kg-1.0000"/>
    <n v="40"/>
    <n v="0.1"/>
    <x v="0"/>
    <s v="Murthy"/>
    <n v="4"/>
    <s v="Vegetable"/>
    <m/>
    <m/>
    <m/>
    <m/>
    <m/>
    <x v="0"/>
  </r>
  <r>
    <x v="2"/>
    <s v="Dalda-dalda-lts-kg-0.9050"/>
    <n v="96"/>
    <n v="1"/>
    <x v="0"/>
    <s v="Murthy"/>
    <n v="96"/>
    <s v="Oil"/>
    <m/>
    <m/>
    <m/>
    <m/>
    <m/>
    <x v="0"/>
  </r>
  <r>
    <x v="2"/>
    <s v="Beans-Beans-kg-kg-1.0000"/>
    <n v="43.06"/>
    <n v="0.3"/>
    <x v="0"/>
    <s v="Murthy"/>
    <n v="12.918000000000001"/>
    <s v="Vegetable"/>
    <m/>
    <m/>
    <m/>
    <m/>
    <m/>
    <x v="0"/>
  </r>
  <r>
    <x v="2"/>
    <s v="Roti Wheat-Roti atta-kg-kg-1.0000"/>
    <n v="27"/>
    <n v="2"/>
    <x v="0"/>
    <s v="Murthy"/>
    <n v="54"/>
    <s v="Dry Grocery"/>
    <m/>
    <m/>
    <m/>
    <m/>
    <m/>
    <x v="0"/>
  </r>
  <r>
    <x v="2"/>
    <s v="Maida-Maida-kg-kg-1.0000"/>
    <n v="29.51"/>
    <n v="2"/>
    <x v="0"/>
    <s v="Murthy"/>
    <n v="59.02"/>
    <s v="Dry Grocery"/>
    <m/>
    <m/>
    <m/>
    <m/>
    <m/>
    <x v="0"/>
  </r>
  <r>
    <x v="2"/>
    <s v="White Pepper Powder (500 gram)-Billi menasu pudi-kg-kg-1.0000"/>
    <n v="180"/>
    <n v="1"/>
    <x v="0"/>
    <s v="Murthy"/>
    <n v="180"/>
    <s v="Dry Grocery"/>
    <m/>
    <m/>
    <m/>
    <m/>
    <m/>
    <x v="0"/>
  </r>
  <r>
    <x v="2"/>
    <s v="Tasting Powder (500 kg)-tasting powder-kg-kg-1.0000"/>
    <n v="148"/>
    <n v="1"/>
    <x v="0"/>
    <s v="Murthy"/>
    <n v="148"/>
    <s v="Dry Grocery"/>
    <m/>
    <m/>
    <m/>
    <m/>
    <m/>
    <x v="0"/>
  </r>
  <r>
    <x v="2"/>
    <s v="Kitchen king (100 gram)-Kitchen king (100 gram)-pkt-kg-0.1000"/>
    <n v="51"/>
    <n v="0.1"/>
    <x v="0"/>
    <s v="Murthy"/>
    <n v="5.1000000000000005"/>
    <s v="Dry Grocery"/>
    <m/>
    <m/>
    <m/>
    <m/>
    <m/>
    <x v="0"/>
  </r>
  <r>
    <x v="2"/>
    <s v="Hakka Noodles-Hakka Noodles-pkt-kg-0.4000"/>
    <n v="40"/>
    <n v="1"/>
    <x v="0"/>
    <s v="Murthy"/>
    <n v="40"/>
    <s v="Dry Grocery"/>
    <m/>
    <m/>
    <m/>
    <m/>
    <m/>
    <x v="0"/>
  </r>
  <r>
    <x v="2"/>
    <s v="Cinnamon-Chekke-kg-kg-1.0000"/>
    <n v="220"/>
    <n v="5.0000000000000001E-3"/>
    <x v="0"/>
    <s v="Murthy"/>
    <n v="1.1000000000000001"/>
    <s v="Spice"/>
    <m/>
    <m/>
    <m/>
    <m/>
    <m/>
    <x v="0"/>
  </r>
  <r>
    <x v="2"/>
    <s v="Cloves-lavanga-kg-kg-1.0000"/>
    <n v="740"/>
    <n v="5.0000000000000001E-3"/>
    <x v="0"/>
    <s v="Murthy"/>
    <n v="3.7"/>
    <s v="Spice"/>
    <m/>
    <m/>
    <m/>
    <m/>
    <m/>
    <x v="0"/>
  </r>
  <r>
    <x v="2"/>
    <s v="Elaichi-yelakki-kg-kg-1.0000"/>
    <n v="1450"/>
    <n v="5.0000000000000001E-3"/>
    <x v="0"/>
    <s v="Murthy"/>
    <n v="7.25"/>
    <s v="Spice"/>
    <m/>
    <m/>
    <m/>
    <m/>
    <m/>
    <x v="0"/>
  </r>
  <r>
    <x v="2"/>
    <s v="Maratimoggu-Maratimoggu-kg-kg-1.0000"/>
    <n v="750"/>
    <n v="0.1"/>
    <x v="0"/>
    <s v="Murthy"/>
    <n v="75"/>
    <s v="Spice"/>
    <m/>
    <m/>
    <m/>
    <m/>
    <m/>
    <x v="0"/>
  </r>
  <r>
    <x v="2"/>
    <s v="Mace-japathre-kg-kg-1.0000"/>
    <n v="1480"/>
    <n v="5.0000000000000001E-3"/>
    <x v="0"/>
    <s v="Murthy"/>
    <n v="7.4"/>
    <s v="Spice"/>
    <m/>
    <m/>
    <m/>
    <m/>
    <m/>
    <x v="0"/>
  </r>
  <r>
    <x v="2"/>
    <s v="Ketchup(1.2 kg)-ketchup-bottle-kg-1.2000"/>
    <n v="75"/>
    <n v="1.2"/>
    <x v="0"/>
    <s v="Murthy"/>
    <n v="90"/>
    <s v="Sauce"/>
    <m/>
    <m/>
    <m/>
    <m/>
    <m/>
    <x v="0"/>
  </r>
  <r>
    <x v="2"/>
    <s v="Pickle-Uppinkayi-kg-kg-1.0000"/>
    <n v="40"/>
    <n v="0.2"/>
    <x v="1"/>
    <s v="Ravi"/>
    <n v="8"/>
    <s v="Processed Food"/>
    <m/>
    <m/>
    <m/>
    <m/>
    <m/>
    <x v="0"/>
  </r>
  <r>
    <x v="2"/>
    <s v="Mushroom-Mushroom-pkt-pkt-1.0000"/>
    <n v="32"/>
    <n v="1"/>
    <x v="0"/>
    <s v="Murthy"/>
    <n v="32"/>
    <s v="Vegetable"/>
    <m/>
    <m/>
    <m/>
    <m/>
    <m/>
    <x v="0"/>
  </r>
  <r>
    <x v="2"/>
    <s v="Butter-Butter-kg-kg-1.0000"/>
    <n v="140"/>
    <n v="0.25"/>
    <x v="0"/>
    <s v="Murthy"/>
    <n v="35"/>
    <s v="Dairy"/>
    <m/>
    <m/>
    <m/>
    <m/>
    <m/>
    <x v="0"/>
  </r>
  <r>
    <x v="2"/>
    <s v="Babycorn-Babycorn-kg-kg-1.0000"/>
    <n v="60"/>
    <n v="0.5"/>
    <x v="0"/>
    <s v="Murthy"/>
    <n v="30"/>
    <s v="Vegetable"/>
    <m/>
    <m/>
    <m/>
    <m/>
    <m/>
    <x v="0"/>
  </r>
  <r>
    <x v="2"/>
    <s v="Vinegar-Vinegar-bottle-kg-0.8600"/>
    <n v="24"/>
    <n v="0.86"/>
    <x v="0"/>
    <s v="Murthy"/>
    <n v="20.64"/>
    <s v="Dry Grocery"/>
    <m/>
    <m/>
    <m/>
    <m/>
    <m/>
    <x v="0"/>
  </r>
  <r>
    <x v="2"/>
    <s v="Bullet Rice-Bullet Rice-kg-kg-1.0000"/>
    <n v="64"/>
    <n v="2.5"/>
    <x v="0"/>
    <s v="Murthy"/>
    <n v="160"/>
    <s v="Dry Grocery"/>
    <m/>
    <m/>
    <m/>
    <m/>
    <m/>
    <x v="0"/>
  </r>
  <r>
    <x v="2"/>
    <s v="Garlic-Belulli-kg-kg-1.0000"/>
    <n v="28"/>
    <n v="0.1"/>
    <x v="2"/>
    <s v="Ravi"/>
    <n v="2.8000000000000003"/>
    <s v="Vegetable"/>
    <m/>
    <m/>
    <m/>
    <m/>
    <m/>
    <x v="0"/>
  </r>
  <r>
    <x v="2"/>
    <s v="Ginger-shunti-kg-kg-1.0000"/>
    <n v="40"/>
    <n v="0.04"/>
    <x v="2"/>
    <s v="Ravi"/>
    <n v="1.6"/>
    <s v="Vegetable"/>
    <m/>
    <m/>
    <m/>
    <m/>
    <m/>
    <x v="0"/>
  </r>
  <r>
    <x v="2"/>
    <s v="Pudina-Pudina-kg-kg-1.0000"/>
    <n v="125"/>
    <n v="0.04"/>
    <x v="2"/>
    <s v="Ravi"/>
    <n v="5"/>
    <s v="Vegetable"/>
    <m/>
    <m/>
    <m/>
    <m/>
    <m/>
    <x v="0"/>
  </r>
  <r>
    <x v="2"/>
    <s v="Coriander leaves-Kothamiri Soppu-kg-kg-1.0000"/>
    <n v="25"/>
    <n v="0.1"/>
    <x v="2"/>
    <s v="Ravi"/>
    <n v="2.5"/>
    <s v="Vegetable"/>
    <m/>
    <m/>
    <m/>
    <m/>
    <m/>
    <x v="0"/>
  </r>
  <r>
    <x v="2"/>
    <s v="Groundnut Seeds-Kadlekayi Beeja-kg-kg-1.0000"/>
    <n v="108"/>
    <n v="0.06"/>
    <x v="2"/>
    <s v="Ravi"/>
    <n v="6.4799999999999995"/>
    <s v="Dry Grocery"/>
    <m/>
    <m/>
    <m/>
    <m/>
    <m/>
    <x v="0"/>
  </r>
  <r>
    <x v="2"/>
    <s v="Onion-Erulli-kg-kg-1.0000"/>
    <n v="14"/>
    <n v="0.92500000000000004"/>
    <x v="2"/>
    <s v="Ravi"/>
    <n v="12.950000000000001"/>
    <s v="Vegetable"/>
    <m/>
    <m/>
    <m/>
    <m/>
    <m/>
    <x v="0"/>
  </r>
  <r>
    <x v="2"/>
    <s v="Green chilly-hasinmenshinkayi-kg-kg-1.0000"/>
    <n v="30"/>
    <n v="0.13"/>
    <x v="2"/>
    <s v="Ravi"/>
    <n v="3.9000000000000004"/>
    <s v="Vegetable"/>
    <m/>
    <m/>
    <m/>
    <m/>
    <m/>
    <x v="0"/>
  </r>
  <r>
    <x v="2"/>
    <s v="Pav Baji Masala (100 gram)-pav baji masala-pkt-kg-0.1000"/>
    <n v="46.4"/>
    <n v="1.4999999999999999E-2"/>
    <x v="2"/>
    <s v="Ravi"/>
    <n v="0.69599999999999995"/>
    <s v="Dry Grocery"/>
    <m/>
    <m/>
    <m/>
    <m/>
    <m/>
    <x v="0"/>
  </r>
  <r>
    <x v="2"/>
    <s v="Chat Masala (100 gram)-chat masala-pkt-kg-0.1000"/>
    <n v="48"/>
    <n v="0.02"/>
    <x v="2"/>
    <s v="Ravi"/>
    <n v="0.96"/>
    <s v="Dry Grocery"/>
    <m/>
    <m/>
    <m/>
    <m/>
    <m/>
    <x v="0"/>
  </r>
  <r>
    <x v="2"/>
    <s v="Garam Masala (100 gram)-garam masala-pkt-kg-0.1000"/>
    <n v="57.5"/>
    <n v="0.02"/>
    <x v="2"/>
    <s v="Ravi"/>
    <n v="1.1500000000000001"/>
    <s v="Dry Grocery"/>
    <m/>
    <m/>
    <m/>
    <m/>
    <m/>
    <x v="0"/>
  </r>
  <r>
    <x v="2"/>
    <s v="Kasoori Methi-Kasoori Methi-kg-kg-1.0000"/>
    <n v="450"/>
    <n v="5.0000000000000001E-3"/>
    <x v="2"/>
    <s v="Ravi"/>
    <n v="2.25"/>
    <s v="Dry Grocery"/>
    <m/>
    <m/>
    <m/>
    <m/>
    <m/>
    <x v="0"/>
  </r>
  <r>
    <x v="2"/>
    <s v="Crystal Salt-Kalluppu-kg-kg-1.0000"/>
    <n v="7"/>
    <n v="0.45"/>
    <x v="2"/>
    <s v="Ravi"/>
    <n v="3.15"/>
    <s v="Dry Grocery"/>
    <m/>
    <m/>
    <m/>
    <m/>
    <m/>
    <x v="0"/>
  </r>
  <r>
    <x v="2"/>
    <s v="Tomato (Jam)-tomatojam-kg-kg-1.0000"/>
    <n v="14.75"/>
    <n v="0.4"/>
    <x v="2"/>
    <s v="Ravi"/>
    <n v="5.9"/>
    <s v="Vegetable"/>
    <m/>
    <m/>
    <m/>
    <m/>
    <m/>
    <x v="0"/>
  </r>
  <r>
    <x v="2"/>
    <s v="Carrot-carrot-kg-kg-1.0000"/>
    <n v="27.97"/>
    <n v="0.24"/>
    <x v="2"/>
    <s v="Ravi"/>
    <n v="6.7127999999999997"/>
    <s v="Vegetable"/>
    <m/>
    <m/>
    <m/>
    <m/>
    <m/>
    <x v="0"/>
  </r>
  <r>
    <x v="2"/>
    <s v="Coriander leaves-Kothamiri Soppu-kg-kg-1.0000"/>
    <n v="25"/>
    <n v="0.06"/>
    <x v="2"/>
    <s v="Ravi"/>
    <n v="1.5"/>
    <s v="Vegetable"/>
    <m/>
    <m/>
    <m/>
    <m/>
    <m/>
    <x v="0"/>
  </r>
  <r>
    <x v="2"/>
    <s v="Muskmelon-THARBUJA-kg-kg-1.0000"/>
    <n v="20"/>
    <n v="3"/>
    <x v="5"/>
    <s v="Ravi"/>
    <n v="60"/>
    <s v="Fruits"/>
    <m/>
    <m/>
    <m/>
    <m/>
    <m/>
    <x v="0"/>
  </r>
  <r>
    <x v="2"/>
    <s v="Watermelon-Watermelon-kg-kg-1.0000"/>
    <n v="20"/>
    <n v="2"/>
    <x v="5"/>
    <s v="Ravi"/>
    <n v="40"/>
    <s v="Fruits"/>
    <m/>
    <m/>
    <m/>
    <m/>
    <m/>
    <x v="0"/>
  </r>
  <r>
    <x v="2"/>
    <s v="Milk-Haalu-lts-kg-1.0300"/>
    <n v="36"/>
    <n v="1.5"/>
    <x v="1"/>
    <s v="Ravi"/>
    <n v="54"/>
    <s v="Dairy"/>
    <m/>
    <m/>
    <m/>
    <m/>
    <m/>
    <x v="0"/>
  </r>
  <r>
    <x v="2"/>
    <s v="Curd-Mosaru-lts-kg-1.0300"/>
    <n v="42"/>
    <n v="1.5"/>
    <x v="1"/>
    <s v="Ravi"/>
    <n v="63"/>
    <s v="Dairy"/>
    <m/>
    <m/>
    <m/>
    <m/>
    <m/>
    <x v="0"/>
  </r>
  <r>
    <x v="2"/>
    <s v="South Rice-South Hakki-kg-kg-1.0000"/>
    <n v="52"/>
    <n v="4.4000000000000004"/>
    <x v="1"/>
    <s v="Ravi"/>
    <n v="228.8"/>
    <s v="Dry Grocery"/>
    <m/>
    <m/>
    <m/>
    <m/>
    <m/>
    <x v="0"/>
  </r>
  <r>
    <x v="2"/>
    <s v="Coconut-Theginkai-count-count-1.0000"/>
    <n v="28"/>
    <n v="2"/>
    <x v="1"/>
    <s v="Ravi"/>
    <n v="56"/>
    <s v="Vegetable"/>
    <m/>
    <m/>
    <m/>
    <m/>
    <m/>
    <x v="0"/>
  </r>
  <r>
    <x v="2"/>
    <s v="Sugar-Sakkre-kg-kg-1.0000"/>
    <n v="37"/>
    <n v="0.3"/>
    <x v="1"/>
    <s v="Ravi"/>
    <n v="11.1"/>
    <s v="Dry Grocery"/>
    <m/>
    <m/>
    <m/>
    <m/>
    <m/>
    <x v="0"/>
  </r>
  <r>
    <x v="2"/>
    <s v="Chilly Powder-Chilly Powder-kg-kg-1.0000"/>
    <n v="280"/>
    <n v="0.03"/>
    <x v="1"/>
    <s v="Ravi"/>
    <n v="8.4"/>
    <s v="Dry Grocery"/>
    <m/>
    <m/>
    <m/>
    <m/>
    <m/>
    <x v="0"/>
  </r>
  <r>
    <x v="2"/>
    <s v="Coriander Powder (500 gram)-Dhanya Powder (500 gram)-kg-kg-1.0000"/>
    <n v="120"/>
    <n v="0.01"/>
    <x v="1"/>
    <s v="Ravi"/>
    <n v="1.2"/>
    <s v="Dry Grocery"/>
    <m/>
    <m/>
    <m/>
    <m/>
    <m/>
    <x v="0"/>
  </r>
  <r>
    <x v="2"/>
    <s v="Crystal Salt-Kalluppu-kg-kg-1.0000"/>
    <n v="7"/>
    <n v="0.48"/>
    <x v="1"/>
    <s v="Ravi"/>
    <n v="3.36"/>
    <s v="Dry Grocery"/>
    <m/>
    <m/>
    <m/>
    <m/>
    <m/>
    <x v="0"/>
  </r>
  <r>
    <x v="2"/>
    <s v="Turmeric Powder-Arishina pudi-kg-kg-1.0000"/>
    <n v="187.41"/>
    <n v="0.02"/>
    <x v="1"/>
    <s v="Ravi"/>
    <n v="3.7482000000000002"/>
    <s v="Dry Grocery"/>
    <m/>
    <m/>
    <m/>
    <m/>
    <m/>
    <x v="0"/>
  </r>
  <r>
    <x v="2"/>
    <s v="Dalda-dalda-lts-kg-0.9050"/>
    <n v="96"/>
    <n v="0.09"/>
    <x v="1"/>
    <s v="Ravi"/>
    <n v="8.64"/>
    <s v="Oil"/>
    <m/>
    <m/>
    <m/>
    <m/>
    <m/>
    <x v="0"/>
  </r>
  <r>
    <x v="2"/>
    <s v="Oil-Yenne-lts-kg-0.9150"/>
    <n v="82"/>
    <n v="0.91500000000000004"/>
    <x v="1"/>
    <s v="Ravi"/>
    <n v="75.03"/>
    <s v="Oil"/>
    <m/>
    <m/>
    <m/>
    <m/>
    <m/>
    <x v="0"/>
  </r>
  <r>
    <x v="2"/>
    <s v="Jeera Seeds-Jeerge-kg-kg-1.0000"/>
    <n v="230"/>
    <n v="2.5000000000000001E-2"/>
    <x v="1"/>
    <s v="Ravi"/>
    <n v="5.75"/>
    <s v="Dry Grocery"/>
    <m/>
    <m/>
    <m/>
    <m/>
    <m/>
    <x v="0"/>
  </r>
  <r>
    <x v="2"/>
    <s v="Mustard-Sasive-kg-kg-1.0000"/>
    <n v="70"/>
    <n v="4.4999999999999998E-2"/>
    <x v="1"/>
    <s v="Ravi"/>
    <n v="3.15"/>
    <s v="Dry Grocery"/>
    <m/>
    <m/>
    <m/>
    <m/>
    <m/>
    <x v="0"/>
  </r>
  <r>
    <x v="2"/>
    <s v="channadal(split)-Kadlebele-kg-kg-1.0000"/>
    <n v="55"/>
    <n v="0.18"/>
    <x v="1"/>
    <s v="Ravi"/>
    <n v="9.9"/>
    <s v="Dry Grocery"/>
    <m/>
    <m/>
    <m/>
    <m/>
    <m/>
    <x v="0"/>
  </r>
  <r>
    <x v="2"/>
    <s v="Elaichi-yelakki-kg-kg-1.0000"/>
    <n v="1450"/>
    <n v="5.0000000000000001E-3"/>
    <x v="1"/>
    <s v="Ravi"/>
    <n v="7.25"/>
    <s v="Spice"/>
    <m/>
    <m/>
    <m/>
    <m/>
    <m/>
    <x v="0"/>
  </r>
  <r>
    <x v="2"/>
    <s v="Onion-Erulli-kg-kg-1.0000"/>
    <n v="14"/>
    <n v="1.74"/>
    <x v="1"/>
    <s v="Ravi"/>
    <n v="24.36"/>
    <s v="Vegetable"/>
    <m/>
    <m/>
    <m/>
    <m/>
    <m/>
    <x v="0"/>
  </r>
  <r>
    <x v="2"/>
    <s v="Garlic-Belulli-kg-kg-1.0000"/>
    <n v="28"/>
    <n v="0.17499999999999999"/>
    <x v="1"/>
    <s v="Ravi"/>
    <n v="4.8999999999999995"/>
    <s v="Vegetable"/>
    <m/>
    <m/>
    <m/>
    <m/>
    <m/>
    <x v="0"/>
  </r>
  <r>
    <x v="2"/>
    <s v="Green chilly-hasinmenshinkayi-kg-kg-1.0000"/>
    <n v="30"/>
    <n v="0.15"/>
    <x v="1"/>
    <s v="Ravi"/>
    <n v="4.5"/>
    <s v="Vegetable"/>
    <m/>
    <m/>
    <m/>
    <m/>
    <m/>
    <x v="0"/>
  </r>
  <r>
    <x v="2"/>
    <s v="Guntur -guntur-kg-kg-1.0000"/>
    <n v="138"/>
    <n v="0.02"/>
    <x v="1"/>
    <s v="Ravi"/>
    <n v="2.7600000000000002"/>
    <s v="Dry Grocery"/>
    <m/>
    <m/>
    <m/>
    <m/>
    <m/>
    <x v="0"/>
  </r>
  <r>
    <x v="2"/>
    <s v="North Papad (1 kg)-North Papad (1 kg)-kg-kg-1.0000"/>
    <n v="160"/>
    <n v="0.115"/>
    <x v="1"/>
    <s v="Ravi"/>
    <n v="18.400000000000002"/>
    <s v="Dry Grocery"/>
    <m/>
    <m/>
    <m/>
    <m/>
    <m/>
    <x v="0"/>
  </r>
  <r>
    <x v="2"/>
    <s v="South Papad (500 gram)-South Papad (500 gram)-pkt-kg-0.5000"/>
    <n v="62.03"/>
    <n v="7.0000000000000007E-2"/>
    <x v="1"/>
    <s v="Ravi"/>
    <n v="4.3421000000000003"/>
    <s v="Dry Grocery"/>
    <m/>
    <m/>
    <m/>
    <m/>
    <m/>
    <x v="0"/>
  </r>
  <r>
    <x v="2"/>
    <s v="Cashew-Godambi-kg-kg-1.0000"/>
    <n v="840"/>
    <n v="1.2E-2"/>
    <x v="1"/>
    <s v="Ravi"/>
    <n v="10.08"/>
    <s v="Dry Grocery"/>
    <m/>
    <m/>
    <m/>
    <m/>
    <m/>
    <x v="0"/>
  </r>
  <r>
    <x v="2"/>
    <s v="Raisin-drakshi-kg-kg-1.0000"/>
    <n v="240"/>
    <n v="1.2999999999999999E-2"/>
    <x v="1"/>
    <s v="Ravi"/>
    <n v="3.1199999999999997"/>
    <s v="Dry Grocery"/>
    <m/>
    <m/>
    <m/>
    <m/>
    <m/>
    <x v="0"/>
  </r>
  <r>
    <x v="2"/>
    <s v="Toordal-Thogaribele-kg-kg-1.0000"/>
    <n v="64.069999999999993"/>
    <n v="0.35"/>
    <x v="1"/>
    <s v="Ravi"/>
    <n v="22.424499999999995"/>
    <s v="Dry Grocery"/>
    <m/>
    <m/>
    <m/>
    <m/>
    <m/>
    <x v="0"/>
  </r>
  <r>
    <x v="2"/>
    <s v="Garam Masala (100 gram)-garam masala-pkt-kg-0.1000"/>
    <n v="57.5"/>
    <n v="0.02"/>
    <x v="1"/>
    <s v="Ravi"/>
    <n v="1.1500000000000001"/>
    <s v="Dry Grocery"/>
    <m/>
    <m/>
    <m/>
    <m/>
    <m/>
    <x v="0"/>
  </r>
  <r>
    <x v="2"/>
    <s v="Sambar powder-Sambar powder-kg-kg-1.0000"/>
    <n v="500"/>
    <n v="0.06"/>
    <x v="1"/>
    <s v="Ravi"/>
    <n v="30"/>
    <s v="Dry Grocery"/>
    <m/>
    <m/>
    <m/>
    <m/>
    <m/>
    <x v="0"/>
  </r>
  <r>
    <x v="2"/>
    <s v="curry leaves-karbensoppu-kg-kg-1.0000"/>
    <n v="312.14"/>
    <n v="0.04"/>
    <x v="1"/>
    <s v="Ravi"/>
    <n v="12.4856"/>
    <s v="Vegetable"/>
    <m/>
    <m/>
    <m/>
    <m/>
    <m/>
    <x v="0"/>
  </r>
  <r>
    <x v="2"/>
    <s v="Coriander leaves-Kothamiri Soppu-kg-kg-1.0000"/>
    <n v="25"/>
    <n v="0.05"/>
    <x v="1"/>
    <s v="Ravi"/>
    <n v="1.25"/>
    <s v="Vegetable"/>
    <m/>
    <m/>
    <m/>
    <m/>
    <m/>
    <x v="0"/>
  </r>
  <r>
    <x v="2"/>
    <s v="Pudina-Pudina-kg-kg-1.0000"/>
    <n v="125"/>
    <n v="0.05"/>
    <x v="1"/>
    <s v="Ravi"/>
    <n v="6.25"/>
    <s v="Vegetable"/>
    <m/>
    <m/>
    <m/>
    <m/>
    <m/>
    <x v="0"/>
  </r>
  <r>
    <x v="2"/>
    <s v="Ginger-shunti-kg-kg-1.0000"/>
    <n v="40"/>
    <n v="0.05"/>
    <x v="1"/>
    <s v="Ravi"/>
    <n v="2"/>
    <s v="Vegetable"/>
    <m/>
    <m/>
    <m/>
    <m/>
    <m/>
    <x v="0"/>
  </r>
  <r>
    <x v="2"/>
    <s v="Beans-Beans-kg-kg-1.0000"/>
    <n v="43.06"/>
    <n v="0.6"/>
    <x v="1"/>
    <s v="Ravi"/>
    <n v="25.836000000000002"/>
    <s v="Vegetable"/>
    <m/>
    <m/>
    <m/>
    <m/>
    <m/>
    <x v="0"/>
  </r>
  <r>
    <x v="2"/>
    <s v="mixed vegetables-mixed tharkari-kg-kg-1.0000"/>
    <n v="35"/>
    <n v="0.64"/>
    <x v="1"/>
    <s v="Ravi"/>
    <n v="22.400000000000002"/>
    <s v="Vegetable"/>
    <m/>
    <m/>
    <m/>
    <m/>
    <m/>
    <x v="0"/>
  </r>
  <r>
    <x v="2"/>
    <s v="Sabbudana-sago sabakki-kg-kg-1.0000"/>
    <n v="86"/>
    <n v="0.185"/>
    <x v="1"/>
    <s v="Ravi"/>
    <n v="15.91"/>
    <s v="Dry Grocery"/>
    <m/>
    <m/>
    <m/>
    <m/>
    <m/>
    <x v="0"/>
  </r>
  <r>
    <x v="2"/>
    <s v="Tamarind-hunsehannu-kg-kg-1.0000"/>
    <n v="170"/>
    <n v="0.05"/>
    <x v="1"/>
    <s v="Ravi"/>
    <n v="8.5"/>
    <s v="Dry Grocery"/>
    <m/>
    <m/>
    <m/>
    <m/>
    <m/>
    <x v="0"/>
  </r>
  <r>
    <x v="2"/>
    <s v="Wheat-Godhi-kg-kg-1.0000"/>
    <n v="34"/>
    <n v="0.6"/>
    <x v="1"/>
    <s v="Ravi"/>
    <n v="20.399999999999999"/>
    <s v="Dry Grocery"/>
    <m/>
    <m/>
    <m/>
    <m/>
    <m/>
    <x v="0"/>
  </r>
  <r>
    <x v="2"/>
    <s v="Apple-SEBU-kg-kg-1.0000"/>
    <n v="120"/>
    <n v="1"/>
    <x v="5"/>
    <s v="Ravi"/>
    <n v="120"/>
    <s v="Fruits"/>
    <m/>
    <m/>
    <m/>
    <m/>
    <m/>
    <x v="0"/>
  </r>
  <r>
    <x v="2"/>
    <s v="Chickoo-Sapota-kg-kg-1.0000"/>
    <n v="40"/>
    <n v="2"/>
    <x v="5"/>
    <s v="Ravi"/>
    <n v="80"/>
    <s v="Fruits"/>
    <m/>
    <m/>
    <m/>
    <m/>
    <m/>
    <x v="0"/>
  </r>
  <r>
    <x v="3"/>
    <s v="Charcoal-Charcoal-kg-kg-1.0000"/>
    <n v="26"/>
    <n v="13.600000000000001"/>
    <x v="0"/>
    <s v="Murthy"/>
    <n v="353.6"/>
    <s v="Heating"/>
    <m/>
    <m/>
    <m/>
    <m/>
    <m/>
    <x v="0"/>
  </r>
  <r>
    <x v="3"/>
    <s v="Urad Dal-Uddina bele-kg-kg-1.0000"/>
    <n v="76"/>
    <n v="1"/>
    <x v="0"/>
    <s v="Murthy"/>
    <n v="76"/>
    <s v="Dry Grocery"/>
    <m/>
    <m/>
    <m/>
    <m/>
    <m/>
    <x v="0"/>
  </r>
  <r>
    <x v="3"/>
    <s v="Onion-Erulli-kg-kg-1.0000"/>
    <n v="14"/>
    <n v="4.25"/>
    <x v="0"/>
    <s v="Murthy"/>
    <n v="59.5"/>
    <s v="Vegetable"/>
    <m/>
    <m/>
    <m/>
    <m/>
    <m/>
    <x v="0"/>
  </r>
  <r>
    <x v="3"/>
    <s v="Capsicum-Capsicum-kg-kg-1.0000"/>
    <n v="30"/>
    <n v="1"/>
    <x v="0"/>
    <s v="Murthy"/>
    <n v="30"/>
    <s v="Vegetable"/>
    <m/>
    <m/>
    <m/>
    <m/>
    <m/>
    <x v="0"/>
  </r>
  <r>
    <x v="3"/>
    <s v="Sugar-Sakkre-kg-kg-1.0000"/>
    <n v="37"/>
    <n v="0.6"/>
    <x v="0"/>
    <s v="Murthy"/>
    <n v="22.2"/>
    <s v="Dry Grocery"/>
    <m/>
    <m/>
    <m/>
    <m/>
    <m/>
    <x v="0"/>
  </r>
  <r>
    <x v="3"/>
    <s v="Tea powder-Tea powder-kg-kg-1.0000"/>
    <n v="390"/>
    <n v="0.25"/>
    <x v="4"/>
    <s v="Vicky"/>
    <n v="97.5"/>
    <s v="Hot Beverage"/>
    <m/>
    <m/>
    <m/>
    <m/>
    <m/>
    <x v="0"/>
  </r>
  <r>
    <x v="3"/>
    <s v="Roti Wheat-Roti atta-kg-kg-1.0000"/>
    <n v="27"/>
    <n v="3"/>
    <x v="0"/>
    <s v="Murthy"/>
    <n v="81"/>
    <s v="Dry Grocery"/>
    <m/>
    <m/>
    <m/>
    <m/>
    <m/>
    <x v="0"/>
  </r>
  <r>
    <x v="3"/>
    <s v="Maida-Maida-kg-kg-1.0000"/>
    <n v="29.51"/>
    <n v="4.5"/>
    <x v="0"/>
    <s v="Murthy"/>
    <n v="132.79500000000002"/>
    <s v="Dry Grocery"/>
    <m/>
    <m/>
    <m/>
    <m/>
    <m/>
    <x v="0"/>
  </r>
  <r>
    <x v="3"/>
    <s v="Butter-Butter-kg-kg-1.0000"/>
    <n v="140"/>
    <n v="0.5"/>
    <x v="0"/>
    <s v="Murthy"/>
    <n v="70"/>
    <s v="Dairy"/>
    <m/>
    <m/>
    <m/>
    <m/>
    <m/>
    <x v="0"/>
  </r>
  <r>
    <x v="3"/>
    <s v="Green chilly-hasinmenshinkayi-kg-kg-1.0000"/>
    <n v="30"/>
    <n v="0.5"/>
    <x v="0"/>
    <s v="Murthy"/>
    <n v="15"/>
    <s v="Vegetable"/>
    <m/>
    <m/>
    <m/>
    <m/>
    <m/>
    <x v="0"/>
  </r>
  <r>
    <x v="3"/>
    <s v="Coriander leaves-Kothamiri Soppu-kg-kg-1.0000"/>
    <n v="25"/>
    <n v="0.56999999999999995"/>
    <x v="0"/>
    <s v="Murthy"/>
    <n v="14.249999999999998"/>
    <s v="Vegetable"/>
    <m/>
    <m/>
    <m/>
    <m/>
    <m/>
    <x v="0"/>
  </r>
  <r>
    <x v="3"/>
    <s v="Garlic-Belulli-kg-kg-1.0000"/>
    <n v="28"/>
    <n v="0.5"/>
    <x v="0"/>
    <s v="Murthy"/>
    <n v="14"/>
    <s v="Vegetable"/>
    <m/>
    <m/>
    <m/>
    <m/>
    <m/>
    <x v="0"/>
  </r>
  <r>
    <x v="3"/>
    <s v="Onion-Erulli-kg-kg-1.0000"/>
    <n v="14"/>
    <n v="1"/>
    <x v="0"/>
    <s v="Murthy"/>
    <n v="14"/>
    <s v="Vegetable"/>
    <m/>
    <m/>
    <m/>
    <m/>
    <m/>
    <x v="0"/>
  </r>
  <r>
    <x v="3"/>
    <s v="Carrot-carrot-kg-kg-1.0000"/>
    <n v="27.97"/>
    <n v="1.5"/>
    <x v="0"/>
    <s v="Murthy"/>
    <n v="41.954999999999998"/>
    <s v="Vegetable"/>
    <m/>
    <m/>
    <m/>
    <m/>
    <m/>
    <x v="0"/>
  </r>
  <r>
    <x v="3"/>
    <s v="Oil-Yenne-lts-kg-0.9150"/>
    <n v="82"/>
    <n v="4"/>
    <x v="0"/>
    <s v="Murthy"/>
    <n v="328"/>
    <s v="Oil"/>
    <m/>
    <m/>
    <m/>
    <m/>
    <m/>
    <x v="0"/>
  </r>
  <r>
    <x v="3"/>
    <s v="Babycorn-Babycorn-kg-kg-1.0000"/>
    <n v="60"/>
    <n v="0.5"/>
    <x v="0"/>
    <s v="Murthy"/>
    <n v="30"/>
    <s v="Vegetable"/>
    <m/>
    <m/>
    <m/>
    <m/>
    <m/>
    <x v="0"/>
  </r>
  <r>
    <x v="3"/>
    <s v="Tomato (Jam)-tomatojam-kg-kg-1.0000"/>
    <n v="14.75"/>
    <n v="1.6"/>
    <x v="0"/>
    <s v="Murthy"/>
    <n v="23.6"/>
    <s v="Vegetable"/>
    <m/>
    <m/>
    <m/>
    <m/>
    <m/>
    <x v="0"/>
  </r>
  <r>
    <x v="3"/>
    <s v="Chilly Powder-Chilly Powder-kg-kg-1.0000"/>
    <n v="280"/>
    <n v="0.7"/>
    <x v="0"/>
    <s v="Murthy"/>
    <n v="196"/>
    <s v="Dry Grocery"/>
    <m/>
    <m/>
    <m/>
    <m/>
    <m/>
    <x v="0"/>
  </r>
  <r>
    <x v="3"/>
    <s v="Salt Powder-Uppu-kg-kg-1.0000"/>
    <n v="17"/>
    <n v="1"/>
    <x v="0"/>
    <s v="Murthy"/>
    <n v="17"/>
    <s v="Dry Grocery"/>
    <m/>
    <m/>
    <m/>
    <m/>
    <m/>
    <x v="0"/>
  </r>
  <r>
    <x v="3"/>
    <s v="Pudina-Pudina-kg-kg-1.0000"/>
    <n v="125"/>
    <n v="0.05"/>
    <x v="0"/>
    <s v="Murthy"/>
    <n v="6.25"/>
    <s v="Vegetable"/>
    <m/>
    <m/>
    <m/>
    <m/>
    <m/>
    <x v="0"/>
  </r>
  <r>
    <x v="3"/>
    <s v="Mushroom-Mushroom-pkt-pkt-1.0000"/>
    <n v="32"/>
    <n v="3"/>
    <x v="0"/>
    <s v="Murthy"/>
    <n v="96"/>
    <s v="Vegetable"/>
    <m/>
    <m/>
    <m/>
    <m/>
    <m/>
    <x v="0"/>
  </r>
  <r>
    <x v="3"/>
    <s v="Paneer-Paneer-kg-kg-1.0000"/>
    <n v="175"/>
    <n v="1"/>
    <x v="0"/>
    <s v="Murthy"/>
    <n v="175"/>
    <s v="Dairy"/>
    <m/>
    <m/>
    <m/>
    <m/>
    <m/>
    <x v="0"/>
  </r>
  <r>
    <x v="3"/>
    <s v="Chat Masala (100 gram)-chat masala-pkt-kg-0.1000"/>
    <n v="48"/>
    <n v="0.1"/>
    <x v="0"/>
    <s v="Murthy"/>
    <n v="4.8000000000000007"/>
    <s v="Dry Grocery"/>
    <m/>
    <m/>
    <m/>
    <m/>
    <m/>
    <x v="0"/>
  </r>
  <r>
    <x v="3"/>
    <s v="curry leaves-karbensoppu-kg-kg-1.0000"/>
    <n v="312.14"/>
    <n v="0.02"/>
    <x v="0"/>
    <s v="Murthy"/>
    <n v="6.2427999999999999"/>
    <s v="Vegetable"/>
    <m/>
    <m/>
    <m/>
    <m/>
    <m/>
    <x v="0"/>
  </r>
  <r>
    <x v="3"/>
    <s v="Cucumber-sothekayi-kg-kg-1.0000"/>
    <n v="43.98"/>
    <n v="0.15"/>
    <x v="0"/>
    <s v="Murthy"/>
    <n v="6.5969999999999995"/>
    <s v="Vegetable"/>
    <m/>
    <m/>
    <m/>
    <m/>
    <m/>
    <x v="0"/>
  </r>
  <r>
    <x v="3"/>
    <s v="Bullet Rice-Bullet Rice-kg-kg-1.0000"/>
    <n v="64"/>
    <n v="2"/>
    <x v="0"/>
    <s v="Murthy"/>
    <n v="128"/>
    <s v="Dry Grocery"/>
    <m/>
    <m/>
    <m/>
    <m/>
    <m/>
    <x v="0"/>
  </r>
  <r>
    <x v="3"/>
    <s v="Onion-Erulli-kg-kg-1.0000"/>
    <n v="14"/>
    <n v="2.5"/>
    <x v="0"/>
    <s v="Murthy"/>
    <n v="35"/>
    <s v="Vegetable"/>
    <m/>
    <m/>
    <m/>
    <m/>
    <m/>
    <x v="0"/>
  </r>
  <r>
    <x v="3"/>
    <s v="Gram Flour-Kadle Ittu-kg-kg-1.0000"/>
    <n v="72"/>
    <n v="0.2"/>
    <x v="0"/>
    <s v="Murthy"/>
    <n v="14.4"/>
    <s v="Dry Grocery"/>
    <m/>
    <m/>
    <m/>
    <m/>
    <m/>
    <x v="0"/>
  </r>
  <r>
    <x v="3"/>
    <s v="Lemon-Nimbehannu-count-count-1.0000"/>
    <n v="3"/>
    <n v="5"/>
    <x v="0"/>
    <s v="Murthy"/>
    <n v="15"/>
    <s v="Vegetable"/>
    <m/>
    <m/>
    <m/>
    <m/>
    <m/>
    <x v="0"/>
  </r>
  <r>
    <x v="3"/>
    <s v="Ketchup(1.2 kg)-ketchup-bottle-kg-1.2000"/>
    <n v="75"/>
    <n v="1.2"/>
    <x v="0"/>
    <s v="Murthy"/>
    <n v="90"/>
    <s v="Sauce"/>
    <m/>
    <m/>
    <m/>
    <m/>
    <m/>
    <x v="0"/>
  </r>
  <r>
    <x v="3"/>
    <s v="Potato-Aloogedde-kg-kg-1.0000"/>
    <n v="20"/>
    <n v="0.5"/>
    <x v="0"/>
    <s v="Murthy"/>
    <n v="10"/>
    <s v="Vegetable"/>
    <m/>
    <m/>
    <m/>
    <m/>
    <m/>
    <x v="0"/>
  </r>
  <r>
    <x v="3"/>
    <s v="Hakka Noodles-Hakka Noodles-pkt-kg-0.4000"/>
    <n v="40"/>
    <n v="1"/>
    <x v="0"/>
    <s v="Murthy"/>
    <n v="40"/>
    <s v="Dry Grocery"/>
    <m/>
    <m/>
    <m/>
    <m/>
    <m/>
    <x v="0"/>
  </r>
  <r>
    <x v="3"/>
    <s v="Cabbage-geddekosu-kg-kg-1.0000"/>
    <n v="3"/>
    <n v="0.9"/>
    <x v="0"/>
    <s v="Murthy"/>
    <n v="2.7"/>
    <s v="Vegetable"/>
    <m/>
    <m/>
    <m/>
    <m/>
    <m/>
    <x v="0"/>
  </r>
  <r>
    <x v="3"/>
    <s v="Carrot-carrot-kg-kg-1.0000"/>
    <n v="27.97"/>
    <n v="0.44"/>
    <x v="0"/>
    <s v="Murthy"/>
    <n v="12.306799999999999"/>
    <s v="Vegetable"/>
    <m/>
    <m/>
    <m/>
    <m/>
    <m/>
    <x v="0"/>
  </r>
  <r>
    <x v="3"/>
    <s v="Ginger-shunti-kg-kg-1.0000"/>
    <n v="40"/>
    <n v="0.14000000000000001"/>
    <x v="0"/>
    <s v="Murthy"/>
    <n v="5.6000000000000005"/>
    <s v="Vegetable"/>
    <m/>
    <m/>
    <m/>
    <m/>
    <m/>
    <x v="0"/>
  </r>
  <r>
    <x v="3"/>
    <s v="Mushroom-Mushroom-pkt-pkt-1.0000"/>
    <n v="32"/>
    <n v="2"/>
    <x v="0"/>
    <s v="Murthy"/>
    <n v="64"/>
    <s v="Vegetable"/>
    <m/>
    <m/>
    <m/>
    <m/>
    <m/>
    <x v="0"/>
  </r>
  <r>
    <x v="3"/>
    <s v="Babycorn-Babycorn-kg-kg-1.0000"/>
    <n v="60"/>
    <n v="0.2"/>
    <x v="0"/>
    <s v="Murthy"/>
    <n v="12"/>
    <s v="Vegetable"/>
    <m/>
    <m/>
    <m/>
    <m/>
    <m/>
    <x v="0"/>
  </r>
  <r>
    <x v="3"/>
    <s v="Oil-Yenne-lts-kg-0.9150"/>
    <n v="82"/>
    <n v="1.83"/>
    <x v="0"/>
    <s v="Murthy"/>
    <n v="150.06"/>
    <s v="Oil"/>
    <m/>
    <m/>
    <m/>
    <m/>
    <m/>
    <x v="0"/>
  </r>
  <r>
    <x v="3"/>
    <s v="Kitchen king (100 gram)-Kitchen king (100 gram)-pkt-kg-0.1000"/>
    <n v="51"/>
    <n v="0.1"/>
    <x v="0"/>
    <s v="Murthy"/>
    <n v="5.1000000000000005"/>
    <s v="Dry Grocery"/>
    <m/>
    <m/>
    <m/>
    <m/>
    <m/>
    <x v="0"/>
  </r>
  <r>
    <x v="3"/>
    <s v="Kasoori Methi-Kasoori Methi-kg-kg-1.0000"/>
    <n v="450"/>
    <n v="0.05"/>
    <x v="0"/>
    <s v="Murthy"/>
    <n v="22.5"/>
    <s v="Dry Grocery"/>
    <m/>
    <m/>
    <m/>
    <m/>
    <m/>
    <x v="0"/>
  </r>
  <r>
    <x v="3"/>
    <s v="Sugar-Sakkre-kg-kg-1.0000"/>
    <n v="37"/>
    <n v="4"/>
    <x v="5"/>
    <s v="Ravi"/>
    <n v="148"/>
    <s v="Dry Grocery"/>
    <m/>
    <m/>
    <m/>
    <m/>
    <m/>
    <x v="0"/>
  </r>
  <r>
    <x v="3"/>
    <s v="Lemon-Nimbehannu-count-count-1.0000"/>
    <n v="3"/>
    <n v="20"/>
    <x v="5"/>
    <s v="Ravi"/>
    <n v="60"/>
    <s v="Vegetable"/>
    <m/>
    <m/>
    <m/>
    <m/>
    <m/>
    <x v="0"/>
  </r>
  <r>
    <x v="3"/>
    <s v="Onion-Erulli-kg-kg-1.0000"/>
    <n v="14"/>
    <n v="0.7"/>
    <x v="2"/>
    <s v="Ravi"/>
    <n v="9.7999999999999989"/>
    <s v="Vegetable"/>
    <m/>
    <m/>
    <m/>
    <m/>
    <m/>
    <x v="0"/>
  </r>
  <r>
    <x v="3"/>
    <s v="Tomato (Jam)-tomatojam-kg-kg-1.0000"/>
    <n v="14.75"/>
    <n v="0.43"/>
    <x v="2"/>
    <s v="Ravi"/>
    <n v="6.3425000000000002"/>
    <s v="Vegetable"/>
    <m/>
    <m/>
    <m/>
    <m/>
    <m/>
    <x v="0"/>
  </r>
  <r>
    <x v="3"/>
    <s v="Carrot-carrot-kg-kg-1.0000"/>
    <n v="27.97"/>
    <n v="0.2"/>
    <x v="2"/>
    <s v="Ravi"/>
    <n v="5.5940000000000003"/>
    <s v="Vegetable"/>
    <m/>
    <m/>
    <m/>
    <m/>
    <m/>
    <x v="0"/>
  </r>
  <r>
    <x v="3"/>
    <s v="Coriander leaves-Kothamiri Soppu-kg-kg-1.0000"/>
    <n v="25"/>
    <n v="0.06"/>
    <x v="2"/>
    <s v="Ravi"/>
    <n v="1.5"/>
    <s v="Vegetable"/>
    <m/>
    <m/>
    <m/>
    <m/>
    <m/>
    <x v="0"/>
  </r>
  <r>
    <x v="3"/>
    <s v="Salt Powder-Uppu-kg-kg-1.0000"/>
    <n v="17"/>
    <n v="0.3"/>
    <x v="2"/>
    <s v="Ravi"/>
    <n v="5.0999999999999996"/>
    <s v="Dry Grocery"/>
    <m/>
    <m/>
    <m/>
    <m/>
    <m/>
    <x v="0"/>
  </r>
  <r>
    <x v="3"/>
    <s v="Chat Masala (100 gram)-chat masala-pkt-kg-0.1000"/>
    <n v="48"/>
    <n v="0.1"/>
    <x v="2"/>
    <s v="Ravi"/>
    <n v="4.8000000000000007"/>
    <s v="Dry Grocery"/>
    <m/>
    <m/>
    <m/>
    <m/>
    <m/>
    <x v="0"/>
  </r>
  <r>
    <x v="3"/>
    <s v="Watermelon-Watermelon-kg-kg-1.0000"/>
    <n v="20"/>
    <n v="1.88"/>
    <x v="5"/>
    <s v="Ravi"/>
    <n v="37.599999999999994"/>
    <s v="Fruits"/>
    <m/>
    <m/>
    <m/>
    <m/>
    <m/>
    <x v="0"/>
  </r>
  <r>
    <x v="3"/>
    <s v="Moosambi-MOOSAMBI-kg-kg-1.0000"/>
    <n v="50"/>
    <n v="4"/>
    <x v="5"/>
    <s v="Ravi"/>
    <n v="200"/>
    <s v="Fruits"/>
    <m/>
    <m/>
    <m/>
    <m/>
    <m/>
    <x v="0"/>
  </r>
  <r>
    <x v="3"/>
    <s v="Onion-Erulli-kg-kg-1.0000"/>
    <n v="14"/>
    <n v="1.5"/>
    <x v="1"/>
    <s v="Ravi"/>
    <n v="21"/>
    <s v="Vegetable"/>
    <m/>
    <m/>
    <m/>
    <m/>
    <m/>
    <x v="0"/>
  </r>
  <r>
    <x v="3"/>
    <s v="Garlic-Belulli-kg-kg-1.0000"/>
    <n v="28"/>
    <n v="0.115"/>
    <x v="1"/>
    <s v="Ravi"/>
    <n v="3.22"/>
    <s v="Vegetable"/>
    <m/>
    <m/>
    <m/>
    <m/>
    <m/>
    <x v="0"/>
  </r>
  <r>
    <x v="3"/>
    <s v="Ginger-shunti-kg-kg-1.0000"/>
    <n v="40"/>
    <n v="0.04"/>
    <x v="1"/>
    <s v="Ravi"/>
    <n v="1.6"/>
    <s v="Vegetable"/>
    <m/>
    <m/>
    <m/>
    <m/>
    <m/>
    <x v="0"/>
  </r>
  <r>
    <x v="3"/>
    <s v="mixed vegetables-mixed tharkari-kg-kg-1.0000"/>
    <n v="35"/>
    <n v="1.2"/>
    <x v="1"/>
    <s v="Ravi"/>
    <n v="42"/>
    <s v="Vegetable"/>
    <m/>
    <m/>
    <m/>
    <m/>
    <m/>
    <x v="0"/>
  </r>
  <r>
    <x v="3"/>
    <s v="Toordal-Thogaribele-kg-kg-1.0000"/>
    <n v="64.069999999999993"/>
    <n v="0.35"/>
    <x v="1"/>
    <s v="Ravi"/>
    <n v="22.424499999999995"/>
    <s v="Dry Grocery"/>
    <m/>
    <m/>
    <m/>
    <m/>
    <m/>
    <x v="0"/>
  </r>
  <r>
    <x v="3"/>
    <s v="Sugar-Sakkre-kg-kg-1.0000"/>
    <n v="37"/>
    <n v="0.3"/>
    <x v="1"/>
    <s v="Ravi"/>
    <n v="11.1"/>
    <s v="Dry Grocery"/>
    <m/>
    <m/>
    <m/>
    <m/>
    <m/>
    <x v="0"/>
  </r>
  <r>
    <x v="3"/>
    <s v="vermicelli-Shavige-kg-kg-1.0000"/>
    <n v="61.08"/>
    <n v="0.22500000000000001"/>
    <x v="1"/>
    <s v="Ravi"/>
    <n v="13.743"/>
    <s v="Dry Grocery"/>
    <m/>
    <m/>
    <m/>
    <m/>
    <m/>
    <x v="0"/>
  </r>
  <r>
    <x v="3"/>
    <s v="Oil-Yenne-lts-kg-0.9150"/>
    <n v="82"/>
    <n v="0.91500000000000004"/>
    <x v="1"/>
    <s v="Ravi"/>
    <n v="75.03"/>
    <s v="Oil"/>
    <m/>
    <m/>
    <m/>
    <m/>
    <m/>
    <x v="0"/>
  </r>
  <r>
    <x v="3"/>
    <s v="Milk-Haalu-lts-kg-1.0300"/>
    <n v="36"/>
    <n v="2"/>
    <x v="1"/>
    <s v="Ravi"/>
    <n v="72"/>
    <s v="Dairy"/>
    <m/>
    <m/>
    <m/>
    <m/>
    <m/>
    <x v="0"/>
  </r>
  <r>
    <x v="3"/>
    <s v="Curd-Mosaru-lts-kg-1.0300"/>
    <n v="42"/>
    <n v="1.5"/>
    <x v="1"/>
    <s v="Ravi"/>
    <n v="63"/>
    <s v="Dairy"/>
    <m/>
    <m/>
    <m/>
    <m/>
    <m/>
    <x v="0"/>
  </r>
  <r>
    <x v="3"/>
    <s v="Coconut-Theginkai-count-count-1.0000"/>
    <n v="28"/>
    <n v="2"/>
    <x v="1"/>
    <s v="Ravi"/>
    <n v="56"/>
    <s v="Vegetable"/>
    <m/>
    <m/>
    <m/>
    <m/>
    <m/>
    <x v="0"/>
  </r>
  <r>
    <x v="3"/>
    <s v="Tamarind-hunsehannu-kg-kg-1.0000"/>
    <n v="170"/>
    <n v="0.05"/>
    <x v="1"/>
    <s v="Ravi"/>
    <n v="8.5"/>
    <s v="Dry Grocery"/>
    <m/>
    <m/>
    <m/>
    <m/>
    <m/>
    <x v="0"/>
  </r>
  <r>
    <x v="3"/>
    <s v="Tomato (Jam)-tomatojam-kg-kg-1.0000"/>
    <n v="14.75"/>
    <n v="0.9"/>
    <x v="1"/>
    <s v="Ravi"/>
    <n v="13.275"/>
    <s v="Vegetable"/>
    <m/>
    <m/>
    <m/>
    <m/>
    <m/>
    <x v="0"/>
  </r>
  <r>
    <x v="3"/>
    <s v="Coriander leaves-Kothamiri Soppu-kg-kg-1.0000"/>
    <n v="25"/>
    <n v="0.1"/>
    <x v="1"/>
    <s v="Ravi"/>
    <n v="2.5"/>
    <s v="Vegetable"/>
    <m/>
    <m/>
    <m/>
    <m/>
    <m/>
    <x v="0"/>
  </r>
  <r>
    <x v="3"/>
    <s v="curry leaves-karbensoppu-kg-kg-1.0000"/>
    <n v="312.14"/>
    <n v="0.4"/>
    <x v="1"/>
    <s v="Ravi"/>
    <n v="124.85599999999999"/>
    <s v="Vegetable"/>
    <m/>
    <m/>
    <m/>
    <m/>
    <m/>
    <x v="0"/>
  </r>
  <r>
    <x v="3"/>
    <s v="South Rice-South Hakki-kg-kg-1.0000"/>
    <n v="52"/>
    <n v="4"/>
    <x v="1"/>
    <s v="Ravi"/>
    <n v="208"/>
    <s v="Dry Grocery"/>
    <m/>
    <m/>
    <m/>
    <m/>
    <m/>
    <x v="0"/>
  </r>
  <r>
    <x v="3"/>
    <s v="Chilly Powder-Chilly Powder-kg-kg-1.0000"/>
    <n v="280"/>
    <n v="0.03"/>
    <x v="1"/>
    <s v="Ravi"/>
    <n v="8.4"/>
    <s v="Dry Grocery"/>
    <m/>
    <m/>
    <m/>
    <m/>
    <m/>
    <x v="0"/>
  </r>
  <r>
    <x v="3"/>
    <s v="Coriander Powder (500 gram)-Dhanya Powder (500 gram)-kg-kg-1.0000"/>
    <n v="120"/>
    <n v="0.01"/>
    <x v="1"/>
    <s v="Ravi"/>
    <n v="1.2"/>
    <s v="Dry Grocery"/>
    <m/>
    <m/>
    <m/>
    <m/>
    <m/>
    <x v="0"/>
  </r>
  <r>
    <x v="3"/>
    <s v="Salt Powder-Uppu-kg-kg-1.0000"/>
    <n v="17"/>
    <n v="0.02"/>
    <x v="1"/>
    <s v="Ravi"/>
    <n v="0.34"/>
    <s v="Dry Grocery"/>
    <m/>
    <m/>
    <m/>
    <m/>
    <m/>
    <x v="0"/>
  </r>
  <r>
    <x v="3"/>
    <s v="Crystal Salt-Kalluppu-kg-kg-1.0000"/>
    <n v="7"/>
    <n v="0.38"/>
    <x v="1"/>
    <s v="Ravi"/>
    <n v="2.66"/>
    <s v="Dry Grocery"/>
    <m/>
    <m/>
    <m/>
    <m/>
    <m/>
    <x v="0"/>
  </r>
  <r>
    <x v="3"/>
    <s v="Dalda-dalda-lts-kg-0.9050"/>
    <n v="96"/>
    <n v="0.09"/>
    <x v="1"/>
    <s v="Ravi"/>
    <n v="8.64"/>
    <s v="Oil"/>
    <m/>
    <m/>
    <m/>
    <m/>
    <m/>
    <x v="0"/>
  </r>
  <r>
    <x v="3"/>
    <s v="Jeera Seeds-Jeerge-kg-kg-1.0000"/>
    <n v="230"/>
    <n v="0.02"/>
    <x v="1"/>
    <s v="Ravi"/>
    <n v="4.6000000000000005"/>
    <s v="Dry Grocery"/>
    <m/>
    <m/>
    <m/>
    <m/>
    <m/>
    <x v="0"/>
  </r>
  <r>
    <x v="3"/>
    <s v="Mustard-Sasive-kg-kg-1.0000"/>
    <n v="70"/>
    <n v="0.04"/>
    <x v="1"/>
    <s v="Ravi"/>
    <n v="2.8000000000000003"/>
    <s v="Dry Grocery"/>
    <m/>
    <m/>
    <m/>
    <m/>
    <m/>
    <x v="0"/>
  </r>
  <r>
    <x v="3"/>
    <s v="channadal(split)-Kadlebele-kg-kg-1.0000"/>
    <n v="55"/>
    <n v="0.14000000000000001"/>
    <x v="1"/>
    <s v="Ravi"/>
    <n v="7.7000000000000011"/>
    <s v="Dry Grocery"/>
    <m/>
    <m/>
    <m/>
    <m/>
    <m/>
    <x v="0"/>
  </r>
  <r>
    <x v="3"/>
    <s v="Elaichi-yelakki-kg-kg-1.0000"/>
    <n v="1450"/>
    <n v="5.0000000000000001E-3"/>
    <x v="1"/>
    <s v="Ravi"/>
    <n v="7.25"/>
    <s v="Spice"/>
    <m/>
    <m/>
    <m/>
    <m/>
    <m/>
    <x v="0"/>
  </r>
  <r>
    <x v="3"/>
    <s v="Green chilly-hasinmenshinkayi-kg-kg-1.0000"/>
    <n v="30"/>
    <n v="0.12"/>
    <x v="1"/>
    <s v="Ravi"/>
    <n v="3.5999999999999996"/>
    <s v="Vegetable"/>
    <m/>
    <m/>
    <m/>
    <m/>
    <m/>
    <x v="0"/>
  </r>
  <r>
    <x v="3"/>
    <s v="Guntur -guntur-kg-kg-1.0000"/>
    <n v="138"/>
    <n v="0.02"/>
    <x v="1"/>
    <s v="Ravi"/>
    <n v="2.7600000000000002"/>
    <s v="Dry Grocery"/>
    <m/>
    <m/>
    <m/>
    <m/>
    <m/>
    <x v="0"/>
  </r>
  <r>
    <x v="3"/>
    <s v="North Papad (1 kg)-North Papad (1 kg)-kg-kg-1.0000"/>
    <n v="160"/>
    <n v="0.1"/>
    <x v="1"/>
    <s v="Ravi"/>
    <n v="16"/>
    <s v="Dry Grocery"/>
    <m/>
    <m/>
    <m/>
    <m/>
    <m/>
    <x v="0"/>
  </r>
  <r>
    <x v="3"/>
    <s v="South Papad (500 gram)-South Papad (500 gram)-pkt-kg-0.5000"/>
    <n v="62.03"/>
    <n v="7.0000000000000007E-2"/>
    <x v="1"/>
    <s v="Ravi"/>
    <n v="4.3421000000000003"/>
    <s v="Dry Grocery"/>
    <m/>
    <m/>
    <m/>
    <m/>
    <m/>
    <x v="0"/>
  </r>
  <r>
    <x v="3"/>
    <s v="Cashew-Godambi-kg-kg-1.0000"/>
    <n v="840"/>
    <n v="1.2E-2"/>
    <x v="1"/>
    <s v="Ravi"/>
    <n v="10.08"/>
    <s v="Dry Grocery"/>
    <m/>
    <m/>
    <m/>
    <m/>
    <m/>
    <x v="0"/>
  </r>
  <r>
    <x v="3"/>
    <s v="Raisin-drakshi-kg-kg-1.0000"/>
    <n v="240"/>
    <n v="1.2999999999999999E-2"/>
    <x v="1"/>
    <s v="Ravi"/>
    <n v="3.1199999999999997"/>
    <s v="Dry Grocery"/>
    <m/>
    <m/>
    <m/>
    <m/>
    <m/>
    <x v="0"/>
  </r>
  <r>
    <x v="3"/>
    <s v="Garam Masala (100 gram)-garam masala-pkt-kg-0.1000"/>
    <n v="57.5"/>
    <n v="0.03"/>
    <x v="1"/>
    <s v="Ravi"/>
    <n v="1.7249999999999999"/>
    <s v="Dry Grocery"/>
    <m/>
    <m/>
    <m/>
    <m/>
    <m/>
    <x v="0"/>
  </r>
  <r>
    <x v="3"/>
    <s v="Sambar powder-Sambar powder-kg-kg-1.0000"/>
    <n v="500"/>
    <n v="0.05"/>
    <x v="1"/>
    <s v="Ravi"/>
    <n v="25"/>
    <s v="Dry Grocery"/>
    <m/>
    <m/>
    <m/>
    <m/>
    <m/>
    <x v="0"/>
  </r>
  <r>
    <x v="3"/>
    <s v="Rasam powder-Rasam powder-kg-kg-1.0000"/>
    <n v="340"/>
    <n v="0.02"/>
    <x v="1"/>
    <s v="Ravi"/>
    <n v="6.8"/>
    <s v="Dry Grocery"/>
    <m/>
    <m/>
    <m/>
    <m/>
    <m/>
    <x v="0"/>
  </r>
  <r>
    <x v="3"/>
    <s v="Green Gram-hesarukalu-kg-kg-1.0000"/>
    <n v="78"/>
    <n v="0.2"/>
    <x v="1"/>
    <s v="Ravi"/>
    <n v="15.600000000000001"/>
    <s v="Dry Grocery"/>
    <m/>
    <m/>
    <m/>
    <m/>
    <m/>
    <x v="0"/>
  </r>
  <r>
    <x v="3"/>
    <s v="CHICK PEAS-kadalekalu-kg-kg-1.0000"/>
    <n v="76"/>
    <n v="0.1"/>
    <x v="1"/>
    <s v="Ravi"/>
    <n v="7.6000000000000005"/>
    <s v="Dry Grocery"/>
    <m/>
    <m/>
    <m/>
    <m/>
    <m/>
    <x v="0"/>
  </r>
  <r>
    <x v="3"/>
    <s v="COW PEA (ALASANDE)-thaganikalu-kg-kg-1.0000"/>
    <n v="78"/>
    <n v="0.1"/>
    <x v="1"/>
    <s v="Ravi"/>
    <n v="7.8000000000000007"/>
    <s v="Dry Grocery"/>
    <m/>
    <m/>
    <m/>
    <m/>
    <m/>
    <x v="0"/>
  </r>
  <r>
    <x v="3"/>
    <s v="Lemon-Nimbehannu-count-count-1.0000"/>
    <n v="3"/>
    <n v="16"/>
    <x v="6"/>
    <s v="Jaggu"/>
    <n v="48"/>
    <s v="Vegetable"/>
    <m/>
    <m/>
    <m/>
    <m/>
    <m/>
    <x v="0"/>
  </r>
  <r>
    <x v="3"/>
    <s v="Onion-Erulli-kg-kg-1.0000"/>
    <n v="14"/>
    <n v="0.3"/>
    <x v="6"/>
    <s v="Jaggu"/>
    <n v="4.2"/>
    <s v="Vegetable"/>
    <m/>
    <m/>
    <m/>
    <m/>
    <m/>
    <x v="0"/>
  </r>
  <r>
    <x v="3"/>
    <s v="Ketchup(1.2 kg)-ketchup-bottle-kg-1.2000"/>
    <n v="75"/>
    <n v="1.2"/>
    <x v="6"/>
    <s v="Jaggu"/>
    <n v="90"/>
    <s v="Sauce"/>
    <m/>
    <m/>
    <m/>
    <m/>
    <m/>
    <x v="0"/>
  </r>
  <r>
    <x v="3"/>
    <s v="Gas-Gas-kg-kg-1.0000"/>
    <n v="78.95"/>
    <n v="19"/>
    <x v="3"/>
    <s v="Common"/>
    <n v="1500.05"/>
    <s v="Gas"/>
    <m/>
    <m/>
    <m/>
    <m/>
    <m/>
    <x v="0"/>
  </r>
  <r>
    <x v="2"/>
    <s v="Gas-Gas-kg-kg-1.0000"/>
    <n v="78.95"/>
    <n v="19"/>
    <x v="3"/>
    <s v="Common"/>
    <n v="1500.05"/>
    <s v="Gas"/>
    <m/>
    <m/>
    <m/>
    <m/>
    <m/>
    <x v="0"/>
  </r>
  <r>
    <x v="4"/>
    <s v="Gas-Gas-kg-kg-1.0000"/>
    <n v="78.95"/>
    <n v="19"/>
    <x v="3"/>
    <s v="Common"/>
    <n v="1500.05"/>
    <s v="Gas"/>
    <m/>
    <m/>
    <m/>
    <m/>
    <m/>
    <x v="0"/>
  </r>
  <r>
    <x v="4"/>
    <s v="Onion-Erulli-kg-kg-1.0000"/>
    <n v="14"/>
    <n v="4"/>
    <x v="0"/>
    <s v="Murthy"/>
    <n v="56"/>
    <s v="Vegetable"/>
    <m/>
    <m/>
    <m/>
    <m/>
    <m/>
    <x v="0"/>
  </r>
  <r>
    <x v="4"/>
    <s v="Paneer-Paneer-kg-kg-1.0000"/>
    <n v="175"/>
    <n v="2"/>
    <x v="0"/>
    <s v="Murthy"/>
    <n v="350"/>
    <s v="Dairy"/>
    <m/>
    <m/>
    <m/>
    <m/>
    <m/>
    <x v="0"/>
  </r>
  <r>
    <x v="4"/>
    <s v="Palak leaves-Palak soppu-kg-kg-1.0000"/>
    <n v="38"/>
    <n v="1.2"/>
    <x v="0"/>
    <s v="Murthy"/>
    <n v="45.6"/>
    <s v="Vegetable"/>
    <m/>
    <m/>
    <m/>
    <m/>
    <m/>
    <x v="0"/>
  </r>
  <r>
    <x v="4"/>
    <s v="Cabbage-geddekosu-kg-kg-1.0000"/>
    <n v="3"/>
    <n v="0.8"/>
    <x v="0"/>
    <s v="Murthy"/>
    <n v="2.4000000000000004"/>
    <s v="Vegetable"/>
    <m/>
    <m/>
    <m/>
    <m/>
    <m/>
    <x v="0"/>
  </r>
  <r>
    <x v="4"/>
    <s v="Charcoal-Charcoal-kg-kg-1.0000"/>
    <n v="26"/>
    <n v="13.8"/>
    <x v="0"/>
    <s v="Murthy"/>
    <n v="358.8"/>
    <s v="Heating"/>
    <m/>
    <m/>
    <m/>
    <m/>
    <m/>
    <x v="0"/>
  </r>
  <r>
    <x v="4"/>
    <s v="Basumathi Rice-Basumathi Rice-kg-kg-1.0000"/>
    <n v="62"/>
    <n v="3"/>
    <x v="0"/>
    <s v="Murthy"/>
    <n v="186"/>
    <s v="Dry Grocery"/>
    <m/>
    <m/>
    <m/>
    <m/>
    <m/>
    <x v="0"/>
  </r>
  <r>
    <x v="4"/>
    <s v="Carrot-carrot-kg-kg-1.0000"/>
    <n v="27.97"/>
    <n v="1.4"/>
    <x v="0"/>
    <s v="Murthy"/>
    <n v="39.157999999999994"/>
    <s v="Vegetable"/>
    <m/>
    <m/>
    <m/>
    <m/>
    <m/>
    <x v="0"/>
  </r>
  <r>
    <x v="4"/>
    <s v="Butter-Butter-kg-kg-1.0000"/>
    <n v="140"/>
    <n v="1"/>
    <x v="0"/>
    <s v="Murthy"/>
    <n v="140"/>
    <s v="Dairy"/>
    <m/>
    <m/>
    <m/>
    <m/>
    <m/>
    <x v="0"/>
  </r>
  <r>
    <x v="4"/>
    <s v="Green chilly-hasinmenshinkayi-kg-kg-1.0000"/>
    <n v="30"/>
    <n v="0.9"/>
    <x v="0"/>
    <s v="Murthy"/>
    <n v="27"/>
    <s v="Vegetable"/>
    <m/>
    <m/>
    <m/>
    <m/>
    <m/>
    <x v="0"/>
  </r>
  <r>
    <x v="4"/>
    <s v="Coriander leaves-Kothamiri Soppu-kg-kg-1.0000"/>
    <n v="25"/>
    <n v="0.5"/>
    <x v="0"/>
    <s v="Murthy"/>
    <n v="12.5"/>
    <s v="Vegetable"/>
    <m/>
    <m/>
    <m/>
    <m/>
    <m/>
    <x v="0"/>
  </r>
  <r>
    <x v="4"/>
    <s v="White Pepper Powder (500 gram)-Billi menasu pudi-kg-kg-1.0000"/>
    <n v="180"/>
    <n v="0.5"/>
    <x v="0"/>
    <s v="Murthy"/>
    <n v="90"/>
    <s v="Dry Grocery"/>
    <m/>
    <m/>
    <m/>
    <m/>
    <m/>
    <x v="0"/>
  </r>
  <r>
    <x v="4"/>
    <s v="Garlic-Belulli-kg-kg-1.0000"/>
    <n v="28"/>
    <n v="0.7"/>
    <x v="0"/>
    <s v="Murthy"/>
    <n v="19.599999999999998"/>
    <s v="Vegetable"/>
    <m/>
    <m/>
    <m/>
    <m/>
    <m/>
    <x v="0"/>
  </r>
  <r>
    <x v="4"/>
    <s v="Cinnamon-Chekke-kg-kg-1.0000"/>
    <n v="220"/>
    <n v="0.01"/>
    <x v="0"/>
    <s v="Murthy"/>
    <n v="2.2000000000000002"/>
    <s v="Spice"/>
    <m/>
    <m/>
    <m/>
    <m/>
    <m/>
    <x v="0"/>
  </r>
  <r>
    <x v="4"/>
    <s v="Cloves-lavanga-kg-kg-1.0000"/>
    <n v="740"/>
    <n v="0.01"/>
    <x v="0"/>
    <s v="Murthy"/>
    <n v="7.4"/>
    <s v="Spice"/>
    <m/>
    <m/>
    <m/>
    <m/>
    <m/>
    <x v="0"/>
  </r>
  <r>
    <x v="4"/>
    <s v="Elaichi-yelakki-kg-kg-1.0000"/>
    <n v="1450"/>
    <n v="0.01"/>
    <x v="0"/>
    <s v="Murthy"/>
    <n v="14.5"/>
    <s v="Spice"/>
    <m/>
    <m/>
    <m/>
    <m/>
    <m/>
    <x v="0"/>
  </r>
  <r>
    <x v="4"/>
    <s v="Mace-japathre-kg-kg-1.0000"/>
    <n v="1480"/>
    <n v="0.01"/>
    <x v="0"/>
    <s v="Murthy"/>
    <n v="14.8"/>
    <s v="Spice"/>
    <m/>
    <m/>
    <m/>
    <m/>
    <m/>
    <x v="0"/>
  </r>
  <r>
    <x v="4"/>
    <s v="Hakka Noodles-Hakka Noodles-pkt-kg-0.4000"/>
    <n v="40"/>
    <n v="2"/>
    <x v="0"/>
    <s v="Murthy"/>
    <n v="80"/>
    <s v="Dry Grocery"/>
    <m/>
    <m/>
    <m/>
    <m/>
    <m/>
    <x v="0"/>
  </r>
  <r>
    <x v="4"/>
    <s v="Oil-Yenne-lts-kg-0.9150"/>
    <n v="82"/>
    <n v="3"/>
    <x v="0"/>
    <s v="Murthy"/>
    <n v="246"/>
    <s v="Oil"/>
    <m/>
    <m/>
    <m/>
    <m/>
    <m/>
    <x v="0"/>
  </r>
  <r>
    <x v="4"/>
    <s v="Babycorn-Babycorn-kg-kg-1.0000"/>
    <n v="60"/>
    <n v="0.8"/>
    <x v="0"/>
    <s v="Murthy"/>
    <n v="48"/>
    <s v="Vegetable"/>
    <m/>
    <m/>
    <m/>
    <m/>
    <m/>
    <x v="0"/>
  </r>
  <r>
    <x v="4"/>
    <s v="Maida-Maida-kg-kg-1.0000"/>
    <n v="29.51"/>
    <n v="3.25"/>
    <x v="0"/>
    <s v="Murthy"/>
    <n v="95.907499999999999"/>
    <s v="Dry Grocery"/>
    <m/>
    <m/>
    <m/>
    <m/>
    <m/>
    <x v="0"/>
  </r>
  <r>
    <x v="4"/>
    <s v="Mushroom-Mushroom-pkt-pkt-1.0000"/>
    <n v="32"/>
    <n v="4"/>
    <x v="0"/>
    <s v="Murthy"/>
    <n v="128"/>
    <s v="Vegetable"/>
    <m/>
    <m/>
    <m/>
    <m/>
    <m/>
    <x v="0"/>
  </r>
  <r>
    <x v="4"/>
    <s v="Corn flour-Corn flour-kg-kg-1.0000"/>
    <n v="45"/>
    <n v="1"/>
    <x v="0"/>
    <s v="Murthy"/>
    <n v="45"/>
    <s v="Dry Grocery"/>
    <m/>
    <m/>
    <m/>
    <m/>
    <m/>
    <x v="0"/>
  </r>
  <r>
    <x v="4"/>
    <s v="Butter-Butter-kg-kg-1.0000"/>
    <n v="140"/>
    <n v="0.5"/>
    <x v="0"/>
    <s v="Murthy"/>
    <n v="70"/>
    <s v="Dairy"/>
    <m/>
    <m/>
    <m/>
    <m/>
    <m/>
    <x v="0"/>
  </r>
  <r>
    <x v="4"/>
    <s v="Sugar-Sakkre-kg-kg-1.0000"/>
    <n v="37"/>
    <n v="0.36"/>
    <x v="0"/>
    <s v="Murthy"/>
    <n v="13.32"/>
    <s v="Dry Grocery"/>
    <m/>
    <m/>
    <m/>
    <m/>
    <m/>
    <x v="0"/>
  </r>
  <r>
    <x v="4"/>
    <s v="Roti Wheat-Roti atta-kg-kg-1.0000"/>
    <n v="27"/>
    <n v="3.1"/>
    <x v="0"/>
    <s v="Murthy"/>
    <n v="83.7"/>
    <s v="Dry Grocery"/>
    <m/>
    <m/>
    <m/>
    <m/>
    <m/>
    <x v="0"/>
  </r>
  <r>
    <x v="4"/>
    <s v="Masala papad-Masala papad-kg-kg-1.0000"/>
    <n v="272"/>
    <n v="0.25"/>
    <x v="0"/>
    <s v="Murthy"/>
    <n v="68"/>
    <s v="Dry Grocery"/>
    <m/>
    <m/>
    <m/>
    <m/>
    <m/>
    <x v="0"/>
  </r>
  <r>
    <x v="4"/>
    <s v="Kasoori Methi-Kasoori Methi-kg-kg-1.0000"/>
    <n v="450"/>
    <n v="0.05"/>
    <x v="0"/>
    <s v="Murthy"/>
    <n v="22.5"/>
    <s v="Dry Grocery"/>
    <m/>
    <m/>
    <m/>
    <m/>
    <m/>
    <x v="0"/>
  </r>
  <r>
    <x v="4"/>
    <s v="Guntur -guntur-kg-kg-1.0000"/>
    <n v="138"/>
    <n v="0.15"/>
    <x v="0"/>
    <s v="Murthy"/>
    <n v="20.7"/>
    <s v="Dry Grocery"/>
    <m/>
    <m/>
    <m/>
    <m/>
    <m/>
    <x v="0"/>
  </r>
  <r>
    <x v="4"/>
    <s v="Byadagi chilly-Byadagi chilly-kg-kg-1.0000"/>
    <n v="280"/>
    <n v="0.08"/>
    <x v="0"/>
    <s v="Murthy"/>
    <n v="22.400000000000002"/>
    <s v="Dry Grocery"/>
    <m/>
    <m/>
    <m/>
    <m/>
    <m/>
    <x v="0"/>
  </r>
  <r>
    <x v="4"/>
    <s v="Mushroom-Mushroom-pkt-pkt-1.0000"/>
    <n v="32"/>
    <n v="1"/>
    <x v="0"/>
    <s v="Murthy"/>
    <n v="32"/>
    <s v="Vegetable"/>
    <m/>
    <m/>
    <m/>
    <m/>
    <m/>
    <x v="0"/>
  </r>
  <r>
    <x v="4"/>
    <s v="Capsicum-Capsicum-kg-kg-1.0000"/>
    <n v="30"/>
    <n v="1"/>
    <x v="0"/>
    <s v="Murthy"/>
    <n v="30"/>
    <s v="Vegetable"/>
    <m/>
    <m/>
    <m/>
    <m/>
    <m/>
    <x v="0"/>
  </r>
  <r>
    <x v="4"/>
    <s v="Black Pepper Powder-Kaal menasu-kg-kg-1.0000"/>
    <n v="380"/>
    <n v="0.08"/>
    <x v="0"/>
    <s v="Murthy"/>
    <n v="30.400000000000002"/>
    <s v="Dry Grocery"/>
    <m/>
    <m/>
    <m/>
    <m/>
    <m/>
    <x v="0"/>
  </r>
  <r>
    <x v="4"/>
    <s v="Ginger-shunti-kg-kg-1.0000"/>
    <n v="40"/>
    <n v="0.125"/>
    <x v="0"/>
    <s v="Murthy"/>
    <n v="5"/>
    <s v="Vegetable"/>
    <m/>
    <m/>
    <m/>
    <m/>
    <m/>
    <x v="0"/>
  </r>
  <r>
    <x v="4"/>
    <s v="Cauliflower-hookosu-kg-kg-1.0000"/>
    <n v="23.33"/>
    <n v="1.1000000000000001"/>
    <x v="0"/>
    <s v="Murthy"/>
    <n v="25.663"/>
    <s v="Vegetable"/>
    <m/>
    <m/>
    <m/>
    <m/>
    <m/>
    <x v="0"/>
  </r>
  <r>
    <x v="4"/>
    <s v="Oil-Yenne-lts-kg-0.9150"/>
    <n v="82"/>
    <n v="1"/>
    <x v="0"/>
    <s v="Murthy"/>
    <n v="82"/>
    <s v="Oil"/>
    <m/>
    <m/>
    <m/>
    <m/>
    <m/>
    <x v="0"/>
  </r>
  <r>
    <x v="4"/>
    <s v="Kitchen king (100 gram)-Kitchen king (100 gram)-pkt-kg-0.1000"/>
    <n v="51"/>
    <n v="0.1"/>
    <x v="0"/>
    <s v="Murthy"/>
    <n v="5.1000000000000005"/>
    <s v="Dry Grocery"/>
    <m/>
    <m/>
    <m/>
    <m/>
    <m/>
    <x v="0"/>
  </r>
  <r>
    <x v="4"/>
    <s v="Tasting Powder (500 kg)-tasting powder-kg-kg-1.0000"/>
    <n v="148"/>
    <n v="0.5"/>
    <x v="0"/>
    <s v="Murthy"/>
    <n v="74"/>
    <s v="Dry Grocery"/>
    <m/>
    <m/>
    <m/>
    <m/>
    <m/>
    <x v="0"/>
  </r>
  <r>
    <x v="4"/>
    <s v="Watermelon-Watermelon-kg-kg-1.0000"/>
    <n v="20"/>
    <n v="4.5"/>
    <x v="5"/>
    <s v="Ravi"/>
    <n v="90"/>
    <s v="Fruits"/>
    <m/>
    <m/>
    <m/>
    <m/>
    <m/>
    <x v="0"/>
  </r>
  <r>
    <x v="4"/>
    <s v="Tamarind-hunsehannu-kg-kg-1.0000"/>
    <n v="170"/>
    <n v="0.185"/>
    <x v="2"/>
    <s v="Ravi"/>
    <n v="31.45"/>
    <s v="Dry Grocery"/>
    <m/>
    <m/>
    <m/>
    <m/>
    <m/>
    <x v="0"/>
  </r>
  <r>
    <x v="4"/>
    <s v="Lemon-Nimbehannu-count-count-1.0000"/>
    <n v="3"/>
    <n v="24"/>
    <x v="5"/>
    <s v="Ravi"/>
    <n v="72"/>
    <s v="Vegetable"/>
    <m/>
    <m/>
    <m/>
    <m/>
    <m/>
    <x v="0"/>
  </r>
  <r>
    <x v="4"/>
    <s v="Orange -Kitlehannu-kg-kg-1.0000"/>
    <n v="50"/>
    <n v="3"/>
    <x v="5"/>
    <s v="Ravi"/>
    <n v="150"/>
    <s v="Fruits"/>
    <m/>
    <m/>
    <m/>
    <m/>
    <m/>
    <x v="0"/>
  </r>
  <r>
    <x v="4"/>
    <s v="Pineapple-ANNANAS-kg-kg-1.0000"/>
    <n v="30"/>
    <n v="0.88"/>
    <x v="5"/>
    <s v="Ravi"/>
    <n v="26.4"/>
    <s v="Fruits"/>
    <m/>
    <m/>
    <m/>
    <m/>
    <m/>
    <x v="0"/>
  </r>
  <r>
    <x v="4"/>
    <s v="Garlic-Belulli-kg-kg-1.0000"/>
    <n v="28"/>
    <n v="0.29499999999999998"/>
    <x v="2"/>
    <s v="Ravi"/>
    <n v="8.26"/>
    <s v="Vegetable"/>
    <m/>
    <m/>
    <m/>
    <m/>
    <m/>
    <x v="0"/>
  </r>
  <r>
    <x v="4"/>
    <s v="Ginger-shunti-kg-kg-1.0000"/>
    <n v="40"/>
    <n v="0.02"/>
    <x v="2"/>
    <s v="Ravi"/>
    <n v="0.8"/>
    <s v="Vegetable"/>
    <m/>
    <m/>
    <m/>
    <m/>
    <m/>
    <x v="0"/>
  </r>
  <r>
    <x v="4"/>
    <s v="Byadagi chilly-Byadagi chilly-kg-kg-1.0000"/>
    <n v="280"/>
    <n v="0.13"/>
    <x v="2"/>
    <s v="Ravi"/>
    <n v="36.4"/>
    <s v="Dry Grocery"/>
    <m/>
    <m/>
    <m/>
    <m/>
    <m/>
    <x v="0"/>
  </r>
  <r>
    <x v="4"/>
    <s v="Guntur -guntur-kg-kg-1.0000"/>
    <n v="138"/>
    <n v="2.5000000000000001E-2"/>
    <x v="2"/>
    <s v="Ravi"/>
    <n v="3.45"/>
    <s v="Dry Grocery"/>
    <m/>
    <m/>
    <m/>
    <m/>
    <m/>
    <x v="0"/>
  </r>
  <r>
    <x v="4"/>
    <s v="Groundnut Seeds-Kadlekayi Beeja-kg-kg-1.0000"/>
    <n v="108"/>
    <n v="0.12"/>
    <x v="2"/>
    <s v="Ravi"/>
    <n v="12.959999999999999"/>
    <s v="Dry Grocery"/>
    <m/>
    <m/>
    <m/>
    <m/>
    <m/>
    <x v="0"/>
  </r>
  <r>
    <x v="4"/>
    <s v="Jeera Seeds-Jeerge-kg-kg-1.0000"/>
    <n v="230"/>
    <n v="0.01"/>
    <x v="2"/>
    <s v="Ravi"/>
    <n v="2.3000000000000003"/>
    <s v="Dry Grocery"/>
    <m/>
    <m/>
    <m/>
    <m/>
    <m/>
    <x v="0"/>
  </r>
  <r>
    <x v="4"/>
    <s v="Crystal Salt-Kalluppu-kg-kg-1.0000"/>
    <n v="7"/>
    <n v="4.4999999999999998E-2"/>
    <x v="2"/>
    <s v="Ravi"/>
    <n v="0.315"/>
    <s v="Dry Grocery"/>
    <m/>
    <m/>
    <m/>
    <m/>
    <m/>
    <x v="0"/>
  </r>
  <r>
    <x v="4"/>
    <s v="Elaichi-yelakki-kg-kg-1.0000"/>
    <n v="1450"/>
    <n v="5.0000000000000001E-3"/>
    <x v="2"/>
    <s v="Ravi"/>
    <n v="7.25"/>
    <s v="Spice"/>
    <m/>
    <m/>
    <m/>
    <m/>
    <m/>
    <x v="0"/>
  </r>
  <r>
    <x v="4"/>
    <s v="Cloves-lavanga-kg-kg-1.0000"/>
    <n v="740"/>
    <n v="5.0000000000000001E-3"/>
    <x v="2"/>
    <s v="Ravi"/>
    <n v="3.7"/>
    <s v="Spice"/>
    <m/>
    <m/>
    <m/>
    <m/>
    <m/>
    <x v="0"/>
  </r>
  <r>
    <x v="4"/>
    <s v="Cinnamon-Chekke-kg-kg-1.0000"/>
    <n v="220"/>
    <n v="5.0000000000000001E-3"/>
    <x v="2"/>
    <s v="Ravi"/>
    <n v="1.1000000000000001"/>
    <s v="Spice"/>
    <m/>
    <m/>
    <m/>
    <m/>
    <m/>
    <x v="0"/>
  </r>
  <r>
    <x v="4"/>
    <s v="Onion-Erulli-kg-kg-1.0000"/>
    <n v="14"/>
    <n v="0.61"/>
    <x v="2"/>
    <s v="Ravi"/>
    <n v="8.5399999999999991"/>
    <s v="Vegetable"/>
    <m/>
    <m/>
    <m/>
    <m/>
    <m/>
    <x v="0"/>
  </r>
  <r>
    <x v="4"/>
    <s v="Watermelon-Watermelon-kg-kg-1.0000"/>
    <n v="20"/>
    <n v="5.5"/>
    <x v="5"/>
    <s v="Ravi"/>
    <n v="110"/>
    <s v="Fruits"/>
    <m/>
    <m/>
    <m/>
    <m/>
    <m/>
    <x v="0"/>
  </r>
  <r>
    <x v="4"/>
    <s v="Lemon-Nimbehannu-count-count-1.0000"/>
    <n v="3"/>
    <n v="20"/>
    <x v="5"/>
    <s v="Ravi"/>
    <n v="60"/>
    <s v="Vegetable"/>
    <m/>
    <m/>
    <m/>
    <m/>
    <m/>
    <x v="0"/>
  </r>
  <r>
    <x v="4"/>
    <s v="South Rice-South Hakki-kg-kg-1.0000"/>
    <n v="52"/>
    <n v="5.75"/>
    <x v="1"/>
    <s v="Ravi"/>
    <n v="299"/>
    <s v="Dry Grocery"/>
    <m/>
    <m/>
    <m/>
    <m/>
    <m/>
    <x v="0"/>
  </r>
  <r>
    <x v="4"/>
    <s v="Wheat-Godhi-kg-kg-1.0000"/>
    <n v="34"/>
    <n v="0.71"/>
    <x v="1"/>
    <s v="Ravi"/>
    <n v="24.14"/>
    <s v="Dry Grocery"/>
    <m/>
    <m/>
    <m/>
    <m/>
    <m/>
    <x v="0"/>
  </r>
  <r>
    <x v="4"/>
    <s v="Copri-copri-kg-kg-1.0000"/>
    <n v="110"/>
    <n v="0.32"/>
    <x v="1"/>
    <s v="Ravi"/>
    <n v="35.200000000000003"/>
    <s v="Vegetable"/>
    <m/>
    <m/>
    <m/>
    <m/>
    <m/>
    <x v="0"/>
  </r>
  <r>
    <x v="4"/>
    <s v="Curd-Mosaru-lts-kg-1.0300"/>
    <n v="42"/>
    <n v="1.5"/>
    <x v="1"/>
    <s v="Ravi"/>
    <n v="63"/>
    <s v="Dairy"/>
    <m/>
    <m/>
    <m/>
    <m/>
    <m/>
    <x v="0"/>
  </r>
  <r>
    <x v="4"/>
    <s v="Milk-Haalu-lts-kg-1.0300"/>
    <n v="36"/>
    <n v="1.5"/>
    <x v="1"/>
    <s v="Ravi"/>
    <n v="54"/>
    <s v="Dairy"/>
    <m/>
    <m/>
    <m/>
    <m/>
    <m/>
    <x v="0"/>
  </r>
  <r>
    <x v="4"/>
    <s v="Coconut-Theginkai-count-count-1.0000"/>
    <n v="28"/>
    <n v="2"/>
    <x v="1"/>
    <s v="Ravi"/>
    <n v="56"/>
    <s v="Vegetable"/>
    <m/>
    <m/>
    <m/>
    <m/>
    <m/>
    <x v="0"/>
  </r>
  <r>
    <x v="4"/>
    <s v="Sugar-Sakkre-kg-kg-1.0000"/>
    <n v="37"/>
    <n v="0.05"/>
    <x v="1"/>
    <s v="Ravi"/>
    <n v="1.85"/>
    <s v="Dry Grocery"/>
    <m/>
    <m/>
    <m/>
    <m/>
    <m/>
    <x v="0"/>
  </r>
  <r>
    <x v="4"/>
    <s v="Chilly Powder-Chilly Powder-kg-kg-1.0000"/>
    <n v="280"/>
    <n v="0.05"/>
    <x v="1"/>
    <s v="Ravi"/>
    <n v="14"/>
    <s v="Dry Grocery"/>
    <m/>
    <m/>
    <m/>
    <m/>
    <m/>
    <x v="0"/>
  </r>
  <r>
    <x v="4"/>
    <s v="Coriander Powder (500 gram)-Dhanya Powder (500 gram)-kg-kg-1.0000"/>
    <n v="120"/>
    <n v="1.4999999999999999E-2"/>
    <x v="1"/>
    <s v="Ravi"/>
    <n v="1.7999999999999998"/>
    <s v="Dry Grocery"/>
    <m/>
    <m/>
    <m/>
    <m/>
    <m/>
    <x v="0"/>
  </r>
  <r>
    <x v="4"/>
    <s v="Crystal Salt-Kalluppu-kg-kg-1.0000"/>
    <n v="7"/>
    <n v="0.38500000000000001"/>
    <x v="1"/>
    <s v="Ravi"/>
    <n v="2.6950000000000003"/>
    <s v="Dry Grocery"/>
    <m/>
    <m/>
    <m/>
    <m/>
    <m/>
    <x v="0"/>
  </r>
  <r>
    <x v="4"/>
    <s v="Turmeric Powder-Arishina pudi-kg-kg-1.0000"/>
    <n v="187.41"/>
    <n v="1.4999999999999999E-2"/>
    <x v="1"/>
    <s v="Ravi"/>
    <n v="2.81115"/>
    <s v="Dry Grocery"/>
    <m/>
    <m/>
    <m/>
    <m/>
    <m/>
    <x v="0"/>
  </r>
  <r>
    <x v="4"/>
    <s v="Dalda-dalda-lts-kg-0.9050"/>
    <n v="96"/>
    <n v="0.16500000000000001"/>
    <x v="1"/>
    <s v="Ravi"/>
    <n v="15.84"/>
    <s v="Oil"/>
    <m/>
    <m/>
    <m/>
    <m/>
    <m/>
    <x v="0"/>
  </r>
  <r>
    <x v="4"/>
    <s v="Oil-Yenne-lts-kg-0.9150"/>
    <n v="82"/>
    <n v="1"/>
    <x v="1"/>
    <s v="Ravi"/>
    <n v="82"/>
    <s v="Oil"/>
    <m/>
    <m/>
    <m/>
    <m/>
    <m/>
    <x v="0"/>
  </r>
  <r>
    <x v="4"/>
    <s v="channadal(split)-Kadlebele-kg-kg-1.0000"/>
    <n v="55"/>
    <n v="0.04"/>
    <x v="1"/>
    <s v="Ravi"/>
    <n v="2.2000000000000002"/>
    <s v="Dry Grocery"/>
    <m/>
    <m/>
    <m/>
    <m/>
    <m/>
    <x v="0"/>
  </r>
  <r>
    <x v="4"/>
    <s v="Elaichi-yelakki-kg-kg-1.0000"/>
    <n v="1450"/>
    <n v="5.0000000000000001E-3"/>
    <x v="1"/>
    <s v="Ravi"/>
    <n v="7.25"/>
    <s v="Spice"/>
    <m/>
    <m/>
    <m/>
    <m/>
    <m/>
    <x v="0"/>
  </r>
  <r>
    <x v="4"/>
    <s v="Onion-Erulli-kg-kg-1.0000"/>
    <n v="14"/>
    <n v="1.57"/>
    <x v="1"/>
    <s v="Ravi"/>
    <n v="21.98"/>
    <s v="Vegetable"/>
    <m/>
    <m/>
    <m/>
    <m/>
    <m/>
    <x v="0"/>
  </r>
  <r>
    <x v="4"/>
    <s v="Garlic-Belulli-kg-kg-1.0000"/>
    <n v="28"/>
    <n v="0.13500000000000001"/>
    <x v="1"/>
    <s v="Ravi"/>
    <n v="3.7800000000000002"/>
    <s v="Vegetable"/>
    <m/>
    <m/>
    <m/>
    <m/>
    <m/>
    <x v="0"/>
  </r>
  <r>
    <x v="4"/>
    <s v="Green chilly-hasinmenshinkayi-kg-kg-1.0000"/>
    <n v="30"/>
    <n v="0.13"/>
    <x v="1"/>
    <s v="Ravi"/>
    <n v="3.9000000000000004"/>
    <s v="Vegetable"/>
    <m/>
    <m/>
    <m/>
    <m/>
    <m/>
    <x v="0"/>
  </r>
  <r>
    <x v="4"/>
    <s v="Guntur -guntur-kg-kg-1.0000"/>
    <n v="138"/>
    <n v="0.02"/>
    <x v="1"/>
    <s v="Ravi"/>
    <n v="2.7600000000000002"/>
    <s v="Dry Grocery"/>
    <m/>
    <m/>
    <m/>
    <m/>
    <m/>
    <x v="0"/>
  </r>
  <r>
    <x v="4"/>
    <s v="North Papad (1 kg)-North Papad (1 kg)-kg-kg-1.0000"/>
    <n v="160"/>
    <n v="0.105"/>
    <x v="1"/>
    <s v="Ravi"/>
    <n v="16.8"/>
    <s v="Dry Grocery"/>
    <m/>
    <m/>
    <m/>
    <m/>
    <m/>
    <x v="0"/>
  </r>
  <r>
    <x v="4"/>
    <s v="South Papad (500 gram)-South Papad (500 gram)-pkt-kg-0.5000"/>
    <n v="62.03"/>
    <n v="0.115"/>
    <x v="1"/>
    <s v="Ravi"/>
    <n v="7.1334500000000007"/>
    <s v="Dry Grocery"/>
    <m/>
    <m/>
    <m/>
    <m/>
    <m/>
    <x v="0"/>
  </r>
  <r>
    <x v="4"/>
    <s v="Cashew-Godambi-kg-kg-1.0000"/>
    <n v="840"/>
    <n v="1.2E-2"/>
    <x v="1"/>
    <s v="Ravi"/>
    <n v="10.08"/>
    <s v="Dry Grocery"/>
    <m/>
    <m/>
    <m/>
    <m/>
    <m/>
    <x v="0"/>
  </r>
  <r>
    <x v="4"/>
    <s v="Raisin-drakshi-kg-kg-1.0000"/>
    <n v="240"/>
    <n v="1.2999999999999999E-2"/>
    <x v="1"/>
    <s v="Ravi"/>
    <n v="3.1199999999999997"/>
    <s v="Dry Grocery"/>
    <m/>
    <m/>
    <m/>
    <m/>
    <m/>
    <x v="0"/>
  </r>
  <r>
    <x v="4"/>
    <s v="Toordal-Thogaribele-kg-kg-1.0000"/>
    <n v="64.069999999999993"/>
    <n v="0.3"/>
    <x v="1"/>
    <s v="Ravi"/>
    <n v="19.220999999999997"/>
    <s v="Dry Grocery"/>
    <m/>
    <m/>
    <m/>
    <m/>
    <m/>
    <x v="0"/>
  </r>
  <r>
    <x v="4"/>
    <s v="Tomato (Jam)-tomatojam-kg-kg-1.0000"/>
    <n v="14.75"/>
    <n v="0.88"/>
    <x v="1"/>
    <s v="Ravi"/>
    <n v="12.98"/>
    <s v="Vegetable"/>
    <m/>
    <m/>
    <m/>
    <m/>
    <m/>
    <x v="0"/>
  </r>
  <r>
    <x v="4"/>
    <s v="Garam Masala (100 gram)-garam masala-pkt-kg-0.1000"/>
    <n v="57.5"/>
    <n v="0.02"/>
    <x v="1"/>
    <s v="Ravi"/>
    <n v="1.1500000000000001"/>
    <s v="Dry Grocery"/>
    <m/>
    <m/>
    <m/>
    <m/>
    <m/>
    <x v="0"/>
  </r>
  <r>
    <x v="4"/>
    <s v="Sambar powder-Sambar powder-kg-kg-1.0000"/>
    <n v="500"/>
    <n v="7.0000000000000007E-2"/>
    <x v="1"/>
    <s v="Ravi"/>
    <n v="35"/>
    <s v="Dry Grocery"/>
    <m/>
    <m/>
    <m/>
    <m/>
    <m/>
    <x v="0"/>
  </r>
  <r>
    <x v="4"/>
    <s v="Coriander leaves-Kothamiri Soppu-kg-kg-1.0000"/>
    <n v="25"/>
    <n v="0.1"/>
    <x v="1"/>
    <s v="Ravi"/>
    <n v="2.5"/>
    <s v="Vegetable"/>
    <m/>
    <m/>
    <m/>
    <m/>
    <m/>
    <x v="0"/>
  </r>
  <r>
    <x v="4"/>
    <s v="curry leaves-karbensoppu-kg-kg-1.0000"/>
    <n v="312.14"/>
    <n v="0.04"/>
    <x v="1"/>
    <s v="Ravi"/>
    <n v="12.4856"/>
    <s v="Vegetable"/>
    <m/>
    <m/>
    <m/>
    <m/>
    <m/>
    <x v="0"/>
  </r>
  <r>
    <x v="4"/>
    <s v="Ginger-shunti-kg-kg-1.0000"/>
    <n v="40"/>
    <n v="0.04"/>
    <x v="1"/>
    <s v="Ravi"/>
    <n v="1.6"/>
    <s v="Vegetable"/>
    <m/>
    <m/>
    <m/>
    <m/>
    <m/>
    <x v="0"/>
  </r>
  <r>
    <x v="4"/>
    <s v="Tamarind-hunsehannu-kg-kg-1.0000"/>
    <n v="170"/>
    <n v="0.05"/>
    <x v="1"/>
    <s v="Ravi"/>
    <n v="8.5"/>
    <s v="Dry Grocery"/>
    <m/>
    <m/>
    <m/>
    <m/>
    <m/>
    <x v="0"/>
  </r>
  <r>
    <x v="4"/>
    <s v="Wheat-Godhi-kg-kg-1.0000"/>
    <n v="34"/>
    <n v="0.7"/>
    <x v="1"/>
    <s v="Ravi"/>
    <n v="23.799999999999997"/>
    <s v="Dry Grocery"/>
    <m/>
    <m/>
    <m/>
    <m/>
    <m/>
    <x v="0"/>
  </r>
  <r>
    <x v="4"/>
    <s v="mixed vegetables-mixed tharkari-kg-kg-1.0000"/>
    <n v="35"/>
    <n v="1"/>
    <x v="1"/>
    <s v="Ravi"/>
    <n v="35"/>
    <s v="Vegetable"/>
    <m/>
    <m/>
    <m/>
    <m/>
    <m/>
    <x v="0"/>
  </r>
  <r>
    <x v="4"/>
    <s v="Beans-Beans-kg-kg-1.0000"/>
    <n v="43.06"/>
    <n v="0.9"/>
    <x v="1"/>
    <s v="Ravi"/>
    <n v="38.754000000000005"/>
    <s v="Vegetable"/>
    <m/>
    <m/>
    <m/>
    <m/>
    <m/>
    <x v="0"/>
  </r>
  <r>
    <x v="4"/>
    <s v="Carrot-carrot-kg-kg-1.0000"/>
    <n v="27.97"/>
    <n v="0.435"/>
    <x v="1"/>
    <s v="Ravi"/>
    <n v="12.16695"/>
    <s v="Vegetable"/>
    <m/>
    <m/>
    <m/>
    <m/>
    <m/>
    <x v="0"/>
  </r>
  <r>
    <x v="4"/>
    <s v="Cauliflower-hookosu-kg-kg-1.0000"/>
    <n v="23.33"/>
    <n v="9.5000000000000001E-2"/>
    <x v="1"/>
    <s v="Ravi"/>
    <n v="2.2163499999999998"/>
    <s v="Vegetable"/>
    <m/>
    <m/>
    <m/>
    <m/>
    <m/>
    <x v="0"/>
  </r>
  <r>
    <x v="4"/>
    <s v="Groundnut Seeds-Kadlekayi Beeja-kg-kg-1.0000"/>
    <n v="108"/>
    <n v="0.105"/>
    <x v="1"/>
    <s v="Ravi"/>
    <n v="11.34"/>
    <s v="Dry Grocery"/>
    <m/>
    <m/>
    <m/>
    <m/>
    <m/>
    <x v="0"/>
  </r>
  <r>
    <x v="4"/>
    <s v="Fried Gram-Hurgadle-kg-kg-1.0000"/>
    <n v="60"/>
    <n v="0.05"/>
    <x v="1"/>
    <s v="Ravi"/>
    <n v="3"/>
    <s v="Dry Grocery"/>
    <m/>
    <m/>
    <m/>
    <m/>
    <m/>
    <x v="0"/>
  </r>
  <r>
    <x v="4"/>
    <s v="Jeera Seeds-Jeerge-kg-kg-1.0000"/>
    <n v="230"/>
    <n v="0.08"/>
    <x v="1"/>
    <s v="Ravi"/>
    <n v="18.400000000000002"/>
    <s v="Dry Grocery"/>
    <m/>
    <m/>
    <m/>
    <m/>
    <m/>
    <x v="0"/>
  </r>
  <r>
    <x v="4"/>
    <s v="Mustard-Sasive-kg-kg-1.0000"/>
    <n v="70"/>
    <n v="0.04"/>
    <x v="1"/>
    <s v="Ravi"/>
    <n v="2.8000000000000003"/>
    <s v="Dry Grocery"/>
    <m/>
    <m/>
    <m/>
    <m/>
    <m/>
    <x v="0"/>
  </r>
  <r>
    <x v="4"/>
    <s v="Lemon-Nimbehannu-count-count-1.0000"/>
    <n v="3"/>
    <n v="15"/>
    <x v="6"/>
    <s v="Jaggu"/>
    <n v="45"/>
    <s v="Vegetable"/>
    <m/>
    <m/>
    <m/>
    <m/>
    <m/>
    <x v="0"/>
  </r>
  <r>
    <x v="4"/>
    <s v="Onion-Erulli-kg-kg-1.0000"/>
    <n v="14"/>
    <n v="0.8"/>
    <x v="6"/>
    <s v="Jaggu"/>
    <n v="11.200000000000001"/>
    <s v="Vegetable"/>
    <m/>
    <m/>
    <m/>
    <m/>
    <m/>
    <x v="0"/>
  </r>
  <r>
    <x v="5"/>
    <s v="Gas-Gas-kg-kg-1.0000"/>
    <n v="78.95"/>
    <n v="19"/>
    <x v="3"/>
    <s v="Common"/>
    <n v="1500.05"/>
    <s v="Gas"/>
    <m/>
    <m/>
    <m/>
    <m/>
    <m/>
    <x v="0"/>
  </r>
  <r>
    <x v="5"/>
    <s v="Onion-Erulli-kg-kg-1.0000"/>
    <n v="14"/>
    <n v="8"/>
    <x v="0"/>
    <s v="Murthy"/>
    <n v="112"/>
    <s v="Vegetable"/>
    <m/>
    <m/>
    <m/>
    <m/>
    <m/>
    <x v="0"/>
  </r>
  <r>
    <x v="5"/>
    <s v="Charcoal-Charcoal-kg-kg-1.0000"/>
    <n v="26"/>
    <n v="13.4"/>
    <x v="0"/>
    <s v="Murthy"/>
    <n v="348.40000000000003"/>
    <s v="Heating"/>
    <m/>
    <m/>
    <m/>
    <m/>
    <m/>
    <x v="0"/>
  </r>
  <r>
    <x v="5"/>
    <s v="Capsicum-Capsicum-kg-kg-1.0000"/>
    <n v="30"/>
    <n v="1.25"/>
    <x v="0"/>
    <s v="Murthy"/>
    <n v="37.5"/>
    <s v="Vegetable"/>
    <m/>
    <m/>
    <m/>
    <m/>
    <m/>
    <x v="0"/>
  </r>
  <r>
    <x v="5"/>
    <s v="Palak leaves-Palak soppu-kg-kg-1.0000"/>
    <n v="38"/>
    <n v="1.85"/>
    <x v="0"/>
    <s v="Murthy"/>
    <n v="70.3"/>
    <s v="Vegetable"/>
    <m/>
    <m/>
    <m/>
    <m/>
    <m/>
    <x v="0"/>
  </r>
  <r>
    <x v="5"/>
    <s v="Tomato (Jam)-tomatojam-kg-kg-1.0000"/>
    <n v="14.75"/>
    <n v="2.5"/>
    <x v="0"/>
    <s v="Murthy"/>
    <n v="36.875"/>
    <s v="Vegetable"/>
    <m/>
    <m/>
    <m/>
    <m/>
    <m/>
    <x v="0"/>
  </r>
  <r>
    <x v="5"/>
    <s v="Salt Powder-Uppu-kg-kg-1.0000"/>
    <n v="17"/>
    <n v="1"/>
    <x v="0"/>
    <s v="Murthy"/>
    <n v="17"/>
    <s v="Dry Grocery"/>
    <m/>
    <m/>
    <m/>
    <m/>
    <m/>
    <x v="0"/>
  </r>
  <r>
    <x v="5"/>
    <s v="Green chilly-hasinmenshinkayi-kg-kg-1.0000"/>
    <n v="30"/>
    <n v="0.6"/>
    <x v="0"/>
    <s v="Murthy"/>
    <n v="18"/>
    <s v="Vegetable"/>
    <m/>
    <m/>
    <m/>
    <m/>
    <m/>
    <x v="0"/>
  </r>
  <r>
    <x v="5"/>
    <s v="Paneer-Paneer-kg-kg-1.0000"/>
    <n v="175"/>
    <n v="1"/>
    <x v="0"/>
    <s v="Murthy"/>
    <n v="175"/>
    <s v="Dairy"/>
    <m/>
    <m/>
    <m/>
    <m/>
    <m/>
    <x v="0"/>
  </r>
  <r>
    <x v="5"/>
    <s v="Coriander leaves-Kothamiri Soppu-kg-kg-1.0000"/>
    <n v="25"/>
    <n v="0.71"/>
    <x v="0"/>
    <s v="Murthy"/>
    <n v="17.75"/>
    <s v="Vegetable"/>
    <m/>
    <m/>
    <m/>
    <m/>
    <m/>
    <x v="0"/>
  </r>
  <r>
    <x v="5"/>
    <s v="Bullet Rice-Bullet Rice-kg-kg-1.0000"/>
    <n v="64"/>
    <n v="2.5"/>
    <x v="0"/>
    <s v="Murthy"/>
    <n v="160"/>
    <s v="Dry Grocery"/>
    <m/>
    <m/>
    <m/>
    <m/>
    <m/>
    <x v="0"/>
  </r>
  <r>
    <x v="5"/>
    <s v="curry leaves-karbensoppu-kg-kg-1.0000"/>
    <n v="312.14"/>
    <n v="0.04"/>
    <x v="0"/>
    <s v="Murthy"/>
    <n v="12.4856"/>
    <s v="Vegetable"/>
    <m/>
    <m/>
    <m/>
    <m/>
    <m/>
    <x v="0"/>
  </r>
  <r>
    <x v="5"/>
    <s v="Maida-Maida-kg-kg-1.0000"/>
    <n v="29.51"/>
    <n v="0.5"/>
    <x v="0"/>
    <s v="Murthy"/>
    <n v="14.755000000000001"/>
    <s v="Dry Grocery"/>
    <m/>
    <m/>
    <m/>
    <m/>
    <m/>
    <x v="0"/>
  </r>
  <r>
    <x v="5"/>
    <s v="Corn flour-Corn flour-kg-kg-1.0000"/>
    <n v="45"/>
    <n v="1"/>
    <x v="0"/>
    <s v="Murthy"/>
    <n v="45"/>
    <s v="Dry Grocery"/>
    <m/>
    <m/>
    <m/>
    <m/>
    <m/>
    <x v="0"/>
  </r>
  <r>
    <x v="5"/>
    <s v="Roti Wheat-Roti atta-kg-kg-1.0000"/>
    <n v="27"/>
    <n v="3"/>
    <x v="0"/>
    <s v="Murthy"/>
    <n v="81"/>
    <s v="Dry Grocery"/>
    <m/>
    <m/>
    <m/>
    <m/>
    <m/>
    <x v="0"/>
  </r>
  <r>
    <x v="5"/>
    <s v="Oil-Yenne-lts-kg-0.9150"/>
    <n v="82"/>
    <n v="2"/>
    <x v="0"/>
    <s v="Murthy"/>
    <n v="164"/>
    <s v="Oil"/>
    <m/>
    <m/>
    <m/>
    <m/>
    <m/>
    <x v="0"/>
  </r>
  <r>
    <x v="5"/>
    <s v="Kasoori Methi-Kasoori Methi-kg-kg-1.0000"/>
    <n v="450"/>
    <n v="0.05"/>
    <x v="0"/>
    <s v="Murthy"/>
    <n v="22.5"/>
    <s v="Dry Grocery"/>
    <m/>
    <m/>
    <m/>
    <m/>
    <m/>
    <x v="0"/>
  </r>
  <r>
    <x v="5"/>
    <s v="Butter-Butter-kg-kg-1.0000"/>
    <n v="140"/>
    <n v="0.5"/>
    <x v="0"/>
    <s v="Murthy"/>
    <n v="70"/>
    <s v="Dairy"/>
    <m/>
    <m/>
    <m/>
    <m/>
    <m/>
    <x v="0"/>
  </r>
  <r>
    <x v="5"/>
    <s v="Coriander Powder (500 gram)-Dhanya Powder (500 gram)-kg-kg-1.0000"/>
    <n v="120"/>
    <n v="0.05"/>
    <x v="0"/>
    <s v="Murthy"/>
    <n v="6"/>
    <s v="Dry Grocery"/>
    <m/>
    <m/>
    <m/>
    <m/>
    <m/>
    <x v="0"/>
  </r>
  <r>
    <x v="5"/>
    <s v="Moong Dal-Hesaru bele-kg-kg-1.0000"/>
    <n v="75"/>
    <n v="1.38"/>
    <x v="0"/>
    <s v="Murthy"/>
    <n v="103.49999999999999"/>
    <s v="Dry Grocery"/>
    <m/>
    <m/>
    <m/>
    <m/>
    <m/>
    <x v="0"/>
  </r>
  <r>
    <x v="5"/>
    <s v="Ginger-shunti-kg-kg-1.0000"/>
    <n v="40"/>
    <n v="0.16"/>
    <x v="0"/>
    <s v="Murthy"/>
    <n v="6.4"/>
    <s v="Vegetable"/>
    <m/>
    <m/>
    <m/>
    <m/>
    <m/>
    <x v="0"/>
  </r>
  <r>
    <x v="5"/>
    <s v="Cabbage-geddekosu-kg-kg-1.0000"/>
    <n v="3"/>
    <n v="1.7"/>
    <x v="0"/>
    <s v="Murthy"/>
    <n v="5.0999999999999996"/>
    <s v="Vegetable"/>
    <m/>
    <m/>
    <m/>
    <m/>
    <m/>
    <x v="0"/>
  </r>
  <r>
    <x v="5"/>
    <s v="Salt Powder-Uppu-kg-kg-1.0000"/>
    <n v="17"/>
    <n v="1"/>
    <x v="0"/>
    <s v="Murthy"/>
    <n v="17"/>
    <s v="Dry Grocery"/>
    <m/>
    <m/>
    <m/>
    <m/>
    <m/>
    <x v="0"/>
  </r>
  <r>
    <x v="5"/>
    <s v="Carrot-carrot-kg-kg-1.0000"/>
    <n v="27.97"/>
    <n v="1.5"/>
    <x v="0"/>
    <s v="Murthy"/>
    <n v="41.954999999999998"/>
    <s v="Vegetable"/>
    <m/>
    <m/>
    <m/>
    <m/>
    <m/>
    <x v="0"/>
  </r>
  <r>
    <x v="5"/>
    <s v="Babycorn-Babycorn-kg-kg-1.0000"/>
    <n v="60"/>
    <n v="0.5"/>
    <x v="0"/>
    <s v="Murthy"/>
    <n v="30"/>
    <s v="Vegetable"/>
    <m/>
    <m/>
    <m/>
    <m/>
    <m/>
    <x v="0"/>
  </r>
  <r>
    <x v="5"/>
    <s v="Garlic-Belulli-kg-kg-1.0000"/>
    <n v="28"/>
    <n v="0.55000000000000004"/>
    <x v="0"/>
    <s v="Murthy"/>
    <n v="15.400000000000002"/>
    <s v="Vegetable"/>
    <m/>
    <m/>
    <m/>
    <m/>
    <m/>
    <x v="0"/>
  </r>
  <r>
    <x v="5"/>
    <s v="Mushroom-Mushroom-pkt-pkt-1.0000"/>
    <n v="32"/>
    <n v="1"/>
    <x v="0"/>
    <s v="Murthy"/>
    <n v="32"/>
    <s v="Vegetable"/>
    <m/>
    <m/>
    <m/>
    <m/>
    <m/>
    <x v="0"/>
  </r>
  <r>
    <x v="5"/>
    <s v="Oil-Yenne-lts-kg-0.9150"/>
    <n v="82"/>
    <n v="2"/>
    <x v="0"/>
    <s v="Murthy"/>
    <n v="164"/>
    <s v="Oil"/>
    <m/>
    <m/>
    <m/>
    <m/>
    <m/>
    <x v="0"/>
  </r>
  <r>
    <x v="5"/>
    <s v="Gram Flour-Kadle Ittu-kg-kg-1.0000"/>
    <n v="72"/>
    <n v="0.2"/>
    <x v="0"/>
    <s v="Murthy"/>
    <n v="14.4"/>
    <s v="Dry Grocery"/>
    <m/>
    <m/>
    <m/>
    <m/>
    <m/>
    <x v="0"/>
  </r>
  <r>
    <x v="5"/>
    <s v="Beans-Beans-kg-kg-1.0000"/>
    <n v="43.06"/>
    <n v="1"/>
    <x v="0"/>
    <s v="Murthy"/>
    <n v="43.06"/>
    <s v="Vegetable"/>
    <m/>
    <m/>
    <m/>
    <m/>
    <m/>
    <x v="0"/>
  </r>
  <r>
    <x v="5"/>
    <s v="Capsicum-Capsicum-kg-kg-1.0000"/>
    <n v="30"/>
    <n v="0.6"/>
    <x v="0"/>
    <s v="Murthy"/>
    <n v="18"/>
    <s v="Vegetable"/>
    <m/>
    <m/>
    <m/>
    <m/>
    <m/>
    <x v="0"/>
  </r>
  <r>
    <x v="5"/>
    <s v="Onion-Erulli-kg-kg-1.0000"/>
    <n v="14"/>
    <n v="3"/>
    <x v="0"/>
    <s v="Murthy"/>
    <n v="42"/>
    <s v="Vegetable"/>
    <m/>
    <m/>
    <m/>
    <m/>
    <m/>
    <x v="0"/>
  </r>
  <r>
    <x v="5"/>
    <s v="Dark soya souce-Dark soya souce-bottle-kg-0.8150"/>
    <n v="33"/>
    <n v="0.81499999999999995"/>
    <x v="0"/>
    <s v="Murthy"/>
    <n v="26.895"/>
    <s v="Sauce"/>
    <m/>
    <m/>
    <m/>
    <m/>
    <m/>
    <x v="0"/>
  </r>
  <r>
    <x v="5"/>
    <s v="Ghee-Thuppa-lts-kg-0.9300"/>
    <n v="430"/>
    <n v="0.5"/>
    <x v="0"/>
    <s v="Murthy"/>
    <n v="215"/>
    <s v="Dairy"/>
    <m/>
    <m/>
    <m/>
    <m/>
    <m/>
    <x v="0"/>
  </r>
  <r>
    <x v="5"/>
    <s v="Cream-Cream-lts-kg-1.0000"/>
    <n v="190"/>
    <n v="1"/>
    <x v="0"/>
    <s v="Murthy"/>
    <n v="190"/>
    <s v="Dairy"/>
    <m/>
    <m/>
    <m/>
    <m/>
    <m/>
    <x v="0"/>
  </r>
  <r>
    <x v="5"/>
    <s v="Hakka Noodles-Hakka Noodles-pkt-kg-0.4000"/>
    <n v="40"/>
    <n v="2"/>
    <x v="0"/>
    <s v="Murthy"/>
    <n v="80"/>
    <s v="Dry Grocery"/>
    <m/>
    <m/>
    <m/>
    <m/>
    <m/>
    <x v="0"/>
  </r>
  <r>
    <x v="5"/>
    <s v="South Rice-South Hakki-kg-kg-1.0000"/>
    <n v="52"/>
    <n v="4.45"/>
    <x v="1"/>
    <s v="Ravi"/>
    <n v="231.4"/>
    <s v="Dry Grocery"/>
    <m/>
    <m/>
    <m/>
    <m/>
    <m/>
    <x v="0"/>
  </r>
  <r>
    <x v="5"/>
    <s v="Pudina-Pudina-kg-kg-1.0000"/>
    <n v="125"/>
    <n v="0.16"/>
    <x v="1"/>
    <s v="Ravi"/>
    <n v="20"/>
    <s v="Vegetable"/>
    <m/>
    <m/>
    <m/>
    <m/>
    <m/>
    <x v="0"/>
  </r>
  <r>
    <x v="5"/>
    <s v="Wheat-Godhi-kg-kg-1.0000"/>
    <n v="34"/>
    <n v="0.8"/>
    <x v="1"/>
    <s v="Ravi"/>
    <n v="27.200000000000003"/>
    <s v="Dry Grocery"/>
    <m/>
    <m/>
    <m/>
    <m/>
    <m/>
    <x v="0"/>
  </r>
  <r>
    <x v="5"/>
    <s v="jaggery-bella-kg-kg-1.0000"/>
    <n v="50"/>
    <n v="3.2349999999999999"/>
    <x v="1"/>
    <s v="Ravi"/>
    <n v="161.75"/>
    <s v="Dry Grocery"/>
    <m/>
    <m/>
    <m/>
    <m/>
    <m/>
    <x v="0"/>
  </r>
  <r>
    <x v="5"/>
    <s v="Peas-batani-kg-kg-1.0000"/>
    <n v="48"/>
    <n v="0.25"/>
    <x v="1"/>
    <s v="Ravi"/>
    <n v="12"/>
    <s v="Dry Grocery"/>
    <m/>
    <m/>
    <m/>
    <m/>
    <m/>
    <x v="0"/>
  </r>
  <r>
    <x v="5"/>
    <s v="Dalda-dalda-lts-kg-0.9050"/>
    <n v="96"/>
    <n v="0.24"/>
    <x v="1"/>
    <s v="Ravi"/>
    <n v="23.04"/>
    <s v="Oil"/>
    <m/>
    <m/>
    <m/>
    <m/>
    <m/>
    <x v="0"/>
  </r>
  <r>
    <x v="5"/>
    <s v="Oil-Yenne-lts-kg-0.9150"/>
    <n v="82"/>
    <n v="1"/>
    <x v="1"/>
    <s v="Ravi"/>
    <n v="82"/>
    <s v="Oil"/>
    <m/>
    <m/>
    <m/>
    <m/>
    <m/>
    <x v="0"/>
  </r>
  <r>
    <x v="5"/>
    <s v="Coconut-Theginkai-count-count-1.0000"/>
    <n v="28"/>
    <n v="2"/>
    <x v="1"/>
    <s v="Ravi"/>
    <n v="56"/>
    <s v="Vegetable"/>
    <m/>
    <m/>
    <m/>
    <m/>
    <m/>
    <x v="0"/>
  </r>
  <r>
    <x v="5"/>
    <s v="Beans-Beans-kg-kg-1.0000"/>
    <n v="43.06"/>
    <n v="0.5"/>
    <x v="1"/>
    <s v="Ravi"/>
    <n v="21.53"/>
    <s v="Vegetable"/>
    <m/>
    <m/>
    <m/>
    <m/>
    <m/>
    <x v="0"/>
  </r>
  <r>
    <x v="5"/>
    <s v="Curd-Mosaru-lts-kg-1.0300"/>
    <n v="42"/>
    <n v="2"/>
    <x v="1"/>
    <s v="Ravi"/>
    <n v="84"/>
    <s v="Dairy"/>
    <m/>
    <m/>
    <m/>
    <m/>
    <m/>
    <x v="0"/>
  </r>
  <r>
    <x v="5"/>
    <s v="Sugar-Sakkre-kg-kg-1.0000"/>
    <n v="37"/>
    <n v="0.7"/>
    <x v="1"/>
    <s v="Ravi"/>
    <n v="25.9"/>
    <s v="Dry Grocery"/>
    <m/>
    <m/>
    <m/>
    <m/>
    <m/>
    <x v="0"/>
  </r>
  <r>
    <x v="5"/>
    <s v="Chilly Powder-Chilly Powder-kg-kg-1.0000"/>
    <n v="280"/>
    <n v="0.04"/>
    <x v="1"/>
    <s v="Ravi"/>
    <n v="11.200000000000001"/>
    <s v="Dry Grocery"/>
    <m/>
    <m/>
    <m/>
    <m/>
    <m/>
    <x v="0"/>
  </r>
  <r>
    <x v="5"/>
    <s v="Coriander Powder (500 gram)-Dhanya Powder (500 gram)-kg-kg-1.0000"/>
    <n v="120"/>
    <n v="0.03"/>
    <x v="1"/>
    <s v="Ravi"/>
    <n v="3.5999999999999996"/>
    <s v="Dry Grocery"/>
    <m/>
    <m/>
    <m/>
    <m/>
    <m/>
    <x v="0"/>
  </r>
  <r>
    <x v="5"/>
    <s v="Crystal Salt-Kalluppu-kg-kg-1.0000"/>
    <n v="7"/>
    <n v="0.375"/>
    <x v="1"/>
    <s v="Ravi"/>
    <n v="2.625"/>
    <s v="Dry Grocery"/>
    <m/>
    <m/>
    <m/>
    <m/>
    <m/>
    <x v="0"/>
  </r>
  <r>
    <x v="5"/>
    <s v="Turmeric Powder-Arishina pudi-kg-kg-1.0000"/>
    <n v="187.41"/>
    <n v="0.02"/>
    <x v="1"/>
    <s v="Ravi"/>
    <n v="3.7482000000000002"/>
    <s v="Dry Grocery"/>
    <m/>
    <m/>
    <m/>
    <m/>
    <m/>
    <x v="0"/>
  </r>
  <r>
    <x v="5"/>
    <s v="Jeera Seeds-Jeerge-kg-kg-1.0000"/>
    <n v="230"/>
    <n v="0.02"/>
    <x v="1"/>
    <s v="Ravi"/>
    <n v="4.6000000000000005"/>
    <s v="Dry Grocery"/>
    <m/>
    <m/>
    <m/>
    <m/>
    <m/>
    <x v="0"/>
  </r>
  <r>
    <x v="5"/>
    <s v="Mustard-Sasive-kg-kg-1.0000"/>
    <n v="70"/>
    <n v="0.03"/>
    <x v="1"/>
    <s v="Ravi"/>
    <n v="2.1"/>
    <s v="Dry Grocery"/>
    <m/>
    <m/>
    <m/>
    <m/>
    <m/>
    <x v="0"/>
  </r>
  <r>
    <x v="5"/>
    <s v="channadal(split)-Kadlebele-kg-kg-1.0000"/>
    <n v="55"/>
    <n v="0.11"/>
    <x v="1"/>
    <s v="Ravi"/>
    <n v="6.05"/>
    <s v="Dry Grocery"/>
    <m/>
    <m/>
    <m/>
    <m/>
    <m/>
    <x v="0"/>
  </r>
  <r>
    <x v="5"/>
    <s v="Elaichi-yelakki-kg-kg-1.0000"/>
    <n v="1450"/>
    <n v="5.0000000000000001E-3"/>
    <x v="1"/>
    <s v="Ravi"/>
    <n v="7.25"/>
    <s v="Spice"/>
    <m/>
    <m/>
    <m/>
    <m/>
    <m/>
    <x v="0"/>
  </r>
  <r>
    <x v="5"/>
    <s v="Onion-Erulli-kg-kg-1.0000"/>
    <n v="14"/>
    <n v="1.5"/>
    <x v="1"/>
    <s v="Ravi"/>
    <n v="21"/>
    <s v="Vegetable"/>
    <m/>
    <m/>
    <m/>
    <m/>
    <m/>
    <x v="0"/>
  </r>
  <r>
    <x v="5"/>
    <s v="Garlic-Belulli-kg-kg-1.0000"/>
    <n v="28"/>
    <n v="0.13"/>
    <x v="1"/>
    <s v="Ravi"/>
    <n v="3.64"/>
    <s v="Vegetable"/>
    <m/>
    <m/>
    <m/>
    <m/>
    <m/>
    <x v="0"/>
  </r>
  <r>
    <x v="5"/>
    <s v="Green chilly-hasinmenshinkayi-kg-kg-1.0000"/>
    <n v="30"/>
    <n v="0.12"/>
    <x v="1"/>
    <s v="Ravi"/>
    <n v="3.5999999999999996"/>
    <s v="Vegetable"/>
    <m/>
    <m/>
    <m/>
    <m/>
    <m/>
    <x v="0"/>
  </r>
  <r>
    <x v="5"/>
    <s v="Guntur -guntur-kg-kg-1.0000"/>
    <n v="138"/>
    <n v="0.02"/>
    <x v="1"/>
    <s v="Ravi"/>
    <n v="2.7600000000000002"/>
    <s v="Dry Grocery"/>
    <m/>
    <m/>
    <m/>
    <m/>
    <m/>
    <x v="0"/>
  </r>
  <r>
    <x v="5"/>
    <s v="North Papad (1 kg)-North Papad (1 kg)-kg-kg-1.0000"/>
    <n v="160"/>
    <n v="0.11"/>
    <x v="1"/>
    <s v="Ravi"/>
    <n v="17.600000000000001"/>
    <s v="Dry Grocery"/>
    <m/>
    <m/>
    <m/>
    <m/>
    <m/>
    <x v="0"/>
  </r>
  <r>
    <x v="5"/>
    <s v="South Papad (500 gram)-South Papad (500 gram)-pkt-kg-0.5000"/>
    <n v="62.03"/>
    <n v="0.05"/>
    <x v="1"/>
    <s v="Ravi"/>
    <n v="3.1015000000000001"/>
    <s v="Dry Grocery"/>
    <m/>
    <m/>
    <m/>
    <m/>
    <m/>
    <x v="0"/>
  </r>
  <r>
    <x v="5"/>
    <s v="Cashew-Godambi-kg-kg-1.0000"/>
    <n v="840"/>
    <n v="0.02"/>
    <x v="1"/>
    <s v="Ravi"/>
    <n v="16.8"/>
    <s v="Dry Grocery"/>
    <m/>
    <m/>
    <m/>
    <m/>
    <m/>
    <x v="0"/>
  </r>
  <r>
    <x v="5"/>
    <s v="Raisin-drakshi-kg-kg-1.0000"/>
    <n v="240"/>
    <n v="0.02"/>
    <x v="1"/>
    <s v="Ravi"/>
    <n v="4.8"/>
    <s v="Dry Grocery"/>
    <m/>
    <m/>
    <m/>
    <m/>
    <m/>
    <x v="0"/>
  </r>
  <r>
    <x v="5"/>
    <s v="Toordal-Thogaribele-kg-kg-1.0000"/>
    <n v="64.069999999999993"/>
    <n v="0.35"/>
    <x v="1"/>
    <s v="Ravi"/>
    <n v="22.424499999999995"/>
    <s v="Dry Grocery"/>
    <m/>
    <m/>
    <m/>
    <m/>
    <m/>
    <x v="0"/>
  </r>
  <r>
    <x v="5"/>
    <s v="Tomato (Jam)-tomatojam-kg-kg-1.0000"/>
    <n v="14.75"/>
    <n v="0.9"/>
    <x v="1"/>
    <s v="Ravi"/>
    <n v="13.275"/>
    <s v="Vegetable"/>
    <m/>
    <m/>
    <m/>
    <m/>
    <m/>
    <x v="0"/>
  </r>
  <r>
    <x v="5"/>
    <s v="Garam Masala (100 gram)-garam masala-pkt-kg-0.1000"/>
    <n v="57.5"/>
    <n v="0.03"/>
    <x v="1"/>
    <s v="Ravi"/>
    <n v="1.7249999999999999"/>
    <s v="Dry Grocery"/>
    <m/>
    <m/>
    <m/>
    <m/>
    <m/>
    <x v="0"/>
  </r>
  <r>
    <x v="5"/>
    <s v="Sambar powder-Sambar powder-kg-kg-1.0000"/>
    <n v="500"/>
    <n v="0.05"/>
    <x v="1"/>
    <s v="Ravi"/>
    <n v="25"/>
    <s v="Dry Grocery"/>
    <m/>
    <m/>
    <m/>
    <m/>
    <m/>
    <x v="0"/>
  </r>
  <r>
    <x v="5"/>
    <s v="curry leaves-karbensoppu-kg-kg-1.0000"/>
    <n v="312.14"/>
    <n v="0.04"/>
    <x v="1"/>
    <s v="Ravi"/>
    <n v="12.4856"/>
    <s v="Vegetable"/>
    <m/>
    <m/>
    <m/>
    <m/>
    <m/>
    <x v="0"/>
  </r>
  <r>
    <x v="5"/>
    <s v="Coriander leaves-Kothamiri Soppu-kg-kg-1.0000"/>
    <n v="25"/>
    <n v="0.25"/>
    <x v="1"/>
    <s v="Ravi"/>
    <n v="6.25"/>
    <s v="Vegetable"/>
    <m/>
    <m/>
    <m/>
    <m/>
    <m/>
    <x v="0"/>
  </r>
  <r>
    <x v="5"/>
    <s v="Ginger-shunti-kg-kg-1.0000"/>
    <n v="40"/>
    <n v="0.04"/>
    <x v="1"/>
    <s v="Ravi"/>
    <n v="1.6"/>
    <s v="Vegetable"/>
    <m/>
    <m/>
    <m/>
    <m/>
    <m/>
    <x v="0"/>
  </r>
  <r>
    <x v="5"/>
    <s v="Tamarind-hunsehannu-kg-kg-1.0000"/>
    <n v="170"/>
    <n v="0.05"/>
    <x v="1"/>
    <s v="Ravi"/>
    <n v="8.5"/>
    <s v="Dry Grocery"/>
    <m/>
    <m/>
    <m/>
    <m/>
    <m/>
    <x v="0"/>
  </r>
  <r>
    <x v="5"/>
    <s v="Pineapple-ANNANAS-kg-kg-1.0000"/>
    <n v="30"/>
    <n v="2"/>
    <x v="5"/>
    <s v="Ravi"/>
    <n v="60"/>
    <s v="Fruits"/>
    <m/>
    <m/>
    <m/>
    <m/>
    <m/>
    <x v="0"/>
  </r>
  <r>
    <x v="5"/>
    <s v="Moosambi-MOOSAMBI-kg-kg-1.0000"/>
    <n v="50"/>
    <n v="7.64"/>
    <x v="5"/>
    <s v="Ravi"/>
    <n v="382"/>
    <s v="Fruits"/>
    <m/>
    <m/>
    <m/>
    <m/>
    <m/>
    <x v="0"/>
  </r>
  <r>
    <x v="5"/>
    <s v="Potato-Aloogedde-kg-kg-1.0000"/>
    <n v="20"/>
    <n v="0.2"/>
    <x v="2"/>
    <s v="Ravi"/>
    <n v="4"/>
    <s v="Vegetable"/>
    <m/>
    <m/>
    <m/>
    <m/>
    <m/>
    <x v="0"/>
  </r>
  <r>
    <x v="5"/>
    <s v="Coriander leaves-Kothamiri Soppu-kg-kg-1.0000"/>
    <n v="25"/>
    <n v="0.18"/>
    <x v="2"/>
    <s v="Ravi"/>
    <n v="4.5"/>
    <s v="Vegetable"/>
    <m/>
    <m/>
    <m/>
    <m/>
    <m/>
    <x v="0"/>
  </r>
  <r>
    <x v="5"/>
    <s v="Onion-Erulli-kg-kg-1.0000"/>
    <n v="14"/>
    <n v="0.4"/>
    <x v="2"/>
    <s v="Ravi"/>
    <n v="5.6000000000000005"/>
    <s v="Vegetable"/>
    <m/>
    <m/>
    <m/>
    <m/>
    <m/>
    <x v="0"/>
  </r>
  <r>
    <x v="5"/>
    <s v="Tomato (Jam)-tomatojam-kg-kg-1.0000"/>
    <n v="14.75"/>
    <n v="0.25"/>
    <x v="2"/>
    <s v="Ravi"/>
    <n v="3.6875"/>
    <s v="Vegetable"/>
    <m/>
    <m/>
    <m/>
    <m/>
    <m/>
    <x v="0"/>
  </r>
  <r>
    <x v="5"/>
    <s v="Green chilly-hasinmenshinkayi-kg-kg-1.0000"/>
    <n v="30"/>
    <n v="0.12"/>
    <x v="2"/>
    <s v="Ravi"/>
    <n v="3.5999999999999996"/>
    <s v="Vegetable"/>
    <m/>
    <m/>
    <m/>
    <m/>
    <m/>
    <x v="0"/>
  </r>
  <r>
    <x v="5"/>
    <s v="Garlic-Belulli-kg-kg-1.0000"/>
    <n v="28"/>
    <n v="0.15"/>
    <x v="2"/>
    <s v="Ravi"/>
    <n v="4.2"/>
    <s v="Vegetable"/>
    <m/>
    <m/>
    <m/>
    <m/>
    <m/>
    <x v="0"/>
  </r>
  <r>
    <x v="5"/>
    <s v="Ginger-shunti-kg-kg-1.0000"/>
    <n v="40"/>
    <n v="0.05"/>
    <x v="2"/>
    <s v="Ravi"/>
    <n v="2"/>
    <s v="Vegetable"/>
    <m/>
    <m/>
    <m/>
    <m/>
    <m/>
    <x v="0"/>
  </r>
  <r>
    <x v="5"/>
    <s v="Coconut-Theginkai-count-count-1.0000"/>
    <n v="28"/>
    <n v="0.5"/>
    <x v="2"/>
    <s v="Ravi"/>
    <n v="14"/>
    <s v="Vegetable"/>
    <m/>
    <m/>
    <m/>
    <m/>
    <m/>
    <x v="0"/>
  </r>
  <r>
    <x v="5"/>
    <s v="Fried Gram-Hurgadle-kg-kg-1.0000"/>
    <n v="60"/>
    <n v="0.05"/>
    <x v="2"/>
    <s v="Ravi"/>
    <n v="3"/>
    <s v="Dry Grocery"/>
    <m/>
    <m/>
    <m/>
    <m/>
    <m/>
    <x v="0"/>
  </r>
  <r>
    <x v="5"/>
    <s v="Coriander Powder (500 gram)-Dhanya Powder (500 gram)-kg-kg-1.0000"/>
    <n v="120"/>
    <n v="0.03"/>
    <x v="2"/>
    <s v="Ravi"/>
    <n v="3.5999999999999996"/>
    <s v="Dry Grocery"/>
    <m/>
    <m/>
    <m/>
    <m/>
    <m/>
    <x v="0"/>
  </r>
  <r>
    <x v="5"/>
    <s v="Chilly Powder-Chilly Powder-kg-kg-1.0000"/>
    <n v="280"/>
    <n v="0.02"/>
    <x v="2"/>
    <s v="Ravi"/>
    <n v="5.6000000000000005"/>
    <s v="Dry Grocery"/>
    <m/>
    <m/>
    <m/>
    <m/>
    <m/>
    <x v="0"/>
  </r>
  <r>
    <x v="5"/>
    <s v="Crystal Salt-Kalluppu-kg-kg-1.0000"/>
    <n v="7"/>
    <n v="0.05"/>
    <x v="2"/>
    <s v="Ravi"/>
    <n v="0.35000000000000003"/>
    <s v="Dry Grocery"/>
    <m/>
    <m/>
    <m/>
    <m/>
    <m/>
    <x v="0"/>
  </r>
  <r>
    <x v="5"/>
    <s v="Turmeric Powder-Arishina pudi-kg-kg-1.0000"/>
    <n v="187.41"/>
    <n v="0.02"/>
    <x v="2"/>
    <s v="Ravi"/>
    <n v="3.7482000000000002"/>
    <s v="Dry Grocery"/>
    <m/>
    <m/>
    <m/>
    <m/>
    <m/>
    <x v="0"/>
  </r>
  <r>
    <x v="5"/>
    <s v="Pav Baji Masala (100 gram)-pav baji masala-pkt-kg-0.1000"/>
    <n v="46.4"/>
    <n v="1.4999999999999999E-2"/>
    <x v="2"/>
    <s v="Ravi"/>
    <n v="0.69599999999999995"/>
    <s v="Dry Grocery"/>
    <m/>
    <m/>
    <m/>
    <m/>
    <m/>
    <x v="0"/>
  </r>
  <r>
    <x v="5"/>
    <s v="Chat Masala (100 gram)-chat masala-pkt-kg-0.1000"/>
    <n v="48"/>
    <n v="0.04"/>
    <x v="2"/>
    <s v="Ravi"/>
    <n v="1.92"/>
    <s v="Dry Grocery"/>
    <m/>
    <m/>
    <m/>
    <m/>
    <m/>
    <x v="0"/>
  </r>
  <r>
    <x v="5"/>
    <s v="Muskmelon-THARBUJA-kg-kg-1.0000"/>
    <n v="20"/>
    <n v="3"/>
    <x v="5"/>
    <s v="Ravi"/>
    <n v="60"/>
    <s v="Fruits"/>
    <m/>
    <m/>
    <m/>
    <m/>
    <m/>
    <x v="0"/>
  </r>
  <r>
    <x v="5"/>
    <s v="Chickoo-Sapota-kg-kg-1.0000"/>
    <n v="40"/>
    <n v="2"/>
    <x v="5"/>
    <s v="Ravi"/>
    <n v="80"/>
    <s v="Fruits"/>
    <m/>
    <m/>
    <m/>
    <m/>
    <m/>
    <x v="0"/>
  </r>
  <r>
    <x v="5"/>
    <s v="Pineapple-ANNANAS-kg-kg-1.0000"/>
    <n v="30"/>
    <n v="0.75"/>
    <x v="5"/>
    <s v="Ravi"/>
    <n v="22.5"/>
    <s v="Fruits"/>
    <m/>
    <m/>
    <m/>
    <m/>
    <m/>
    <x v="0"/>
  </r>
  <r>
    <x v="5"/>
    <s v="Apple-SEBU-kg-kg-1.0000"/>
    <n v="120"/>
    <n v="1"/>
    <x v="5"/>
    <s v="Ravi"/>
    <n v="120"/>
    <s v="Fruits"/>
    <m/>
    <m/>
    <m/>
    <m/>
    <m/>
    <x v="0"/>
  </r>
  <r>
    <x v="5"/>
    <s v="Watermelon-Watermelon-kg-kg-1.0000"/>
    <n v="20"/>
    <n v="3"/>
    <x v="5"/>
    <s v="Ravi"/>
    <n v="60"/>
    <s v="Fruits"/>
    <m/>
    <m/>
    <m/>
    <m/>
    <m/>
    <x v="0"/>
  </r>
  <r>
    <x v="5"/>
    <s v="Sugar-Sakkre-kg-kg-1.0000"/>
    <n v="37"/>
    <n v="3"/>
    <x v="5"/>
    <s v="Ravi"/>
    <n v="111"/>
    <s v="Dry Grocery"/>
    <m/>
    <m/>
    <m/>
    <m/>
    <m/>
    <x v="0"/>
  </r>
  <r>
    <x v="5"/>
    <s v="Onion-Erulli-kg-kg-1.0000"/>
    <n v="14"/>
    <n v="0.65"/>
    <x v="2"/>
    <s v="Ravi"/>
    <n v="9.1"/>
    <s v="Vegetable"/>
    <m/>
    <m/>
    <m/>
    <m/>
    <m/>
    <x v="0"/>
  </r>
  <r>
    <x v="5"/>
    <s v="Tomato (Jam)-tomatojam-kg-kg-1.0000"/>
    <n v="14.75"/>
    <n v="0.4"/>
    <x v="2"/>
    <s v="Ravi"/>
    <n v="5.9"/>
    <s v="Vegetable"/>
    <m/>
    <m/>
    <m/>
    <m/>
    <m/>
    <x v="0"/>
  </r>
  <r>
    <x v="5"/>
    <s v="Sugar-Sakkre-kg-kg-1.0000"/>
    <n v="37"/>
    <n v="0.2"/>
    <x v="2"/>
    <s v="Ravi"/>
    <n v="7.4"/>
    <s v="Dry Grocery"/>
    <m/>
    <m/>
    <m/>
    <m/>
    <m/>
    <x v="0"/>
  </r>
  <r>
    <x v="5"/>
    <s v="Carrot-carrot-kg-kg-1.0000"/>
    <n v="27.97"/>
    <n v="0.22"/>
    <x v="2"/>
    <s v="Ravi"/>
    <n v="6.1533999999999995"/>
    <s v="Vegetable"/>
    <m/>
    <m/>
    <m/>
    <m/>
    <m/>
    <x v="0"/>
  </r>
  <r>
    <x v="5"/>
    <s v="Ketchup(1.2 kg)-ketchup-bottle-kg-1.2000"/>
    <n v="75"/>
    <n v="0.6"/>
    <x v="6"/>
    <s v="Jaggu"/>
    <n v="45"/>
    <s v="Sauce"/>
    <m/>
    <m/>
    <m/>
    <m/>
    <m/>
    <x v="0"/>
  </r>
  <r>
    <x v="5"/>
    <s v="Lemon-Nimbehannu-count-count-1.0000"/>
    <n v="3"/>
    <n v="5"/>
    <x v="6"/>
    <s v="Jaggu"/>
    <n v="15"/>
    <s v="Vegetable"/>
    <m/>
    <m/>
    <m/>
    <m/>
    <m/>
    <x v="0"/>
  </r>
  <r>
    <x v="5"/>
    <s v="Onion-Erulli-kg-kg-1.0000"/>
    <n v="14"/>
    <n v="0.4"/>
    <x v="6"/>
    <s v="Jaggu"/>
    <n v="5.6000000000000005"/>
    <s v="Vegetable"/>
    <m/>
    <m/>
    <m/>
    <m/>
    <m/>
    <x v="0"/>
  </r>
  <r>
    <x v="6"/>
    <s v="Gas-Gas-kg-kg-1.0000"/>
    <n v="78.95"/>
    <n v="19"/>
    <x v="3"/>
    <s v="Common"/>
    <n v="1500.05"/>
    <s v="Gas"/>
    <m/>
    <m/>
    <m/>
    <m/>
    <m/>
    <x v="0"/>
  </r>
  <r>
    <x v="6"/>
    <s v="Charcoal-Charcoal-kg-kg-1.0000"/>
    <n v="26"/>
    <n v="9.1"/>
    <x v="0"/>
    <s v="Murthy"/>
    <n v="236.6"/>
    <s v="Heating"/>
    <m/>
    <m/>
    <m/>
    <m/>
    <m/>
    <x v="0"/>
  </r>
  <r>
    <x v="6"/>
    <s v="Babycorn-Babycorn-kg-kg-1.0000"/>
    <n v="60"/>
    <n v="1.2"/>
    <x v="0"/>
    <s v="Murthy"/>
    <n v="72"/>
    <s v="Vegetable"/>
    <m/>
    <m/>
    <m/>
    <m/>
    <m/>
    <x v="0"/>
  </r>
  <r>
    <x v="6"/>
    <s v="Butter-Butter-kg-kg-1.0000"/>
    <n v="140"/>
    <n v="0.5"/>
    <x v="0"/>
    <s v="Murthy"/>
    <n v="70"/>
    <s v="Dairy"/>
    <m/>
    <m/>
    <m/>
    <m/>
    <m/>
    <x v="0"/>
  </r>
  <r>
    <x v="6"/>
    <s v="Mushroom-Mushroom-pkt-pkt-1.0000"/>
    <n v="32"/>
    <n v="0.4"/>
    <x v="0"/>
    <s v="Murthy"/>
    <n v="12.8"/>
    <s v="Vegetable"/>
    <m/>
    <m/>
    <m/>
    <m/>
    <m/>
    <x v="0"/>
  </r>
  <r>
    <x v="6"/>
    <s v="Green chilly-hasinmenshinkayi-kg-kg-1.0000"/>
    <n v="30"/>
    <n v="0.5"/>
    <x v="0"/>
    <s v="Murthy"/>
    <n v="15"/>
    <s v="Vegetable"/>
    <m/>
    <m/>
    <m/>
    <m/>
    <m/>
    <x v="0"/>
  </r>
  <r>
    <x v="6"/>
    <s v="Pudina-Pudina-kg-kg-1.0000"/>
    <n v="125"/>
    <n v="0.12"/>
    <x v="0"/>
    <s v="Murthy"/>
    <n v="15"/>
    <s v="Vegetable"/>
    <m/>
    <m/>
    <m/>
    <m/>
    <m/>
    <x v="0"/>
  </r>
  <r>
    <x v="6"/>
    <s v="Capsicum-Capsicum-kg-kg-1.0000"/>
    <n v="30"/>
    <n v="1.3"/>
    <x v="0"/>
    <s v="Murthy"/>
    <n v="39"/>
    <s v="Vegetable"/>
    <m/>
    <m/>
    <m/>
    <m/>
    <m/>
    <x v="0"/>
  </r>
  <r>
    <x v="6"/>
    <s v="Coriander leaves-Kothamiri Soppu-kg-kg-1.0000"/>
    <n v="25"/>
    <n v="1.2"/>
    <x v="0"/>
    <s v="Murthy"/>
    <n v="30"/>
    <s v="Vegetable"/>
    <m/>
    <m/>
    <m/>
    <m/>
    <m/>
    <x v="0"/>
  </r>
  <r>
    <x v="6"/>
    <s v="Butter-Butter-kg-kg-1.0000"/>
    <n v="140"/>
    <n v="0.5"/>
    <x v="0"/>
    <s v="Murthy"/>
    <n v="70"/>
    <s v="Dairy"/>
    <m/>
    <m/>
    <m/>
    <m/>
    <m/>
    <x v="0"/>
  </r>
  <r>
    <x v="6"/>
    <s v="Basumathi Rice-Basumathi Rice-kg-kg-1.0000"/>
    <n v="62"/>
    <n v="2"/>
    <x v="0"/>
    <s v="Murthy"/>
    <n v="124"/>
    <s v="Dry Grocery"/>
    <m/>
    <m/>
    <m/>
    <m/>
    <m/>
    <x v="0"/>
  </r>
  <r>
    <x v="6"/>
    <s v="Salt Powder-Uppu-kg-kg-1.0000"/>
    <n v="17"/>
    <n v="1"/>
    <x v="0"/>
    <s v="Murthy"/>
    <n v="17"/>
    <s v="Dry Grocery"/>
    <m/>
    <m/>
    <m/>
    <m/>
    <m/>
    <x v="0"/>
  </r>
  <r>
    <x v="6"/>
    <s v="Cinnamon-Chekke-kg-kg-1.0000"/>
    <n v="220"/>
    <n v="5.0000000000000001E-3"/>
    <x v="0"/>
    <s v="Murthy"/>
    <n v="1.1000000000000001"/>
    <s v="Spice"/>
    <m/>
    <m/>
    <m/>
    <m/>
    <m/>
    <x v="0"/>
  </r>
  <r>
    <x v="6"/>
    <s v="Cloves-lavanga-kg-kg-1.0000"/>
    <n v="740"/>
    <n v="5.0000000000000001E-3"/>
    <x v="0"/>
    <s v="Murthy"/>
    <n v="3.7"/>
    <s v="Spice"/>
    <m/>
    <m/>
    <m/>
    <m/>
    <m/>
    <x v="0"/>
  </r>
  <r>
    <x v="6"/>
    <s v="Elaichi-yelakki-kg-kg-1.0000"/>
    <n v="1450"/>
    <n v="5.0000000000000001E-3"/>
    <x v="0"/>
    <s v="Murthy"/>
    <n v="7.25"/>
    <s v="Spice"/>
    <m/>
    <m/>
    <m/>
    <m/>
    <m/>
    <x v="0"/>
  </r>
  <r>
    <x v="6"/>
    <s v="Mace-japathre-kg-kg-1.0000"/>
    <n v="1480"/>
    <n v="5.0000000000000001E-3"/>
    <x v="0"/>
    <s v="Murthy"/>
    <n v="7.4"/>
    <s v="Spice"/>
    <m/>
    <m/>
    <m/>
    <m/>
    <m/>
    <x v="0"/>
  </r>
  <r>
    <x v="6"/>
    <s v="Tomato (Jam)-tomatojam-kg-kg-1.0000"/>
    <n v="14.75"/>
    <n v="0.5"/>
    <x v="0"/>
    <s v="Murthy"/>
    <n v="7.375"/>
    <s v="Vegetable"/>
    <m/>
    <m/>
    <m/>
    <m/>
    <m/>
    <x v="0"/>
  </r>
  <r>
    <x v="6"/>
    <s v="Maida-Maida-kg-kg-1.0000"/>
    <n v="29.51"/>
    <n v="3.2"/>
    <x v="0"/>
    <s v="Murthy"/>
    <n v="94.432000000000016"/>
    <s v="Dry Grocery"/>
    <m/>
    <m/>
    <m/>
    <m/>
    <m/>
    <x v="0"/>
  </r>
  <r>
    <x v="6"/>
    <s v="Corn flour-Corn flour-kg-kg-1.0000"/>
    <n v="45"/>
    <n v="1"/>
    <x v="0"/>
    <s v="Murthy"/>
    <n v="45"/>
    <s v="Dry Grocery"/>
    <m/>
    <m/>
    <m/>
    <m/>
    <m/>
    <x v="0"/>
  </r>
  <r>
    <x v="6"/>
    <s v="Sugar-Sakkre-kg-kg-1.0000"/>
    <n v="37"/>
    <n v="0.2"/>
    <x v="4"/>
    <s v="Vicky"/>
    <n v="7.4"/>
    <s v="Dry Grocery"/>
    <m/>
    <m/>
    <m/>
    <m/>
    <m/>
    <x v="0"/>
  </r>
  <r>
    <x v="6"/>
    <s v="Tea powder-Tea powder-kg-kg-1.0000"/>
    <n v="390"/>
    <n v="0.65999999999999992"/>
    <x v="4"/>
    <s v="Vicky"/>
    <n v="257.39999999999998"/>
    <s v="Hot Beverage"/>
    <m/>
    <m/>
    <m/>
    <m/>
    <m/>
    <x v="0"/>
  </r>
  <r>
    <x v="6"/>
    <s v="Paneer-Paneer-kg-kg-1.0000"/>
    <n v="175"/>
    <n v="1"/>
    <x v="0"/>
    <s v="Murthy"/>
    <n v="175"/>
    <s v="Dairy"/>
    <m/>
    <m/>
    <m/>
    <m/>
    <m/>
    <x v="0"/>
  </r>
  <r>
    <x v="6"/>
    <s v="Oil-Yenne-lts-kg-0.9150"/>
    <n v="82"/>
    <n v="2"/>
    <x v="0"/>
    <s v="Murthy"/>
    <n v="164"/>
    <s v="Oil"/>
    <m/>
    <m/>
    <m/>
    <m/>
    <m/>
    <x v="0"/>
  </r>
  <r>
    <x v="6"/>
    <s v="Lemon-Nimbehannu-count-count-1.0000"/>
    <n v="3"/>
    <n v="8"/>
    <x v="0"/>
    <s v="Murthy"/>
    <n v="24"/>
    <s v="Vegetable"/>
    <m/>
    <m/>
    <m/>
    <m/>
    <m/>
    <x v="0"/>
  </r>
  <r>
    <x v="6"/>
    <s v="White Pepper Powder (500 gram)-Billi menasu pudi-kg-kg-1.0000"/>
    <n v="180"/>
    <n v="0.5"/>
    <x v="0"/>
    <s v="Murthy"/>
    <n v="90"/>
    <s v="Dry Grocery"/>
    <m/>
    <m/>
    <m/>
    <m/>
    <m/>
    <x v="0"/>
  </r>
  <r>
    <x v="6"/>
    <s v="Kitchen king (100 gram)-Kitchen king (100 gram)-pkt-kg-0.1000"/>
    <n v="51"/>
    <n v="0.1"/>
    <x v="0"/>
    <s v="Murthy"/>
    <n v="5.1000000000000005"/>
    <s v="Dry Grocery"/>
    <m/>
    <m/>
    <m/>
    <m/>
    <m/>
    <x v="0"/>
  </r>
  <r>
    <x v="6"/>
    <s v="Cabbage-geddekosu-kg-kg-1.0000"/>
    <n v="3"/>
    <n v="1.9"/>
    <x v="0"/>
    <s v="Murthy"/>
    <n v="5.6999999999999993"/>
    <s v="Vegetable"/>
    <m/>
    <m/>
    <m/>
    <m/>
    <m/>
    <x v="0"/>
  </r>
  <r>
    <x v="6"/>
    <s v="Coriander Powder (500 gram)-Dhanya Powder (500 gram)-kg-kg-1.0000"/>
    <n v="120"/>
    <n v="0.4"/>
    <x v="0"/>
    <s v="Murthy"/>
    <n v="48"/>
    <s v="Dry Grocery"/>
    <m/>
    <m/>
    <m/>
    <m/>
    <m/>
    <x v="0"/>
  </r>
  <r>
    <x v="6"/>
    <s v="Carrot-carrot-kg-kg-1.0000"/>
    <n v="27.97"/>
    <n v="0.98"/>
    <x v="0"/>
    <s v="Murthy"/>
    <n v="27.410599999999999"/>
    <s v="Vegetable"/>
    <m/>
    <m/>
    <m/>
    <m/>
    <m/>
    <x v="0"/>
  </r>
  <r>
    <x v="6"/>
    <s v="Onion-Erulli-kg-kg-1.0000"/>
    <n v="14"/>
    <n v="5"/>
    <x v="0"/>
    <s v="Murthy"/>
    <n v="70"/>
    <s v="Vegetable"/>
    <m/>
    <m/>
    <m/>
    <m/>
    <m/>
    <x v="0"/>
  </r>
  <r>
    <x v="6"/>
    <s v="Pickle-Uppinkayi-kg-kg-1.0000"/>
    <n v="40"/>
    <n v="0.2"/>
    <x v="0"/>
    <s v="Murthy"/>
    <n v="8"/>
    <s v="Processed Food"/>
    <m/>
    <m/>
    <m/>
    <m/>
    <m/>
    <x v="0"/>
  </r>
  <r>
    <x v="6"/>
    <s v="Garlic-Belulli-kg-kg-1.0000"/>
    <n v="28"/>
    <n v="0.5"/>
    <x v="0"/>
    <s v="Murthy"/>
    <n v="14"/>
    <s v="Vegetable"/>
    <m/>
    <m/>
    <m/>
    <m/>
    <m/>
    <x v="0"/>
  </r>
  <r>
    <x v="6"/>
    <s v="Palak leaves-Palak soppu-kg-kg-1.0000"/>
    <n v="38"/>
    <n v="1.5"/>
    <x v="0"/>
    <s v="Murthy"/>
    <n v="57"/>
    <s v="Vegetable"/>
    <m/>
    <m/>
    <m/>
    <m/>
    <m/>
    <x v="0"/>
  </r>
  <r>
    <x v="6"/>
    <s v="Oil-Yenne-lts-kg-0.9150"/>
    <n v="82"/>
    <n v="2"/>
    <x v="0"/>
    <s v="Murthy"/>
    <n v="164"/>
    <s v="Oil"/>
    <m/>
    <m/>
    <m/>
    <m/>
    <m/>
    <x v="0"/>
  </r>
  <r>
    <x v="6"/>
    <s v="Potato-Aloogedde-kg-kg-1.0000"/>
    <n v="20"/>
    <n v="6.3"/>
    <x v="0"/>
    <s v="Murthy"/>
    <n v="126"/>
    <s v="Vegetable"/>
    <m/>
    <m/>
    <m/>
    <m/>
    <m/>
    <x v="0"/>
  </r>
  <r>
    <x v="6"/>
    <s v="Mushroom-Mushroom-pkt-pkt-1.0000"/>
    <n v="32"/>
    <n v="5"/>
    <x v="0"/>
    <s v="Murthy"/>
    <n v="160"/>
    <s v="Vegetable"/>
    <m/>
    <m/>
    <m/>
    <m/>
    <m/>
    <x v="0"/>
  </r>
  <r>
    <x v="6"/>
    <s v="Roti Wheat-Roti atta-kg-kg-1.0000"/>
    <n v="27"/>
    <n v="3"/>
    <x v="0"/>
    <s v="Murthy"/>
    <n v="81"/>
    <s v="Dry Grocery"/>
    <m/>
    <m/>
    <m/>
    <m/>
    <m/>
    <x v="0"/>
  </r>
  <r>
    <x v="6"/>
    <s v="Cauliflower-hookosu-kg-kg-1.0000"/>
    <n v="23.33"/>
    <n v="1.6"/>
    <x v="0"/>
    <s v="Murthy"/>
    <n v="37.327999999999996"/>
    <s v="Vegetable"/>
    <m/>
    <m/>
    <m/>
    <m/>
    <m/>
    <x v="0"/>
  </r>
  <r>
    <x v="6"/>
    <s v="Sugar-Sakkre-kg-kg-1.0000"/>
    <n v="37"/>
    <n v="1.425"/>
    <x v="0"/>
    <s v="Murthy"/>
    <n v="52.725000000000001"/>
    <s v="Dry Grocery"/>
    <m/>
    <m/>
    <m/>
    <m/>
    <m/>
    <x v="0"/>
  </r>
  <r>
    <x v="6"/>
    <s v="Beans-Beans-kg-kg-1.0000"/>
    <n v="43.06"/>
    <n v="0.3"/>
    <x v="0"/>
    <s v="Murthy"/>
    <n v="12.918000000000001"/>
    <s v="Vegetable"/>
    <m/>
    <m/>
    <m/>
    <m/>
    <m/>
    <x v="0"/>
  </r>
  <r>
    <x v="6"/>
    <s v="Bullet Rice-Bullet Rice-kg-kg-1.0000"/>
    <n v="64"/>
    <n v="2"/>
    <x v="0"/>
    <s v="Murthy"/>
    <n v="128"/>
    <s v="Dry Grocery"/>
    <m/>
    <m/>
    <m/>
    <m/>
    <m/>
    <x v="0"/>
  </r>
  <r>
    <x v="6"/>
    <s v="Guntur -guntur-kg-kg-1.0000"/>
    <n v="138"/>
    <n v="0.28000000000000003"/>
    <x v="0"/>
    <s v="Murthy"/>
    <n v="38.64"/>
    <s v="Dry Grocery"/>
    <m/>
    <m/>
    <m/>
    <m/>
    <m/>
    <x v="0"/>
  </r>
  <r>
    <x v="6"/>
    <s v="8 To 85 Sauce (200 gram)-8 To 85 Sauce (200 gram)-kg-kg-1.0000"/>
    <n v="60"/>
    <n v="0.2"/>
    <x v="0"/>
    <s v="Murthy"/>
    <n v="12"/>
    <s v="Sauce"/>
    <m/>
    <m/>
    <m/>
    <m/>
    <m/>
    <x v="0"/>
  </r>
  <r>
    <x v="6"/>
    <s v="amchurpowder-amchurpudi-pkt-kg-0.1000"/>
    <n v="45"/>
    <n v="0.1"/>
    <x v="0"/>
    <s v="Murthy"/>
    <n v="4.5"/>
    <s v="Dry Grocery"/>
    <m/>
    <m/>
    <m/>
    <m/>
    <m/>
    <x v="0"/>
  </r>
  <r>
    <x v="6"/>
    <s v="Ketchup(1.2 kg)-ketchup-bottle-kg-1.2000"/>
    <n v="75"/>
    <n v="0.6"/>
    <x v="0"/>
    <s v="Murthy"/>
    <n v="45"/>
    <s v="Sauce"/>
    <m/>
    <m/>
    <m/>
    <m/>
    <m/>
    <x v="0"/>
  </r>
  <r>
    <x v="6"/>
    <s v="Wheat-Godhi-kg-kg-1.0000"/>
    <n v="34"/>
    <n v="0.8"/>
    <x v="1"/>
    <s v="Ravi"/>
    <n v="27.200000000000003"/>
    <s v="Dry Grocery"/>
    <m/>
    <m/>
    <m/>
    <m/>
    <m/>
    <x v="0"/>
  </r>
  <r>
    <x v="6"/>
    <s v="Cauliflower-hookosu-kg-kg-1.0000"/>
    <n v="23.33"/>
    <n v="0.1"/>
    <x v="1"/>
    <s v="Ravi"/>
    <n v="2.3329999999999997"/>
    <s v="Vegetable"/>
    <m/>
    <m/>
    <m/>
    <m/>
    <m/>
    <x v="0"/>
  </r>
  <r>
    <x v="6"/>
    <s v="South Rice-South Hakki-kg-kg-1.0000"/>
    <n v="52"/>
    <n v="4.4000000000000004"/>
    <x v="1"/>
    <s v="Ravi"/>
    <n v="228.8"/>
    <s v="Dry Grocery"/>
    <m/>
    <m/>
    <m/>
    <m/>
    <m/>
    <x v="0"/>
  </r>
  <r>
    <x v="6"/>
    <s v="Coconut-Theginkai-count-count-1.0000"/>
    <n v="28"/>
    <n v="3"/>
    <x v="1"/>
    <s v="Ravi"/>
    <n v="84"/>
    <s v="Vegetable"/>
    <m/>
    <m/>
    <m/>
    <m/>
    <m/>
    <x v="0"/>
  </r>
  <r>
    <x v="6"/>
    <s v="Sugar-Sakkre-kg-kg-1.0000"/>
    <n v="37"/>
    <n v="0.3"/>
    <x v="1"/>
    <s v="Ravi"/>
    <n v="11.1"/>
    <s v="Dry Grocery"/>
    <m/>
    <m/>
    <m/>
    <m/>
    <m/>
    <x v="0"/>
  </r>
  <r>
    <x v="6"/>
    <s v="Chilly Powder-Chilly Powder-kg-kg-1.0000"/>
    <n v="280"/>
    <n v="7.0000000000000007E-2"/>
    <x v="1"/>
    <s v="Ravi"/>
    <n v="19.600000000000001"/>
    <s v="Dry Grocery"/>
    <m/>
    <m/>
    <m/>
    <m/>
    <m/>
    <x v="0"/>
  </r>
  <r>
    <x v="6"/>
    <s v="Coriander Powder (500 gram)-Dhanya Powder (500 gram)-kg-kg-1.0000"/>
    <n v="120"/>
    <n v="7.4999999999999997E-2"/>
    <x v="1"/>
    <s v="Ravi"/>
    <n v="9"/>
    <s v="Dry Grocery"/>
    <m/>
    <m/>
    <m/>
    <m/>
    <m/>
    <x v="0"/>
  </r>
  <r>
    <x v="6"/>
    <s v="Rasam powder-Rasam powder-kg-kg-1.0000"/>
    <n v="340"/>
    <n v="0.03"/>
    <x v="1"/>
    <s v="Ravi"/>
    <n v="10.199999999999999"/>
    <s v="Dry Grocery"/>
    <m/>
    <m/>
    <m/>
    <m/>
    <m/>
    <x v="0"/>
  </r>
  <r>
    <x v="6"/>
    <s v="Sambar powder-Sambar powder-kg-kg-1.0000"/>
    <n v="500"/>
    <n v="7.0000000000000007E-2"/>
    <x v="1"/>
    <s v="Ravi"/>
    <n v="35"/>
    <s v="Dry Grocery"/>
    <m/>
    <m/>
    <m/>
    <m/>
    <m/>
    <x v="0"/>
  </r>
  <r>
    <x v="6"/>
    <s v="Crystal Salt-Kalluppu-kg-kg-1.0000"/>
    <n v="7"/>
    <n v="0.59"/>
    <x v="1"/>
    <s v="Ravi"/>
    <n v="4.13"/>
    <s v="Dry Grocery"/>
    <m/>
    <m/>
    <m/>
    <m/>
    <m/>
    <x v="0"/>
  </r>
  <r>
    <x v="6"/>
    <s v="Turmeric Powder-Arishina pudi-kg-kg-1.0000"/>
    <n v="187.41"/>
    <n v="0.03"/>
    <x v="1"/>
    <s v="Ravi"/>
    <n v="5.6223000000000001"/>
    <s v="Dry Grocery"/>
    <m/>
    <m/>
    <m/>
    <m/>
    <m/>
    <x v="0"/>
  </r>
  <r>
    <x v="6"/>
    <s v="Garam Masala (100 gram)-garam masala-pkt-kg-0.1000"/>
    <n v="57.5"/>
    <n v="2.5000000000000001E-2"/>
    <x v="1"/>
    <s v="Ravi"/>
    <n v="1.4375"/>
    <s v="Dry Grocery"/>
    <m/>
    <m/>
    <m/>
    <m/>
    <m/>
    <x v="0"/>
  </r>
  <r>
    <x v="6"/>
    <s v="Dalda-dalda-lts-kg-0.9050"/>
    <n v="96"/>
    <n v="0.14000000000000001"/>
    <x v="1"/>
    <s v="Ravi"/>
    <n v="13.440000000000001"/>
    <s v="Oil"/>
    <m/>
    <m/>
    <m/>
    <m/>
    <m/>
    <x v="0"/>
  </r>
  <r>
    <x v="6"/>
    <s v="Oil-Yenne-lts-kg-0.9150"/>
    <n v="82"/>
    <n v="1"/>
    <x v="1"/>
    <s v="Ravi"/>
    <n v="82"/>
    <s v="Oil"/>
    <m/>
    <m/>
    <m/>
    <m/>
    <m/>
    <x v="0"/>
  </r>
  <r>
    <x v="6"/>
    <s v="Jeera Seeds-Jeerge-kg-kg-1.0000"/>
    <n v="230"/>
    <n v="3.5000000000000003E-2"/>
    <x v="1"/>
    <s v="Ravi"/>
    <n v="8.0500000000000007"/>
    <s v="Dry Grocery"/>
    <m/>
    <m/>
    <m/>
    <m/>
    <m/>
    <x v="0"/>
  </r>
  <r>
    <x v="6"/>
    <s v="Mustard-Sasive-kg-kg-1.0000"/>
    <n v="70"/>
    <n v="3.5000000000000003E-2"/>
    <x v="1"/>
    <s v="Ravi"/>
    <n v="2.4500000000000002"/>
    <s v="Dry Grocery"/>
    <m/>
    <m/>
    <m/>
    <m/>
    <m/>
    <x v="0"/>
  </r>
  <r>
    <x v="6"/>
    <s v="Onion-Erulli-kg-kg-1.0000"/>
    <n v="14"/>
    <n v="2"/>
    <x v="1"/>
    <s v="Ravi"/>
    <n v="28"/>
    <s v="Vegetable"/>
    <m/>
    <m/>
    <m/>
    <m/>
    <m/>
    <x v="0"/>
  </r>
  <r>
    <x v="6"/>
    <s v="channadal(split)-Kadlebele-kg-kg-1.0000"/>
    <n v="55"/>
    <n v="5.5E-2"/>
    <x v="1"/>
    <s v="Ravi"/>
    <n v="3.0249999999999999"/>
    <s v="Dry Grocery"/>
    <m/>
    <m/>
    <m/>
    <m/>
    <m/>
    <x v="0"/>
  </r>
  <r>
    <x v="6"/>
    <s v="Garlic-Belulli-kg-kg-1.0000"/>
    <n v="28"/>
    <n v="0.245"/>
    <x v="1"/>
    <s v="Ravi"/>
    <n v="6.8599999999999994"/>
    <s v="Vegetable"/>
    <m/>
    <m/>
    <m/>
    <m/>
    <m/>
    <x v="0"/>
  </r>
  <r>
    <x v="6"/>
    <s v="Ginger-shunti-kg-kg-1.0000"/>
    <n v="40"/>
    <n v="6.5000000000000002E-2"/>
    <x v="1"/>
    <s v="Ravi"/>
    <n v="2.6"/>
    <s v="Vegetable"/>
    <m/>
    <m/>
    <m/>
    <m/>
    <m/>
    <x v="0"/>
  </r>
  <r>
    <x v="6"/>
    <s v="Toordal-Thogaribele-kg-kg-1.0000"/>
    <n v="64.069999999999993"/>
    <n v="0.3"/>
    <x v="1"/>
    <s v="Ravi"/>
    <n v="19.220999999999997"/>
    <s v="Dry Grocery"/>
    <m/>
    <m/>
    <m/>
    <m/>
    <m/>
    <x v="0"/>
  </r>
  <r>
    <x v="6"/>
    <s v="Cashew-Godambi-kg-kg-1.0000"/>
    <n v="840"/>
    <n v="2.75E-2"/>
    <x v="1"/>
    <s v="Ravi"/>
    <n v="23.1"/>
    <s v="Dry Grocery"/>
    <m/>
    <m/>
    <m/>
    <m/>
    <m/>
    <x v="0"/>
  </r>
  <r>
    <x v="6"/>
    <s v="Raisin-drakshi-kg-kg-1.0000"/>
    <n v="240"/>
    <n v="2.75E-2"/>
    <x v="1"/>
    <s v="Ravi"/>
    <n v="6.6"/>
    <s v="Dry Grocery"/>
    <m/>
    <m/>
    <m/>
    <m/>
    <m/>
    <x v="0"/>
  </r>
  <r>
    <x v="6"/>
    <s v="Tomato (Jam)-tomatojam-kg-kg-1.0000"/>
    <n v="14.75"/>
    <n v="0.95499999999999996"/>
    <x v="1"/>
    <s v="Ravi"/>
    <n v="14.08625"/>
    <s v="Vegetable"/>
    <m/>
    <m/>
    <m/>
    <m/>
    <m/>
    <x v="0"/>
  </r>
  <r>
    <x v="6"/>
    <s v="Coriander leaves-Kothamiri Soppu-kg-kg-1.0000"/>
    <n v="25"/>
    <n v="0.315"/>
    <x v="1"/>
    <s v="Ravi"/>
    <n v="7.875"/>
    <s v="Vegetable"/>
    <m/>
    <m/>
    <m/>
    <m/>
    <m/>
    <x v="0"/>
  </r>
  <r>
    <x v="6"/>
    <s v="Pudina-Pudina-kg-kg-1.0000"/>
    <n v="125"/>
    <n v="0.06"/>
    <x v="1"/>
    <s v="Ravi"/>
    <n v="7.5"/>
    <s v="Vegetable"/>
    <m/>
    <m/>
    <m/>
    <m/>
    <m/>
    <x v="0"/>
  </r>
  <r>
    <x v="6"/>
    <s v="Carrot-carrot-kg-kg-1.0000"/>
    <n v="27.97"/>
    <n v="0.75"/>
    <x v="1"/>
    <s v="Ravi"/>
    <n v="20.977499999999999"/>
    <s v="Vegetable"/>
    <m/>
    <m/>
    <m/>
    <m/>
    <m/>
    <x v="0"/>
  </r>
  <r>
    <x v="6"/>
    <s v="Beans-Beans-kg-kg-1.0000"/>
    <n v="43.06"/>
    <n v="0.72499999999999998"/>
    <x v="1"/>
    <s v="Ravi"/>
    <n v="31.218500000000002"/>
    <s v="Vegetable"/>
    <m/>
    <m/>
    <m/>
    <m/>
    <m/>
    <x v="0"/>
  </r>
  <r>
    <x v="6"/>
    <s v="Groundnut Seeds-Kadlekayi Beeja-kg-kg-1.0000"/>
    <n v="108"/>
    <n v="0.11"/>
    <x v="1"/>
    <s v="Ravi"/>
    <n v="11.88"/>
    <s v="Dry Grocery"/>
    <m/>
    <m/>
    <m/>
    <m/>
    <m/>
    <x v="0"/>
  </r>
  <r>
    <x v="6"/>
    <s v="Fried Gram-Hurgadle-kg-kg-1.0000"/>
    <n v="60"/>
    <n v="0.09"/>
    <x v="1"/>
    <s v="Ravi"/>
    <n v="5.3999999999999995"/>
    <s v="Dry Grocery"/>
    <m/>
    <m/>
    <m/>
    <m/>
    <m/>
    <x v="0"/>
  </r>
  <r>
    <x v="6"/>
    <s v="curry leaves-karbensoppu-kg-kg-1.0000"/>
    <n v="312.14"/>
    <n v="0.02"/>
    <x v="1"/>
    <s v="Ravi"/>
    <n v="6.2427999999999999"/>
    <s v="Vegetable"/>
    <m/>
    <m/>
    <m/>
    <m/>
    <m/>
    <x v="0"/>
  </r>
  <r>
    <x v="6"/>
    <s v="North Papad (1 kg)-North Papad (1 kg)-kg-kg-1.0000"/>
    <n v="160"/>
    <n v="0.14499999999999999"/>
    <x v="1"/>
    <s v="Ravi"/>
    <n v="23.2"/>
    <s v="Dry Grocery"/>
    <m/>
    <m/>
    <m/>
    <m/>
    <m/>
    <x v="0"/>
  </r>
  <r>
    <x v="6"/>
    <s v="South Papad (500 gram)-South Papad (500 gram)-pkt-kg-0.5000"/>
    <n v="62.03"/>
    <n v="0.05"/>
    <x v="1"/>
    <s v="Ravi"/>
    <n v="3.1015000000000001"/>
    <s v="Dry Grocery"/>
    <m/>
    <m/>
    <m/>
    <m/>
    <m/>
    <x v="0"/>
  </r>
  <r>
    <x v="6"/>
    <s v="Elaichi-yelakki-kg-kg-1.0000"/>
    <n v="1450"/>
    <n v="5.0000000000000001E-3"/>
    <x v="1"/>
    <s v="Ravi"/>
    <n v="7.25"/>
    <s v="Spice"/>
    <m/>
    <m/>
    <m/>
    <m/>
    <m/>
    <x v="0"/>
  </r>
  <r>
    <x v="6"/>
    <s v="vermicelli-Shavige-kg-kg-1.0000"/>
    <n v="61.08"/>
    <n v="0.17499999999999999"/>
    <x v="1"/>
    <s v="Ravi"/>
    <n v="10.688999999999998"/>
    <s v="Dry Grocery"/>
    <m/>
    <m/>
    <m/>
    <m/>
    <m/>
    <x v="0"/>
  </r>
  <r>
    <x v="6"/>
    <s v="mixed vegetables-mixed tharkari-kg-kg-1.0000"/>
    <n v="35"/>
    <n v="1.1000000000000001"/>
    <x v="1"/>
    <s v="Ravi"/>
    <n v="38.5"/>
    <s v="Vegetable"/>
    <m/>
    <m/>
    <m/>
    <m/>
    <m/>
    <x v="0"/>
  </r>
  <r>
    <x v="6"/>
    <s v="Green chilly-hasinmenshinkayi-kg-kg-1.0000"/>
    <n v="30"/>
    <n v="0.2"/>
    <x v="1"/>
    <s v="Ravi"/>
    <n v="6"/>
    <s v="Vegetable"/>
    <m/>
    <m/>
    <m/>
    <m/>
    <m/>
    <x v="0"/>
  </r>
  <r>
    <x v="6"/>
    <s v="Guntur -guntur-kg-kg-1.0000"/>
    <n v="138"/>
    <n v="0.02"/>
    <x v="1"/>
    <s v="Ravi"/>
    <n v="2.7600000000000002"/>
    <s v="Dry Grocery"/>
    <m/>
    <m/>
    <m/>
    <m/>
    <m/>
    <x v="0"/>
  </r>
  <r>
    <x v="6"/>
    <s v="Wheat-Godhi-kg-kg-1.0000"/>
    <n v="34"/>
    <n v="0.1"/>
    <x v="1"/>
    <s v="Ravi"/>
    <n v="3.4000000000000004"/>
    <s v="Dry Grocery"/>
    <m/>
    <m/>
    <m/>
    <m/>
    <m/>
    <x v="0"/>
  </r>
  <r>
    <x v="6"/>
    <s v="Cucumber-sothekayi-kg-kg-1.0000"/>
    <n v="43.98"/>
    <n v="0.2"/>
    <x v="1"/>
    <s v="Ravi"/>
    <n v="8.7959999999999994"/>
    <s v="Vegetable"/>
    <m/>
    <m/>
    <m/>
    <m/>
    <m/>
    <x v="0"/>
  </r>
  <r>
    <x v="6"/>
    <s v="channadal(split)-Kadlebele-kg-kg-1.0000"/>
    <n v="55"/>
    <n v="0.15"/>
    <x v="1"/>
    <s v="Ravi"/>
    <n v="8.25"/>
    <s v="Dry Grocery"/>
    <m/>
    <m/>
    <m/>
    <m/>
    <m/>
    <x v="0"/>
  </r>
  <r>
    <x v="6"/>
    <s v="Onion-Erulli-kg-kg-1.0000"/>
    <n v="14"/>
    <n v="0.4"/>
    <x v="6"/>
    <s v="Jaggu"/>
    <n v="5.6000000000000005"/>
    <s v="Vegetable"/>
    <m/>
    <m/>
    <m/>
    <m/>
    <m/>
    <x v="0"/>
  </r>
  <r>
    <x v="6"/>
    <s v="Lemon-Nimbehannu-count-count-1.0000"/>
    <n v="3"/>
    <n v="10"/>
    <x v="6"/>
    <s v="Jaggu"/>
    <n v="30"/>
    <s v="Vegetable"/>
    <m/>
    <m/>
    <m/>
    <m/>
    <m/>
    <x v="0"/>
  </r>
  <r>
    <x v="6"/>
    <s v="Sugar-Sakkre-kg-kg-1.0000"/>
    <n v="37"/>
    <n v="1.5"/>
    <x v="5"/>
    <s v="Ravi"/>
    <n v="55.5"/>
    <s v="Dry Grocery"/>
    <m/>
    <m/>
    <m/>
    <m/>
    <m/>
    <x v="0"/>
  </r>
  <r>
    <x v="6"/>
    <s v="Watermelon-Watermelon-kg-kg-1.0000"/>
    <n v="20"/>
    <n v="4.4000000000000004"/>
    <x v="5"/>
    <s v="Ravi"/>
    <n v="88"/>
    <s v="Fruits"/>
    <m/>
    <m/>
    <m/>
    <m/>
    <m/>
    <x v="0"/>
  </r>
  <r>
    <x v="6"/>
    <s v="Onion-Erulli-kg-kg-1.0000"/>
    <n v="14"/>
    <n v="0.5"/>
    <x v="2"/>
    <s v="Ravi"/>
    <n v="7"/>
    <s v="Vegetable"/>
    <m/>
    <m/>
    <m/>
    <m/>
    <m/>
    <x v="0"/>
  </r>
  <r>
    <x v="6"/>
    <s v="Tomato (Jam)-tomatojam-kg-kg-1.0000"/>
    <n v="14.75"/>
    <n v="0.4"/>
    <x v="2"/>
    <s v="Ravi"/>
    <n v="5.9"/>
    <s v="Vegetable"/>
    <m/>
    <m/>
    <m/>
    <m/>
    <m/>
    <x v="0"/>
  </r>
  <r>
    <x v="6"/>
    <s v="Carrot-carrot-kg-kg-1.0000"/>
    <n v="27.97"/>
    <n v="0.315"/>
    <x v="2"/>
    <s v="Ravi"/>
    <n v="8.8105499999999992"/>
    <s v="Vegetable"/>
    <m/>
    <m/>
    <m/>
    <m/>
    <m/>
    <x v="0"/>
  </r>
  <r>
    <x v="6"/>
    <s v="Lemon-Nimbehannu-count-count-1.0000"/>
    <n v="3"/>
    <n v="35"/>
    <x v="5"/>
    <s v="Ravi"/>
    <n v="105"/>
    <s v="Vegetable"/>
    <m/>
    <m/>
    <m/>
    <m/>
    <m/>
    <x v="0"/>
  </r>
  <r>
    <x v="6"/>
    <s v="Coriander leaves-Kothamiri Soppu-kg-kg-1.0000"/>
    <n v="25"/>
    <n v="0.15"/>
    <x v="2"/>
    <s v="Ravi"/>
    <n v="3.75"/>
    <s v="Vegetable"/>
    <m/>
    <m/>
    <m/>
    <m/>
    <m/>
    <x v="0"/>
  </r>
  <r>
    <x v="6"/>
    <s v="Moosambi-MOOSAMBI-kg-kg-1.0000"/>
    <n v="50"/>
    <n v="4"/>
    <x v="5"/>
    <s v="Ravi"/>
    <n v="200"/>
    <s v="Fruits"/>
    <m/>
    <m/>
    <m/>
    <m/>
    <m/>
    <x v="0"/>
  </r>
  <r>
    <x v="6"/>
    <s v="Milk-Haalu-lts-kg-1.0300"/>
    <n v="36"/>
    <n v="1.5"/>
    <x v="1"/>
    <s v="Ravi"/>
    <n v="54"/>
    <s v="Dairy"/>
    <m/>
    <m/>
    <m/>
    <m/>
    <m/>
    <x v="0"/>
  </r>
  <r>
    <x v="6"/>
    <s v="Curd-Mosaru-lts-kg-1.0300"/>
    <n v="42"/>
    <n v="1.5"/>
    <x v="1"/>
    <s v="Ravi"/>
    <n v="63"/>
    <s v="Dairy"/>
    <m/>
    <m/>
    <m/>
    <m/>
    <m/>
    <x v="0"/>
  </r>
  <r>
    <x v="7"/>
    <s v="Watermelon seeds-Watermelon seeds-kg-kg-1.0000"/>
    <n v="184"/>
    <n v="0.5"/>
    <x v="0"/>
    <s v="Murthy"/>
    <n v="92"/>
    <s v="Dry Grocery"/>
    <s v="Yellow Gravy"/>
    <m/>
    <m/>
    <m/>
    <m/>
    <x v="0"/>
  </r>
  <r>
    <x v="7"/>
    <s v="Baby cashew-Baby godambi-kg-kg-1.0000"/>
    <n v="580"/>
    <n v="1"/>
    <x v="0"/>
    <s v="Murthy"/>
    <n v="580"/>
    <s v="Dry Grocery"/>
    <s v="Yellow Gravy"/>
    <m/>
    <m/>
    <m/>
    <m/>
    <x v="0"/>
  </r>
  <r>
    <x v="7"/>
    <s v="White thill-Bili Till-kg-kg-1.0000"/>
    <n v="130"/>
    <n v="0.1"/>
    <x v="0"/>
    <s v="Murthy"/>
    <n v="13"/>
    <s v="Dry Grocery"/>
    <s v="Yellow Gravy"/>
    <m/>
    <m/>
    <m/>
    <m/>
    <x v="0"/>
  </r>
  <r>
    <x v="7"/>
    <s v="Onion-Erulli-kg-kg-1.0000"/>
    <n v="14"/>
    <n v="17"/>
    <x v="0"/>
    <s v="Murthy"/>
    <n v="238"/>
    <s v="Vegetable"/>
    <s v="Yellow Gravy"/>
    <m/>
    <m/>
    <m/>
    <m/>
    <x v="0"/>
  </r>
  <r>
    <x v="7"/>
    <s v="Tomato (Jam)-tomatojam-kg-kg-1.0000"/>
    <n v="14.75"/>
    <n v="5.7"/>
    <x v="0"/>
    <s v="Murthy"/>
    <n v="84.075000000000003"/>
    <s v="Vegetable"/>
    <s v="Yellow Gravy"/>
    <m/>
    <m/>
    <m/>
    <m/>
    <x v="0"/>
  </r>
  <r>
    <x v="7"/>
    <s v="Oil-Yenne-lts-kg-0.9150"/>
    <n v="82"/>
    <n v="2"/>
    <x v="0"/>
    <s v="Murthy"/>
    <n v="164"/>
    <s v="Oil"/>
    <s v="Yellow Gravy"/>
    <m/>
    <m/>
    <m/>
    <m/>
    <x v="0"/>
  </r>
  <r>
    <x v="7"/>
    <s v="Cinnamon-Chekke-kg-kg-1.0000"/>
    <n v="220"/>
    <n v="0.01"/>
    <x v="0"/>
    <s v="Murthy"/>
    <n v="2.2000000000000002"/>
    <s v="Spice"/>
    <s v="Yellow Gravy"/>
    <m/>
    <m/>
    <m/>
    <m/>
    <x v="0"/>
  </r>
  <r>
    <x v="7"/>
    <s v="Cloves-lavanga-kg-kg-1.0000"/>
    <n v="740"/>
    <n v="0.01"/>
    <x v="0"/>
    <s v="Murthy"/>
    <n v="7.4"/>
    <s v="Spice"/>
    <s v="Yellow Gravy"/>
    <m/>
    <m/>
    <m/>
    <m/>
    <x v="0"/>
  </r>
  <r>
    <x v="7"/>
    <s v="Elaichi-yelakki-kg-kg-1.0000"/>
    <n v="1450"/>
    <n v="0.01"/>
    <x v="0"/>
    <s v="Murthy"/>
    <n v="14.5"/>
    <s v="Spice"/>
    <s v="Yellow Gravy"/>
    <m/>
    <m/>
    <m/>
    <m/>
    <x v="0"/>
  </r>
  <r>
    <x v="7"/>
    <s v="Mace-japathre-kg-kg-1.0000"/>
    <n v="1480"/>
    <n v="0.01"/>
    <x v="0"/>
    <s v="Murthy"/>
    <n v="14.8"/>
    <s v="Spice"/>
    <s v="Yellow Gravy"/>
    <m/>
    <m/>
    <m/>
    <m/>
    <x v="0"/>
  </r>
  <r>
    <x v="7"/>
    <s v="Gas-Gas-kg-kg-1.0000"/>
    <n v="78.95"/>
    <n v="19"/>
    <x v="3"/>
    <s v="Common"/>
    <n v="1500.05"/>
    <s v="Gas"/>
    <m/>
    <m/>
    <m/>
    <m/>
    <m/>
    <x v="0"/>
  </r>
  <r>
    <x v="7"/>
    <s v="Charcoal-Charcoal-kg-kg-1.0000"/>
    <n v="26"/>
    <n v="18.100000000000001"/>
    <x v="0"/>
    <s v="Murthy"/>
    <n v="470.6"/>
    <s v="Heating"/>
    <m/>
    <m/>
    <m/>
    <m/>
    <m/>
    <x v="0"/>
  </r>
  <r>
    <x v="7"/>
    <s v="Coriander leaves-Kothamiri Soppu-kg-kg-1.0000"/>
    <n v="25"/>
    <n v="0.51"/>
    <x v="0"/>
    <s v="Murthy"/>
    <n v="12.75"/>
    <s v="Vegetable"/>
    <m/>
    <m/>
    <m/>
    <m/>
    <m/>
    <x v="0"/>
  </r>
  <r>
    <x v="7"/>
    <s v="Basumathi Rice-Basumathi Rice-kg-kg-1.0000"/>
    <n v="62"/>
    <n v="1.5"/>
    <x v="0"/>
    <s v="Murthy"/>
    <n v="93"/>
    <s v="Dry Grocery"/>
    <m/>
    <m/>
    <m/>
    <m/>
    <m/>
    <x v="0"/>
  </r>
  <r>
    <x v="7"/>
    <s v="Onion-Erulli-kg-kg-1.0000"/>
    <n v="14"/>
    <n v="4"/>
    <x v="0"/>
    <s v="Murthy"/>
    <n v="56"/>
    <s v="Vegetable"/>
    <m/>
    <m/>
    <m/>
    <m/>
    <m/>
    <x v="0"/>
  </r>
  <r>
    <x v="7"/>
    <s v="Mushroom-Mushroom-pkt-pkt-1.0000"/>
    <n v="32"/>
    <n v="2"/>
    <x v="0"/>
    <s v="Murthy"/>
    <n v="64"/>
    <s v="Vegetable"/>
    <m/>
    <m/>
    <m/>
    <m/>
    <m/>
    <x v="0"/>
  </r>
  <r>
    <x v="7"/>
    <s v="Tea powder-Tea powder-kg-kg-1.0000"/>
    <n v="390"/>
    <n v="0.4"/>
    <x v="4"/>
    <s v="Vicky"/>
    <n v="156"/>
    <s v="Hot Beverage"/>
    <m/>
    <m/>
    <m/>
    <m/>
    <m/>
    <x v="0"/>
  </r>
  <r>
    <x v="7"/>
    <s v="Kasoori Methi-Kasoori Methi-kg-kg-1.0000"/>
    <n v="450"/>
    <n v="0.65"/>
    <x v="0"/>
    <s v="Murthy"/>
    <n v="292.5"/>
    <s v="Dry Grocery"/>
    <m/>
    <m/>
    <m/>
    <m/>
    <m/>
    <x v="0"/>
  </r>
  <r>
    <x v="7"/>
    <s v="Sugar-Sakkre-kg-kg-1.0000"/>
    <n v="37"/>
    <n v="0.7"/>
    <x v="4"/>
    <s v="Vicky"/>
    <n v="25.9"/>
    <s v="Dry Grocery"/>
    <m/>
    <m/>
    <m/>
    <m/>
    <m/>
    <x v="0"/>
  </r>
  <r>
    <x v="7"/>
    <s v="Maida-Maida-kg-kg-1.0000"/>
    <n v="29.51"/>
    <n v="0.3"/>
    <x v="0"/>
    <s v="Murthy"/>
    <n v="8.8529999999999998"/>
    <s v="Dry Grocery"/>
    <m/>
    <m/>
    <m/>
    <m/>
    <m/>
    <x v="0"/>
  </r>
  <r>
    <x v="7"/>
    <s v="Red bush-Red bush-tin-tin-1.0000"/>
    <n v="48"/>
    <n v="1"/>
    <x v="0"/>
    <s v="Murthy"/>
    <n v="48"/>
    <s v="Food Color"/>
    <m/>
    <m/>
    <m/>
    <m/>
    <m/>
    <x v="0"/>
  </r>
  <r>
    <x v="7"/>
    <s v="Pickle-Uppinkayi-kg-kg-1.0000"/>
    <n v="40"/>
    <n v="0.2"/>
    <x v="0"/>
    <s v="Murthy"/>
    <n v="8"/>
    <s v="Processed Food"/>
    <m/>
    <m/>
    <m/>
    <m/>
    <m/>
    <x v="0"/>
  </r>
  <r>
    <x v="7"/>
    <s v="Cinnamon-Chekke-kg-kg-1.0000"/>
    <n v="220"/>
    <n v="5.0000000000000001E-3"/>
    <x v="0"/>
    <s v="Murthy"/>
    <n v="1.1000000000000001"/>
    <s v="Spice"/>
    <m/>
    <m/>
    <m/>
    <m/>
    <m/>
    <x v="0"/>
  </r>
  <r>
    <x v="7"/>
    <s v="Cloves-lavanga-kg-kg-1.0000"/>
    <n v="740"/>
    <n v="5.0000000000000001E-3"/>
    <x v="0"/>
    <s v="Murthy"/>
    <n v="3.7"/>
    <s v="Spice"/>
    <m/>
    <m/>
    <m/>
    <m/>
    <m/>
    <x v="0"/>
  </r>
  <r>
    <x v="7"/>
    <s v="Elaichi-yelakki-kg-kg-1.0000"/>
    <n v="1450"/>
    <n v="5.0000000000000001E-3"/>
    <x v="0"/>
    <s v="Murthy"/>
    <n v="7.25"/>
    <s v="Spice"/>
    <m/>
    <m/>
    <m/>
    <m/>
    <m/>
    <x v="0"/>
  </r>
  <r>
    <x v="7"/>
    <s v="Maratimoggu-Maratimoggu-kg-kg-1.0000"/>
    <n v="750"/>
    <n v="0.01"/>
    <x v="0"/>
    <s v="Murthy"/>
    <n v="7.5"/>
    <s v="Spice"/>
    <m/>
    <m/>
    <m/>
    <m/>
    <m/>
    <x v="0"/>
  </r>
  <r>
    <x v="7"/>
    <s v="Pudina-Pudina-kg-kg-1.0000"/>
    <n v="125"/>
    <n v="0.06"/>
    <x v="0"/>
    <s v="Murthy"/>
    <n v="7.5"/>
    <s v="Vegetable"/>
    <m/>
    <m/>
    <m/>
    <m/>
    <m/>
    <x v="0"/>
  </r>
  <r>
    <x v="7"/>
    <s v="Oil-Yenne-lts-kg-0.9150"/>
    <n v="82"/>
    <n v="2"/>
    <x v="0"/>
    <s v="Murthy"/>
    <n v="164"/>
    <s v="Oil"/>
    <m/>
    <m/>
    <m/>
    <m/>
    <m/>
    <x v="0"/>
  </r>
  <r>
    <x v="7"/>
    <s v="Roti Wheat-Roti atta-kg-kg-1.0000"/>
    <n v="27"/>
    <n v="3"/>
    <x v="0"/>
    <s v="Murthy"/>
    <n v="81"/>
    <s v="Dry Grocery"/>
    <m/>
    <m/>
    <m/>
    <m/>
    <m/>
    <x v="0"/>
  </r>
  <r>
    <x v="7"/>
    <s v="Cauliflower-hookosu-kg-kg-1.0000"/>
    <n v="23.33"/>
    <n v="1.1000000000000001"/>
    <x v="0"/>
    <s v="Murthy"/>
    <n v="25.663"/>
    <s v="Vegetable"/>
    <m/>
    <m/>
    <m/>
    <m/>
    <m/>
    <x v="0"/>
  </r>
  <r>
    <x v="7"/>
    <s v="Paneer-Paneer-kg-kg-1.0000"/>
    <n v="175"/>
    <n v="2"/>
    <x v="0"/>
    <s v="Murthy"/>
    <n v="350"/>
    <s v="Dairy"/>
    <m/>
    <m/>
    <m/>
    <m/>
    <m/>
    <x v="0"/>
  </r>
  <r>
    <x v="7"/>
    <s v="Garlic-Belulli-kg-kg-1.0000"/>
    <n v="28"/>
    <n v="0.25"/>
    <x v="0"/>
    <s v="Murthy"/>
    <n v="7"/>
    <s v="Vegetable"/>
    <m/>
    <m/>
    <m/>
    <m/>
    <m/>
    <x v="0"/>
  </r>
  <r>
    <x v="7"/>
    <s v="Ginger-shunti-kg-kg-1.0000"/>
    <n v="40"/>
    <n v="0.15"/>
    <x v="0"/>
    <s v="Murthy"/>
    <n v="6"/>
    <s v="Vegetable"/>
    <m/>
    <m/>
    <m/>
    <m/>
    <m/>
    <x v="0"/>
  </r>
  <r>
    <x v="7"/>
    <s v="Capsicum-Capsicum-kg-kg-1.0000"/>
    <n v="30"/>
    <n v="1.3"/>
    <x v="0"/>
    <s v="Murthy"/>
    <n v="39"/>
    <s v="Vegetable"/>
    <m/>
    <m/>
    <m/>
    <m/>
    <m/>
    <x v="0"/>
  </r>
  <r>
    <x v="7"/>
    <s v="Babycorn-Babycorn-kg-kg-1.0000"/>
    <n v="60"/>
    <n v="0.3"/>
    <x v="0"/>
    <s v="Murthy"/>
    <n v="18"/>
    <s v="Vegetable"/>
    <m/>
    <m/>
    <m/>
    <m/>
    <m/>
    <x v="0"/>
  </r>
  <r>
    <x v="7"/>
    <s v="Cabbage-geddekosu-kg-kg-1.0000"/>
    <n v="3"/>
    <n v="0.86"/>
    <x v="0"/>
    <s v="Murthy"/>
    <n v="2.58"/>
    <s v="Vegetable"/>
    <m/>
    <m/>
    <m/>
    <m/>
    <m/>
    <x v="0"/>
  </r>
  <r>
    <x v="7"/>
    <s v="Carrot-carrot-kg-kg-1.0000"/>
    <n v="27.97"/>
    <n v="0.5"/>
    <x v="0"/>
    <s v="Murthy"/>
    <n v="13.984999999999999"/>
    <s v="Vegetable"/>
    <m/>
    <m/>
    <m/>
    <m/>
    <m/>
    <x v="0"/>
  </r>
  <r>
    <x v="7"/>
    <s v="Mushroom-Mushroom-pkt-pkt-1.0000"/>
    <n v="32"/>
    <n v="1"/>
    <x v="0"/>
    <s v="Murthy"/>
    <n v="32"/>
    <s v="Vegetable"/>
    <m/>
    <m/>
    <m/>
    <m/>
    <m/>
    <x v="0"/>
  </r>
  <r>
    <x v="7"/>
    <s v="Palak leaves-Palak soppu-kg-kg-1.0000"/>
    <n v="38"/>
    <n v="1.6"/>
    <x v="0"/>
    <s v="Murthy"/>
    <n v="60.800000000000004"/>
    <s v="Vegetable"/>
    <m/>
    <m/>
    <m/>
    <m/>
    <m/>
    <x v="0"/>
  </r>
  <r>
    <x v="7"/>
    <s v="Kitchen king (100 gram)-Kitchen king (100 gram)-pkt-kg-0.1000"/>
    <n v="51"/>
    <n v="0.1"/>
    <x v="0"/>
    <s v="Murthy"/>
    <n v="5.1000000000000005"/>
    <s v="Dry Grocery"/>
    <m/>
    <m/>
    <m/>
    <m/>
    <m/>
    <x v="0"/>
  </r>
  <r>
    <x v="7"/>
    <s v="Garam Masala (100 gram)-garam masala-pkt-kg-0.1000"/>
    <n v="57.5"/>
    <n v="0.08"/>
    <x v="0"/>
    <s v="Murthy"/>
    <n v="4.6000000000000005"/>
    <s v="Dry Grocery"/>
    <m/>
    <m/>
    <m/>
    <m/>
    <m/>
    <x v="0"/>
  </r>
  <r>
    <x v="7"/>
    <s v="Bread Powder-bread powder-kg-kg-1.0000"/>
    <n v="280"/>
    <n v="0.4"/>
    <x v="0"/>
    <s v="Murthy"/>
    <n v="112"/>
    <s v="Dry Grocery"/>
    <m/>
    <m/>
    <m/>
    <m/>
    <m/>
    <x v="0"/>
  </r>
  <r>
    <x v="7"/>
    <s v="Beans-Beans-kg-kg-1.0000"/>
    <n v="43.06"/>
    <n v="0.27"/>
    <x v="0"/>
    <s v="Murthy"/>
    <n v="11.626200000000001"/>
    <s v="Vegetable"/>
    <m/>
    <m/>
    <m/>
    <m/>
    <m/>
    <x v="0"/>
  </r>
  <r>
    <x v="7"/>
    <s v="Jeera Seeds-Jeerge-kg-kg-1.0000"/>
    <n v="230"/>
    <n v="0.01"/>
    <x v="0"/>
    <s v="Murthy"/>
    <n v="2.3000000000000003"/>
    <s v="Dry Grocery"/>
    <m/>
    <m/>
    <m/>
    <m/>
    <m/>
    <x v="0"/>
  </r>
  <r>
    <x v="7"/>
    <s v="Sweetcorn-Sweetcorn-tin-kg-0.4000"/>
    <n v="33"/>
    <n v="1"/>
    <x v="0"/>
    <s v="Murthy"/>
    <n v="33"/>
    <s v="Canned Food"/>
    <m/>
    <m/>
    <m/>
    <m/>
    <m/>
    <x v="0"/>
  </r>
  <r>
    <x v="7"/>
    <s v="Ketchup(1.2 kg)-ketchup-bottle-kg-1.2000"/>
    <n v="75"/>
    <n v="1.2"/>
    <x v="0"/>
    <s v="Murthy"/>
    <n v="90"/>
    <s v="Sauce"/>
    <m/>
    <m/>
    <m/>
    <m/>
    <m/>
    <x v="0"/>
  </r>
  <r>
    <x v="7"/>
    <s v="Corn flour-Corn flour-kg-kg-1.0000"/>
    <n v="45"/>
    <n v="1"/>
    <x v="0"/>
    <s v="Murthy"/>
    <n v="45"/>
    <s v="Dry Grocery"/>
    <m/>
    <m/>
    <m/>
    <m/>
    <m/>
    <x v="0"/>
  </r>
  <r>
    <x v="7"/>
    <s v="Maida-Maida-kg-kg-1.0000"/>
    <n v="29.51"/>
    <n v="2.2000000000000002"/>
    <x v="0"/>
    <s v="Murthy"/>
    <n v="64.922000000000011"/>
    <s v="Dry Grocery"/>
    <m/>
    <m/>
    <m/>
    <m/>
    <m/>
    <x v="0"/>
  </r>
  <r>
    <x v="7"/>
    <s v="Oil-Yenne-lts-kg-0.9150"/>
    <n v="82"/>
    <n v="1"/>
    <x v="0"/>
    <s v="Murthy"/>
    <n v="82"/>
    <s v="Oil"/>
    <m/>
    <m/>
    <m/>
    <m/>
    <m/>
    <x v="0"/>
  </r>
  <r>
    <x v="7"/>
    <s v="Jeera Seeds-Jeerge-kg-kg-1.0000"/>
    <n v="230"/>
    <n v="0.1"/>
    <x v="0"/>
    <s v="Murthy"/>
    <n v="23"/>
    <s v="Dry Grocery"/>
    <m/>
    <m/>
    <m/>
    <m/>
    <m/>
    <x v="0"/>
  </r>
  <r>
    <x v="7"/>
    <s v="Butter-Butter-kg-kg-1.0000"/>
    <n v="140"/>
    <n v="0.5"/>
    <x v="0"/>
    <s v="Murthy"/>
    <n v="70"/>
    <s v="Dairy"/>
    <m/>
    <m/>
    <m/>
    <m/>
    <m/>
    <x v="0"/>
  </r>
  <r>
    <x v="7"/>
    <s v="Milk-Haalu-lts-kg-1.0300"/>
    <n v="36"/>
    <n v="0.25"/>
    <x v="0"/>
    <s v="Murthy"/>
    <n v="9"/>
    <s v="Dairy"/>
    <m/>
    <m/>
    <m/>
    <m/>
    <m/>
    <x v="0"/>
  </r>
  <r>
    <x v="7"/>
    <s v="White Pepper Powder (500 gram)-Billi menasu pudi-kg-kg-1.0000"/>
    <n v="180"/>
    <n v="0.5"/>
    <x v="0"/>
    <s v="Murthy"/>
    <n v="90"/>
    <s v="Dry Grocery"/>
    <m/>
    <m/>
    <m/>
    <m/>
    <m/>
    <x v="0"/>
  </r>
  <r>
    <x v="7"/>
    <s v="Salt Powder-Uppu-kg-kg-1.0000"/>
    <n v="17"/>
    <n v="1"/>
    <x v="0"/>
    <s v="Murthy"/>
    <n v="17"/>
    <s v="Dry Grocery"/>
    <m/>
    <m/>
    <m/>
    <m/>
    <m/>
    <x v="0"/>
  </r>
  <r>
    <x v="7"/>
    <s v="Tasting Powder (500 kg)-tasting powder-kg-kg-1.0000"/>
    <n v="148"/>
    <n v="0.5"/>
    <x v="0"/>
    <s v="Murthy"/>
    <n v="74"/>
    <s v="Dry Grocery"/>
    <m/>
    <m/>
    <m/>
    <m/>
    <m/>
    <x v="0"/>
  </r>
  <r>
    <x v="7"/>
    <s v="Green peas-green peas-kg-kg-1.0000"/>
    <n v="100"/>
    <n v="0.5"/>
    <x v="0"/>
    <s v="Murthy"/>
    <n v="50"/>
    <s v="Processed Food"/>
    <m/>
    <m/>
    <m/>
    <m/>
    <m/>
    <x v="0"/>
  </r>
  <r>
    <x v="7"/>
    <s v="Lemon-Nimbehannu-count-count-1.0000"/>
    <n v="3"/>
    <n v="10"/>
    <x v="6"/>
    <s v="Jaggu"/>
    <n v="30"/>
    <s v="Vegetable"/>
    <m/>
    <m/>
    <m/>
    <m/>
    <m/>
    <x v="0"/>
  </r>
  <r>
    <x v="7"/>
    <s v="Onion-Erulli-kg-kg-1.0000"/>
    <n v="14"/>
    <n v="0.5"/>
    <x v="6"/>
    <s v="Jaggu"/>
    <n v="7"/>
    <s v="Vegetable"/>
    <m/>
    <m/>
    <m/>
    <m/>
    <m/>
    <x v="0"/>
  </r>
  <r>
    <x v="7"/>
    <s v="Ketchup(1.2 kg)-ketchup-bottle-kg-1.2000"/>
    <n v="75"/>
    <n v="0.26"/>
    <x v="6"/>
    <s v="Jaggu"/>
    <n v="19.5"/>
    <s v="Sauce"/>
    <m/>
    <m/>
    <m/>
    <m/>
    <m/>
    <x v="0"/>
  </r>
  <r>
    <x v="7"/>
    <s v="Peas-batani-kg-kg-1.0000"/>
    <n v="48"/>
    <n v="0.4"/>
    <x v="2"/>
    <s v="Ravi"/>
    <n v="19.200000000000003"/>
    <s v="Dry Grocery"/>
    <m/>
    <m/>
    <m/>
    <m/>
    <m/>
    <x v="0"/>
  </r>
  <r>
    <x v="7"/>
    <s v="Sugar-Sakkre-kg-kg-1.0000"/>
    <n v="37"/>
    <n v="4.0999999999999996"/>
    <x v="5"/>
    <s v="Ravi"/>
    <n v="151.69999999999999"/>
    <s v="Dry Grocery"/>
    <m/>
    <m/>
    <m/>
    <m/>
    <m/>
    <x v="0"/>
  </r>
  <r>
    <x v="7"/>
    <s v="Onion-Erulli-kg-kg-1.0000"/>
    <n v="14"/>
    <n v="0.76500000000000001"/>
    <x v="2"/>
    <s v="Ravi"/>
    <n v="10.71"/>
    <s v="Vegetable"/>
    <m/>
    <m/>
    <m/>
    <m/>
    <m/>
    <x v="0"/>
  </r>
  <r>
    <x v="7"/>
    <s v="Carrot-carrot-kg-kg-1.0000"/>
    <n v="27.97"/>
    <n v="0.28999999999999998"/>
    <x v="2"/>
    <s v="Ravi"/>
    <n v="8.1113"/>
    <s v="Vegetable"/>
    <m/>
    <m/>
    <m/>
    <m/>
    <m/>
    <x v="0"/>
  </r>
  <r>
    <x v="7"/>
    <s v="Tomato (Jam)-tomatojam-kg-kg-1.0000"/>
    <n v="14.75"/>
    <n v="0.44"/>
    <x v="2"/>
    <s v="Ravi"/>
    <n v="6.49"/>
    <s v="Vegetable"/>
    <m/>
    <m/>
    <m/>
    <m/>
    <m/>
    <x v="0"/>
  </r>
  <r>
    <x v="7"/>
    <s v="Coriander leaves-Kothamiri Soppu-kg-kg-1.0000"/>
    <n v="25"/>
    <n v="4.4999999999999998E-2"/>
    <x v="2"/>
    <s v="Ravi"/>
    <n v="1.125"/>
    <s v="Vegetable"/>
    <m/>
    <m/>
    <m/>
    <m/>
    <m/>
    <x v="0"/>
  </r>
  <r>
    <x v="7"/>
    <s v="Peas-batani-kg-kg-1.0000"/>
    <n v="48"/>
    <n v="0.4"/>
    <x v="2"/>
    <s v="Ravi"/>
    <n v="19.200000000000003"/>
    <s v="Dry Grocery"/>
    <m/>
    <m/>
    <m/>
    <m/>
    <m/>
    <x v="0"/>
  </r>
  <r>
    <x v="7"/>
    <s v="Milk-Haalu-lts-kg-1.0300"/>
    <n v="36"/>
    <n v="1.5"/>
    <x v="1"/>
    <s v="Ravi"/>
    <n v="54"/>
    <s v="Dairy"/>
    <m/>
    <m/>
    <m/>
    <m/>
    <m/>
    <x v="0"/>
  </r>
  <r>
    <x v="7"/>
    <s v="Curd-Mosaru-lts-kg-1.0300"/>
    <n v="42"/>
    <n v="1.5"/>
    <x v="1"/>
    <s v="Ravi"/>
    <n v="63"/>
    <s v="Dairy"/>
    <m/>
    <m/>
    <m/>
    <m/>
    <m/>
    <x v="0"/>
  </r>
  <r>
    <x v="7"/>
    <s v="South Rice-South Hakki-kg-kg-1.0000"/>
    <n v="52"/>
    <n v="4"/>
    <x v="1"/>
    <s v="Ravi"/>
    <n v="208"/>
    <s v="Dry Grocery"/>
    <m/>
    <m/>
    <m/>
    <m/>
    <m/>
    <x v="0"/>
  </r>
  <r>
    <x v="7"/>
    <s v="Coconut-Theginkai-count-count-1.0000"/>
    <n v="28"/>
    <n v="2"/>
    <x v="1"/>
    <s v="Ravi"/>
    <n v="56"/>
    <s v="Vegetable"/>
    <m/>
    <m/>
    <m/>
    <m/>
    <m/>
    <x v="0"/>
  </r>
  <r>
    <x v="7"/>
    <s v="Sugar-Sakkre-kg-kg-1.0000"/>
    <n v="37"/>
    <n v="0.1"/>
    <x v="1"/>
    <s v="Ravi"/>
    <n v="3.7"/>
    <s v="Dry Grocery"/>
    <m/>
    <m/>
    <m/>
    <m/>
    <m/>
    <x v="0"/>
  </r>
  <r>
    <x v="7"/>
    <s v="Chilly Powder-Chilly Powder-kg-kg-1.0000"/>
    <n v="280"/>
    <n v="3.5000000000000003E-2"/>
    <x v="1"/>
    <s v="Ravi"/>
    <n v="9.8000000000000007"/>
    <s v="Dry Grocery"/>
    <m/>
    <m/>
    <m/>
    <m/>
    <m/>
    <x v="0"/>
  </r>
  <r>
    <x v="7"/>
    <s v="Crystal Salt-Kalluppu-kg-kg-1.0000"/>
    <n v="7"/>
    <n v="0.32500000000000001"/>
    <x v="1"/>
    <s v="Ravi"/>
    <n v="2.2749999999999999"/>
    <s v="Dry Grocery"/>
    <m/>
    <m/>
    <m/>
    <m/>
    <m/>
    <x v="0"/>
  </r>
  <r>
    <x v="7"/>
    <s v="Turmeric Powder-Arishina pudi-kg-kg-1.0000"/>
    <n v="187.41"/>
    <n v="1.4999999999999999E-2"/>
    <x v="1"/>
    <s v="Ravi"/>
    <n v="2.81115"/>
    <s v="Dry Grocery"/>
    <m/>
    <m/>
    <m/>
    <m/>
    <m/>
    <x v="0"/>
  </r>
  <r>
    <x v="7"/>
    <s v="Dalda-dalda-lts-kg-0.9050"/>
    <n v="96"/>
    <n v="0.18"/>
    <x v="1"/>
    <s v="Ravi"/>
    <n v="17.28"/>
    <s v="Oil"/>
    <m/>
    <m/>
    <m/>
    <m/>
    <m/>
    <x v="0"/>
  </r>
  <r>
    <x v="7"/>
    <s v="Oil-Yenne-lts-kg-0.9150"/>
    <n v="82"/>
    <n v="1"/>
    <x v="1"/>
    <s v="Ravi"/>
    <n v="82"/>
    <s v="Oil"/>
    <m/>
    <m/>
    <m/>
    <m/>
    <m/>
    <x v="0"/>
  </r>
  <r>
    <x v="7"/>
    <s v="Jeera Seeds-Jeerge-kg-kg-1.0000"/>
    <n v="230"/>
    <n v="0.03"/>
    <x v="1"/>
    <s v="Ravi"/>
    <n v="6.8999999999999995"/>
    <s v="Dry Grocery"/>
    <m/>
    <m/>
    <m/>
    <m/>
    <m/>
    <x v="0"/>
  </r>
  <r>
    <x v="7"/>
    <s v="Mustard-Sasive-kg-kg-1.0000"/>
    <n v="70"/>
    <n v="0.05"/>
    <x v="1"/>
    <s v="Ravi"/>
    <n v="3.5"/>
    <s v="Dry Grocery"/>
    <m/>
    <m/>
    <m/>
    <m/>
    <m/>
    <x v="0"/>
  </r>
  <r>
    <x v="7"/>
    <s v="channadal(split)-Kadlebele-kg-kg-1.0000"/>
    <n v="55"/>
    <n v="0.13"/>
    <x v="1"/>
    <s v="Ravi"/>
    <n v="7.15"/>
    <s v="Dry Grocery"/>
    <m/>
    <m/>
    <m/>
    <m/>
    <m/>
    <x v="0"/>
  </r>
  <r>
    <x v="7"/>
    <s v="Onion-Erulli-kg-kg-1.0000"/>
    <n v="14"/>
    <n v="0.83499999999999996"/>
    <x v="1"/>
    <s v="Ravi"/>
    <n v="11.69"/>
    <s v="Vegetable"/>
    <m/>
    <m/>
    <m/>
    <m/>
    <m/>
    <x v="0"/>
  </r>
  <r>
    <x v="7"/>
    <s v="Garlic-Belulli-kg-kg-1.0000"/>
    <n v="28"/>
    <n v="8.5000000000000006E-2"/>
    <x v="1"/>
    <s v="Ravi"/>
    <n v="2.3800000000000003"/>
    <s v="Vegetable"/>
    <m/>
    <m/>
    <m/>
    <m/>
    <m/>
    <x v="0"/>
  </r>
  <r>
    <x v="7"/>
    <s v="Toordal-Thogaribele-kg-kg-1.0000"/>
    <n v="64.069999999999993"/>
    <n v="0.3"/>
    <x v="1"/>
    <s v="Ravi"/>
    <n v="19.220999999999997"/>
    <s v="Dry Grocery"/>
    <m/>
    <m/>
    <m/>
    <m/>
    <m/>
    <x v="0"/>
  </r>
  <r>
    <x v="7"/>
    <s v="Tamarind-hunsehannu-kg-kg-1.0000"/>
    <n v="170"/>
    <n v="0.1"/>
    <x v="1"/>
    <s v="Ravi"/>
    <n v="17"/>
    <s v="Dry Grocery"/>
    <m/>
    <m/>
    <m/>
    <m/>
    <m/>
    <x v="0"/>
  </r>
  <r>
    <x v="7"/>
    <s v="Tomato (Jam)-tomatojam-kg-kg-1.0000"/>
    <n v="14.75"/>
    <n v="0.875"/>
    <x v="1"/>
    <s v="Ravi"/>
    <n v="12.90625"/>
    <s v="Vegetable"/>
    <m/>
    <m/>
    <m/>
    <m/>
    <m/>
    <x v="0"/>
  </r>
  <r>
    <x v="7"/>
    <s v="curry leaves-karbensoppu-kg-kg-1.0000"/>
    <n v="312.14"/>
    <n v="0.04"/>
    <x v="1"/>
    <s v="Ravi"/>
    <n v="12.4856"/>
    <s v="Vegetable"/>
    <m/>
    <m/>
    <m/>
    <m/>
    <m/>
    <x v="0"/>
  </r>
  <r>
    <x v="7"/>
    <s v="Coriander leaves-Kothamiri Soppu-kg-kg-1.0000"/>
    <n v="25"/>
    <n v="0.25"/>
    <x v="1"/>
    <s v="Ravi"/>
    <n v="6.25"/>
    <s v="Vegetable"/>
    <m/>
    <m/>
    <m/>
    <m/>
    <m/>
    <x v="0"/>
  </r>
  <r>
    <x v="7"/>
    <s v="Carrot-carrot-kg-kg-1.0000"/>
    <n v="27.97"/>
    <n v="0.255"/>
    <x v="1"/>
    <s v="Ravi"/>
    <n v="7.1323499999999997"/>
    <s v="Vegetable"/>
    <m/>
    <m/>
    <m/>
    <m/>
    <m/>
    <x v="0"/>
  </r>
  <r>
    <x v="7"/>
    <s v="Beans-Beans-kg-kg-1.0000"/>
    <n v="43.06"/>
    <n v="0.28999999999999998"/>
    <x v="1"/>
    <s v="Ravi"/>
    <n v="12.487399999999999"/>
    <s v="Vegetable"/>
    <m/>
    <m/>
    <m/>
    <m/>
    <m/>
    <x v="0"/>
  </r>
  <r>
    <x v="7"/>
    <s v="North Papad (1 kg)-North Papad (1 kg)-kg-kg-1.0000"/>
    <n v="160"/>
    <n v="0.1"/>
    <x v="1"/>
    <s v="Ravi"/>
    <n v="16"/>
    <s v="Dry Grocery"/>
    <m/>
    <m/>
    <m/>
    <m/>
    <m/>
    <x v="0"/>
  </r>
  <r>
    <x v="7"/>
    <s v="South Papad (500 gram)-South Papad (500 gram)-pkt-kg-0.5000"/>
    <n v="62.03"/>
    <n v="0.06"/>
    <x v="1"/>
    <s v="Ravi"/>
    <n v="3.7218"/>
    <s v="Dry Grocery"/>
    <m/>
    <m/>
    <m/>
    <m/>
    <m/>
    <x v="0"/>
  </r>
  <r>
    <x v="7"/>
    <s v="Puliyogare Powder-puliogare powder-kg-kg-1.0000"/>
    <n v="160"/>
    <n v="0.12"/>
    <x v="1"/>
    <s v="Ravi"/>
    <n v="19.2"/>
    <s v="Dry Grocery"/>
    <m/>
    <m/>
    <m/>
    <m/>
    <m/>
    <x v="0"/>
  </r>
  <r>
    <x v="7"/>
    <s v="Green chilly-hasinmenshinkayi-kg-kg-1.0000"/>
    <n v="30"/>
    <n v="0.01"/>
    <x v="1"/>
    <s v="Ravi"/>
    <n v="0.3"/>
    <s v="Vegetable"/>
    <m/>
    <m/>
    <m/>
    <m/>
    <m/>
    <x v="0"/>
  </r>
  <r>
    <x v="7"/>
    <s v="Guntur -guntur-kg-kg-1.0000"/>
    <n v="138"/>
    <n v="0.02"/>
    <x v="1"/>
    <s v="Ravi"/>
    <n v="2.7600000000000002"/>
    <s v="Dry Grocery"/>
    <m/>
    <m/>
    <m/>
    <m/>
    <m/>
    <x v="0"/>
  </r>
  <r>
    <x v="7"/>
    <s v="Fenugreek Seeds-menthya beeja-kg-kg-1.0000"/>
    <n v="125"/>
    <n v="0.01"/>
    <x v="1"/>
    <s v="Ravi"/>
    <n v="1.25"/>
    <s v="Dry Grocery"/>
    <m/>
    <m/>
    <m/>
    <m/>
    <m/>
    <x v="0"/>
  </r>
  <r>
    <x v="7"/>
    <s v="Urad Dal-Uddina bele-kg-kg-1.0000"/>
    <n v="76"/>
    <n v="1.4999999999999999E-2"/>
    <x v="1"/>
    <s v="Ravi"/>
    <n v="1.1399999999999999"/>
    <s v="Dry Grocery"/>
    <m/>
    <m/>
    <m/>
    <m/>
    <m/>
    <x v="0"/>
  </r>
  <r>
    <x v="8"/>
    <s v="Gas-Gas-kg-kg-1.0000"/>
    <n v="78.95"/>
    <n v="19"/>
    <x v="3"/>
    <s v="Common"/>
    <n v="1500.05"/>
    <s v="Gas"/>
    <m/>
    <m/>
    <m/>
    <m/>
    <m/>
    <x v="0"/>
  </r>
  <r>
    <x v="8"/>
    <s v="Garlic-Belulli-kg-kg-1.0000"/>
    <n v="28"/>
    <n v="0.25"/>
    <x v="0"/>
    <s v="Murthy"/>
    <n v="7"/>
    <s v="Vegetable"/>
    <m/>
    <m/>
    <m/>
    <m/>
    <m/>
    <x v="0"/>
  </r>
  <r>
    <x v="8"/>
    <s v="Sugar-Sakkre-kg-kg-1.0000"/>
    <n v="37"/>
    <n v="0.25"/>
    <x v="0"/>
    <s v="Murthy"/>
    <n v="9.25"/>
    <s v="Dry Grocery"/>
    <m/>
    <m/>
    <m/>
    <m/>
    <m/>
    <x v="0"/>
  </r>
  <r>
    <x v="8"/>
    <s v="Capsicum-Capsicum-kg-kg-1.0000"/>
    <n v="30"/>
    <n v="1"/>
    <x v="0"/>
    <s v="Murthy"/>
    <n v="30"/>
    <s v="Vegetable"/>
    <m/>
    <m/>
    <m/>
    <m/>
    <m/>
    <x v="0"/>
  </r>
  <r>
    <x v="8"/>
    <s v="Onion-Erulli-kg-kg-1.0000"/>
    <n v="14"/>
    <n v="9.4"/>
    <x v="0"/>
    <s v="Murthy"/>
    <n v="131.6"/>
    <s v="Vegetable"/>
    <m/>
    <m/>
    <m/>
    <m/>
    <m/>
    <x v="0"/>
  </r>
  <r>
    <x v="8"/>
    <s v="Butter-Butter-kg-kg-1.0000"/>
    <n v="140"/>
    <n v="0.5"/>
    <x v="0"/>
    <s v="Murthy"/>
    <n v="70"/>
    <s v="Dairy"/>
    <m/>
    <m/>
    <m/>
    <m/>
    <m/>
    <x v="0"/>
  </r>
  <r>
    <x v="8"/>
    <s v="Green chilly-hasinmenshinkayi-kg-kg-1.0000"/>
    <n v="30"/>
    <n v="0.6"/>
    <x v="0"/>
    <s v="Murthy"/>
    <n v="18"/>
    <s v="Vegetable"/>
    <m/>
    <m/>
    <m/>
    <m/>
    <m/>
    <x v="0"/>
  </r>
  <r>
    <x v="8"/>
    <s v="Maida-Maida-kg-kg-1.0000"/>
    <n v="29.51"/>
    <n v="1"/>
    <x v="0"/>
    <s v="Murthy"/>
    <n v="29.51"/>
    <s v="Dry Grocery"/>
    <m/>
    <m/>
    <m/>
    <m/>
    <m/>
    <x v="0"/>
  </r>
  <r>
    <x v="8"/>
    <s v="Green peas-green peas-kg-kg-1.0000"/>
    <n v="100"/>
    <n v="0.5"/>
    <x v="0"/>
    <s v="Murthy"/>
    <n v="50"/>
    <s v="Processed Food"/>
    <m/>
    <m/>
    <m/>
    <m/>
    <m/>
    <x v="0"/>
  </r>
  <r>
    <x v="8"/>
    <s v="Corn flour-Corn flour-kg-kg-1.0000"/>
    <n v="45"/>
    <n v="1"/>
    <x v="0"/>
    <s v="Murthy"/>
    <n v="45"/>
    <s v="Dry Grocery"/>
    <m/>
    <m/>
    <m/>
    <m/>
    <m/>
    <x v="0"/>
  </r>
  <r>
    <x v="8"/>
    <s v="Oil-Yenne-lts-kg-0.9150"/>
    <n v="82"/>
    <n v="4"/>
    <x v="0"/>
    <s v="Murthy"/>
    <n v="328"/>
    <s v="Oil"/>
    <m/>
    <m/>
    <m/>
    <m/>
    <m/>
    <x v="0"/>
  </r>
  <r>
    <x v="8"/>
    <s v="Cabbage-geddekosu-kg-kg-1.0000"/>
    <n v="3"/>
    <n v="0.75"/>
    <x v="0"/>
    <s v="Murthy"/>
    <n v="2.25"/>
    <s v="Vegetable"/>
    <m/>
    <m/>
    <m/>
    <m/>
    <m/>
    <x v="0"/>
  </r>
  <r>
    <x v="8"/>
    <s v="Pickle-Uppinkayi-kg-kg-1.0000"/>
    <n v="40"/>
    <n v="0.25"/>
    <x v="0"/>
    <s v="Murthy"/>
    <n v="10"/>
    <s v="Processed Food"/>
    <m/>
    <m/>
    <m/>
    <m/>
    <m/>
    <x v="0"/>
  </r>
  <r>
    <x v="8"/>
    <s v="Moong Dal-Hesaru bele-kg-kg-1.0000"/>
    <n v="75"/>
    <n v="1"/>
    <x v="0"/>
    <s v="Murthy"/>
    <n v="75"/>
    <s v="Dry Grocery"/>
    <m/>
    <m/>
    <m/>
    <m/>
    <m/>
    <x v="0"/>
  </r>
  <r>
    <x v="8"/>
    <s v="Roti Wheat-Roti atta-kg-kg-1.0000"/>
    <n v="27"/>
    <n v="2.1"/>
    <x v="0"/>
    <s v="Murthy"/>
    <n v="56.7"/>
    <s v="Dry Grocery"/>
    <m/>
    <m/>
    <m/>
    <m/>
    <m/>
    <x v="0"/>
  </r>
  <r>
    <x v="8"/>
    <s v="Bullet Rice-Bullet Rice-kg-kg-1.0000"/>
    <n v="64"/>
    <n v="2"/>
    <x v="0"/>
    <s v="Murthy"/>
    <n v="128"/>
    <s v="Dry Grocery"/>
    <m/>
    <m/>
    <m/>
    <m/>
    <m/>
    <x v="0"/>
  </r>
  <r>
    <x v="8"/>
    <s v="Basumathi Rice-Basumathi Rice-kg-kg-1.0000"/>
    <n v="62"/>
    <n v="1.5"/>
    <x v="0"/>
    <s v="Murthy"/>
    <n v="93"/>
    <s v="Dry Grocery"/>
    <m/>
    <m/>
    <m/>
    <m/>
    <m/>
    <x v="0"/>
  </r>
  <r>
    <x v="8"/>
    <s v="Cauliflower-hookosu-kg-kg-1.0000"/>
    <n v="23.33"/>
    <n v="0.5"/>
    <x v="0"/>
    <s v="Murthy"/>
    <n v="11.664999999999999"/>
    <s v="Vegetable"/>
    <m/>
    <m/>
    <m/>
    <m/>
    <m/>
    <x v="0"/>
  </r>
  <r>
    <x v="8"/>
    <s v="Carrot-carrot-kg-kg-1.0000"/>
    <n v="27.97"/>
    <n v="0.28000000000000003"/>
    <x v="0"/>
    <s v="Murthy"/>
    <n v="7.8316000000000008"/>
    <s v="Vegetable"/>
    <m/>
    <m/>
    <m/>
    <m/>
    <m/>
    <x v="0"/>
  </r>
  <r>
    <x v="8"/>
    <s v="Pudina-Pudina-kg-kg-1.0000"/>
    <n v="125"/>
    <n v="6.5000000000000002E-2"/>
    <x v="0"/>
    <s v="Murthy"/>
    <n v="8.125"/>
    <s v="Vegetable"/>
    <m/>
    <m/>
    <m/>
    <m/>
    <m/>
    <x v="0"/>
  </r>
  <r>
    <x v="8"/>
    <s v="Coriander leaves-Kothamiri Soppu-kg-kg-1.0000"/>
    <n v="25"/>
    <n v="0.36499999999999999"/>
    <x v="0"/>
    <s v="Murthy"/>
    <n v="9.125"/>
    <s v="Vegetable"/>
    <m/>
    <m/>
    <m/>
    <m/>
    <m/>
    <x v="0"/>
  </r>
  <r>
    <x v="8"/>
    <s v="Ginger-shunti-kg-kg-1.0000"/>
    <n v="40"/>
    <n v="0.14000000000000001"/>
    <x v="0"/>
    <s v="Murthy"/>
    <n v="5.6000000000000005"/>
    <s v="Vegetable"/>
    <m/>
    <m/>
    <m/>
    <m/>
    <m/>
    <x v="0"/>
  </r>
  <r>
    <x v="8"/>
    <s v="Cinnamon-Chekke-kg-kg-1.0000"/>
    <n v="220"/>
    <n v="5.0000000000000001E-3"/>
    <x v="0"/>
    <s v="Murthy"/>
    <n v="1.1000000000000001"/>
    <s v="Spice"/>
    <m/>
    <m/>
    <m/>
    <m/>
    <m/>
    <x v="0"/>
  </r>
  <r>
    <x v="8"/>
    <s v="Cloves-lavanga-kg-kg-1.0000"/>
    <n v="740"/>
    <n v="5.0000000000000001E-3"/>
    <x v="0"/>
    <s v="Murthy"/>
    <n v="3.7"/>
    <s v="Spice"/>
    <m/>
    <m/>
    <m/>
    <m/>
    <m/>
    <x v="0"/>
  </r>
  <r>
    <x v="8"/>
    <s v="Elaichi-yelakki-kg-kg-1.0000"/>
    <n v="1450"/>
    <n v="5.0000000000000001E-3"/>
    <x v="0"/>
    <s v="Murthy"/>
    <n v="7.25"/>
    <s v="Spice"/>
    <m/>
    <m/>
    <m/>
    <m/>
    <m/>
    <x v="0"/>
  </r>
  <r>
    <x v="8"/>
    <s v="Maratimoggu-Maratimoggu-kg-kg-1.0000"/>
    <n v="750"/>
    <n v="5.0000000000000001E-3"/>
    <x v="0"/>
    <s v="Murthy"/>
    <n v="3.75"/>
    <s v="Spice"/>
    <m/>
    <m/>
    <m/>
    <m/>
    <m/>
    <x v="0"/>
  </r>
  <r>
    <x v="8"/>
    <s v="Tomato (Jam)-tomatojam-kg-kg-1.0000"/>
    <n v="14.75"/>
    <n v="1.62"/>
    <x v="0"/>
    <s v="Murthy"/>
    <n v="23.895000000000003"/>
    <s v="Vegetable"/>
    <m/>
    <m/>
    <m/>
    <m/>
    <m/>
    <x v="0"/>
  </r>
  <r>
    <x v="8"/>
    <s v="Garam Masala (100 gram)-garam masala-pkt-kg-0.1000"/>
    <n v="57.5"/>
    <n v="0.1"/>
    <x v="0"/>
    <s v="Murthy"/>
    <n v="5.75"/>
    <s v="Dry Grocery"/>
    <m/>
    <m/>
    <m/>
    <m/>
    <m/>
    <x v="0"/>
  </r>
  <r>
    <x v="8"/>
    <s v="Roti Wheat-Roti atta-kg-kg-1.0000"/>
    <n v="27"/>
    <n v="3"/>
    <x v="0"/>
    <s v="Murthy"/>
    <n v="81"/>
    <s v="Dry Grocery"/>
    <m/>
    <m/>
    <m/>
    <m/>
    <m/>
    <x v="0"/>
  </r>
  <r>
    <x v="8"/>
    <s v="Beans-Beans-kg-kg-1.0000"/>
    <n v="43.06"/>
    <n v="0.15"/>
    <x v="0"/>
    <s v="Murthy"/>
    <n v="6.4590000000000005"/>
    <s v="Vegetable"/>
    <m/>
    <m/>
    <m/>
    <m/>
    <m/>
    <x v="0"/>
  </r>
  <r>
    <x v="8"/>
    <s v="Carrot-carrot-kg-kg-1.0000"/>
    <n v="27.97"/>
    <n v="0.2"/>
    <x v="0"/>
    <s v="Murthy"/>
    <n v="5.5940000000000003"/>
    <s v="Vegetable"/>
    <m/>
    <m/>
    <m/>
    <m/>
    <m/>
    <x v="0"/>
  </r>
  <r>
    <x v="8"/>
    <s v="Chat Masala (100 gram)-chat masala-pkt-kg-0.1000"/>
    <n v="48"/>
    <n v="0.1"/>
    <x v="0"/>
    <s v="Murthy"/>
    <n v="4.8000000000000007"/>
    <s v="Dry Grocery"/>
    <m/>
    <m/>
    <m/>
    <m/>
    <m/>
    <x v="0"/>
  </r>
  <r>
    <x v="8"/>
    <s v="Hakka Noodles-Hakka Noodles-pkt-kg-0.4000"/>
    <n v="40"/>
    <n v="1"/>
    <x v="0"/>
    <s v="Murthy"/>
    <n v="40"/>
    <s v="Dry Grocery"/>
    <m/>
    <m/>
    <m/>
    <m/>
    <m/>
    <x v="0"/>
  </r>
  <r>
    <x v="8"/>
    <s v="Paneer-Paneer-kg-kg-1.0000"/>
    <n v="175"/>
    <n v="1"/>
    <x v="0"/>
    <s v="Murthy"/>
    <n v="175"/>
    <s v="Dairy"/>
    <m/>
    <m/>
    <m/>
    <m/>
    <m/>
    <x v="0"/>
  </r>
  <r>
    <x v="8"/>
    <s v="Kitchen king (100 gram)-Kitchen king (100 gram)-pkt-kg-0.1000"/>
    <n v="51"/>
    <n v="0.1"/>
    <x v="0"/>
    <s v="Murthy"/>
    <n v="5.1000000000000005"/>
    <s v="Dry Grocery"/>
    <m/>
    <m/>
    <m/>
    <m/>
    <m/>
    <x v="0"/>
  </r>
  <r>
    <x v="8"/>
    <s v="Mushroom-Mushroom-pkt-pkt-1.0000"/>
    <n v="32"/>
    <n v="4"/>
    <x v="0"/>
    <s v="Murthy"/>
    <n v="128"/>
    <s v="Vegetable"/>
    <m/>
    <m/>
    <m/>
    <m/>
    <m/>
    <x v="0"/>
  </r>
  <r>
    <x v="8"/>
    <s v="Coriander leaves-Kothamiri Soppu-kg-kg-1.0000"/>
    <n v="25"/>
    <n v="0.2"/>
    <x v="0"/>
    <s v="Murthy"/>
    <n v="5"/>
    <s v="Vegetable"/>
    <m/>
    <m/>
    <m/>
    <m/>
    <m/>
    <x v="0"/>
  </r>
  <r>
    <x v="8"/>
    <s v="Butter-Butter-kg-kg-1.0000"/>
    <n v="140"/>
    <n v="0.5"/>
    <x v="0"/>
    <s v="Murthy"/>
    <n v="70"/>
    <s v="Dairy"/>
    <m/>
    <m/>
    <m/>
    <m/>
    <m/>
    <x v="0"/>
  </r>
  <r>
    <x v="8"/>
    <s v="Tea powder-Tea powder-kg-kg-1.0000"/>
    <n v="390"/>
    <n v="0.1"/>
    <x v="4"/>
    <s v="Vicky"/>
    <n v="39"/>
    <s v="Hot Beverage"/>
    <m/>
    <m/>
    <m/>
    <m/>
    <m/>
    <x v="0"/>
  </r>
  <r>
    <x v="8"/>
    <s v="Babycorn-Babycorn-kg-kg-1.0000"/>
    <n v="60"/>
    <n v="0.7"/>
    <x v="0"/>
    <s v="Murthy"/>
    <n v="42"/>
    <s v="Vegetable"/>
    <m/>
    <m/>
    <m/>
    <m/>
    <m/>
    <x v="0"/>
  </r>
  <r>
    <x v="8"/>
    <s v="Oil-Yenne-lts-kg-0.9150"/>
    <n v="82"/>
    <n v="1"/>
    <x v="0"/>
    <s v="Murthy"/>
    <n v="82"/>
    <s v="Oil"/>
    <m/>
    <m/>
    <m/>
    <m/>
    <m/>
    <x v="0"/>
  </r>
  <r>
    <x v="8"/>
    <s v="Mushroom-Mushroom-pkt-pkt-1.0000"/>
    <n v="32"/>
    <n v="1"/>
    <x v="0"/>
    <s v="Murthy"/>
    <n v="32"/>
    <s v="Vegetable"/>
    <m/>
    <m/>
    <m/>
    <m/>
    <m/>
    <x v="0"/>
  </r>
  <r>
    <x v="8"/>
    <s v="Ketchup(1.2 kg)-ketchup-bottle-kg-1.2000"/>
    <n v="75"/>
    <n v="0.8"/>
    <x v="0"/>
    <s v="Murthy"/>
    <n v="60"/>
    <s v="Sauce"/>
    <m/>
    <m/>
    <m/>
    <m/>
    <m/>
    <x v="0"/>
  </r>
  <r>
    <x v="8"/>
    <s v="Cauliflower-hookosu-kg-kg-1.0000"/>
    <n v="23.33"/>
    <n v="1"/>
    <x v="0"/>
    <s v="Murthy"/>
    <n v="23.33"/>
    <s v="Vegetable"/>
    <m/>
    <m/>
    <m/>
    <m/>
    <m/>
    <x v="0"/>
  </r>
  <r>
    <x v="8"/>
    <s v="Onion-Erulli-kg-kg-1.0000"/>
    <n v="14"/>
    <n v="0.5"/>
    <x v="6"/>
    <s v="Jaggu"/>
    <n v="7"/>
    <s v="Vegetable"/>
    <m/>
    <m/>
    <m/>
    <m/>
    <m/>
    <x v="0"/>
  </r>
  <r>
    <x v="8"/>
    <s v="Lemon-Nimbehannu-count-count-1.0000"/>
    <n v="3"/>
    <n v="10"/>
    <x v="6"/>
    <s v="Jaggu"/>
    <n v="30"/>
    <s v="Vegetable"/>
    <m/>
    <m/>
    <m/>
    <m/>
    <m/>
    <x v="0"/>
  </r>
  <r>
    <x v="8"/>
    <s v="Curd-Mosaru-lts-kg-1.0300"/>
    <n v="42"/>
    <n v="1.5"/>
    <x v="1"/>
    <s v="Ravi"/>
    <n v="63"/>
    <s v="Dairy"/>
    <m/>
    <m/>
    <m/>
    <m/>
    <m/>
    <x v="0"/>
  </r>
  <r>
    <x v="8"/>
    <s v="Milk-Haalu-lts-kg-1.0300"/>
    <n v="36"/>
    <n v="1.5"/>
    <x v="1"/>
    <s v="Ravi"/>
    <n v="54"/>
    <s v="Dairy"/>
    <m/>
    <m/>
    <m/>
    <m/>
    <m/>
    <x v="0"/>
  </r>
  <r>
    <x v="8"/>
    <s v="South Rice-South Hakki-kg-kg-1.0000"/>
    <n v="52"/>
    <n v="4"/>
    <x v="1"/>
    <s v="Ravi"/>
    <n v="208"/>
    <s v="Dry Grocery"/>
    <m/>
    <m/>
    <m/>
    <m/>
    <m/>
    <x v="0"/>
  </r>
  <r>
    <x v="8"/>
    <s v="Coconut-Theginkai-count-count-1.0000"/>
    <n v="28"/>
    <n v="2"/>
    <x v="1"/>
    <s v="Ravi"/>
    <n v="56"/>
    <s v="Vegetable"/>
    <m/>
    <m/>
    <m/>
    <m/>
    <m/>
    <x v="0"/>
  </r>
  <r>
    <x v="8"/>
    <s v="Sugar-Sakkre-kg-kg-1.0000"/>
    <n v="37"/>
    <n v="0.7"/>
    <x v="1"/>
    <s v="Ravi"/>
    <n v="25.9"/>
    <s v="Dry Grocery"/>
    <m/>
    <m/>
    <m/>
    <m/>
    <m/>
    <x v="0"/>
  </r>
  <r>
    <x v="8"/>
    <s v="Chilly Powder-Chilly Powder-kg-kg-1.0000"/>
    <n v="280"/>
    <n v="0.03"/>
    <x v="1"/>
    <s v="Ravi"/>
    <n v="8.4"/>
    <s v="Dry Grocery"/>
    <m/>
    <m/>
    <m/>
    <m/>
    <m/>
    <x v="0"/>
  </r>
  <r>
    <x v="8"/>
    <s v="Crystal Salt-Kalluppu-kg-kg-1.0000"/>
    <n v="7"/>
    <n v="0.39"/>
    <x v="1"/>
    <s v="Ravi"/>
    <n v="2.73"/>
    <s v="Dry Grocery"/>
    <m/>
    <m/>
    <m/>
    <m/>
    <m/>
    <x v="0"/>
  </r>
  <r>
    <x v="8"/>
    <s v="Turmeric Powder-Arishina pudi-kg-kg-1.0000"/>
    <n v="187.41"/>
    <n v="0.01"/>
    <x v="1"/>
    <s v="Ravi"/>
    <n v="1.8741000000000001"/>
    <s v="Dry Grocery"/>
    <m/>
    <m/>
    <m/>
    <m/>
    <m/>
    <x v="0"/>
  </r>
  <r>
    <x v="8"/>
    <s v="Dalda-dalda-lts-kg-0.9050"/>
    <n v="96"/>
    <n v="0.16"/>
    <x v="1"/>
    <s v="Ravi"/>
    <n v="15.36"/>
    <s v="Oil"/>
    <m/>
    <m/>
    <m/>
    <m/>
    <m/>
    <x v="0"/>
  </r>
  <r>
    <x v="8"/>
    <s v="Oil-Yenne-lts-kg-0.9150"/>
    <n v="82"/>
    <n v="1"/>
    <x v="1"/>
    <s v="Ravi"/>
    <n v="82"/>
    <s v="Oil"/>
    <m/>
    <m/>
    <m/>
    <m/>
    <m/>
    <x v="0"/>
  </r>
  <r>
    <x v="8"/>
    <s v="Jeera Seeds-Jeerge-kg-kg-1.0000"/>
    <n v="230"/>
    <n v="0.04"/>
    <x v="1"/>
    <s v="Ravi"/>
    <n v="9.2000000000000011"/>
    <s v="Dry Grocery"/>
    <m/>
    <m/>
    <m/>
    <m/>
    <m/>
    <x v="0"/>
  </r>
  <r>
    <x v="8"/>
    <s v="Mustard-Sasive-kg-kg-1.0000"/>
    <n v="70"/>
    <n v="5.5E-2"/>
    <x v="1"/>
    <s v="Ravi"/>
    <n v="3.85"/>
    <s v="Dry Grocery"/>
    <m/>
    <m/>
    <m/>
    <m/>
    <m/>
    <x v="0"/>
  </r>
  <r>
    <x v="8"/>
    <s v="channadal(split)-Kadlebele-kg-kg-1.0000"/>
    <n v="55"/>
    <n v="0.1"/>
    <x v="1"/>
    <s v="Ravi"/>
    <n v="5.5"/>
    <s v="Dry Grocery"/>
    <m/>
    <m/>
    <m/>
    <m/>
    <m/>
    <x v="0"/>
  </r>
  <r>
    <x v="8"/>
    <s v="Onion-Erulli-kg-kg-1.0000"/>
    <n v="14"/>
    <n v="1.5"/>
    <x v="1"/>
    <s v="Ravi"/>
    <n v="21"/>
    <s v="Vegetable"/>
    <m/>
    <m/>
    <m/>
    <m/>
    <m/>
    <x v="0"/>
  </r>
  <r>
    <x v="8"/>
    <s v="Garlic-Belulli-kg-kg-1.0000"/>
    <n v="28"/>
    <n v="0.12"/>
    <x v="1"/>
    <s v="Ravi"/>
    <n v="3.36"/>
    <s v="Vegetable"/>
    <m/>
    <m/>
    <m/>
    <m/>
    <m/>
    <x v="0"/>
  </r>
  <r>
    <x v="8"/>
    <s v="Wheat-Godhi-kg-kg-1.0000"/>
    <n v="34"/>
    <n v="0.75"/>
    <x v="1"/>
    <s v="Ravi"/>
    <n v="25.5"/>
    <s v="Dry Grocery"/>
    <m/>
    <m/>
    <m/>
    <m/>
    <m/>
    <x v="0"/>
  </r>
  <r>
    <x v="8"/>
    <s v="Ginger-shunti-kg-kg-1.0000"/>
    <n v="40"/>
    <n v="0.04"/>
    <x v="1"/>
    <s v="Ravi"/>
    <n v="1.6"/>
    <s v="Vegetable"/>
    <m/>
    <m/>
    <m/>
    <m/>
    <m/>
    <x v="0"/>
  </r>
  <r>
    <x v="8"/>
    <s v="Cashew-Godambi-kg-kg-1.0000"/>
    <n v="840"/>
    <n v="1.4999999999999999E-2"/>
    <x v="1"/>
    <s v="Ravi"/>
    <n v="12.6"/>
    <s v="Dry Grocery"/>
    <m/>
    <m/>
    <m/>
    <m/>
    <m/>
    <x v="0"/>
  </r>
  <r>
    <x v="8"/>
    <s v="Raisin-drakshi-kg-kg-1.0000"/>
    <n v="240"/>
    <n v="1.4999999999999999E-2"/>
    <x v="1"/>
    <s v="Ravi"/>
    <n v="3.5999999999999996"/>
    <s v="Dry Grocery"/>
    <m/>
    <m/>
    <m/>
    <m/>
    <m/>
    <x v="0"/>
  </r>
  <r>
    <x v="8"/>
    <s v="Toordal-Thogaribele-kg-kg-1.0000"/>
    <n v="64.069999999999993"/>
    <n v="0.3"/>
    <x v="1"/>
    <s v="Ravi"/>
    <n v="19.220999999999997"/>
    <s v="Dry Grocery"/>
    <m/>
    <m/>
    <m/>
    <m/>
    <m/>
    <x v="0"/>
  </r>
  <r>
    <x v="8"/>
    <s v="Tamarind-hunsehannu-kg-kg-1.0000"/>
    <n v="170"/>
    <n v="0.5"/>
    <x v="1"/>
    <s v="Ravi"/>
    <n v="85"/>
    <s v="Dry Grocery"/>
    <m/>
    <m/>
    <m/>
    <m/>
    <m/>
    <x v="0"/>
  </r>
  <r>
    <x v="8"/>
    <s v="Tomato (Jam)-tomatojam-kg-kg-1.0000"/>
    <n v="14.75"/>
    <n v="0.9"/>
    <x v="1"/>
    <s v="Ravi"/>
    <n v="13.275"/>
    <s v="Vegetable"/>
    <m/>
    <m/>
    <m/>
    <m/>
    <m/>
    <x v="0"/>
  </r>
  <r>
    <x v="8"/>
    <s v="curry leaves-karbensoppu-kg-kg-1.0000"/>
    <n v="312.14"/>
    <n v="0.04"/>
    <x v="1"/>
    <s v="Ravi"/>
    <n v="12.4856"/>
    <s v="Vegetable"/>
    <m/>
    <m/>
    <m/>
    <m/>
    <m/>
    <x v="0"/>
  </r>
  <r>
    <x v="8"/>
    <s v="Coriander leaves-Kothamiri Soppu-kg-kg-1.0000"/>
    <n v="25"/>
    <n v="0.15"/>
    <x v="1"/>
    <s v="Ravi"/>
    <n v="3.75"/>
    <s v="Vegetable"/>
    <m/>
    <m/>
    <m/>
    <m/>
    <m/>
    <x v="0"/>
  </r>
  <r>
    <x v="8"/>
    <s v="Ginger-shunti-kg-kg-1.0000"/>
    <n v="40"/>
    <n v="0.04"/>
    <x v="1"/>
    <s v="Ravi"/>
    <n v="1.6"/>
    <s v="Vegetable"/>
    <m/>
    <m/>
    <m/>
    <m/>
    <m/>
    <x v="0"/>
  </r>
  <r>
    <x v="8"/>
    <s v="CHICK PEAS-kadalekalu-kg-kg-1.0000"/>
    <n v="76"/>
    <n v="0.5"/>
    <x v="1"/>
    <s v="Ravi"/>
    <n v="38"/>
    <s v="Dry Grocery"/>
    <m/>
    <m/>
    <m/>
    <m/>
    <m/>
    <x v="0"/>
  </r>
  <r>
    <x v="8"/>
    <s v="Elaichi-yelakki-kg-kg-1.0000"/>
    <n v="1450"/>
    <n v="5.0000000000000001E-3"/>
    <x v="1"/>
    <s v="Ravi"/>
    <n v="7.25"/>
    <s v="Spice"/>
    <m/>
    <m/>
    <m/>
    <m/>
    <m/>
    <x v="0"/>
  </r>
  <r>
    <x v="8"/>
    <s v="Green chilly-hasinmenshinkayi-kg-kg-1.0000"/>
    <n v="30"/>
    <n v="0.12"/>
    <x v="1"/>
    <s v="Ravi"/>
    <n v="3.5999999999999996"/>
    <s v="Vegetable"/>
    <m/>
    <m/>
    <m/>
    <m/>
    <m/>
    <x v="0"/>
  </r>
  <r>
    <x v="8"/>
    <s v="Guntur -guntur-kg-kg-1.0000"/>
    <n v="138"/>
    <n v="0.03"/>
    <x v="1"/>
    <s v="Ravi"/>
    <n v="4.1399999999999997"/>
    <s v="Dry Grocery"/>
    <m/>
    <m/>
    <m/>
    <m/>
    <m/>
    <x v="0"/>
  </r>
  <r>
    <x v="8"/>
    <s v="Urad Dal-Uddina bele-kg-kg-1.0000"/>
    <n v="76"/>
    <n v="0.02"/>
    <x v="1"/>
    <s v="Ravi"/>
    <n v="1.52"/>
    <s v="Dry Grocery"/>
    <m/>
    <m/>
    <m/>
    <m/>
    <m/>
    <x v="0"/>
  </r>
  <r>
    <x v="8"/>
    <s v="Fenugreek Seeds-menthya beeja-kg-kg-1.0000"/>
    <n v="125"/>
    <n v="0.01"/>
    <x v="1"/>
    <s v="Ravi"/>
    <n v="1.25"/>
    <s v="Dry Grocery"/>
    <m/>
    <m/>
    <m/>
    <m/>
    <m/>
    <x v="0"/>
  </r>
  <r>
    <x v="8"/>
    <s v="South Papad (500 gram)-South Papad (500 gram)-pkt-kg-0.5000"/>
    <n v="62.03"/>
    <n v="7.4999999999999997E-2"/>
    <x v="1"/>
    <s v="Ravi"/>
    <n v="4.6522499999999996"/>
    <s v="Dry Grocery"/>
    <m/>
    <m/>
    <m/>
    <m/>
    <m/>
    <x v="0"/>
  </r>
  <r>
    <x v="8"/>
    <s v="North Papad (1 kg)-North Papad (1 kg)-kg-kg-1.0000"/>
    <n v="160"/>
    <n v="0.11"/>
    <x v="1"/>
    <s v="Ravi"/>
    <n v="17.600000000000001"/>
    <s v="Dry Grocery"/>
    <m/>
    <m/>
    <m/>
    <m/>
    <m/>
    <x v="0"/>
  </r>
  <r>
    <x v="8"/>
    <s v="Moong Dal-Hesaru bele-kg-kg-1.0000"/>
    <n v="75"/>
    <n v="0.25"/>
    <x v="1"/>
    <s v="Ravi"/>
    <n v="18.75"/>
    <s v="Dry Grocery"/>
    <m/>
    <m/>
    <m/>
    <m/>
    <m/>
    <x v="0"/>
  </r>
  <r>
    <x v="8"/>
    <s v="Copri-copri-kg-kg-1.0000"/>
    <n v="110"/>
    <n v="0.1"/>
    <x v="1"/>
    <s v="Ravi"/>
    <n v="11"/>
    <s v="Vegetable"/>
    <m/>
    <m/>
    <m/>
    <m/>
    <m/>
    <x v="0"/>
  </r>
  <r>
    <x v="8"/>
    <s v="Onion-Erulli-kg-kg-1.0000"/>
    <n v="14"/>
    <n v="0.6"/>
    <x v="2"/>
    <s v="Ravi"/>
    <n v="8.4"/>
    <s v="Vegetable"/>
    <m/>
    <m/>
    <m/>
    <m/>
    <m/>
    <x v="0"/>
  </r>
  <r>
    <x v="8"/>
    <s v="Tomato (Jam)-tomatojam-kg-kg-1.0000"/>
    <n v="14.75"/>
    <n v="0.38"/>
    <x v="2"/>
    <s v="Ravi"/>
    <n v="5.6050000000000004"/>
    <s v="Vegetable"/>
    <m/>
    <m/>
    <m/>
    <m/>
    <m/>
    <x v="0"/>
  </r>
  <r>
    <x v="8"/>
    <s v="Coriander leaves-Kothamiri Soppu-kg-kg-1.0000"/>
    <n v="25"/>
    <n v="0.09"/>
    <x v="2"/>
    <s v="Ravi"/>
    <n v="2.25"/>
    <s v="Vegetable"/>
    <m/>
    <m/>
    <m/>
    <m/>
    <m/>
    <x v="0"/>
  </r>
  <r>
    <x v="8"/>
    <s v="Carrot-carrot-kg-kg-1.0000"/>
    <n v="27.97"/>
    <n v="0.25"/>
    <x v="2"/>
    <s v="Ravi"/>
    <n v="6.9924999999999997"/>
    <s v="Vegetable"/>
    <m/>
    <m/>
    <m/>
    <m/>
    <m/>
    <x v="0"/>
  </r>
  <r>
    <x v="8"/>
    <s v="Lemon-Nimbehannu-count-count-1.0000"/>
    <n v="3"/>
    <n v="20"/>
    <x v="5"/>
    <s v="Ravi"/>
    <n v="60"/>
    <s v="Vegetable"/>
    <m/>
    <m/>
    <m/>
    <m/>
    <m/>
    <x v="0"/>
  </r>
  <r>
    <x v="8"/>
    <s v="Watermelon-Watermelon-kg-kg-1.0000"/>
    <n v="20"/>
    <n v="1.45"/>
    <x v="5"/>
    <s v="Ravi"/>
    <n v="29"/>
    <s v="Fruits"/>
    <m/>
    <m/>
    <m/>
    <m/>
    <m/>
    <x v="0"/>
  </r>
  <r>
    <x v="9"/>
    <s v="Ketchup(1.2 kg)-ketchup-bottle-kg-1.2000"/>
    <n v="75"/>
    <n v="0.66"/>
    <x v="6"/>
    <s v="Jaggu"/>
    <n v="49.5"/>
    <s v="Sauce"/>
    <m/>
    <m/>
    <m/>
    <m/>
    <m/>
    <x v="0"/>
  </r>
  <r>
    <x v="9"/>
    <s v="Gas-Gas-kg-kg-1.0000"/>
    <n v="78.95"/>
    <n v="19"/>
    <x v="3"/>
    <s v="Common"/>
    <n v="1500.05"/>
    <s v="Gas"/>
    <m/>
    <m/>
    <m/>
    <m/>
    <m/>
    <x v="0"/>
  </r>
  <r>
    <x v="9"/>
    <s v="Lemon-Nimbehannu-count-count-1.0000"/>
    <n v="3"/>
    <n v="10"/>
    <x v="6"/>
    <s v="Jaggu"/>
    <n v="30"/>
    <s v="Vegetable"/>
    <m/>
    <m/>
    <m/>
    <m/>
    <m/>
    <x v="0"/>
  </r>
  <r>
    <x v="9"/>
    <s v="Onion-Erulli-kg-kg-1.0000"/>
    <n v="14"/>
    <n v="0.3"/>
    <x v="6"/>
    <s v="Jaggu"/>
    <n v="4.2"/>
    <s v="Vegetable"/>
    <m/>
    <m/>
    <m/>
    <m/>
    <m/>
    <x v="0"/>
  </r>
  <r>
    <x v="9"/>
    <s v="Green chilly sauce-Green chilly sauce-bottle-kg-0.7250"/>
    <n v="33"/>
    <n v="0.28000000000000003"/>
    <x v="6"/>
    <s v="Jaggu"/>
    <n v="9.24"/>
    <s v="Sauce"/>
    <m/>
    <m/>
    <m/>
    <m/>
    <m/>
    <x v="0"/>
  </r>
  <r>
    <x v="9"/>
    <s v="Onion-Erulli-kg-kg-1.0000"/>
    <n v="14"/>
    <n v="4"/>
    <x v="0"/>
    <s v="Murthy"/>
    <n v="56"/>
    <s v="Vegetable"/>
    <m/>
    <m/>
    <m/>
    <m/>
    <m/>
    <x v="0"/>
  </r>
  <r>
    <x v="9"/>
    <s v="Capsicum-Capsicum-kg-kg-1.0000"/>
    <n v="30"/>
    <n v="1.3"/>
    <x v="0"/>
    <s v="Murthy"/>
    <n v="39"/>
    <s v="Vegetable"/>
    <m/>
    <m/>
    <m/>
    <m/>
    <m/>
    <x v="0"/>
  </r>
  <r>
    <x v="9"/>
    <s v="Green chilly-hasinmenshinkayi-kg-kg-1.0000"/>
    <n v="30"/>
    <n v="0.65"/>
    <x v="0"/>
    <s v="Murthy"/>
    <n v="19.5"/>
    <s v="Vegetable"/>
    <m/>
    <m/>
    <m/>
    <m/>
    <m/>
    <x v="0"/>
  </r>
  <r>
    <x v="9"/>
    <s v="Palak leaves-Palak soppu-kg-kg-1.0000"/>
    <n v="38"/>
    <n v="3.1"/>
    <x v="0"/>
    <s v="Murthy"/>
    <n v="117.8"/>
    <s v="Vegetable"/>
    <m/>
    <m/>
    <m/>
    <m/>
    <m/>
    <x v="0"/>
  </r>
  <r>
    <x v="9"/>
    <s v="Coriander leaves-Kothamiri Soppu-kg-kg-1.0000"/>
    <n v="25"/>
    <n v="0.32500000000000001"/>
    <x v="0"/>
    <s v="Murthy"/>
    <n v="8.125"/>
    <s v="Vegetable"/>
    <m/>
    <m/>
    <m/>
    <m/>
    <m/>
    <x v="0"/>
  </r>
  <r>
    <x v="9"/>
    <s v="Kitchen king (100 gram)-Kitchen king (100 gram)-pkt-kg-0.1000"/>
    <n v="51"/>
    <n v="0.1"/>
    <x v="0"/>
    <s v="Murthy"/>
    <n v="5.1000000000000005"/>
    <s v="Dry Grocery"/>
    <m/>
    <m/>
    <m/>
    <m/>
    <m/>
    <x v="0"/>
  </r>
  <r>
    <x v="9"/>
    <s v="Chilly Powder-Chilly Powder-kg-kg-1.0000"/>
    <n v="280"/>
    <n v="0.5"/>
    <x v="0"/>
    <s v="Murthy"/>
    <n v="140"/>
    <s v="Dry Grocery"/>
    <m/>
    <m/>
    <m/>
    <m/>
    <m/>
    <x v="0"/>
  </r>
  <r>
    <x v="9"/>
    <s v="Roti Wheat-Roti atta-kg-kg-1.0000"/>
    <n v="27"/>
    <n v="2.5"/>
    <x v="0"/>
    <s v="Murthy"/>
    <n v="67.5"/>
    <s v="Dry Grocery"/>
    <m/>
    <m/>
    <m/>
    <m/>
    <m/>
    <x v="0"/>
  </r>
  <r>
    <x v="9"/>
    <s v="Basumathi Rice-Basumathi Rice-kg-kg-1.0000"/>
    <n v="62"/>
    <n v="1"/>
    <x v="0"/>
    <s v="Murthy"/>
    <n v="62"/>
    <s v="Dry Grocery"/>
    <m/>
    <m/>
    <m/>
    <m/>
    <m/>
    <x v="0"/>
  </r>
  <r>
    <x v="9"/>
    <s v="Garlic-Belulli-kg-kg-1.0000"/>
    <n v="28"/>
    <n v="1.5"/>
    <x v="0"/>
    <s v="Murthy"/>
    <n v="42"/>
    <s v="Vegetable"/>
    <m/>
    <m/>
    <m/>
    <m/>
    <m/>
    <x v="0"/>
  </r>
  <r>
    <x v="9"/>
    <s v="Cabbage-geddekosu-kg-kg-1.0000"/>
    <n v="3"/>
    <n v="0.9"/>
    <x v="0"/>
    <s v="Murthy"/>
    <n v="2.7"/>
    <s v="Vegetable"/>
    <m/>
    <m/>
    <m/>
    <m/>
    <m/>
    <x v="0"/>
  </r>
  <r>
    <x v="9"/>
    <s v="Charcoal-Charcoal-kg-kg-1.0000"/>
    <n v="26"/>
    <n v="6"/>
    <x v="0"/>
    <s v="Murthy"/>
    <n v="156"/>
    <s v="Heating"/>
    <m/>
    <m/>
    <m/>
    <m/>
    <m/>
    <x v="0"/>
  </r>
  <r>
    <x v="9"/>
    <s v="Carrot-carrot-kg-kg-1.0000"/>
    <n v="27.97"/>
    <n v="0.36"/>
    <x v="0"/>
    <s v="Murthy"/>
    <n v="10.069199999999999"/>
    <s v="Vegetable"/>
    <m/>
    <m/>
    <m/>
    <m/>
    <m/>
    <x v="0"/>
  </r>
  <r>
    <x v="9"/>
    <s v="Black pepper-kal menasu-kg-kg-1.0000"/>
    <n v="580"/>
    <n v="0.05"/>
    <x v="0"/>
    <s v="Murthy"/>
    <n v="29"/>
    <s v="Dry Grocery"/>
    <m/>
    <m/>
    <m/>
    <m/>
    <m/>
    <x v="0"/>
  </r>
  <r>
    <x v="9"/>
    <s v="Cinnamon-Chekke-kg-kg-1.0000"/>
    <n v="220"/>
    <n v="5.0000000000000001E-3"/>
    <x v="0"/>
    <s v="Murthy"/>
    <n v="1.1000000000000001"/>
    <s v="Spice"/>
    <m/>
    <m/>
    <m/>
    <m/>
    <m/>
    <x v="0"/>
  </r>
  <r>
    <x v="9"/>
    <s v="Cloves-lavanga-kg-kg-1.0000"/>
    <n v="740"/>
    <n v="5.0000000000000001E-3"/>
    <x v="0"/>
    <s v="Murthy"/>
    <n v="3.7"/>
    <s v="Spice"/>
    <m/>
    <m/>
    <m/>
    <m/>
    <m/>
    <x v="0"/>
  </r>
  <r>
    <x v="9"/>
    <s v="Elaichi-yelakki-kg-kg-1.0000"/>
    <n v="1450"/>
    <n v="5.0000000000000001E-3"/>
    <x v="0"/>
    <s v="Murthy"/>
    <n v="7.25"/>
    <s v="Spice"/>
    <m/>
    <m/>
    <m/>
    <m/>
    <m/>
    <x v="0"/>
  </r>
  <r>
    <x v="9"/>
    <s v="Maratimoggu-Maratimoggu-kg-kg-1.0000"/>
    <n v="750"/>
    <n v="5.0000000000000001E-3"/>
    <x v="0"/>
    <s v="Murthy"/>
    <n v="3.75"/>
    <s v="Spice"/>
    <m/>
    <m/>
    <m/>
    <m/>
    <m/>
    <x v="0"/>
  </r>
  <r>
    <x v="9"/>
    <s v="Mace-japathre-kg-kg-1.0000"/>
    <n v="1480"/>
    <n v="5.0000000000000001E-3"/>
    <x v="0"/>
    <s v="Murthy"/>
    <n v="7.4"/>
    <s v="Spice"/>
    <m/>
    <m/>
    <m/>
    <m/>
    <m/>
    <x v="0"/>
  </r>
  <r>
    <x v="9"/>
    <s v="Byadagi chilly-Byadagi chilly-kg-kg-1.0000"/>
    <n v="280"/>
    <n v="0.13"/>
    <x v="0"/>
    <s v="Murthy"/>
    <n v="36.4"/>
    <s v="Dry Grocery"/>
    <m/>
    <m/>
    <m/>
    <m/>
    <m/>
    <x v="0"/>
  </r>
  <r>
    <x v="9"/>
    <s v="Guntur -guntur-kg-kg-1.0000"/>
    <n v="138"/>
    <n v="0.13"/>
    <x v="0"/>
    <s v="Murthy"/>
    <n v="17.940000000000001"/>
    <s v="Dry Grocery"/>
    <m/>
    <m/>
    <m/>
    <m/>
    <m/>
    <x v="0"/>
  </r>
  <r>
    <x v="9"/>
    <s v="Paneer-Paneer-kg-kg-1.0000"/>
    <n v="175"/>
    <n v="1"/>
    <x v="0"/>
    <s v="Murthy"/>
    <n v="175"/>
    <s v="Dairy"/>
    <m/>
    <m/>
    <m/>
    <m/>
    <m/>
    <x v="0"/>
  </r>
  <r>
    <x v="9"/>
    <s v="Ginger-shunti-kg-kg-1.0000"/>
    <n v="40"/>
    <n v="0.25"/>
    <x v="0"/>
    <s v="Murthy"/>
    <n v="10"/>
    <s v="Vegetable"/>
    <m/>
    <m/>
    <m/>
    <m/>
    <m/>
    <x v="0"/>
  </r>
  <r>
    <x v="9"/>
    <s v="Maida-Maida-kg-kg-1.0000"/>
    <n v="29.51"/>
    <n v="0.46"/>
    <x v="0"/>
    <s v="Murthy"/>
    <n v="13.574600000000002"/>
    <s v="Dry Grocery"/>
    <m/>
    <m/>
    <m/>
    <m/>
    <m/>
    <x v="0"/>
  </r>
  <r>
    <x v="9"/>
    <s v="Oil-Yenne-lts-kg-0.9150"/>
    <n v="82"/>
    <n v="4"/>
    <x v="0"/>
    <s v="Murthy"/>
    <n v="328"/>
    <s v="Oil"/>
    <m/>
    <m/>
    <m/>
    <m/>
    <m/>
    <x v="0"/>
  </r>
  <r>
    <x v="9"/>
    <s v="Beans-Beans-kg-kg-1.0000"/>
    <n v="43.06"/>
    <n v="0.5"/>
    <x v="0"/>
    <s v="Murthy"/>
    <n v="21.53"/>
    <s v="Vegetable"/>
    <m/>
    <m/>
    <m/>
    <m/>
    <m/>
    <x v="0"/>
  </r>
  <r>
    <x v="9"/>
    <s v="Babycorn-Babycorn-kg-kg-1.0000"/>
    <n v="60"/>
    <n v="0.3"/>
    <x v="0"/>
    <s v="Murthy"/>
    <n v="18"/>
    <s v="Vegetable"/>
    <m/>
    <m/>
    <m/>
    <m/>
    <m/>
    <x v="0"/>
  </r>
  <r>
    <x v="9"/>
    <s v="Tomato (Jam)-tomatojam-kg-kg-1.0000"/>
    <n v="14.75"/>
    <n v="0.2"/>
    <x v="0"/>
    <s v="Murthy"/>
    <n v="2.95"/>
    <s v="Vegetable"/>
    <m/>
    <m/>
    <m/>
    <m/>
    <m/>
    <x v="0"/>
  </r>
  <r>
    <x v="9"/>
    <s v="Butter-Butter-kg-kg-1.0000"/>
    <n v="140"/>
    <n v="0.5"/>
    <x v="0"/>
    <s v="Murthy"/>
    <n v="70"/>
    <s v="Dairy"/>
    <m/>
    <m/>
    <m/>
    <m/>
    <m/>
    <x v="0"/>
  </r>
  <r>
    <x v="9"/>
    <s v="Sugar-Sakkre-kg-kg-1.0000"/>
    <n v="37"/>
    <n v="0.7"/>
    <x v="4"/>
    <s v="Vicky"/>
    <n v="25.9"/>
    <s v="Dry Grocery"/>
    <m/>
    <m/>
    <m/>
    <m/>
    <m/>
    <x v="0"/>
  </r>
  <r>
    <x v="9"/>
    <s v="Bullet Rice-Bullet Rice-kg-kg-1.0000"/>
    <n v="64"/>
    <n v="2.5"/>
    <x v="0"/>
    <s v="Murthy"/>
    <n v="160"/>
    <s v="Dry Grocery"/>
    <m/>
    <m/>
    <m/>
    <m/>
    <m/>
    <x v="0"/>
  </r>
  <r>
    <x v="9"/>
    <s v="Hakka Noodles-Hakka Noodles-pkt-kg-0.4000"/>
    <n v="40"/>
    <n v="1"/>
    <x v="0"/>
    <s v="Murthy"/>
    <n v="40"/>
    <s v="Dry Grocery"/>
    <m/>
    <m/>
    <m/>
    <m/>
    <m/>
    <x v="0"/>
  </r>
  <r>
    <x v="9"/>
    <s v="White Pepper Powder (500 gram)-Billi menasu pudi-kg-kg-1.0000"/>
    <n v="180"/>
    <n v="0.5"/>
    <x v="0"/>
    <s v="Murthy"/>
    <n v="90"/>
    <s v="Dry Grocery"/>
    <m/>
    <m/>
    <m/>
    <m/>
    <m/>
    <x v="0"/>
  </r>
  <r>
    <x v="9"/>
    <s v="Tasting Powder (500 kg)-tasting powder-kg-kg-1.0000"/>
    <n v="148"/>
    <n v="0.5"/>
    <x v="0"/>
    <s v="Murthy"/>
    <n v="74"/>
    <s v="Dry Grocery"/>
    <m/>
    <m/>
    <m/>
    <m/>
    <m/>
    <x v="0"/>
  </r>
  <r>
    <x v="9"/>
    <s v="Curd-Mosaru-lts-kg-1.0300"/>
    <n v="42"/>
    <n v="1.5"/>
    <x v="1"/>
    <s v="Ravi"/>
    <n v="63"/>
    <s v="Dairy"/>
    <m/>
    <m/>
    <m/>
    <m/>
    <m/>
    <x v="0"/>
  </r>
  <r>
    <x v="9"/>
    <s v="Milk-Haalu-lts-kg-1.0300"/>
    <n v="36"/>
    <n v="1.5"/>
    <x v="1"/>
    <s v="Ravi"/>
    <n v="54"/>
    <s v="Dairy"/>
    <m/>
    <m/>
    <m/>
    <m/>
    <m/>
    <x v="0"/>
  </r>
  <r>
    <x v="9"/>
    <s v="South Rice-South Hakki-kg-kg-1.0000"/>
    <n v="52"/>
    <n v="4"/>
    <x v="1"/>
    <s v="Ravi"/>
    <n v="208"/>
    <s v="Dry Grocery"/>
    <m/>
    <m/>
    <m/>
    <m/>
    <m/>
    <x v="0"/>
  </r>
  <r>
    <x v="9"/>
    <s v="Coconut-Theginkai-count-count-1.0000"/>
    <n v="28"/>
    <n v="2"/>
    <x v="1"/>
    <s v="Ravi"/>
    <n v="56"/>
    <s v="Vegetable"/>
    <m/>
    <m/>
    <m/>
    <m/>
    <m/>
    <x v="0"/>
  </r>
  <r>
    <x v="9"/>
    <s v="Sugar-Sakkre-kg-kg-1.0000"/>
    <n v="37"/>
    <n v="0.3"/>
    <x v="1"/>
    <s v="Ravi"/>
    <n v="11.1"/>
    <s v="Dry Grocery"/>
    <m/>
    <m/>
    <m/>
    <m/>
    <m/>
    <x v="0"/>
  </r>
  <r>
    <x v="9"/>
    <s v="Chilly Powder-Chilly Powder-kg-kg-1.0000"/>
    <n v="280"/>
    <n v="0.115"/>
    <x v="1"/>
    <s v="Ravi"/>
    <n v="32.200000000000003"/>
    <s v="Dry Grocery"/>
    <m/>
    <m/>
    <m/>
    <m/>
    <m/>
    <x v="0"/>
  </r>
  <r>
    <x v="9"/>
    <s v="Rasam powder-Rasam powder-kg-kg-1.0000"/>
    <n v="340"/>
    <n v="0.02"/>
    <x v="1"/>
    <s v="Ravi"/>
    <n v="6.8"/>
    <s v="Dry Grocery"/>
    <m/>
    <m/>
    <m/>
    <m/>
    <m/>
    <x v="0"/>
  </r>
  <r>
    <x v="9"/>
    <s v="Sambar powder-Sambar powder-kg-kg-1.0000"/>
    <n v="500"/>
    <n v="0.05"/>
    <x v="1"/>
    <s v="Ravi"/>
    <n v="25"/>
    <s v="Dry Grocery"/>
    <m/>
    <m/>
    <m/>
    <m/>
    <m/>
    <x v="0"/>
  </r>
  <r>
    <x v="9"/>
    <s v="Crystal Salt-Kalluppu-kg-kg-1.0000"/>
    <n v="7"/>
    <n v="0.47499999999999998"/>
    <x v="1"/>
    <s v="Ravi"/>
    <n v="3.3249999999999997"/>
    <s v="Dry Grocery"/>
    <m/>
    <m/>
    <m/>
    <m/>
    <m/>
    <x v="0"/>
  </r>
  <r>
    <x v="9"/>
    <s v="Turmeric Powder-Arishina pudi-kg-kg-1.0000"/>
    <n v="187.41"/>
    <n v="2.5000000000000001E-2"/>
    <x v="1"/>
    <s v="Ravi"/>
    <n v="4.6852499999999999"/>
    <s v="Dry Grocery"/>
    <m/>
    <m/>
    <m/>
    <m/>
    <m/>
    <x v="0"/>
  </r>
  <r>
    <x v="9"/>
    <s v="Dalda-dalda-lts-kg-0.9050"/>
    <n v="96"/>
    <n v="0.23"/>
    <x v="1"/>
    <s v="Ravi"/>
    <n v="22.080000000000002"/>
    <s v="Oil"/>
    <m/>
    <m/>
    <m/>
    <m/>
    <m/>
    <x v="0"/>
  </r>
  <r>
    <x v="9"/>
    <s v="Oil-Yenne-lts-kg-0.9150"/>
    <n v="82"/>
    <n v="1"/>
    <x v="1"/>
    <s v="Ravi"/>
    <n v="82"/>
    <s v="Oil"/>
    <m/>
    <m/>
    <m/>
    <m/>
    <m/>
    <x v="0"/>
  </r>
  <r>
    <x v="9"/>
    <s v="Jeera Seeds-Jeerge-kg-kg-1.0000"/>
    <n v="230"/>
    <n v="0.03"/>
    <x v="1"/>
    <s v="Ravi"/>
    <n v="6.8999999999999995"/>
    <s v="Dry Grocery"/>
    <m/>
    <m/>
    <m/>
    <m/>
    <m/>
    <x v="0"/>
  </r>
  <r>
    <x v="9"/>
    <s v="Mustard-Sasive-kg-kg-1.0000"/>
    <n v="70"/>
    <n v="0.03"/>
    <x v="1"/>
    <s v="Ravi"/>
    <n v="2.1"/>
    <s v="Dry Grocery"/>
    <m/>
    <m/>
    <m/>
    <m/>
    <m/>
    <x v="0"/>
  </r>
  <r>
    <x v="9"/>
    <s v="channadal(split)-Kadlebele-kg-kg-1.0000"/>
    <n v="55"/>
    <n v="6.5000000000000002E-2"/>
    <x v="1"/>
    <s v="Ravi"/>
    <n v="3.5750000000000002"/>
    <s v="Dry Grocery"/>
    <m/>
    <m/>
    <m/>
    <m/>
    <m/>
    <x v="0"/>
  </r>
  <r>
    <x v="9"/>
    <s v="Onion-Erulli-kg-kg-1.0000"/>
    <n v="14"/>
    <n v="2"/>
    <x v="1"/>
    <s v="Ravi"/>
    <n v="28"/>
    <s v="Vegetable"/>
    <m/>
    <m/>
    <m/>
    <m/>
    <m/>
    <x v="0"/>
  </r>
  <r>
    <x v="9"/>
    <s v="Garlic-Belulli-kg-kg-1.0000"/>
    <n v="28"/>
    <n v="0.2"/>
    <x v="1"/>
    <s v="Ravi"/>
    <n v="5.6000000000000005"/>
    <s v="Vegetable"/>
    <m/>
    <m/>
    <m/>
    <m/>
    <m/>
    <x v="0"/>
  </r>
  <r>
    <x v="9"/>
    <s v="Wheat-Godhi-kg-kg-1.0000"/>
    <n v="34"/>
    <n v="0.7"/>
    <x v="1"/>
    <s v="Ravi"/>
    <n v="23.799999999999997"/>
    <s v="Dry Grocery"/>
    <m/>
    <m/>
    <m/>
    <m/>
    <m/>
    <x v="0"/>
  </r>
  <r>
    <x v="9"/>
    <s v="Toordal-Thogaribele-kg-kg-1.0000"/>
    <n v="64.069999999999993"/>
    <n v="0.3"/>
    <x v="1"/>
    <s v="Ravi"/>
    <n v="19.220999999999997"/>
    <s v="Dry Grocery"/>
    <m/>
    <m/>
    <m/>
    <m/>
    <m/>
    <x v="0"/>
  </r>
  <r>
    <x v="9"/>
    <s v="Cashew-Godambi-kg-kg-1.0000"/>
    <n v="840"/>
    <n v="1.4999999999999999E-2"/>
    <x v="1"/>
    <s v="Ravi"/>
    <n v="12.6"/>
    <s v="Dry Grocery"/>
    <m/>
    <m/>
    <m/>
    <m/>
    <m/>
    <x v="0"/>
  </r>
  <r>
    <x v="9"/>
    <s v="Raisin-drakshi-kg-kg-1.0000"/>
    <n v="240"/>
    <n v="1.4999999999999999E-2"/>
    <x v="1"/>
    <s v="Ravi"/>
    <n v="3.5999999999999996"/>
    <s v="Dry Grocery"/>
    <m/>
    <m/>
    <m/>
    <m/>
    <m/>
    <x v="0"/>
  </r>
  <r>
    <x v="9"/>
    <s v="Tamarind-hunsehannu-kg-kg-1.0000"/>
    <n v="170"/>
    <n v="0.05"/>
    <x v="1"/>
    <s v="Ravi"/>
    <n v="8.5"/>
    <s v="Dry Grocery"/>
    <m/>
    <m/>
    <m/>
    <m/>
    <m/>
    <x v="0"/>
  </r>
  <r>
    <x v="9"/>
    <s v="Tomato (Jam)-tomatojam-kg-kg-1.0000"/>
    <n v="14.75"/>
    <n v="0.9"/>
    <x v="1"/>
    <s v="Ravi"/>
    <n v="13.275"/>
    <s v="Vegetable"/>
    <m/>
    <m/>
    <m/>
    <m/>
    <m/>
    <x v="0"/>
  </r>
  <r>
    <x v="9"/>
    <s v="curry leaves-karbensoppu-kg-kg-1.0000"/>
    <n v="312.14"/>
    <n v="0.04"/>
    <x v="1"/>
    <s v="Ravi"/>
    <n v="12.4856"/>
    <s v="Vegetable"/>
    <m/>
    <m/>
    <m/>
    <m/>
    <m/>
    <x v="0"/>
  </r>
  <r>
    <x v="9"/>
    <s v="Coriander leaves-Kothamiri Soppu-kg-kg-1.0000"/>
    <n v="25"/>
    <n v="0.15"/>
    <x v="1"/>
    <s v="Ravi"/>
    <n v="3.75"/>
    <s v="Vegetable"/>
    <m/>
    <m/>
    <m/>
    <m/>
    <m/>
    <x v="0"/>
  </r>
  <r>
    <x v="9"/>
    <s v="Pudina-Pudina-kg-kg-1.0000"/>
    <n v="125"/>
    <n v="0.06"/>
    <x v="1"/>
    <s v="Ravi"/>
    <n v="7.5"/>
    <s v="Vegetable"/>
    <m/>
    <m/>
    <m/>
    <m/>
    <m/>
    <x v="0"/>
  </r>
  <r>
    <x v="9"/>
    <s v="Ginger-shunti-kg-kg-1.0000"/>
    <n v="40"/>
    <n v="0.1"/>
    <x v="1"/>
    <s v="Ravi"/>
    <n v="4"/>
    <s v="Vegetable"/>
    <m/>
    <m/>
    <m/>
    <m/>
    <m/>
    <x v="0"/>
  </r>
  <r>
    <x v="9"/>
    <s v="Carrot-carrot-kg-kg-1.0000"/>
    <n v="27.97"/>
    <n v="0.2"/>
    <x v="1"/>
    <s v="Ravi"/>
    <n v="5.5940000000000003"/>
    <s v="Vegetable"/>
    <m/>
    <m/>
    <m/>
    <m/>
    <m/>
    <x v="0"/>
  </r>
  <r>
    <x v="9"/>
    <s v="Beans-Beans-kg-kg-1.0000"/>
    <n v="43.06"/>
    <n v="0.3"/>
    <x v="1"/>
    <s v="Ravi"/>
    <n v="12.918000000000001"/>
    <s v="Vegetable"/>
    <m/>
    <m/>
    <m/>
    <m/>
    <m/>
    <x v="0"/>
  </r>
  <r>
    <x v="9"/>
    <s v="Cauliflower-hookosu-kg-kg-1.0000"/>
    <n v="23.33"/>
    <n v="0.1"/>
    <x v="1"/>
    <s v="Ravi"/>
    <n v="2.3329999999999997"/>
    <s v="Vegetable"/>
    <m/>
    <m/>
    <m/>
    <m/>
    <m/>
    <x v="0"/>
  </r>
  <r>
    <x v="9"/>
    <s v="Fried Gram-Hurgadle-kg-kg-1.0000"/>
    <n v="60"/>
    <n v="0.06"/>
    <x v="1"/>
    <s v="Ravi"/>
    <n v="3.5999999999999996"/>
    <s v="Dry Grocery"/>
    <m/>
    <m/>
    <m/>
    <m/>
    <m/>
    <x v="0"/>
  </r>
  <r>
    <x v="9"/>
    <s v="North Papad (1 kg)-North Papad (1 kg)-kg-kg-1.0000"/>
    <n v="160"/>
    <n v="0.185"/>
    <x v="1"/>
    <s v="Ravi"/>
    <n v="29.6"/>
    <s v="Dry Grocery"/>
    <m/>
    <m/>
    <m/>
    <m/>
    <m/>
    <x v="0"/>
  </r>
  <r>
    <x v="9"/>
    <s v="South Papad (500 gram)-South Papad (500 gram)-pkt-kg-0.5000"/>
    <n v="62.03"/>
    <n v="0.105"/>
    <x v="1"/>
    <s v="Ravi"/>
    <n v="6.5131499999999996"/>
    <s v="Dry Grocery"/>
    <m/>
    <m/>
    <m/>
    <m/>
    <m/>
    <x v="0"/>
  </r>
  <r>
    <x v="9"/>
    <s v="Elaichi-yelakki-kg-kg-1.0000"/>
    <n v="1450"/>
    <n v="1.4999999999999999E-2"/>
    <x v="1"/>
    <s v="Ravi"/>
    <n v="21.75"/>
    <s v="Spice"/>
    <m/>
    <m/>
    <m/>
    <m/>
    <m/>
    <x v="0"/>
  </r>
  <r>
    <x v="9"/>
    <s v="vermicelli-Shavige-kg-kg-1.0000"/>
    <n v="61.08"/>
    <n v="0.2"/>
    <x v="1"/>
    <s v="Ravi"/>
    <n v="12.216000000000001"/>
    <s v="Dry Grocery"/>
    <m/>
    <m/>
    <m/>
    <m/>
    <m/>
    <x v="0"/>
  </r>
  <r>
    <x v="9"/>
    <s v="Green chilly-hasinmenshinkayi-kg-kg-1.0000"/>
    <n v="30"/>
    <n v="0.2"/>
    <x v="1"/>
    <s v="Ravi"/>
    <n v="6"/>
    <s v="Vegetable"/>
    <m/>
    <m/>
    <m/>
    <m/>
    <m/>
    <x v="0"/>
  </r>
  <r>
    <x v="9"/>
    <s v="Guntur -guntur-kg-kg-1.0000"/>
    <n v="138"/>
    <n v="0.03"/>
    <x v="1"/>
    <s v="Ravi"/>
    <n v="4.1399999999999997"/>
    <s v="Dry Grocery"/>
    <m/>
    <m/>
    <m/>
    <m/>
    <m/>
    <x v="0"/>
  </r>
  <r>
    <x v="9"/>
    <s v="Groundnut Seeds-Kadlekayi Beeja-kg-kg-1.0000"/>
    <n v="108"/>
    <n v="0.1"/>
    <x v="1"/>
    <s v="Ravi"/>
    <n v="10.8"/>
    <s v="Dry Grocery"/>
    <m/>
    <m/>
    <m/>
    <m/>
    <m/>
    <x v="0"/>
  </r>
  <r>
    <x v="9"/>
    <s v="mixed vegetables-mixed tharkari-kg-kg-1.0000"/>
    <n v="35"/>
    <n v="0.7"/>
    <x v="1"/>
    <s v="Ravi"/>
    <n v="24.5"/>
    <s v="Vegetable"/>
    <m/>
    <m/>
    <m/>
    <m/>
    <m/>
    <x v="0"/>
  </r>
  <r>
    <x v="9"/>
    <s v="Garlic-Belulli-kg-kg-1.0000"/>
    <n v="28"/>
    <n v="0.11"/>
    <x v="2"/>
    <s v="Ravi"/>
    <n v="3.08"/>
    <s v="Vegetable"/>
    <m/>
    <m/>
    <m/>
    <m/>
    <m/>
    <x v="0"/>
  </r>
  <r>
    <x v="9"/>
    <s v="Ginger-shunti-kg-kg-1.0000"/>
    <n v="40"/>
    <n v="0.02"/>
    <x v="2"/>
    <s v="Ravi"/>
    <n v="0.8"/>
    <s v="Vegetable"/>
    <m/>
    <m/>
    <m/>
    <m/>
    <m/>
    <x v="0"/>
  </r>
  <r>
    <x v="9"/>
    <s v="Tomato (Jam)-tomatojam-kg-kg-1.0000"/>
    <n v="14.75"/>
    <n v="0.58499999999999996"/>
    <x v="2"/>
    <s v="Ravi"/>
    <n v="8.6287500000000001"/>
    <s v="Vegetable"/>
    <m/>
    <m/>
    <m/>
    <m/>
    <m/>
    <x v="0"/>
  </r>
  <r>
    <x v="9"/>
    <s v="Coriander leaves-Kothamiri Soppu-kg-kg-1.0000"/>
    <n v="25"/>
    <n v="0.05"/>
    <x v="2"/>
    <s v="Ravi"/>
    <n v="1.25"/>
    <s v="Vegetable"/>
    <m/>
    <m/>
    <m/>
    <m/>
    <m/>
    <x v="0"/>
  </r>
  <r>
    <x v="9"/>
    <s v="Onion-Erulli-kg-kg-1.0000"/>
    <n v="14"/>
    <n v="0.88"/>
    <x v="2"/>
    <s v="Ravi"/>
    <n v="12.32"/>
    <s v="Vegetable"/>
    <m/>
    <m/>
    <m/>
    <m/>
    <m/>
    <x v="0"/>
  </r>
  <r>
    <x v="9"/>
    <s v="Fried Gram-Hurgadle-kg-kg-1.0000"/>
    <n v="60"/>
    <n v="7.0000000000000007E-2"/>
    <x v="2"/>
    <s v="Ravi"/>
    <n v="4.2"/>
    <s v="Dry Grocery"/>
    <m/>
    <m/>
    <m/>
    <m/>
    <m/>
    <x v="0"/>
  </r>
  <r>
    <x v="9"/>
    <s v="Tamarind-hunsehannu-kg-kg-1.0000"/>
    <n v="170"/>
    <n v="5.0000000000000001E-3"/>
    <x v="2"/>
    <s v="Ravi"/>
    <n v="0.85"/>
    <s v="Dry Grocery"/>
    <m/>
    <m/>
    <m/>
    <m/>
    <m/>
    <x v="0"/>
  </r>
  <r>
    <x v="9"/>
    <s v="Green chilly-hasinmenshinkayi-kg-kg-1.0000"/>
    <n v="30"/>
    <n v="0.12"/>
    <x v="2"/>
    <s v="Ravi"/>
    <n v="3.5999999999999996"/>
    <s v="Vegetable"/>
    <m/>
    <m/>
    <m/>
    <m/>
    <m/>
    <x v="0"/>
  </r>
  <r>
    <x v="9"/>
    <s v="Potato-Aloogedde-kg-kg-1.0000"/>
    <n v="20"/>
    <n v="0.25"/>
    <x v="2"/>
    <s v="Ravi"/>
    <n v="5"/>
    <s v="Vegetable"/>
    <m/>
    <m/>
    <m/>
    <m/>
    <m/>
    <x v="0"/>
  </r>
  <r>
    <x v="9"/>
    <s v="Coriander Powder (500 gram)-Dhanya Powder (500 gram)-kg-kg-1.0000"/>
    <n v="120"/>
    <n v="0.84"/>
    <x v="2"/>
    <s v="Ravi"/>
    <n v="100.8"/>
    <s v="Dry Grocery"/>
    <m/>
    <m/>
    <m/>
    <m/>
    <m/>
    <x v="0"/>
  </r>
  <r>
    <x v="9"/>
    <s v="Chilly Powder-Chilly Powder-kg-kg-1.0000"/>
    <n v="280"/>
    <n v="2.5000000000000001E-2"/>
    <x v="2"/>
    <s v="Ravi"/>
    <n v="7"/>
    <s v="Dry Grocery"/>
    <m/>
    <m/>
    <m/>
    <m/>
    <m/>
    <x v="0"/>
  </r>
  <r>
    <x v="9"/>
    <s v="Turmeric Powder-Arishina pudi-kg-kg-1.0000"/>
    <n v="187.41"/>
    <n v="5.0000000000000001E-3"/>
    <x v="2"/>
    <s v="Ravi"/>
    <n v="0.93705000000000005"/>
    <s v="Dry Grocery"/>
    <m/>
    <m/>
    <m/>
    <m/>
    <m/>
    <x v="0"/>
  </r>
  <r>
    <x v="9"/>
    <s v="Garam Masala (100 gram)-garam masala-pkt-kg-0.1000"/>
    <n v="57.5"/>
    <n v="1.4999999999999999E-2"/>
    <x v="2"/>
    <s v="Ravi"/>
    <n v="0.86249999999999993"/>
    <s v="Dry Grocery"/>
    <m/>
    <m/>
    <m/>
    <m/>
    <m/>
    <x v="0"/>
  </r>
  <r>
    <x v="9"/>
    <s v="Chat Masala (100 gram)-chat masala-pkt-kg-0.1000"/>
    <n v="48"/>
    <n v="1.4999999999999999E-2"/>
    <x v="2"/>
    <s v="Ravi"/>
    <n v="0.72"/>
    <s v="Dry Grocery"/>
    <m/>
    <m/>
    <m/>
    <m/>
    <m/>
    <x v="0"/>
  </r>
  <r>
    <x v="9"/>
    <s v="Crystal Salt-Kalluppu-kg-kg-1.0000"/>
    <n v="7"/>
    <n v="0.05"/>
    <x v="2"/>
    <s v="Ravi"/>
    <n v="0.35000000000000003"/>
    <s v="Dry Grocery"/>
    <m/>
    <m/>
    <m/>
    <m/>
    <m/>
    <x v="0"/>
  </r>
  <r>
    <x v="9"/>
    <s v="Meat Masala Powder (100 gram)-meat masala-pkt-kg-0.1000"/>
    <n v="49.5"/>
    <n v="0.01"/>
    <x v="2"/>
    <s v="Ravi"/>
    <n v="0.495"/>
    <s v="Dry Grocery"/>
    <m/>
    <m/>
    <m/>
    <m/>
    <m/>
    <x v="0"/>
  </r>
  <r>
    <x v="9"/>
    <s v="Lemon-Nimbehannu-count-count-1.0000"/>
    <n v="3"/>
    <n v="30"/>
    <x v="5"/>
    <s v="Ravi"/>
    <n v="90"/>
    <s v="Vegetable"/>
    <m/>
    <m/>
    <m/>
    <m/>
    <m/>
    <x v="0"/>
  </r>
  <r>
    <x v="9"/>
    <s v="Coriander leaves-Kothamiri Soppu-kg-kg-1.0000"/>
    <n v="25"/>
    <n v="0.08"/>
    <x v="2"/>
    <s v="Ravi"/>
    <n v="2"/>
    <s v="Vegetable"/>
    <m/>
    <m/>
    <m/>
    <m/>
    <m/>
    <x v="0"/>
  </r>
  <r>
    <x v="9"/>
    <s v="Carrot-carrot-kg-kg-1.0000"/>
    <n v="27.97"/>
    <n v="0.34"/>
    <x v="2"/>
    <s v="Ravi"/>
    <n v="9.5098000000000003"/>
    <s v="Vegetable"/>
    <m/>
    <m/>
    <m/>
    <m/>
    <m/>
    <x v="0"/>
  </r>
  <r>
    <x v="9"/>
    <s v="Moosambi-MOOSAMBI-kg-kg-1.0000"/>
    <n v="50"/>
    <n v="1.1399999999999999"/>
    <x v="5"/>
    <s v="Ravi"/>
    <n v="56.999999999999993"/>
    <s v="Fruits"/>
    <m/>
    <m/>
    <m/>
    <m/>
    <m/>
    <x v="0"/>
  </r>
  <r>
    <x v="10"/>
    <s v="Onion-Erulli-kg-kg-1.0000"/>
    <n v="14"/>
    <n v="4.8"/>
    <x v="0"/>
    <s v="Murthy"/>
    <n v="67.2"/>
    <s v="Vegetable"/>
    <m/>
    <m/>
    <m/>
    <m/>
    <m/>
    <x v="0"/>
  </r>
  <r>
    <x v="10"/>
    <s v="Capsicum-Capsicum-kg-kg-1.0000"/>
    <n v="30"/>
    <n v="3.9"/>
    <x v="0"/>
    <s v="Murthy"/>
    <n v="117"/>
    <s v="Vegetable"/>
    <m/>
    <m/>
    <m/>
    <m/>
    <m/>
    <x v="0"/>
  </r>
  <r>
    <x v="10"/>
    <s v="Charcoal-Charcoal-kg-kg-1.0000"/>
    <n v="26"/>
    <n v="11.2"/>
    <x v="0"/>
    <s v="Murthy"/>
    <n v="291.2"/>
    <s v="Heating"/>
    <m/>
    <m/>
    <m/>
    <m/>
    <m/>
    <x v="0"/>
  </r>
  <r>
    <x v="10"/>
    <s v="Carrot-carrot-kg-kg-1.0000"/>
    <n v="27.97"/>
    <n v="0.15"/>
    <x v="0"/>
    <s v="Murthy"/>
    <n v="4.1955"/>
    <s v="Vegetable"/>
    <m/>
    <m/>
    <m/>
    <m/>
    <m/>
    <x v="0"/>
  </r>
  <r>
    <x v="10"/>
    <s v="Palak leaves-Palak soppu-kg-kg-1.0000"/>
    <n v="38"/>
    <n v="1.7"/>
    <x v="0"/>
    <s v="Murthy"/>
    <n v="64.599999999999994"/>
    <s v="Vegetable"/>
    <m/>
    <m/>
    <m/>
    <m/>
    <m/>
    <x v="0"/>
  </r>
  <r>
    <x v="10"/>
    <s v="Green chilly-hasinmenshinkayi-kg-kg-1.0000"/>
    <n v="30"/>
    <n v="0.5"/>
    <x v="0"/>
    <s v="Murthy"/>
    <n v="15"/>
    <s v="Vegetable"/>
    <m/>
    <m/>
    <m/>
    <m/>
    <m/>
    <x v="0"/>
  </r>
  <r>
    <x v="10"/>
    <s v="Paneer-Paneer-kg-kg-1.0000"/>
    <n v="175"/>
    <n v="1"/>
    <x v="0"/>
    <s v="Murthy"/>
    <n v="175"/>
    <s v="Dairy"/>
    <m/>
    <m/>
    <m/>
    <m/>
    <m/>
    <x v="0"/>
  </r>
  <r>
    <x v="10"/>
    <s v="Moong Dal-Hesaru bele-kg-kg-1.0000"/>
    <n v="75"/>
    <n v="1"/>
    <x v="0"/>
    <s v="Murthy"/>
    <n v="75"/>
    <s v="Dry Grocery"/>
    <m/>
    <m/>
    <m/>
    <m/>
    <m/>
    <x v="0"/>
  </r>
  <r>
    <x v="10"/>
    <s v="Beans-Beans-kg-kg-1.0000"/>
    <n v="43.06"/>
    <n v="1"/>
    <x v="0"/>
    <s v="Murthy"/>
    <n v="43.06"/>
    <s v="Vegetable"/>
    <m/>
    <m/>
    <m/>
    <m/>
    <m/>
    <x v="0"/>
  </r>
  <r>
    <x v="10"/>
    <s v="Carrot-carrot-kg-kg-1.0000"/>
    <n v="27.97"/>
    <n v="0.85"/>
    <x v="0"/>
    <s v="Murthy"/>
    <n v="23.7745"/>
    <s v="Vegetable"/>
    <m/>
    <m/>
    <m/>
    <m/>
    <m/>
    <x v="0"/>
  </r>
  <r>
    <x v="10"/>
    <s v="Oil-Yenne-lts-kg-0.9150"/>
    <n v="82"/>
    <n v="5"/>
    <x v="0"/>
    <s v="Murthy"/>
    <n v="410"/>
    <s v="Oil"/>
    <m/>
    <m/>
    <m/>
    <m/>
    <m/>
    <x v="0"/>
  </r>
  <r>
    <x v="10"/>
    <s v="Cabbage-geddekosu-kg-kg-1.0000"/>
    <n v="3"/>
    <n v="0.85499999999999998"/>
    <x v="0"/>
    <s v="Murthy"/>
    <n v="2.5649999999999999"/>
    <s v="Vegetable"/>
    <m/>
    <m/>
    <m/>
    <m/>
    <m/>
    <x v="0"/>
  </r>
  <r>
    <x v="10"/>
    <s v="Curd-Mosaru-lts-kg-1.0300"/>
    <n v="42"/>
    <n v="2"/>
    <x v="0"/>
    <s v="Murthy"/>
    <n v="84"/>
    <s v="Dairy"/>
    <m/>
    <m/>
    <m/>
    <m/>
    <m/>
    <x v="0"/>
  </r>
  <r>
    <x v="10"/>
    <s v="Milk-Haalu-lts-kg-1.0300"/>
    <n v="36"/>
    <n v="3"/>
    <x v="4"/>
    <s v="Vicky"/>
    <n v="108"/>
    <s v="Dairy"/>
    <m/>
    <m/>
    <m/>
    <m/>
    <m/>
    <x v="0"/>
  </r>
  <r>
    <x v="10"/>
    <s v="Basumathi Rice-Basumathi Rice-kg-kg-1.0000"/>
    <n v="62"/>
    <n v="1.5"/>
    <x v="0"/>
    <s v="Murthy"/>
    <n v="93"/>
    <s v="Dry Grocery"/>
    <m/>
    <m/>
    <m/>
    <m/>
    <m/>
    <x v="0"/>
  </r>
  <r>
    <x v="10"/>
    <s v="Pickle-Uppinkayi-kg-kg-1.0000"/>
    <n v="40"/>
    <n v="0.4"/>
    <x v="0"/>
    <s v="Murthy"/>
    <n v="16"/>
    <s v="Processed Food"/>
    <m/>
    <m/>
    <m/>
    <m/>
    <m/>
    <x v="0"/>
  </r>
  <r>
    <x v="10"/>
    <s v="Corn flour-Corn flour-kg-kg-1.0000"/>
    <n v="45"/>
    <n v="1"/>
    <x v="0"/>
    <s v="Murthy"/>
    <n v="45"/>
    <s v="Dry Grocery"/>
    <m/>
    <m/>
    <m/>
    <m/>
    <m/>
    <x v="0"/>
  </r>
  <r>
    <x v="10"/>
    <s v="Maida-Maida-kg-kg-1.0000"/>
    <n v="29.51"/>
    <n v="3.5449999999999999"/>
    <x v="0"/>
    <s v="Murthy"/>
    <n v="104.61295"/>
    <s v="Dry Grocery"/>
    <m/>
    <m/>
    <m/>
    <m/>
    <m/>
    <x v="0"/>
  </r>
  <r>
    <x v="10"/>
    <s v="Butter-Butter-kg-kg-1.0000"/>
    <n v="140"/>
    <n v="0.5"/>
    <x v="0"/>
    <s v="Murthy"/>
    <n v="70"/>
    <s v="Dairy"/>
    <m/>
    <m/>
    <m/>
    <m/>
    <m/>
    <x v="0"/>
  </r>
  <r>
    <x v="10"/>
    <s v="Coriander leaves-Kothamiri Soppu-kg-kg-1.0000"/>
    <n v="25"/>
    <n v="0.3"/>
    <x v="0"/>
    <s v="Murthy"/>
    <n v="7.5"/>
    <s v="Vegetable"/>
    <m/>
    <m/>
    <m/>
    <m/>
    <m/>
    <x v="0"/>
  </r>
  <r>
    <x v="10"/>
    <s v="Sweetcorn-Sweetcorn-tin-kg-0.4000"/>
    <n v="33"/>
    <n v="1"/>
    <x v="0"/>
    <s v="Murthy"/>
    <n v="33"/>
    <s v="Canned Food"/>
    <m/>
    <m/>
    <m/>
    <m/>
    <m/>
    <x v="0"/>
  </r>
  <r>
    <x v="10"/>
    <s v="Curd-Mosaru-lts-kg-1.0300"/>
    <n v="42"/>
    <n v="1.5"/>
    <x v="0"/>
    <s v="Murthy"/>
    <n v="63"/>
    <s v="Dairy"/>
    <m/>
    <m/>
    <m/>
    <m/>
    <m/>
    <x v="0"/>
  </r>
  <r>
    <x v="10"/>
    <s v="Babycorn-Babycorn-kg-kg-1.0000"/>
    <n v="60"/>
    <n v="0.5"/>
    <x v="0"/>
    <s v="Murthy"/>
    <n v="30"/>
    <s v="Vegetable"/>
    <m/>
    <m/>
    <m/>
    <m/>
    <m/>
    <x v="0"/>
  </r>
  <r>
    <x v="10"/>
    <s v="Roti Wheat-Roti atta-kg-kg-1.0000"/>
    <n v="27"/>
    <n v="2.6"/>
    <x v="0"/>
    <s v="Murthy"/>
    <n v="70.2"/>
    <s v="Dry Grocery"/>
    <m/>
    <m/>
    <m/>
    <m/>
    <m/>
    <x v="0"/>
  </r>
  <r>
    <x v="10"/>
    <s v="Ginger-shunti-kg-kg-1.0000"/>
    <n v="40"/>
    <n v="0.1"/>
    <x v="0"/>
    <s v="Murthy"/>
    <n v="4"/>
    <s v="Vegetable"/>
    <m/>
    <m/>
    <m/>
    <m/>
    <m/>
    <x v="0"/>
  </r>
  <r>
    <x v="10"/>
    <s v="Milk-Haalu-lts-kg-1.0300"/>
    <n v="36"/>
    <n v="1"/>
    <x v="0"/>
    <s v="Murthy"/>
    <n v="36"/>
    <s v="Dairy"/>
    <m/>
    <m/>
    <m/>
    <m/>
    <m/>
    <x v="0"/>
  </r>
  <r>
    <x v="10"/>
    <s v="Sugar-Sakkre-kg-kg-1.0000"/>
    <n v="37"/>
    <n v="1.0049999999999999"/>
    <x v="4"/>
    <s v="Vicky"/>
    <n v="37.184999999999995"/>
    <s v="Dry Grocery"/>
    <m/>
    <m/>
    <m/>
    <m/>
    <m/>
    <x v="0"/>
  </r>
  <r>
    <x v="10"/>
    <s v="Mushroom-Mushroom-pkt-pkt-1.0000"/>
    <n v="32"/>
    <n v="2"/>
    <x v="0"/>
    <s v="Murthy"/>
    <n v="64"/>
    <s v="Vegetable"/>
    <m/>
    <m/>
    <m/>
    <m/>
    <m/>
    <x v="0"/>
  </r>
  <r>
    <x v="10"/>
    <s v="Chilly Powder-Chilly Powder-kg-kg-1.0000"/>
    <n v="280"/>
    <n v="0.11"/>
    <x v="0"/>
    <s v="Murthy"/>
    <n v="30.8"/>
    <s v="Dry Grocery"/>
    <m/>
    <m/>
    <m/>
    <m/>
    <m/>
    <x v="0"/>
  </r>
  <r>
    <x v="10"/>
    <s v="Garam Masala (100 gram)-garam masala-pkt-kg-0.1000"/>
    <n v="57.5"/>
    <n v="0.04"/>
    <x v="0"/>
    <s v="Murthy"/>
    <n v="2.3000000000000003"/>
    <s v="Dry Grocery"/>
    <m/>
    <m/>
    <m/>
    <m/>
    <m/>
    <x v="0"/>
  </r>
  <r>
    <x v="10"/>
    <s v="Vinegar-Vinegar-bottle-kg-0.8600"/>
    <n v="24"/>
    <n v="1"/>
    <x v="0"/>
    <s v="Murthy"/>
    <n v="24"/>
    <s v="Dry Grocery"/>
    <m/>
    <m/>
    <m/>
    <m/>
    <m/>
    <x v="0"/>
  </r>
  <r>
    <x v="10"/>
    <s v="Dark soya souce-Dark soya souce-bottle-kg-0.8150"/>
    <n v="33"/>
    <n v="9.5000000000000001E-2"/>
    <x v="0"/>
    <s v="Murthy"/>
    <n v="3.1350000000000002"/>
    <s v="Sauce"/>
    <m/>
    <m/>
    <m/>
    <m/>
    <m/>
    <x v="0"/>
  </r>
  <r>
    <x v="10"/>
    <s v="Turmeric Powder-Arishina pudi-kg-kg-1.0000"/>
    <n v="187.41"/>
    <n v="0.01"/>
    <x v="0"/>
    <s v="Murthy"/>
    <n v="1.8741000000000001"/>
    <s v="Dry Grocery"/>
    <m/>
    <m/>
    <m/>
    <m/>
    <m/>
    <x v="0"/>
  </r>
  <r>
    <x v="10"/>
    <s v="Chat Masala (100 gram)-chat masala-pkt-kg-0.1000"/>
    <n v="48"/>
    <n v="0.03"/>
    <x v="0"/>
    <s v="Murthy"/>
    <n v="1.44"/>
    <s v="Dry Grocery"/>
    <m/>
    <m/>
    <m/>
    <m/>
    <m/>
    <x v="0"/>
  </r>
  <r>
    <x v="10"/>
    <s v="Salt Powder-Uppu-kg-kg-1.0000"/>
    <n v="17"/>
    <n v="0.15"/>
    <x v="0"/>
    <s v="Murthy"/>
    <n v="2.5499999999999998"/>
    <s v="Dry Grocery"/>
    <m/>
    <m/>
    <m/>
    <m/>
    <m/>
    <x v="0"/>
  </r>
  <r>
    <x v="10"/>
    <s v="White Pepper Powder (500 gram)-Billi menasu pudi-kg-kg-1.0000"/>
    <n v="180"/>
    <n v="0.27500000000000002"/>
    <x v="0"/>
    <s v="Murthy"/>
    <n v="49.500000000000007"/>
    <s v="Dry Grocery"/>
    <m/>
    <m/>
    <m/>
    <m/>
    <m/>
    <x v="0"/>
  </r>
  <r>
    <x v="10"/>
    <s v="Tasting Powder (500 kg)-tasting powder-kg-kg-1.0000"/>
    <n v="148"/>
    <n v="0.185"/>
    <x v="0"/>
    <s v="Murthy"/>
    <n v="27.38"/>
    <s v="Dry Grocery"/>
    <m/>
    <m/>
    <m/>
    <m/>
    <m/>
    <x v="0"/>
  </r>
  <r>
    <x v="10"/>
    <s v="Coriander Powder (500 gram)-Dhanya Powder (500 gram)-kg-kg-1.0000"/>
    <n v="120"/>
    <n v="7.0000000000000007E-2"/>
    <x v="0"/>
    <s v="Murthy"/>
    <n v="8.4"/>
    <s v="Dry Grocery"/>
    <m/>
    <m/>
    <m/>
    <m/>
    <m/>
    <x v="0"/>
  </r>
  <r>
    <x v="10"/>
    <s v="Kitchen king (100 gram)-Kitchen king (100 gram)-pkt-kg-0.1000"/>
    <n v="51"/>
    <n v="0.2"/>
    <x v="0"/>
    <s v="Murthy"/>
    <n v="10.200000000000001"/>
    <s v="Dry Grocery"/>
    <m/>
    <m/>
    <m/>
    <m/>
    <m/>
    <x v="0"/>
  </r>
  <r>
    <x v="10"/>
    <s v="Cinnamon-Chekke-kg-kg-1.0000"/>
    <n v="220"/>
    <n v="5.0000000000000001E-3"/>
    <x v="0"/>
    <s v="Murthy"/>
    <n v="1.1000000000000001"/>
    <s v="Spice"/>
    <m/>
    <m/>
    <m/>
    <m/>
    <m/>
    <x v="0"/>
  </r>
  <r>
    <x v="10"/>
    <s v="Cloves-lavanga-kg-kg-1.0000"/>
    <n v="740"/>
    <n v="5.0000000000000001E-3"/>
    <x v="0"/>
    <s v="Murthy"/>
    <n v="3.7"/>
    <s v="Spice"/>
    <m/>
    <m/>
    <m/>
    <m/>
    <m/>
    <x v="0"/>
  </r>
  <r>
    <x v="10"/>
    <s v="Elaichi-yelakki-kg-kg-1.0000"/>
    <n v="1450"/>
    <n v="5.0000000000000001E-3"/>
    <x v="0"/>
    <s v="Murthy"/>
    <n v="7.25"/>
    <s v="Spice"/>
    <m/>
    <m/>
    <m/>
    <m/>
    <m/>
    <x v="0"/>
  </r>
  <r>
    <x v="10"/>
    <s v="Maratimoggu-Maratimoggu-kg-kg-1.0000"/>
    <n v="750"/>
    <n v="5.0000000000000001E-3"/>
    <x v="0"/>
    <s v="Murthy"/>
    <n v="3.75"/>
    <s v="Spice"/>
    <m/>
    <m/>
    <m/>
    <m/>
    <m/>
    <x v="0"/>
  </r>
  <r>
    <x v="10"/>
    <s v="Mace-japathre-kg-kg-1.0000"/>
    <n v="1480"/>
    <n v="5.0000000000000001E-3"/>
    <x v="0"/>
    <s v="Murthy"/>
    <n v="7.4"/>
    <s v="Spice"/>
    <m/>
    <m/>
    <m/>
    <m/>
    <m/>
    <x v="0"/>
  </r>
  <r>
    <x v="10"/>
    <s v="Pudina-Pudina-kg-kg-1.0000"/>
    <n v="125"/>
    <n v="0.06"/>
    <x v="0"/>
    <s v="Murthy"/>
    <n v="7.5"/>
    <s v="Vegetable"/>
    <m/>
    <m/>
    <m/>
    <m/>
    <m/>
    <x v="0"/>
  </r>
  <r>
    <x v="10"/>
    <s v="Milk-Haalu-lts-kg-1.0300"/>
    <n v="36"/>
    <n v="1"/>
    <x v="4"/>
    <s v="Vicky"/>
    <n v="36"/>
    <s v="Dairy"/>
    <m/>
    <m/>
    <m/>
    <m/>
    <m/>
    <x v="0"/>
  </r>
  <r>
    <x v="10"/>
    <s v="Lemon-Nimbehannu-count-count-1.0000"/>
    <n v="3"/>
    <n v="4"/>
    <x v="0"/>
    <s v="Murthy"/>
    <n v="12"/>
    <s v="Vegetable"/>
    <m/>
    <m/>
    <m/>
    <m/>
    <m/>
    <x v="0"/>
  </r>
  <r>
    <x v="10"/>
    <s v="Cucumber-sothekayi-kg-kg-1.0000"/>
    <n v="43.98"/>
    <n v="0.1"/>
    <x v="0"/>
    <s v="Murthy"/>
    <n v="4.3979999999999997"/>
    <s v="Vegetable"/>
    <m/>
    <m/>
    <m/>
    <m/>
    <m/>
    <x v="0"/>
  </r>
  <r>
    <x v="10"/>
    <s v="Mushroom-Mushroom-pkt-pkt-1.0000"/>
    <n v="32"/>
    <n v="5"/>
    <x v="0"/>
    <s v="Murthy"/>
    <n v="160"/>
    <s v="Vegetable"/>
    <m/>
    <m/>
    <m/>
    <m/>
    <m/>
    <x v="0"/>
  </r>
  <r>
    <x v="10"/>
    <s v="Ketchup(1.2 kg)-ketchup-bottle-kg-1.2000"/>
    <n v="75"/>
    <n v="0.3"/>
    <x v="0"/>
    <s v="Murthy"/>
    <n v="22.5"/>
    <s v="Sauce"/>
    <m/>
    <m/>
    <m/>
    <m/>
    <m/>
    <x v="0"/>
  </r>
  <r>
    <x v="10"/>
    <s v="Pineapple-ANNANAS-kg-kg-1.0000"/>
    <n v="30"/>
    <n v="0.6"/>
    <x v="5"/>
    <s v="Ravi"/>
    <n v="18"/>
    <s v="Fruits"/>
    <m/>
    <m/>
    <m/>
    <m/>
    <m/>
    <x v="0"/>
  </r>
  <r>
    <x v="10"/>
    <s v="Muskmelon-THARBUJA-kg-kg-1.0000"/>
    <n v="20"/>
    <n v="1.6"/>
    <x v="5"/>
    <s v="Ravi"/>
    <n v="32"/>
    <s v="Fruits"/>
    <m/>
    <m/>
    <m/>
    <m/>
    <m/>
    <x v="0"/>
  </r>
  <r>
    <x v="10"/>
    <s v="Chickoo-Sapota-kg-kg-1.0000"/>
    <n v="40"/>
    <n v="0.4"/>
    <x v="5"/>
    <s v="Ravi"/>
    <n v="16"/>
    <s v="Fruits"/>
    <m/>
    <m/>
    <m/>
    <m/>
    <m/>
    <x v="0"/>
  </r>
  <r>
    <x v="10"/>
    <s v="Salt Powder-Uppu-kg-kg-1.0000"/>
    <n v="17"/>
    <n v="0.36"/>
    <x v="2"/>
    <s v="Ravi"/>
    <n v="6.12"/>
    <s v="Dry Grocery"/>
    <m/>
    <m/>
    <m/>
    <m/>
    <m/>
    <x v="0"/>
  </r>
  <r>
    <x v="10"/>
    <s v="Milk-Haalu-lts-kg-1.0300"/>
    <n v="36"/>
    <n v="3.5"/>
    <x v="5"/>
    <s v="Ravi"/>
    <n v="126"/>
    <s v="Dairy"/>
    <m/>
    <m/>
    <m/>
    <m/>
    <m/>
    <x v="0"/>
  </r>
  <r>
    <x v="10"/>
    <s v="Apple-SEBU-kg-kg-1.0000"/>
    <n v="120"/>
    <n v="0.33999999999999997"/>
    <x v="5"/>
    <s v="Ravi"/>
    <n v="40.799999999999997"/>
    <s v="Fruits"/>
    <m/>
    <m/>
    <m/>
    <m/>
    <m/>
    <x v="0"/>
  </r>
  <r>
    <x v="10"/>
    <s v="Chat Masala (100 gram)-chat masala-pkt-kg-0.1000"/>
    <n v="48"/>
    <n v="0.08"/>
    <x v="2"/>
    <s v="Ravi"/>
    <n v="3.84"/>
    <s v="Dry Grocery"/>
    <m/>
    <m/>
    <m/>
    <m/>
    <m/>
    <x v="0"/>
  </r>
  <r>
    <x v="10"/>
    <s v="Peas-batani-kg-kg-1.0000"/>
    <n v="48"/>
    <n v="0.4"/>
    <x v="2"/>
    <s v="Ravi"/>
    <n v="19.200000000000003"/>
    <s v="Dry Grocery"/>
    <m/>
    <m/>
    <m/>
    <m/>
    <m/>
    <x v="0"/>
  </r>
  <r>
    <x v="10"/>
    <s v="Sugar-Sakkre-kg-kg-1.0000"/>
    <n v="37"/>
    <n v="3.4"/>
    <x v="5"/>
    <s v="Ravi"/>
    <n v="125.8"/>
    <s v="Dry Grocery"/>
    <m/>
    <m/>
    <m/>
    <m/>
    <m/>
    <x v="0"/>
  </r>
  <r>
    <x v="10"/>
    <s v="Lemon Salt-Nimbehannu uppu-kg-kg-1.0000"/>
    <n v="100"/>
    <n v="0.24"/>
    <x v="2"/>
    <s v="Ravi"/>
    <n v="24"/>
    <s v="Dry Grocery"/>
    <m/>
    <m/>
    <m/>
    <m/>
    <m/>
    <x v="0"/>
  </r>
  <r>
    <x v="10"/>
    <s v="Onion-Erulli-kg-kg-1.0000"/>
    <n v="14"/>
    <n v="0.60499999999999998"/>
    <x v="0"/>
    <s v="Ravi"/>
    <n v="8.4699999999999989"/>
    <s v="Vegetable"/>
    <m/>
    <m/>
    <m/>
    <m/>
    <m/>
    <x v="0"/>
  </r>
  <r>
    <x v="10"/>
    <s v="Tomato (Jam)-tomatojam-kg-kg-1.0000"/>
    <n v="14.75"/>
    <n v="0.38500000000000001"/>
    <x v="2"/>
    <s v="Ravi"/>
    <n v="5.67875"/>
    <s v="Vegetable"/>
    <m/>
    <m/>
    <m/>
    <m/>
    <m/>
    <x v="0"/>
  </r>
  <r>
    <x v="10"/>
    <s v="Carrot-carrot-kg-kg-1.0000"/>
    <n v="27.97"/>
    <n v="0.255"/>
    <x v="2"/>
    <s v="Ravi"/>
    <n v="7.1323499999999997"/>
    <s v="Vegetable"/>
    <m/>
    <m/>
    <m/>
    <m/>
    <m/>
    <x v="0"/>
  </r>
  <r>
    <x v="10"/>
    <s v="Coriander leaves-Kothamiri Soppu-kg-kg-1.0000"/>
    <n v="25"/>
    <n v="0.08"/>
    <x v="2"/>
    <s v="Ravi"/>
    <n v="2"/>
    <s v="Vegetable"/>
    <m/>
    <m/>
    <m/>
    <m/>
    <m/>
    <x v="0"/>
  </r>
  <r>
    <x v="10"/>
    <s v="Orange -Kitlehannu-kg-kg-1.0000"/>
    <n v="50"/>
    <n v="0.62999999999999989"/>
    <x v="5"/>
    <s v="Ravi"/>
    <n v="31.499999999999993"/>
    <s v="Fruits"/>
    <m/>
    <m/>
    <m/>
    <m/>
    <m/>
    <x v="0"/>
  </r>
  <r>
    <x v="10"/>
    <s v="Moosambi-MOOSAMBI-kg-kg-1.0000"/>
    <n v="50"/>
    <n v="1.1399999999999999"/>
    <x v="5"/>
    <s v="Ravi"/>
    <n v="56.999999999999993"/>
    <s v="Fruits"/>
    <m/>
    <m/>
    <m/>
    <m/>
    <m/>
    <x v="0"/>
  </r>
  <r>
    <x v="10"/>
    <s v="Curd-Mosaru-lts-kg-1.0300"/>
    <n v="42"/>
    <n v="1.5"/>
    <x v="1"/>
    <s v="Ravi"/>
    <n v="63"/>
    <s v="Dairy"/>
    <m/>
    <m/>
    <m/>
    <m/>
    <m/>
    <x v="0"/>
  </r>
  <r>
    <x v="10"/>
    <s v="Milk-Haalu-lts-kg-1.0300"/>
    <n v="36"/>
    <n v="1.5"/>
    <x v="1"/>
    <s v="Ravi"/>
    <n v="54"/>
    <s v="Dairy"/>
    <m/>
    <m/>
    <m/>
    <m/>
    <m/>
    <x v="0"/>
  </r>
  <r>
    <x v="10"/>
    <s v="South Rice-South Hakki-kg-kg-1.0000"/>
    <n v="52"/>
    <n v="6"/>
    <x v="1"/>
    <s v="Ravi"/>
    <n v="312"/>
    <s v="Dry Grocery"/>
    <m/>
    <m/>
    <m/>
    <m/>
    <m/>
    <x v="0"/>
  </r>
  <r>
    <x v="10"/>
    <s v="Coconut-Theginkai-count-count-1.0000"/>
    <n v="28"/>
    <n v="2"/>
    <x v="1"/>
    <s v="Ravi"/>
    <n v="56"/>
    <s v="Vegetable"/>
    <m/>
    <m/>
    <m/>
    <m/>
    <m/>
    <x v="0"/>
  </r>
  <r>
    <x v="10"/>
    <s v="Sugar-Sakkre-kg-kg-1.0000"/>
    <n v="37"/>
    <n v="0.3"/>
    <x v="1"/>
    <s v="Ravi"/>
    <n v="11.1"/>
    <s v="Dry Grocery"/>
    <m/>
    <m/>
    <m/>
    <m/>
    <m/>
    <x v="0"/>
  </r>
  <r>
    <x v="10"/>
    <s v="Chilly Powder-Chilly Powder-kg-kg-1.0000"/>
    <n v="280"/>
    <n v="3.5000000000000003E-2"/>
    <x v="1"/>
    <s v="Ravi"/>
    <n v="9.8000000000000007"/>
    <s v="Dry Grocery"/>
    <m/>
    <m/>
    <m/>
    <m/>
    <m/>
    <x v="0"/>
  </r>
  <r>
    <x v="10"/>
    <s v="Coriander Powder (500 gram)-Dhanya Powder (500 gram)-kg-kg-1.0000"/>
    <n v="120"/>
    <n v="0.02"/>
    <x v="1"/>
    <s v="Ravi"/>
    <n v="2.4"/>
    <s v="Dry Grocery"/>
    <m/>
    <m/>
    <m/>
    <m/>
    <m/>
    <x v="0"/>
  </r>
  <r>
    <x v="10"/>
    <s v="Rasam powder-Rasam powder-kg-kg-1.0000"/>
    <n v="340"/>
    <n v="0.02"/>
    <x v="1"/>
    <s v="Ravi"/>
    <n v="6.8"/>
    <s v="Dry Grocery"/>
    <m/>
    <m/>
    <m/>
    <m/>
    <m/>
    <x v="0"/>
  </r>
  <r>
    <x v="10"/>
    <s v="Turmeric Powder-Arishina pudi-kg-kg-1.0000"/>
    <n v="187.41"/>
    <n v="2.5000000000000001E-2"/>
    <x v="1"/>
    <s v="Ravi"/>
    <n v="4.6852499999999999"/>
    <s v="Dry Grocery"/>
    <m/>
    <m/>
    <m/>
    <m/>
    <m/>
    <x v="0"/>
  </r>
  <r>
    <x v="10"/>
    <s v="Crystal Salt-Kalluppu-kg-kg-1.0000"/>
    <n v="7"/>
    <n v="0.34"/>
    <x v="1"/>
    <s v="Ravi"/>
    <n v="2.3800000000000003"/>
    <s v="Dry Grocery"/>
    <m/>
    <m/>
    <m/>
    <m/>
    <m/>
    <x v="0"/>
  </r>
  <r>
    <x v="10"/>
    <s v="Dalda-dalda-lts-kg-0.9050"/>
    <n v="96"/>
    <n v="3.5000000000000003E-2"/>
    <x v="1"/>
    <s v="Ravi"/>
    <n v="3.3600000000000003"/>
    <s v="Oil"/>
    <m/>
    <m/>
    <m/>
    <m/>
    <m/>
    <x v="0"/>
  </r>
  <r>
    <x v="10"/>
    <s v="Oil-Yenne-lts-kg-0.9150"/>
    <n v="82"/>
    <n v="1"/>
    <x v="1"/>
    <s v="Ravi"/>
    <n v="82"/>
    <s v="Oil"/>
    <m/>
    <m/>
    <m/>
    <m/>
    <m/>
    <x v="0"/>
  </r>
  <r>
    <x v="10"/>
    <s v="Jeera Seeds-Jeerge-kg-kg-1.0000"/>
    <n v="230"/>
    <n v="2.5000000000000001E-2"/>
    <x v="1"/>
    <s v="Ravi"/>
    <n v="5.75"/>
    <s v="Dry Grocery"/>
    <m/>
    <m/>
    <m/>
    <m/>
    <m/>
    <x v="0"/>
  </r>
  <r>
    <x v="10"/>
    <s v="Mustard-Sasive-kg-kg-1.0000"/>
    <n v="70"/>
    <n v="3.5000000000000003E-2"/>
    <x v="1"/>
    <s v="Ravi"/>
    <n v="2.4500000000000002"/>
    <s v="Dry Grocery"/>
    <m/>
    <m/>
    <m/>
    <m/>
    <m/>
    <x v="0"/>
  </r>
  <r>
    <x v="10"/>
    <s v="channadal(split)-Kadlebele-kg-kg-1.0000"/>
    <n v="55"/>
    <n v="7.4999999999999997E-2"/>
    <x v="1"/>
    <s v="Ravi"/>
    <n v="4.125"/>
    <s v="Dry Grocery"/>
    <m/>
    <m/>
    <m/>
    <m/>
    <m/>
    <x v="0"/>
  </r>
  <r>
    <x v="10"/>
    <s v="Onion-Erulli-kg-kg-1.0000"/>
    <n v="14"/>
    <n v="1.5"/>
    <x v="1"/>
    <s v="Ravi"/>
    <n v="21"/>
    <s v="Vegetable"/>
    <m/>
    <m/>
    <m/>
    <m/>
    <m/>
    <x v="0"/>
  </r>
  <r>
    <x v="10"/>
    <s v="Garlic-Belulli-kg-kg-1.0000"/>
    <n v="28"/>
    <n v="0.15"/>
    <x v="1"/>
    <s v="Ravi"/>
    <n v="4.2"/>
    <s v="Vegetable"/>
    <m/>
    <m/>
    <m/>
    <m/>
    <m/>
    <x v="0"/>
  </r>
  <r>
    <x v="10"/>
    <s v="Ginger-shunti-kg-kg-1.0000"/>
    <n v="40"/>
    <n v="0.05"/>
    <x v="1"/>
    <s v="Ravi"/>
    <n v="2"/>
    <s v="Vegetable"/>
    <m/>
    <m/>
    <m/>
    <m/>
    <m/>
    <x v="0"/>
  </r>
  <r>
    <x v="10"/>
    <s v="Wheat-Godhi-kg-kg-1.0000"/>
    <n v="34"/>
    <n v="0.75"/>
    <x v="1"/>
    <s v="Ravi"/>
    <n v="25.5"/>
    <s v="Dry Grocery"/>
    <m/>
    <m/>
    <m/>
    <m/>
    <m/>
    <x v="0"/>
  </r>
  <r>
    <x v="10"/>
    <s v="Cashew-Godambi-kg-kg-1.0000"/>
    <n v="840"/>
    <n v="1.4999999999999999E-2"/>
    <x v="1"/>
    <s v="Ravi"/>
    <n v="12.6"/>
    <s v="Dry Grocery"/>
    <m/>
    <m/>
    <m/>
    <m/>
    <m/>
    <x v="0"/>
  </r>
  <r>
    <x v="10"/>
    <s v="Raisin-drakshi-kg-kg-1.0000"/>
    <n v="240"/>
    <n v="1.4999999999999999E-2"/>
    <x v="1"/>
    <s v="Ravi"/>
    <n v="3.5999999999999996"/>
    <s v="Dry Grocery"/>
    <m/>
    <m/>
    <m/>
    <m/>
    <m/>
    <x v="0"/>
  </r>
  <r>
    <x v="10"/>
    <s v="Tamarind-hunsehannu-kg-kg-1.0000"/>
    <n v="170"/>
    <n v="0.05"/>
    <x v="1"/>
    <s v="Ravi"/>
    <n v="8.5"/>
    <s v="Dry Grocery"/>
    <m/>
    <m/>
    <m/>
    <m/>
    <m/>
    <x v="0"/>
  </r>
  <r>
    <x v="10"/>
    <s v="Tomato (Jam)-tomatojam-kg-kg-1.0000"/>
    <n v="14.75"/>
    <n v="1.9"/>
    <x v="1"/>
    <s v="Ravi"/>
    <n v="28.024999999999999"/>
    <s v="Vegetable"/>
    <m/>
    <m/>
    <m/>
    <m/>
    <m/>
    <x v="0"/>
  </r>
  <r>
    <x v="10"/>
    <s v="curry leaves-karbensoppu-kg-kg-1.0000"/>
    <n v="312.14"/>
    <n v="0.04"/>
    <x v="1"/>
    <s v="Ravi"/>
    <n v="12.4856"/>
    <s v="Vegetable"/>
    <m/>
    <m/>
    <m/>
    <m/>
    <m/>
    <x v="0"/>
  </r>
  <r>
    <x v="10"/>
    <s v="Coriander leaves-Kothamiri Soppu-kg-kg-1.0000"/>
    <n v="25"/>
    <n v="0.2"/>
    <x v="1"/>
    <s v="Ravi"/>
    <n v="5"/>
    <s v="Vegetable"/>
    <m/>
    <m/>
    <m/>
    <m/>
    <m/>
    <x v="0"/>
  </r>
  <r>
    <x v="10"/>
    <s v="Pudina-Pudina-kg-kg-1.0000"/>
    <n v="125"/>
    <n v="0.06"/>
    <x v="1"/>
    <s v="Ravi"/>
    <n v="7.5"/>
    <s v="Vegetable"/>
    <m/>
    <m/>
    <m/>
    <m/>
    <m/>
    <x v="0"/>
  </r>
  <r>
    <x v="10"/>
    <s v="Beans-Beans-kg-kg-1.0000"/>
    <n v="43.06"/>
    <n v="0.5"/>
    <x v="1"/>
    <s v="Ravi"/>
    <n v="21.53"/>
    <s v="Vegetable"/>
    <m/>
    <m/>
    <m/>
    <m/>
    <m/>
    <x v="0"/>
  </r>
  <r>
    <x v="10"/>
    <s v="Green chilly-hasinmenshinkayi-kg-kg-1.0000"/>
    <n v="30"/>
    <n v="0.1"/>
    <x v="1"/>
    <s v="Ravi"/>
    <n v="3"/>
    <s v="Vegetable"/>
    <m/>
    <m/>
    <m/>
    <m/>
    <m/>
    <x v="0"/>
  </r>
  <r>
    <x v="10"/>
    <s v="Guntur -guntur-kg-kg-1.0000"/>
    <n v="138"/>
    <n v="2.5000000000000001E-2"/>
    <x v="1"/>
    <s v="Ravi"/>
    <n v="3.45"/>
    <s v="Dry Grocery"/>
    <m/>
    <m/>
    <m/>
    <m/>
    <m/>
    <x v="0"/>
  </r>
  <r>
    <x v="10"/>
    <s v="Elaichi-yelakki-kg-kg-1.0000"/>
    <n v="1450"/>
    <n v="5.0000000000000001E-3"/>
    <x v="1"/>
    <s v="Ravi"/>
    <n v="7.25"/>
    <s v="Spice"/>
    <m/>
    <m/>
    <m/>
    <m/>
    <m/>
    <x v="0"/>
  </r>
  <r>
    <x v="10"/>
    <s v="Toordal-Thogaribele-kg-kg-1.0000"/>
    <n v="64.069999999999993"/>
    <n v="0.3"/>
    <x v="1"/>
    <s v="Ravi"/>
    <n v="19.220999999999997"/>
    <s v="Dry Grocery"/>
    <m/>
    <m/>
    <m/>
    <m/>
    <m/>
    <x v="0"/>
  </r>
  <r>
    <x v="10"/>
    <s v="mixed vegetables-mixed tharkari-kg-kg-1.0000"/>
    <n v="35"/>
    <n v="1"/>
    <x v="1"/>
    <s v="Ravi"/>
    <n v="35"/>
    <s v="Vegetable"/>
    <m/>
    <m/>
    <m/>
    <m/>
    <m/>
    <x v="0"/>
  </r>
  <r>
    <x v="10"/>
    <s v="North Papad (1 kg)-North Papad (1 kg)-kg-kg-1.0000"/>
    <n v="160"/>
    <n v="0.11"/>
    <x v="1"/>
    <s v="Ravi"/>
    <n v="17.600000000000001"/>
    <s v="Dry Grocery"/>
    <m/>
    <m/>
    <m/>
    <m/>
    <m/>
    <x v="0"/>
  </r>
  <r>
    <x v="10"/>
    <s v="South Papad (500 gram)-South Papad (500 gram)-pkt-kg-0.5000"/>
    <n v="62.03"/>
    <n v="8.5000000000000006E-2"/>
    <x v="1"/>
    <s v="Ravi"/>
    <n v="5.2725500000000007"/>
    <s v="Dry Grocery"/>
    <m/>
    <m/>
    <m/>
    <m/>
    <m/>
    <x v="0"/>
  </r>
  <r>
    <x v="10"/>
    <s v="Fenugreek Seeds-menthya beeja-kg-kg-1.0000"/>
    <n v="125"/>
    <n v="0.02"/>
    <x v="1"/>
    <s v="Ravi"/>
    <n v="2.5"/>
    <s v="Dry Grocery"/>
    <m/>
    <m/>
    <m/>
    <m/>
    <m/>
    <x v="0"/>
  </r>
  <r>
    <x v="10"/>
    <s v="Sabbudana-sago sabakki-kg-kg-1.0000"/>
    <n v="86"/>
    <n v="0.2"/>
    <x v="1"/>
    <s v="Ravi"/>
    <n v="17.2"/>
    <s v="Dry Grocery"/>
    <m/>
    <m/>
    <m/>
    <m/>
    <m/>
    <x v="0"/>
  </r>
  <r>
    <x v="10"/>
    <s v="Urad Dal-Uddina bele-kg-kg-1.0000"/>
    <n v="76"/>
    <n v="0.02"/>
    <x v="1"/>
    <s v="Ravi"/>
    <n v="1.52"/>
    <s v="Dry Grocery"/>
    <m/>
    <m/>
    <m/>
    <m/>
    <m/>
    <x v="0"/>
  </r>
  <r>
    <x v="10"/>
    <s v="Capsicum-Capsicum-kg-kg-1.0000"/>
    <n v="30"/>
    <n v="0.15"/>
    <x v="1"/>
    <s v="Ravi"/>
    <n v="4.5"/>
    <s v="Vegetable"/>
    <m/>
    <m/>
    <m/>
    <m/>
    <m/>
    <x v="0"/>
  </r>
  <r>
    <x v="10"/>
    <s v="Gas-Gas-kg-kg-1.0000"/>
    <n v="78.95"/>
    <n v="19"/>
    <x v="3"/>
    <s v="Common"/>
    <n v="1500.05"/>
    <s v="Gas"/>
    <m/>
    <m/>
    <m/>
    <m/>
    <m/>
    <x v="0"/>
  </r>
  <r>
    <x v="10"/>
    <s v="Lemon-Nimbehannu-count-count-1.0000"/>
    <n v="3"/>
    <n v="10"/>
    <x v="6"/>
    <s v="Jaggu"/>
    <n v="30"/>
    <s v="Vegetable"/>
    <m/>
    <m/>
    <m/>
    <m/>
    <m/>
    <x v="0"/>
  </r>
  <r>
    <x v="10"/>
    <s v="Onion-Erulli-kg-kg-1.0000"/>
    <n v="14"/>
    <n v="0.5"/>
    <x v="6"/>
    <s v="Jaggu"/>
    <n v="7"/>
    <s v="Vegetable"/>
    <m/>
    <m/>
    <m/>
    <m/>
    <m/>
    <x v="0"/>
  </r>
  <r>
    <x v="10"/>
    <s v="Milk-Haalu-lts-kg-1.0300"/>
    <n v="36"/>
    <n v="5"/>
    <x v="5"/>
    <s v="Ravi"/>
    <n v="180"/>
    <s v="Dairy"/>
    <m/>
    <m/>
    <m/>
    <m/>
    <m/>
    <x v="0"/>
  </r>
  <r>
    <x v="11"/>
    <s v="Gas-Gas-kg-kg-1.0000"/>
    <n v="78.95"/>
    <n v="17.5"/>
    <x v="3"/>
    <s v="Common"/>
    <n v="1381.625"/>
    <s v="Gas"/>
    <m/>
    <m/>
    <m/>
    <m/>
    <m/>
    <x v="0"/>
  </r>
  <r>
    <x v="11"/>
    <s v="Onion-Erulli-kg-kg-1.0000"/>
    <n v="14"/>
    <n v="4.3"/>
    <x v="0"/>
    <s v="Murthy"/>
    <n v="60.199999999999996"/>
    <s v="Vegetable"/>
    <m/>
    <m/>
    <m/>
    <m/>
    <m/>
    <x v="0"/>
  </r>
  <r>
    <x v="11"/>
    <s v="Green chilly-hasinmenshinkayi-kg-kg-1.0000"/>
    <n v="30"/>
    <n v="0.7"/>
    <x v="0"/>
    <s v="Murthy"/>
    <n v="21"/>
    <s v="Vegetable"/>
    <m/>
    <m/>
    <m/>
    <m/>
    <m/>
    <x v="0"/>
  </r>
  <r>
    <x v="11"/>
    <s v="Capsicum-Capsicum-kg-kg-1.0000"/>
    <n v="30"/>
    <n v="1.3"/>
    <x v="0"/>
    <s v="Murthy"/>
    <n v="39"/>
    <s v="Vegetable"/>
    <m/>
    <m/>
    <m/>
    <m/>
    <m/>
    <x v="0"/>
  </r>
  <r>
    <x v="11"/>
    <s v="Butter-Butter-kg-kg-1.0000"/>
    <n v="140"/>
    <n v="1"/>
    <x v="0"/>
    <s v="Murthy"/>
    <n v="140"/>
    <s v="Dairy"/>
    <m/>
    <m/>
    <m/>
    <m/>
    <m/>
    <x v="0"/>
  </r>
  <r>
    <x v="11"/>
    <s v="Paneer-Paneer-kg-kg-1.0000"/>
    <n v="175"/>
    <n v="2"/>
    <x v="0"/>
    <s v="Murthy"/>
    <n v="350"/>
    <s v="Dairy"/>
    <m/>
    <m/>
    <m/>
    <m/>
    <m/>
    <x v="0"/>
  </r>
  <r>
    <x v="11"/>
    <s v="Cabbage-geddekosu-kg-kg-1.0000"/>
    <n v="3"/>
    <n v="0.14000000000000001"/>
    <x v="0"/>
    <s v="Murthy"/>
    <n v="0.42000000000000004"/>
    <s v="Vegetable"/>
    <m/>
    <m/>
    <m/>
    <m/>
    <m/>
    <x v="0"/>
  </r>
  <r>
    <x v="11"/>
    <s v="Carrot-carrot-kg-kg-1.0000"/>
    <n v="27.97"/>
    <n v="1.1499999999999999"/>
    <x v="0"/>
    <s v="Murthy"/>
    <n v="32.165499999999994"/>
    <s v="Vegetable"/>
    <m/>
    <m/>
    <m/>
    <m/>
    <m/>
    <x v="0"/>
  </r>
  <r>
    <x v="11"/>
    <s v="Charcoal-Charcoal-kg-kg-1.0000"/>
    <n v="26"/>
    <n v="10.8"/>
    <x v="0"/>
    <s v="Murthy"/>
    <n v="280.8"/>
    <s v="Heating"/>
    <m/>
    <m/>
    <m/>
    <m/>
    <m/>
    <x v="0"/>
  </r>
  <r>
    <x v="11"/>
    <s v="Ginger-shunti-kg-kg-1.0000"/>
    <n v="40"/>
    <n v="0.3"/>
    <x v="0"/>
    <s v="Murthy"/>
    <n v="12"/>
    <s v="Vegetable"/>
    <m/>
    <m/>
    <m/>
    <m/>
    <m/>
    <x v="0"/>
  </r>
  <r>
    <x v="11"/>
    <s v="Oil-Yenne-lts-kg-0.9150"/>
    <n v="82"/>
    <n v="5"/>
    <x v="0"/>
    <s v="Murthy"/>
    <n v="410"/>
    <s v="Oil"/>
    <m/>
    <m/>
    <m/>
    <m/>
    <m/>
    <x v="0"/>
  </r>
  <r>
    <x v="11"/>
    <s v="Coriander leaves-Kothamiri Soppu-kg-kg-1.0000"/>
    <n v="25"/>
    <n v="0.6"/>
    <x v="0"/>
    <s v="Murthy"/>
    <n v="15"/>
    <s v="Vegetable"/>
    <m/>
    <m/>
    <m/>
    <m/>
    <m/>
    <x v="0"/>
  </r>
  <r>
    <x v="11"/>
    <s v="Pudina-Pudina-kg-kg-1.0000"/>
    <n v="125"/>
    <n v="0.06"/>
    <x v="0"/>
    <s v="Murthy"/>
    <n v="7.5"/>
    <s v="Vegetable"/>
    <m/>
    <m/>
    <m/>
    <m/>
    <m/>
    <x v="0"/>
  </r>
  <r>
    <x v="11"/>
    <s v="Beans-Beans-kg-kg-1.0000"/>
    <n v="43.06"/>
    <n v="0.9"/>
    <x v="0"/>
    <s v="Murthy"/>
    <n v="38.754000000000005"/>
    <s v="Vegetable"/>
    <m/>
    <m/>
    <m/>
    <m/>
    <m/>
    <x v="0"/>
  </r>
  <r>
    <x v="11"/>
    <s v="Cucumber-sothekayi-kg-kg-1.0000"/>
    <n v="43.98"/>
    <n v="0.2"/>
    <x v="0"/>
    <s v="Murthy"/>
    <n v="8.7959999999999994"/>
    <s v="Vegetable"/>
    <m/>
    <m/>
    <m/>
    <m/>
    <m/>
    <x v="0"/>
  </r>
  <r>
    <x v="11"/>
    <s v="Garlic-Belulli-kg-kg-1.0000"/>
    <n v="28"/>
    <n v="0.3"/>
    <x v="0"/>
    <s v="Murthy"/>
    <n v="8.4"/>
    <s v="Vegetable"/>
    <m/>
    <m/>
    <m/>
    <m/>
    <m/>
    <x v="0"/>
  </r>
  <r>
    <x v="11"/>
    <s v="Curd-Mosaru-lts-kg-1.0300"/>
    <n v="42"/>
    <n v="2.5"/>
    <x v="0"/>
    <s v="Murthy"/>
    <n v="105"/>
    <s v="Dairy"/>
    <m/>
    <m/>
    <m/>
    <m/>
    <m/>
    <x v="0"/>
  </r>
  <r>
    <x v="11"/>
    <s v="Milk-Haalu-lts-kg-1.0300"/>
    <n v="36"/>
    <n v="3"/>
    <x v="4"/>
    <s v="Vicky"/>
    <n v="108"/>
    <s v="Dairy"/>
    <m/>
    <m/>
    <m/>
    <m/>
    <m/>
    <x v="0"/>
  </r>
  <r>
    <x v="11"/>
    <s v="Bullet Rice-Bullet Rice-kg-kg-1.0000"/>
    <n v="64"/>
    <n v="2"/>
    <x v="0"/>
    <s v="Murthy"/>
    <n v="128"/>
    <s v="Dry Grocery"/>
    <m/>
    <m/>
    <m/>
    <m/>
    <m/>
    <x v="0"/>
  </r>
  <r>
    <x v="11"/>
    <s v="Sugar-Sakkre-kg-kg-1.0000"/>
    <n v="37"/>
    <n v="0.8"/>
    <x v="4"/>
    <s v="Vicky"/>
    <n v="29.6"/>
    <s v="Dry Grocery"/>
    <m/>
    <m/>
    <m/>
    <m/>
    <m/>
    <x v="0"/>
  </r>
  <r>
    <x v="11"/>
    <s v="Maida-Maida-kg-kg-1.0000"/>
    <n v="29.51"/>
    <n v="2.2999999999999998"/>
    <x v="0"/>
    <s v="Murthy"/>
    <n v="67.873000000000005"/>
    <s v="Dry Grocery"/>
    <m/>
    <m/>
    <m/>
    <m/>
    <m/>
    <x v="0"/>
  </r>
  <r>
    <x v="11"/>
    <s v="Mushroom-Mushroom-pkt-pkt-1.0000"/>
    <n v="32"/>
    <n v="2"/>
    <x v="0"/>
    <s v="Murthy"/>
    <n v="64"/>
    <s v="Vegetable"/>
    <m/>
    <m/>
    <m/>
    <m/>
    <m/>
    <x v="0"/>
  </r>
  <r>
    <x v="11"/>
    <s v="Hakka Noodles-Hakka Noodles-pkt-kg-0.4000"/>
    <n v="40"/>
    <n v="1"/>
    <x v="0"/>
    <s v="Murthy"/>
    <n v="40"/>
    <s v="Dry Grocery"/>
    <m/>
    <m/>
    <m/>
    <m/>
    <m/>
    <x v="0"/>
  </r>
  <r>
    <x v="11"/>
    <s v="Cauliflower-hookosu-kg-kg-1.0000"/>
    <n v="23.33"/>
    <n v="1.05"/>
    <x v="0"/>
    <s v="Murthy"/>
    <n v="24.496499999999997"/>
    <s v="Vegetable"/>
    <m/>
    <m/>
    <m/>
    <m/>
    <m/>
    <x v="0"/>
  </r>
  <r>
    <x v="11"/>
    <s v="Roti Wheat-Roti atta-kg-kg-1.0000"/>
    <n v="27"/>
    <n v="3.1"/>
    <x v="0"/>
    <s v="Murthy"/>
    <n v="83.7"/>
    <s v="Dry Grocery"/>
    <m/>
    <m/>
    <m/>
    <m/>
    <m/>
    <x v="0"/>
  </r>
  <r>
    <x v="11"/>
    <s v="Palak leaves-Palak soppu-kg-kg-1.0000"/>
    <n v="38"/>
    <n v="1.6"/>
    <x v="0"/>
    <s v="Murthy"/>
    <n v="60.800000000000004"/>
    <s v="Vegetable"/>
    <m/>
    <m/>
    <m/>
    <m/>
    <m/>
    <x v="0"/>
  </r>
  <r>
    <x v="11"/>
    <s v="Ketchup(1.2 kg)-ketchup-bottle-kg-1.2000"/>
    <n v="75"/>
    <n v="0.3"/>
    <x v="0"/>
    <s v="Murthy"/>
    <n v="22.5"/>
    <s v="Sauce"/>
    <m/>
    <m/>
    <m/>
    <m/>
    <m/>
    <x v="0"/>
  </r>
  <r>
    <x v="11"/>
    <s v="Tea powder-Tea powder-kg-kg-1.0000"/>
    <n v="390"/>
    <n v="0.15"/>
    <x v="4"/>
    <s v="Vicky"/>
    <n v="58.5"/>
    <s v="Hot Beverage"/>
    <m/>
    <m/>
    <m/>
    <m/>
    <m/>
    <x v="0"/>
  </r>
  <r>
    <x v="11"/>
    <s v="Masala papad-Masala papad-kg-kg-1.0000"/>
    <n v="272"/>
    <n v="0.25"/>
    <x v="0"/>
    <s v="Murthy"/>
    <n v="68"/>
    <s v="Dry Grocery"/>
    <m/>
    <m/>
    <m/>
    <m/>
    <m/>
    <x v="0"/>
  </r>
  <r>
    <x v="11"/>
    <s v="Chilly Powder-Chilly Powder-kg-kg-1.0000"/>
    <n v="280"/>
    <n v="0.12"/>
    <x v="0"/>
    <s v="Murthy"/>
    <n v="33.6"/>
    <s v="Dry Grocery"/>
    <m/>
    <m/>
    <m/>
    <m/>
    <m/>
    <x v="0"/>
  </r>
  <r>
    <x v="11"/>
    <s v="Garam Masala (100 gram)-garam masala-pkt-kg-0.1000"/>
    <n v="57.5"/>
    <n v="0.03"/>
    <x v="0"/>
    <s v="Murthy"/>
    <n v="1.7249999999999999"/>
    <s v="Dry Grocery"/>
    <m/>
    <m/>
    <m/>
    <m/>
    <m/>
    <x v="0"/>
  </r>
  <r>
    <x v="11"/>
    <s v="Turmeric Powder-Arishina pudi-kg-kg-1.0000"/>
    <n v="187.41"/>
    <n v="0.02"/>
    <x v="0"/>
    <s v="Murthy"/>
    <n v="3.7482000000000002"/>
    <s v="Dry Grocery"/>
    <m/>
    <m/>
    <m/>
    <m/>
    <m/>
    <x v="0"/>
  </r>
  <r>
    <x v="11"/>
    <s v="Salt Powder-Uppu-kg-kg-1.0000"/>
    <n v="17"/>
    <n v="0.4"/>
    <x v="0"/>
    <s v="Murthy"/>
    <n v="6.8000000000000007"/>
    <s v="Dry Grocery"/>
    <m/>
    <m/>
    <m/>
    <m/>
    <m/>
    <x v="0"/>
  </r>
  <r>
    <x v="11"/>
    <s v="Black Pepper Powder-Kaal menasu-kg-kg-1.0000"/>
    <n v="380"/>
    <n v="8.5000000000000006E-2"/>
    <x v="0"/>
    <s v="Murthy"/>
    <n v="32.300000000000004"/>
    <s v="Dry Grocery"/>
    <m/>
    <m/>
    <m/>
    <m/>
    <m/>
    <x v="0"/>
  </r>
  <r>
    <x v="11"/>
    <s v="White Pepper Powder (500 gram)-Billi menasu pudi-kg-kg-1.0000"/>
    <n v="180"/>
    <n v="0.13500000000000001"/>
    <x v="0"/>
    <s v="Murthy"/>
    <n v="24.3"/>
    <s v="Dry Grocery"/>
    <m/>
    <m/>
    <m/>
    <m/>
    <m/>
    <x v="0"/>
  </r>
  <r>
    <x v="11"/>
    <s v="Tasting Powder (500 kg)-tasting powder-kg-kg-1.0000"/>
    <n v="148"/>
    <n v="7.0000000000000007E-2"/>
    <x v="0"/>
    <s v="Murthy"/>
    <n v="10.360000000000001"/>
    <s v="Dry Grocery"/>
    <m/>
    <m/>
    <m/>
    <m/>
    <m/>
    <x v="0"/>
  </r>
  <r>
    <x v="11"/>
    <s v="Kitchen king (100 gram)-Kitchen king (100 gram)-pkt-kg-0.1000"/>
    <n v="51"/>
    <n v="1"/>
    <x v="0"/>
    <s v="Murthy"/>
    <n v="51"/>
    <s v="Dry Grocery"/>
    <m/>
    <m/>
    <m/>
    <m/>
    <m/>
    <x v="0"/>
  </r>
  <r>
    <x v="11"/>
    <s v="Vinegar-Vinegar-bottle-kg-0.8600"/>
    <n v="24"/>
    <n v="0.1744"/>
    <x v="0"/>
    <s v="Murthy"/>
    <n v="4.1856"/>
    <s v="Dry Grocery"/>
    <m/>
    <m/>
    <m/>
    <m/>
    <m/>
    <x v="0"/>
  </r>
  <r>
    <x v="11"/>
    <s v="Dark soya souce-Dark soya souce-bottle-kg-0.8150"/>
    <n v="33"/>
    <n v="0.1411"/>
    <x v="0"/>
    <s v="Murthy"/>
    <n v="4.6562999999999999"/>
    <s v="Sauce"/>
    <m/>
    <m/>
    <m/>
    <m/>
    <m/>
    <x v="0"/>
  </r>
  <r>
    <x v="11"/>
    <s v="Ketchup(1.2 kg)-ketchup-bottle-kg-1.2000"/>
    <n v="75"/>
    <n v="0.625"/>
    <x v="0"/>
    <s v="Murthy"/>
    <n v="46.875"/>
    <s v="Sauce"/>
    <m/>
    <m/>
    <m/>
    <m/>
    <m/>
    <x v="0"/>
  </r>
  <r>
    <x v="11"/>
    <s v="Coriander Powder (500 gram)-Dhanya Powder (500 gram)-kg-kg-1.0000"/>
    <n v="120"/>
    <n v="0.05"/>
    <x v="0"/>
    <s v="Murthy"/>
    <n v="6"/>
    <s v="Dry Grocery"/>
    <m/>
    <m/>
    <m/>
    <m/>
    <m/>
    <x v="0"/>
  </r>
  <r>
    <x v="11"/>
    <s v="Babycorn-Babycorn-kg-kg-1.0000"/>
    <n v="60"/>
    <n v="0.5"/>
    <x v="0"/>
    <s v="Murthy"/>
    <n v="30"/>
    <s v="Vegetable"/>
    <m/>
    <m/>
    <m/>
    <m/>
    <m/>
    <x v="0"/>
  </r>
  <r>
    <x v="11"/>
    <s v="Milk-Haalu-lts-kg-1.0300"/>
    <n v="36"/>
    <n v="3"/>
    <x v="5"/>
    <s v="Ravi"/>
    <n v="108"/>
    <s v="Dairy"/>
    <m/>
    <m/>
    <m/>
    <m/>
    <m/>
    <x v="0"/>
  </r>
  <r>
    <x v="11"/>
    <s v="Pineapple-ANNANAS-kg-kg-1.0000"/>
    <n v="30"/>
    <n v="0.58499999999999996"/>
    <x v="5"/>
    <s v="Ravi"/>
    <n v="17.549999999999997"/>
    <s v="Fruits"/>
    <m/>
    <m/>
    <m/>
    <m/>
    <m/>
    <x v="0"/>
  </r>
  <r>
    <x v="11"/>
    <s v="Muskmelon-THARBUJA-kg-kg-1.0000"/>
    <n v="20"/>
    <n v="1.5"/>
    <x v="5"/>
    <s v="Ravi"/>
    <n v="30"/>
    <s v="Fruits"/>
    <m/>
    <m/>
    <m/>
    <m/>
    <m/>
    <x v="0"/>
  </r>
  <r>
    <x v="11"/>
    <s v="Watermelon-Watermelon-kg-kg-1.0000"/>
    <n v="20"/>
    <n v="2.2999999999999998"/>
    <x v="5"/>
    <s v="Ravi"/>
    <n v="46"/>
    <s v="Fruits"/>
    <m/>
    <m/>
    <m/>
    <m/>
    <m/>
    <x v="0"/>
  </r>
  <r>
    <x v="11"/>
    <s v="Chickoo-Sapota-kg-kg-1.0000"/>
    <n v="40"/>
    <n v="0.50000000000000011"/>
    <x v="5"/>
    <s v="Ravi"/>
    <n v="20.000000000000004"/>
    <s v="Fruits"/>
    <m/>
    <m/>
    <m/>
    <m/>
    <m/>
    <x v="0"/>
  </r>
  <r>
    <x v="11"/>
    <s v="Apple-SEBU-kg-kg-1.0000"/>
    <n v="120"/>
    <n v="0.16"/>
    <x v="5"/>
    <s v="Ravi"/>
    <n v="19.2"/>
    <s v="Fruits"/>
    <m/>
    <m/>
    <m/>
    <m/>
    <m/>
    <x v="0"/>
  </r>
  <r>
    <x v="11"/>
    <s v="Orange -Kitlehannu-kg-kg-1.0000"/>
    <n v="50"/>
    <n v="0.57000000000000006"/>
    <x v="5"/>
    <s v="Ravi"/>
    <n v="28.500000000000004"/>
    <s v="Fruits"/>
    <m/>
    <m/>
    <m/>
    <m/>
    <m/>
    <x v="0"/>
  </r>
  <r>
    <x v="11"/>
    <s v="Moosambi-MOOSAMBI-kg-kg-1.0000"/>
    <n v="50"/>
    <n v="1.3700000000000006"/>
    <x v="5"/>
    <s v="Ravi"/>
    <n v="68.500000000000028"/>
    <s v="Fruits"/>
    <m/>
    <m/>
    <m/>
    <m/>
    <m/>
    <x v="0"/>
  </r>
  <r>
    <x v="11"/>
    <s v="Onion-Erulli-kg-kg-1.0000"/>
    <n v="14"/>
    <n v="1.02"/>
    <x v="2"/>
    <s v="Ravi"/>
    <n v="14.280000000000001"/>
    <s v="Vegetable"/>
    <m/>
    <m/>
    <m/>
    <m/>
    <m/>
    <x v="0"/>
  </r>
  <r>
    <x v="11"/>
    <s v="Tomato (Jam)-tomatojam-kg-kg-1.0000"/>
    <n v="14.75"/>
    <n v="0.58499999999999996"/>
    <x v="2"/>
    <s v="Ravi"/>
    <n v="8.6287500000000001"/>
    <s v="Vegetable"/>
    <m/>
    <m/>
    <m/>
    <m/>
    <m/>
    <x v="0"/>
  </r>
  <r>
    <x v="11"/>
    <s v="Coconut-Theginkai-count-count-1.0000"/>
    <n v="28"/>
    <n v="0.5"/>
    <x v="2"/>
    <s v="Ravi"/>
    <n v="14"/>
    <s v="Vegetable"/>
    <m/>
    <m/>
    <m/>
    <m/>
    <m/>
    <x v="0"/>
  </r>
  <r>
    <x v="11"/>
    <s v="Coriander leaves-Kothamiri Soppu-kg-kg-1.0000"/>
    <n v="25"/>
    <n v="0.35"/>
    <x v="2"/>
    <s v="Ravi"/>
    <n v="8.75"/>
    <s v="Vegetable"/>
    <m/>
    <m/>
    <m/>
    <m/>
    <m/>
    <x v="0"/>
  </r>
  <r>
    <x v="11"/>
    <s v="Garlic-Belulli-kg-kg-1.0000"/>
    <n v="28"/>
    <n v="0.15"/>
    <x v="2"/>
    <s v="Ravi"/>
    <n v="4.2"/>
    <s v="Vegetable"/>
    <m/>
    <m/>
    <m/>
    <m/>
    <m/>
    <x v="0"/>
  </r>
  <r>
    <x v="11"/>
    <s v="Green chilly-hasinmenshinkayi-kg-kg-1.0000"/>
    <n v="30"/>
    <n v="0.15"/>
    <x v="2"/>
    <s v="Ravi"/>
    <n v="4.5"/>
    <s v="Vegetable"/>
    <m/>
    <m/>
    <m/>
    <m/>
    <m/>
    <x v="0"/>
  </r>
  <r>
    <x v="11"/>
    <s v="Fried Gram-Hurgadle-kg-kg-1.0000"/>
    <n v="60"/>
    <n v="6.5000000000000002E-2"/>
    <x v="2"/>
    <s v="Ravi"/>
    <n v="3.9000000000000004"/>
    <s v="Dry Grocery"/>
    <m/>
    <m/>
    <m/>
    <m/>
    <m/>
    <x v="0"/>
  </r>
  <r>
    <x v="11"/>
    <s v="Potato-Aloogedde-kg-kg-1.0000"/>
    <n v="20"/>
    <n v="0.2"/>
    <x v="2"/>
    <s v="Ravi"/>
    <n v="4"/>
    <s v="Vegetable"/>
    <m/>
    <m/>
    <m/>
    <m/>
    <m/>
    <x v="0"/>
  </r>
  <r>
    <x v="11"/>
    <s v="Curd-Mosaru-lts-kg-1.0300"/>
    <n v="42"/>
    <n v="0.5"/>
    <x v="2"/>
    <s v="Ravi"/>
    <n v="21"/>
    <s v="Dairy"/>
    <m/>
    <m/>
    <m/>
    <m/>
    <m/>
    <x v="0"/>
  </r>
  <r>
    <x v="11"/>
    <s v="Ginger-shunti-kg-kg-1.0000"/>
    <n v="40"/>
    <n v="4.4999999999999998E-2"/>
    <x v="2"/>
    <s v="Ravi"/>
    <n v="1.7999999999999998"/>
    <s v="Vegetable"/>
    <m/>
    <m/>
    <m/>
    <m/>
    <m/>
    <x v="0"/>
  </r>
  <r>
    <x v="11"/>
    <s v="Carrot-carrot-kg-kg-1.0000"/>
    <n v="27.97"/>
    <n v="0.25"/>
    <x v="2"/>
    <s v="Ravi"/>
    <n v="6.9924999999999997"/>
    <s v="Vegetable"/>
    <m/>
    <m/>
    <m/>
    <m/>
    <m/>
    <x v="0"/>
  </r>
  <r>
    <x v="11"/>
    <s v="Curd-Mosaru-lts-kg-1.0300"/>
    <n v="42"/>
    <n v="1.5"/>
    <x v="1"/>
    <s v="Ravi"/>
    <n v="63"/>
    <s v="Dairy"/>
    <m/>
    <m/>
    <m/>
    <m/>
    <m/>
    <x v="0"/>
  </r>
  <r>
    <x v="11"/>
    <s v="Milk-Haalu-lts-kg-1.0300"/>
    <n v="36"/>
    <n v="1.5"/>
    <x v="1"/>
    <s v="Ravi"/>
    <n v="54"/>
    <s v="Dairy"/>
    <m/>
    <m/>
    <m/>
    <m/>
    <m/>
    <x v="0"/>
  </r>
  <r>
    <x v="11"/>
    <s v="Gas-Gas-kg-kg-1.0000"/>
    <n v="78.95"/>
    <n v="1.5"/>
    <x v="1"/>
    <s v="Ravi"/>
    <n v="118.42500000000001"/>
    <s v="Gas"/>
    <m/>
    <m/>
    <m/>
    <m/>
    <m/>
    <x v="0"/>
  </r>
  <r>
    <x v="11"/>
    <s v="South Rice-South Hakki-kg-kg-1.0000"/>
    <n v="52"/>
    <n v="4"/>
    <x v="1"/>
    <s v="Ravi"/>
    <n v="208"/>
    <s v="Dry Grocery"/>
    <m/>
    <m/>
    <m/>
    <m/>
    <m/>
    <x v="0"/>
  </r>
  <r>
    <x v="11"/>
    <s v="Coconut-Theginkai-count-count-1.0000"/>
    <n v="28"/>
    <n v="2"/>
    <x v="1"/>
    <s v="Ravi"/>
    <n v="56"/>
    <s v="Vegetable"/>
    <m/>
    <m/>
    <m/>
    <m/>
    <m/>
    <x v="0"/>
  </r>
  <r>
    <x v="11"/>
    <s v="Sugar-Sakkre-kg-kg-1.0000"/>
    <n v="37"/>
    <n v="3.5000000000000003E-2"/>
    <x v="1"/>
    <s v="Ravi"/>
    <n v="1.2950000000000002"/>
    <s v="Dry Grocery"/>
    <m/>
    <m/>
    <m/>
    <m/>
    <m/>
    <x v="0"/>
  </r>
  <r>
    <x v="11"/>
    <s v="Chilly Powder-Chilly Powder-kg-kg-1.0000"/>
    <n v="280"/>
    <n v="0.09"/>
    <x v="1"/>
    <s v="Ravi"/>
    <n v="25.2"/>
    <s v="Dry Grocery"/>
    <m/>
    <m/>
    <m/>
    <m/>
    <m/>
    <x v="0"/>
  </r>
  <r>
    <x v="11"/>
    <s v="Rasam powder-Rasam powder-kg-kg-1.0000"/>
    <n v="340"/>
    <n v="0.02"/>
    <x v="1"/>
    <s v="Ravi"/>
    <n v="6.8"/>
    <s v="Dry Grocery"/>
    <m/>
    <m/>
    <m/>
    <m/>
    <m/>
    <x v="0"/>
  </r>
  <r>
    <x v="11"/>
    <s v="Crystal Salt-Kalluppu-kg-kg-1.0000"/>
    <n v="7"/>
    <n v="0.43"/>
    <x v="1"/>
    <s v="Ravi"/>
    <n v="3.01"/>
    <s v="Dry Grocery"/>
    <m/>
    <m/>
    <m/>
    <m/>
    <m/>
    <x v="0"/>
  </r>
  <r>
    <x v="11"/>
    <s v="Turmeric Powder-Arishina pudi-kg-kg-1.0000"/>
    <n v="187.41"/>
    <n v="2.5000000000000001E-2"/>
    <x v="1"/>
    <s v="Ravi"/>
    <n v="4.6852499999999999"/>
    <s v="Dry Grocery"/>
    <m/>
    <m/>
    <m/>
    <m/>
    <m/>
    <x v="0"/>
  </r>
  <r>
    <x v="11"/>
    <s v="Garam Masala (100 gram)-garam masala-pkt-kg-0.1000"/>
    <n v="57.5"/>
    <n v="0.03"/>
    <x v="1"/>
    <s v="Ravi"/>
    <n v="1.7249999999999999"/>
    <s v="Dry Grocery"/>
    <m/>
    <m/>
    <m/>
    <m/>
    <m/>
    <x v="0"/>
  </r>
  <r>
    <x v="11"/>
    <s v="Dalda-dalda-lts-kg-0.9050"/>
    <n v="96"/>
    <n v="0.13500000000000001"/>
    <x v="1"/>
    <s v="Ravi"/>
    <n v="12.96"/>
    <s v="Oil"/>
    <m/>
    <m/>
    <m/>
    <m/>
    <m/>
    <x v="0"/>
  </r>
  <r>
    <x v="11"/>
    <s v="Oil-Yenne-lts-kg-0.9150"/>
    <n v="82"/>
    <n v="1"/>
    <x v="1"/>
    <s v="Ravi"/>
    <n v="82"/>
    <s v="Oil"/>
    <m/>
    <m/>
    <m/>
    <m/>
    <m/>
    <x v="0"/>
  </r>
  <r>
    <x v="11"/>
    <s v="Jeera Seeds-Jeerge-kg-kg-1.0000"/>
    <n v="230"/>
    <n v="2.5000000000000001E-2"/>
    <x v="1"/>
    <s v="Ravi"/>
    <n v="5.75"/>
    <s v="Dry Grocery"/>
    <m/>
    <m/>
    <m/>
    <m/>
    <m/>
    <x v="0"/>
  </r>
  <r>
    <x v="11"/>
    <s v="Mustard-Sasive-kg-kg-1.0000"/>
    <n v="70"/>
    <n v="5.5E-2"/>
    <x v="1"/>
    <s v="Ravi"/>
    <n v="3.85"/>
    <s v="Dry Grocery"/>
    <m/>
    <m/>
    <m/>
    <m/>
    <m/>
    <x v="0"/>
  </r>
  <r>
    <x v="11"/>
    <s v="Onion-Erulli-kg-kg-1.0000"/>
    <n v="14"/>
    <n v="2"/>
    <x v="1"/>
    <s v="Ravi"/>
    <n v="28"/>
    <s v="Vegetable"/>
    <m/>
    <m/>
    <m/>
    <m/>
    <m/>
    <x v="0"/>
  </r>
  <r>
    <x v="11"/>
    <s v="Garlic-Belulli-kg-kg-1.0000"/>
    <n v="28"/>
    <n v="0.25"/>
    <x v="1"/>
    <s v="Ravi"/>
    <n v="7"/>
    <s v="Vegetable"/>
    <m/>
    <m/>
    <m/>
    <m/>
    <m/>
    <x v="0"/>
  </r>
  <r>
    <x v="11"/>
    <s v="channadal(split)-Kadlebele-kg-kg-1.0000"/>
    <n v="55"/>
    <n v="0.13500000000000001"/>
    <x v="1"/>
    <s v="Ravi"/>
    <n v="7.4250000000000007"/>
    <s v="Dry Grocery"/>
    <m/>
    <m/>
    <m/>
    <m/>
    <m/>
    <x v="0"/>
  </r>
  <r>
    <x v="11"/>
    <s v="Wheat-Godhi-kg-kg-1.0000"/>
    <n v="34"/>
    <n v="0.75"/>
    <x v="1"/>
    <s v="Ravi"/>
    <n v="25.5"/>
    <s v="Dry Grocery"/>
    <m/>
    <m/>
    <m/>
    <m/>
    <m/>
    <x v="0"/>
  </r>
  <r>
    <x v="11"/>
    <s v="Cashew-Godambi-kg-kg-1.0000"/>
    <n v="840"/>
    <n v="1.4999999999999999E-2"/>
    <x v="1"/>
    <s v="Ravi"/>
    <n v="12.6"/>
    <s v="Dry Grocery"/>
    <m/>
    <m/>
    <m/>
    <m/>
    <m/>
    <x v="0"/>
  </r>
  <r>
    <x v="11"/>
    <s v="Raisin-drakshi-kg-kg-1.0000"/>
    <n v="34"/>
    <n v="1.4999999999999999E-2"/>
    <x v="1"/>
    <s v="Ravi"/>
    <n v="0.51"/>
    <s v="Dry Grocery"/>
    <m/>
    <m/>
    <m/>
    <m/>
    <m/>
    <x v="0"/>
  </r>
  <r>
    <x v="11"/>
    <s v="Chiroti Semolina-Chiroti rava-kg-kg-1.0000"/>
    <n v="62.03"/>
    <n v="0.4"/>
    <x v="1"/>
    <s v="Ravi"/>
    <n v="24.812000000000001"/>
    <s v="Dry Grocery"/>
    <m/>
    <m/>
    <m/>
    <m/>
    <m/>
    <x v="0"/>
  </r>
  <r>
    <x v="11"/>
    <s v="South Papad (500 gram)-South Papad (500 gram)-pkt-kg-0.5000"/>
    <n v="160"/>
    <n v="6.5000000000000002E-2"/>
    <x v="1"/>
    <s v="Ravi"/>
    <n v="10.4"/>
    <s v="Dry Grocery"/>
    <m/>
    <m/>
    <m/>
    <m/>
    <m/>
    <x v="0"/>
  </r>
  <r>
    <x v="11"/>
    <s v="North Papad (1 kg)-North Papad (1 kg)-kg-kg-1.0000"/>
    <n v="64.069999999999993"/>
    <n v="0.14000000000000001"/>
    <x v="1"/>
    <s v="Ravi"/>
    <n v="8.9697999999999993"/>
    <s v="Dry Grocery"/>
    <m/>
    <m/>
    <m/>
    <m/>
    <m/>
    <x v="0"/>
  </r>
  <r>
    <x v="11"/>
    <s v="Toordal-Thogaribele-kg-kg-1.0000"/>
    <n v="170"/>
    <n v="0.5"/>
    <x v="1"/>
    <s v="Ravi"/>
    <n v="85"/>
    <s v="Dry Grocery"/>
    <m/>
    <m/>
    <m/>
    <m/>
    <m/>
    <x v="0"/>
  </r>
  <r>
    <x v="11"/>
    <s v="Tamarind-hunsehannu-kg-kg-1.0000"/>
    <n v="14.75"/>
    <n v="0.15"/>
    <x v="1"/>
    <s v="Ravi"/>
    <n v="2.2124999999999999"/>
    <s v="Dry Grocery"/>
    <m/>
    <m/>
    <m/>
    <m/>
    <m/>
    <x v="0"/>
  </r>
  <r>
    <x v="11"/>
    <s v="Tomato (Jam)-tomatojam-kg-kg-1.0000"/>
    <n v="312.14"/>
    <n v="0.9"/>
    <x v="1"/>
    <s v="Ravi"/>
    <n v="280.92599999999999"/>
    <s v="Vegetable"/>
    <m/>
    <m/>
    <m/>
    <m/>
    <m/>
    <x v="0"/>
  </r>
  <r>
    <x v="11"/>
    <s v="curry leaves-karbensoppu-kg-kg-1.0000"/>
    <n v="25"/>
    <n v="0.04"/>
    <x v="1"/>
    <s v="Ravi"/>
    <n v="1"/>
    <s v="Vegetable"/>
    <m/>
    <m/>
    <m/>
    <m/>
    <m/>
    <x v="0"/>
  </r>
  <r>
    <x v="11"/>
    <s v="Coriander leaves-Kothamiri Soppu-kg-kg-1.0000"/>
    <n v="125"/>
    <n v="0.15"/>
    <x v="1"/>
    <s v="Ravi"/>
    <n v="18.75"/>
    <s v="Vegetable"/>
    <m/>
    <m/>
    <m/>
    <m/>
    <m/>
    <x v="0"/>
  </r>
  <r>
    <x v="11"/>
    <s v="Pudina-Pudina-kg-kg-1.0000"/>
    <n v="40"/>
    <n v="0.06"/>
    <x v="1"/>
    <s v="Ravi"/>
    <n v="2.4"/>
    <s v="Vegetable"/>
    <m/>
    <m/>
    <m/>
    <m/>
    <m/>
    <x v="0"/>
  </r>
  <r>
    <x v="11"/>
    <s v="Ginger-shunti-kg-kg-1.0000"/>
    <n v="43.06"/>
    <n v="0.1"/>
    <x v="1"/>
    <s v="Ravi"/>
    <n v="4.306"/>
    <s v="Vegetable"/>
    <m/>
    <m/>
    <m/>
    <m/>
    <m/>
    <x v="0"/>
  </r>
  <r>
    <x v="11"/>
    <s v="Beans-Beans-kg-kg-1.0000"/>
    <n v="60"/>
    <n v="0.7"/>
    <x v="1"/>
    <s v="Ravi"/>
    <n v="42"/>
    <s v="Vegetable"/>
    <m/>
    <m/>
    <m/>
    <m/>
    <m/>
    <x v="0"/>
  </r>
  <r>
    <x v="11"/>
    <s v="Fried Gram-Hurgadle-kg-kg-1.0000"/>
    <n v="1450"/>
    <n v="0.1"/>
    <x v="1"/>
    <s v="Ravi"/>
    <n v="145"/>
    <s v="Dry Grocery"/>
    <m/>
    <m/>
    <m/>
    <m/>
    <m/>
    <x v="0"/>
  </r>
  <r>
    <x v="11"/>
    <s v="Elaichi-yelakki-kg-kg-1.0000"/>
    <n v="61.08"/>
    <n v="0.01"/>
    <x v="1"/>
    <s v="Ravi"/>
    <n v="0.61080000000000001"/>
    <s v="Spice"/>
    <m/>
    <m/>
    <m/>
    <m/>
    <m/>
    <x v="0"/>
  </r>
  <r>
    <x v="11"/>
    <s v="vermicelli-Shavige-kg-kg-1.0000"/>
    <n v="30"/>
    <n v="0.2"/>
    <x v="1"/>
    <s v="Ravi"/>
    <n v="6"/>
    <s v="Dry Grocery"/>
    <m/>
    <m/>
    <m/>
    <m/>
    <m/>
    <x v="0"/>
  </r>
  <r>
    <x v="11"/>
    <s v="Green chilly-hasinmenshinkayi-kg-kg-1.0000"/>
    <n v="138"/>
    <n v="0.12"/>
    <x v="1"/>
    <s v="Ravi"/>
    <n v="16.559999999999999"/>
    <s v="Vegetable"/>
    <m/>
    <m/>
    <m/>
    <m/>
    <m/>
    <x v="0"/>
  </r>
  <r>
    <x v="11"/>
    <s v="Guntur -guntur-kg-kg-1.0000"/>
    <n v="280"/>
    <n v="0.03"/>
    <x v="1"/>
    <s v="Ravi"/>
    <n v="8.4"/>
    <s v="Dry Grocery"/>
    <m/>
    <m/>
    <m/>
    <m/>
    <m/>
    <x v="0"/>
  </r>
  <r>
    <x v="11"/>
    <s v="Byadagi chilly-Byadagi chilly-kg-kg-1.0000"/>
    <n v="108"/>
    <n v="0.02"/>
    <x v="1"/>
    <s v="Ravi"/>
    <n v="2.16"/>
    <s v="Dry Grocery"/>
    <m/>
    <m/>
    <m/>
    <m/>
    <m/>
    <x v="0"/>
  </r>
  <r>
    <x v="11"/>
    <s v="Groundnut Seeds-Kadlekayi Beeja-kg-kg-1.0000"/>
    <n v="108"/>
    <n v="0.15"/>
    <x v="1"/>
    <s v="Ravi"/>
    <n v="16.2"/>
    <s v="Dry Grocery"/>
    <m/>
    <m/>
    <m/>
    <m/>
    <m/>
    <x v="0"/>
  </r>
  <r>
    <x v="11"/>
    <s v="Carrot-carrot-kg-kg-1.0000"/>
    <n v="27.97"/>
    <n v="0.25"/>
    <x v="1"/>
    <s v="Ravi"/>
    <n v="6.9924999999999997"/>
    <s v="Vegetable"/>
    <m/>
    <m/>
    <m/>
    <m/>
    <m/>
    <x v="0"/>
  </r>
  <r>
    <x v="11"/>
    <s v="mixed vegetables-mixed tharkari-kg-kg-1.0000"/>
    <n v="35"/>
    <n v="0.6"/>
    <x v="1"/>
    <s v="Ravi"/>
    <n v="21"/>
    <s v="Vegetable"/>
    <m/>
    <m/>
    <m/>
    <m/>
    <m/>
    <x v="0"/>
  </r>
  <r>
    <x v="11"/>
    <s v="Fenugreek Seeds-menthya beeja-kg-kg-1.0000"/>
    <n v="125"/>
    <n v="0.02"/>
    <x v="1"/>
    <s v="Ravi"/>
    <n v="2.5"/>
    <s v="Dry Grocery"/>
    <m/>
    <m/>
    <m/>
    <m/>
    <m/>
    <x v="0"/>
  </r>
  <r>
    <x v="11"/>
    <s v="Urad Dal-Uddina bele-kg-kg-1.0000"/>
    <n v="76"/>
    <n v="0.02"/>
    <x v="1"/>
    <s v="Ravi"/>
    <n v="1.52"/>
    <s v="Dry Grocery"/>
    <m/>
    <m/>
    <m/>
    <m/>
    <m/>
    <x v="0"/>
  </r>
  <r>
    <x v="11"/>
    <s v="Cabbage-geddekosu-kg-kg-1.0000"/>
    <n v="3"/>
    <n v="1"/>
    <x v="1"/>
    <s v="Ravi"/>
    <n v="3"/>
    <s v="Vegetable"/>
    <m/>
    <m/>
    <m/>
    <m/>
    <m/>
    <x v="0"/>
  </r>
  <r>
    <x v="12"/>
    <s v="Curd-Mosaru-lts-kg-1.0300"/>
    <n v="42"/>
    <m/>
    <x v="3"/>
    <s v="Common"/>
    <n v="0"/>
    <s v="Dairy"/>
    <n v="1.5"/>
    <m/>
    <m/>
    <m/>
    <m/>
    <x v="0"/>
  </r>
  <r>
    <x v="12"/>
    <s v="Babycorn-Babycorn-kg-kg-1.0000"/>
    <n v="60"/>
    <m/>
    <x v="0"/>
    <s v="Murthy"/>
    <n v="0"/>
    <s v="Vegetable"/>
    <n v="1.5"/>
    <m/>
    <m/>
    <m/>
    <m/>
    <x v="0"/>
  </r>
  <r>
    <x v="12"/>
    <s v="Paneer-Paneer-kg-kg-1.0000"/>
    <n v="175"/>
    <m/>
    <x v="0"/>
    <s v="Murthy"/>
    <n v="0"/>
    <s v="Dairy"/>
    <n v="1"/>
    <m/>
    <m/>
    <m/>
    <m/>
    <x v="0"/>
  </r>
  <r>
    <x v="12"/>
    <s v="Mushroom-Mushroom-pkt-pkt-1.0000"/>
    <n v="32"/>
    <m/>
    <x v="0"/>
    <s v="Murthy"/>
    <n v="0"/>
    <s v="Vegetable"/>
    <n v="8"/>
    <m/>
    <m/>
    <m/>
    <m/>
    <x v="0"/>
  </r>
  <r>
    <x v="12"/>
    <s v="Beans-Beans-kg-kg-1.0000"/>
    <n v="43.06"/>
    <m/>
    <x v="3"/>
    <s v="Common"/>
    <n v="0"/>
    <s v="Vegetable"/>
    <m/>
    <n v="2"/>
    <m/>
    <m/>
    <m/>
    <x v="0"/>
  </r>
  <r>
    <x v="12"/>
    <s v="Carrot-carrot-kg-kg-1.0000"/>
    <n v="27.97"/>
    <m/>
    <x v="3"/>
    <s v="Common"/>
    <n v="0"/>
    <s v="Vegetable"/>
    <m/>
    <n v="2"/>
    <m/>
    <m/>
    <m/>
    <x v="0"/>
  </r>
  <r>
    <x v="12"/>
    <s v="Green chilly-hasinmenshinkayi-kg-kg-1.0000"/>
    <n v="30"/>
    <m/>
    <x v="3"/>
    <s v="Common"/>
    <n v="0"/>
    <s v="Vegetable"/>
    <m/>
    <n v="2"/>
    <m/>
    <m/>
    <m/>
    <x v="0"/>
  </r>
  <r>
    <x v="12"/>
    <s v="Garlic-Belulli-kg-kg-1.0000"/>
    <n v="28"/>
    <m/>
    <x v="3"/>
    <s v="Common"/>
    <n v="0"/>
    <s v="Vegetable"/>
    <m/>
    <n v="2"/>
    <m/>
    <m/>
    <m/>
    <x v="0"/>
  </r>
  <r>
    <x v="12"/>
    <s v="Tomato (Jam)-tomatojam-kg-kg-1.0000"/>
    <n v="14.75"/>
    <m/>
    <x v="3"/>
    <s v="Common"/>
    <n v="0"/>
    <s v="Vegetable"/>
    <m/>
    <n v="1"/>
    <m/>
    <m/>
    <m/>
    <x v="0"/>
  </r>
  <r>
    <x v="12"/>
    <s v="Palak leaves-Palak soppu-kg-kg-1.0000"/>
    <n v="38"/>
    <m/>
    <x v="0"/>
    <s v="Murthy"/>
    <n v="0"/>
    <s v="Vegetable"/>
    <m/>
    <n v="1.6"/>
    <m/>
    <m/>
    <m/>
    <x v="0"/>
  </r>
  <r>
    <x v="12"/>
    <s v="Coriander leaves-Kothamiri Soppu-kg-kg-1.0000"/>
    <n v="25"/>
    <m/>
    <x v="3"/>
    <s v="Common"/>
    <n v="0"/>
    <s v="Vegetable"/>
    <m/>
    <n v="1.2"/>
    <m/>
    <m/>
    <m/>
    <x v="0"/>
  </r>
  <r>
    <x v="12"/>
    <s v="curry leaves-karbensoppu-kg-kg-1.0000"/>
    <n v="312.14"/>
    <m/>
    <x v="3"/>
    <s v="Common"/>
    <n v="0"/>
    <s v="Vegetable"/>
    <m/>
    <n v="0.05"/>
    <m/>
    <m/>
    <m/>
    <x v="0"/>
  </r>
  <r>
    <x v="12"/>
    <s v="Pudina-Pudina-kg-kg-1.0000"/>
    <n v="125"/>
    <m/>
    <x v="3"/>
    <s v="Common"/>
    <n v="0"/>
    <s v="Vegetable"/>
    <m/>
    <n v="0.35"/>
    <m/>
    <m/>
    <m/>
    <x v="0"/>
  </r>
  <r>
    <x v="12"/>
    <s v="Paneer-Paneer-kg-kg-1.0000"/>
    <n v="175"/>
    <m/>
    <x v="0"/>
    <s v="Murthy"/>
    <n v="0"/>
    <s v="Dairy"/>
    <m/>
    <n v="2"/>
    <m/>
    <m/>
    <m/>
    <x v="0"/>
  </r>
  <r>
    <x v="12"/>
    <s v="Butter-Butter-kg-kg-1.0000"/>
    <n v="140"/>
    <m/>
    <x v="0"/>
    <s v="Murthy"/>
    <n v="0"/>
    <s v="Dairy"/>
    <m/>
    <n v="1"/>
    <m/>
    <m/>
    <m/>
    <x v="0"/>
  </r>
  <r>
    <x v="12"/>
    <s v="Green peas-green peas-kg-kg-1.0000"/>
    <n v="100"/>
    <m/>
    <x v="0"/>
    <s v="Murthy"/>
    <n v="0"/>
    <s v="Processed Food"/>
    <m/>
    <n v="1"/>
    <m/>
    <m/>
    <m/>
    <x v="0"/>
  </r>
  <r>
    <x v="12"/>
    <s v="Curd-Mosaru-lts-kg-1.0300"/>
    <n v="42"/>
    <m/>
    <x v="3"/>
    <s v="Common"/>
    <n v="0"/>
    <s v="Dairy"/>
    <m/>
    <n v="6"/>
    <m/>
    <m/>
    <m/>
    <x v="0"/>
  </r>
  <r>
    <x v="12"/>
    <s v="Milk-Haalu-lts-kg-1.0300"/>
    <n v="36"/>
    <m/>
    <x v="3"/>
    <s v="Common"/>
    <n v="0"/>
    <s v="Dairy"/>
    <m/>
    <n v="6"/>
    <m/>
    <m/>
    <m/>
    <x v="0"/>
  </r>
  <r>
    <x v="12"/>
    <s v="Basumathi Rice-Basumathi Rice-kg-kg-1.0000"/>
    <n v="62"/>
    <n v="1.5"/>
    <x v="0"/>
    <s v="Murthy"/>
    <n v="93"/>
    <s v="Dry Grocery"/>
    <m/>
    <m/>
    <m/>
    <m/>
    <m/>
    <x v="0"/>
  </r>
  <r>
    <x v="12"/>
    <s v="Onion-Erulli-kg-kg-1.0000"/>
    <n v="14"/>
    <n v="6.3"/>
    <x v="0"/>
    <s v="Murthy"/>
    <n v="88.2"/>
    <s v="Vegetable"/>
    <m/>
    <m/>
    <m/>
    <m/>
    <m/>
    <x v="0"/>
  </r>
  <r>
    <x v="12"/>
    <s v="Capsicum-Capsicum-kg-kg-1.0000"/>
    <n v="30"/>
    <n v="1.2"/>
    <x v="0"/>
    <s v="Murthy"/>
    <n v="36"/>
    <s v="Vegetable"/>
    <m/>
    <m/>
    <m/>
    <m/>
    <m/>
    <x v="0"/>
  </r>
  <r>
    <x v="12"/>
    <s v="Cinnamon-Chekke-kg-kg-1.0000"/>
    <n v="220"/>
    <n v="5.0000000000000001E-3"/>
    <x v="0"/>
    <s v="Murthy"/>
    <n v="1.1000000000000001"/>
    <s v="Spice"/>
    <m/>
    <m/>
    <m/>
    <m/>
    <m/>
    <x v="0"/>
  </r>
  <r>
    <x v="12"/>
    <s v="Cloves-lavanga-kg-kg-1.0000"/>
    <n v="740"/>
    <n v="5.0000000000000001E-3"/>
    <x v="0"/>
    <s v="Murthy"/>
    <n v="3.7"/>
    <s v="Spice"/>
    <m/>
    <m/>
    <m/>
    <m/>
    <m/>
    <x v="0"/>
  </r>
  <r>
    <x v="12"/>
    <s v="Elaichi-yelakki-kg-kg-1.0000"/>
    <n v="1450"/>
    <n v="5.0000000000000001E-3"/>
    <x v="0"/>
    <s v="Murthy"/>
    <n v="7.25"/>
    <s v="Spice"/>
    <m/>
    <m/>
    <m/>
    <m/>
    <m/>
    <x v="0"/>
  </r>
  <r>
    <x v="12"/>
    <s v="Maratimoggu-Maratimoggu-kg-kg-1.0000"/>
    <n v="750"/>
    <n v="5.0000000000000001E-3"/>
    <x v="0"/>
    <s v="Murthy"/>
    <n v="3.75"/>
    <s v="Spice"/>
    <m/>
    <m/>
    <m/>
    <m/>
    <m/>
    <x v="0"/>
  </r>
  <r>
    <x v="12"/>
    <s v="Mace-japathre-kg-kg-1.0000"/>
    <n v="1480"/>
    <n v="5.0000000000000001E-3"/>
    <x v="0"/>
    <s v="Murthy"/>
    <n v="7.4"/>
    <s v="Spice"/>
    <m/>
    <m/>
    <m/>
    <m/>
    <m/>
    <x v="0"/>
  </r>
  <r>
    <x v="12"/>
    <s v="Oil-Yenne-lts-kg-0.9150"/>
    <n v="82"/>
    <n v="6"/>
    <x v="0"/>
    <s v="Murthy"/>
    <n v="492"/>
    <s v="Oil"/>
    <m/>
    <m/>
    <m/>
    <m/>
    <m/>
    <x v="0"/>
  </r>
  <r>
    <x v="12"/>
    <s v="Coriander leaves-Kothamiri Soppu-kg-kg-1.0000"/>
    <n v="25"/>
    <n v="0.45"/>
    <x v="0"/>
    <s v="Murthy"/>
    <n v="11.25"/>
    <s v="Vegetable"/>
    <m/>
    <m/>
    <m/>
    <m/>
    <m/>
    <x v="0"/>
  </r>
  <r>
    <x v="12"/>
    <s v="Pickle-Uppinkayi-kg-kg-1.0000"/>
    <n v="40"/>
    <n v="0.2"/>
    <x v="1"/>
    <s v="Ravi"/>
    <n v="8"/>
    <s v="Processed Food"/>
    <m/>
    <m/>
    <m/>
    <m/>
    <m/>
    <x v="0"/>
  </r>
  <r>
    <x v="12"/>
    <s v="Charcoal-Charcoal-kg-kg-1.0000"/>
    <n v="26"/>
    <n v="8"/>
    <x v="0"/>
    <s v="Murthy"/>
    <n v="208"/>
    <s v="Heating"/>
    <m/>
    <m/>
    <m/>
    <m/>
    <m/>
    <x v="0"/>
  </r>
  <r>
    <x v="12"/>
    <s v="Maida-Maida-kg-kg-1.0000"/>
    <n v="29.51"/>
    <n v="4"/>
    <x v="0"/>
    <s v="Murthy"/>
    <n v="118.04"/>
    <s v="Dry Grocery"/>
    <m/>
    <m/>
    <m/>
    <m/>
    <m/>
    <x v="0"/>
  </r>
  <r>
    <x v="12"/>
    <s v="Tomato (Jam)-tomatojam-kg-kg-1.0000"/>
    <n v="14.75"/>
    <n v="2.2000000000000002"/>
    <x v="0"/>
    <s v="Murthy"/>
    <n v="32.450000000000003"/>
    <s v="Vegetable"/>
    <m/>
    <m/>
    <m/>
    <m/>
    <m/>
    <x v="0"/>
  </r>
  <r>
    <x v="12"/>
    <s v="Cabbage-geddekosu-kg-kg-1.0000"/>
    <n v="3"/>
    <n v="1.7"/>
    <x v="0"/>
    <s v="Murthy"/>
    <n v="5.0999999999999996"/>
    <s v="Vegetable"/>
    <m/>
    <m/>
    <m/>
    <m/>
    <m/>
    <x v="0"/>
  </r>
  <r>
    <x v="12"/>
    <s v="Carrot-carrot-kg-kg-1.0000"/>
    <n v="27.97"/>
    <n v="0.3"/>
    <x v="0"/>
    <s v="Murthy"/>
    <n v="8.391"/>
    <s v="Vegetable"/>
    <m/>
    <m/>
    <m/>
    <m/>
    <m/>
    <x v="0"/>
  </r>
  <r>
    <x v="12"/>
    <s v="Corn flour-Corn flour-kg-kg-1.0000"/>
    <n v="45"/>
    <n v="1"/>
    <x v="0"/>
    <s v="Murthy"/>
    <n v="45"/>
    <s v="Dry Grocery"/>
    <m/>
    <m/>
    <m/>
    <m/>
    <m/>
    <x v="0"/>
  </r>
  <r>
    <x v="12"/>
    <s v="Green chilly-hasinmenshinkayi-kg-kg-1.0000"/>
    <n v="30"/>
    <n v="0.4"/>
    <x v="0"/>
    <s v="Murthy"/>
    <n v="12"/>
    <s v="Vegetable"/>
    <m/>
    <m/>
    <m/>
    <m/>
    <m/>
    <x v="0"/>
  </r>
  <r>
    <x v="12"/>
    <s v="Potato-Aloogedde-kg-kg-1.0000"/>
    <n v="20"/>
    <n v="0.2"/>
    <x v="0"/>
    <s v="Murthy"/>
    <n v="4"/>
    <s v="Vegetable"/>
    <m/>
    <m/>
    <m/>
    <m/>
    <m/>
    <x v="0"/>
  </r>
  <r>
    <x v="12"/>
    <s v="curry leaves-karbensoppu-kg-kg-1.0000"/>
    <n v="312.14"/>
    <n v="0.04"/>
    <x v="0"/>
    <s v="Murthy"/>
    <n v="12.4856"/>
    <s v="Vegetable"/>
    <m/>
    <m/>
    <m/>
    <m/>
    <m/>
    <x v="0"/>
  </r>
  <r>
    <x v="12"/>
    <s v="Pudina-Pudina-kg-kg-1.0000"/>
    <n v="125"/>
    <n v="0.06"/>
    <x v="0"/>
    <s v="Murthy"/>
    <n v="7.5"/>
    <s v="Vegetable"/>
    <m/>
    <m/>
    <m/>
    <m/>
    <m/>
    <x v="0"/>
  </r>
  <r>
    <x v="12"/>
    <s v="Babycorn-Babycorn-kg-kg-1.0000"/>
    <n v="60"/>
    <n v="0.8"/>
    <x v="0"/>
    <s v="Murthy"/>
    <n v="48"/>
    <s v="Vegetable"/>
    <m/>
    <m/>
    <m/>
    <m/>
    <m/>
    <x v="0"/>
  </r>
  <r>
    <x v="12"/>
    <s v="Garlic-Belulli-kg-kg-1.0000"/>
    <n v="28"/>
    <n v="2"/>
    <x v="0"/>
    <s v="Murthy"/>
    <n v="56"/>
    <s v="Vegetable"/>
    <m/>
    <m/>
    <m/>
    <m/>
    <m/>
    <x v="0"/>
  </r>
  <r>
    <x v="12"/>
    <s v="Roti Wheat-Roti atta-kg-kg-1.0000"/>
    <n v="27"/>
    <n v="3"/>
    <x v="0"/>
    <s v="Murthy"/>
    <n v="81"/>
    <s v="Dry Grocery"/>
    <m/>
    <m/>
    <m/>
    <m/>
    <m/>
    <x v="0"/>
  </r>
  <r>
    <x v="12"/>
    <s v="Potato-Aloogedde-kg-kg-1.0000"/>
    <n v="20"/>
    <n v="1"/>
    <x v="0"/>
    <s v="Murthy"/>
    <n v="20"/>
    <s v="Vegetable"/>
    <m/>
    <m/>
    <m/>
    <m/>
    <m/>
    <x v="0"/>
  </r>
  <r>
    <x v="12"/>
    <s v="Butter-Butter-kg-kg-1.0000"/>
    <n v="140"/>
    <n v="0.5"/>
    <x v="0"/>
    <s v="Murthy"/>
    <n v="70"/>
    <s v="Dairy"/>
    <m/>
    <m/>
    <m/>
    <m/>
    <m/>
    <x v="0"/>
  </r>
  <r>
    <x v="12"/>
    <s v="Cauliflower-hookosu-kg-kg-1.0000"/>
    <n v="23.33"/>
    <n v="1.3"/>
    <x v="0"/>
    <s v="Murthy"/>
    <n v="30.328999999999997"/>
    <s v="Vegetable"/>
    <m/>
    <m/>
    <m/>
    <m/>
    <m/>
    <x v="0"/>
  </r>
  <r>
    <x v="12"/>
    <s v="Hakka Noodles-Hakka Noodles-pkt-kg-0.4000"/>
    <n v="40"/>
    <n v="1"/>
    <x v="0"/>
    <s v="Murthy"/>
    <n v="40"/>
    <s v="Dry Grocery"/>
    <m/>
    <m/>
    <m/>
    <m/>
    <m/>
    <x v="0"/>
  </r>
  <r>
    <x v="12"/>
    <s v="Byadagi chilly-Byadagi chilly-kg-kg-1.0000"/>
    <n v="280"/>
    <n v="0.15"/>
    <x v="0"/>
    <s v="Murthy"/>
    <n v="42"/>
    <s v="Dry Grocery"/>
    <m/>
    <m/>
    <m/>
    <m/>
    <m/>
    <x v="0"/>
  </r>
  <r>
    <x v="12"/>
    <s v="Guntur -guntur-kg-kg-1.0000"/>
    <n v="138"/>
    <n v="0.15"/>
    <x v="0"/>
    <s v="Murthy"/>
    <n v="20.7"/>
    <s v="Dry Grocery"/>
    <m/>
    <m/>
    <m/>
    <m/>
    <m/>
    <x v="0"/>
  </r>
  <r>
    <x v="12"/>
    <s v="Mushroom-Mushroom-pkt-pkt-1.0000"/>
    <n v="32"/>
    <n v="7"/>
    <x v="0"/>
    <s v="Murthy"/>
    <n v="224"/>
    <s v="Vegetable"/>
    <m/>
    <m/>
    <m/>
    <m/>
    <m/>
    <x v="0"/>
  </r>
  <r>
    <x v="12"/>
    <s v="Chilly Powder-Chilly Powder-kg-kg-1.0000"/>
    <n v="280"/>
    <n v="0.16"/>
    <x v="0"/>
    <s v="Murthy"/>
    <n v="44.800000000000004"/>
    <s v="Dry Grocery"/>
    <m/>
    <m/>
    <m/>
    <m/>
    <m/>
    <x v="0"/>
  </r>
  <r>
    <x v="12"/>
    <s v="Garam Masala (100 gram)-garam masala-pkt-kg-0.1000"/>
    <n v="57.5"/>
    <n v="0.6"/>
    <x v="0"/>
    <s v="Murthy"/>
    <n v="34.5"/>
    <s v="Dry Grocery"/>
    <m/>
    <m/>
    <m/>
    <m/>
    <m/>
    <x v="0"/>
  </r>
  <r>
    <x v="12"/>
    <s v="Turmeric Powder-Arishina pudi-kg-kg-1.0000"/>
    <n v="187.41"/>
    <n v="0.04"/>
    <x v="0"/>
    <s v="Murthy"/>
    <n v="7.4964000000000004"/>
    <s v="Dry Grocery"/>
    <m/>
    <m/>
    <m/>
    <m/>
    <m/>
    <x v="0"/>
  </r>
  <r>
    <x v="12"/>
    <s v="Chat Masala (100 gram)-chat masala-pkt-kg-0.1000"/>
    <n v="48"/>
    <n v="0.03"/>
    <x v="0"/>
    <s v="Murthy"/>
    <n v="1.44"/>
    <s v="Dry Grocery"/>
    <m/>
    <m/>
    <m/>
    <m/>
    <m/>
    <x v="0"/>
  </r>
  <r>
    <x v="12"/>
    <s v="Salt Powder-Uppu-kg-kg-1.0000"/>
    <n v="17"/>
    <n v="0.4"/>
    <x v="0"/>
    <s v="Murthy"/>
    <n v="6.8000000000000007"/>
    <s v="Dry Grocery"/>
    <m/>
    <m/>
    <m/>
    <m/>
    <m/>
    <x v="0"/>
  </r>
  <r>
    <x v="12"/>
    <s v="Black Pepper Powder-Kaal menasu-kg-kg-1.0000"/>
    <n v="380"/>
    <n v="7.4999999999999997E-2"/>
    <x v="0"/>
    <s v="Murthy"/>
    <n v="28.5"/>
    <s v="Dry Grocery"/>
    <m/>
    <m/>
    <m/>
    <m/>
    <m/>
    <x v="0"/>
  </r>
  <r>
    <x v="12"/>
    <s v="Tasting Powder (500 kg)-tasting powder-kg-kg-1.0000"/>
    <n v="148"/>
    <n v="0.15"/>
    <x v="0"/>
    <s v="Murthy"/>
    <n v="22.2"/>
    <s v="Dry Grocery"/>
    <m/>
    <m/>
    <m/>
    <m/>
    <m/>
    <x v="0"/>
  </r>
  <r>
    <x v="12"/>
    <s v="Vinegar-Vinegar-bottle-kg-0.8600"/>
    <n v="24"/>
    <n v="6.5000000000000002E-2"/>
    <x v="0"/>
    <s v="Murthy"/>
    <n v="1.56"/>
    <s v="Dry Grocery"/>
    <m/>
    <m/>
    <m/>
    <m/>
    <m/>
    <x v="0"/>
  </r>
  <r>
    <x v="12"/>
    <s v="Mustard oil-Sasive yenne-lts-kg-0.9100"/>
    <n v="135"/>
    <n v="0.02"/>
    <x v="0"/>
    <s v="Murthy"/>
    <n v="2.7"/>
    <s v="Oil"/>
    <m/>
    <m/>
    <m/>
    <m/>
    <m/>
    <x v="0"/>
  </r>
  <r>
    <x v="12"/>
    <s v="Coriander Powder (500 gram)-Dhanya Powder (500 gram)-kg-kg-1.0000"/>
    <n v="120"/>
    <n v="0.14499999999999999"/>
    <x v="0"/>
    <s v="Murthy"/>
    <n v="17.399999999999999"/>
    <s v="Dry Grocery"/>
    <m/>
    <m/>
    <m/>
    <m/>
    <m/>
    <x v="0"/>
  </r>
  <r>
    <x v="12"/>
    <s v="Kitchen king (100 gram)-Kitchen king (100 gram)-pkt-kg-0.1000"/>
    <n v="51"/>
    <n v="0.95"/>
    <x v="0"/>
    <s v="Murthy"/>
    <n v="48.449999999999996"/>
    <s v="Dry Grocery"/>
    <m/>
    <m/>
    <m/>
    <m/>
    <m/>
    <x v="0"/>
  </r>
  <r>
    <x v="12"/>
    <s v="Meat Masala Powder (100 gram)-meat masala-pkt-kg-0.1000"/>
    <n v="49.5"/>
    <n v="0.65"/>
    <x v="0"/>
    <s v="Murthy"/>
    <n v="32.175000000000004"/>
    <s v="Dry Grocery"/>
    <m/>
    <m/>
    <m/>
    <m/>
    <m/>
    <x v="0"/>
  </r>
  <r>
    <x v="12"/>
    <s v="Cucumber-sothekayi-kg-kg-1.0000"/>
    <n v="43.98"/>
    <n v="0.14000000000000001"/>
    <x v="0"/>
    <s v="Murthy"/>
    <n v="6.1572000000000005"/>
    <s v="Vegetable"/>
    <m/>
    <m/>
    <m/>
    <m/>
    <m/>
    <x v="0"/>
  </r>
  <r>
    <x v="12"/>
    <s v="Yellow Gravy"/>
    <n v="0"/>
    <n v="0.7"/>
    <x v="0"/>
    <s v="Murthy"/>
    <n v="0"/>
    <s v="SemiFinished_Prod"/>
    <m/>
    <m/>
    <m/>
    <m/>
    <m/>
    <x v="0"/>
  </r>
  <r>
    <x v="12"/>
    <s v="White Pepper Powder (500 gram)-Billi menasu pudi-kg-kg-1.0000"/>
    <n v="180"/>
    <n v="0.2"/>
    <x v="0"/>
    <s v="Murthy"/>
    <n v="36"/>
    <s v="Dry Grocery"/>
    <m/>
    <m/>
    <m/>
    <m/>
    <m/>
    <x v="0"/>
  </r>
  <r>
    <x v="12"/>
    <s v="Pineapple-ANNANAS-kg-kg-1.0000"/>
    <n v="30"/>
    <n v="1.2249999999999996"/>
    <x v="5"/>
    <s v="Ravi"/>
    <n v="36.749999999999986"/>
    <s v="Fruits"/>
    <m/>
    <m/>
    <m/>
    <m/>
    <m/>
    <x v="0"/>
  </r>
  <r>
    <x v="12"/>
    <s v="Muskmelon-THARBUJA-kg-kg-1.0000"/>
    <n v="20"/>
    <n v="0.56000000000000005"/>
    <x v="5"/>
    <s v="Ravi"/>
    <n v="11.200000000000001"/>
    <s v="Fruits"/>
    <m/>
    <m/>
    <m/>
    <m/>
    <m/>
    <x v="0"/>
  </r>
  <r>
    <x v="12"/>
    <s v="Apple-SEBU-kg-kg-1.0000"/>
    <n v="120"/>
    <n v="0.2"/>
    <x v="5"/>
    <s v="Ravi"/>
    <n v="24"/>
    <s v="Fruits"/>
    <m/>
    <m/>
    <m/>
    <m/>
    <m/>
    <x v="0"/>
  </r>
  <r>
    <x v="12"/>
    <s v="BUTTERFRUIT-BUTTERFRUIT-kg-kg-1.0000"/>
    <n v="130"/>
    <n v="0.1"/>
    <x v="5"/>
    <s v="Ravi"/>
    <n v="13"/>
    <s v="Fruits"/>
    <m/>
    <m/>
    <m/>
    <m/>
    <m/>
    <x v="0"/>
  </r>
  <r>
    <x v="12"/>
    <s v="Chickoo-Sapota-kg-kg-1.0000"/>
    <n v="40"/>
    <n v="0.2"/>
    <x v="5"/>
    <s v="Ravi"/>
    <n v="8"/>
    <s v="Fruits"/>
    <m/>
    <m/>
    <m/>
    <m/>
    <m/>
    <x v="0"/>
  </r>
  <r>
    <x v="12"/>
    <s v="Moosambi-MOOSAMBI-kg-kg-1.0000"/>
    <n v="50"/>
    <n v="1.45"/>
    <x v="5"/>
    <s v="Ravi"/>
    <n v="72.5"/>
    <s v="Fruits"/>
    <m/>
    <m/>
    <m/>
    <m/>
    <m/>
    <x v="0"/>
  </r>
  <r>
    <x v="12"/>
    <s v="Orange -Kitlehannu-kg-kg-1.0000"/>
    <n v="50"/>
    <n v="1.35"/>
    <x v="5"/>
    <s v="Ravi"/>
    <n v="67.5"/>
    <s v="Fruits"/>
    <m/>
    <m/>
    <m/>
    <m/>
    <m/>
    <x v="0"/>
  </r>
  <r>
    <x v="12"/>
    <s v="Watermelon-Watermelon-kg-kg-1.0000"/>
    <n v="20"/>
    <n v="2.8"/>
    <x v="5"/>
    <s v="Ravi"/>
    <n v="56"/>
    <s v="Fruits"/>
    <m/>
    <m/>
    <m/>
    <m/>
    <m/>
    <x v="0"/>
  </r>
  <r>
    <x v="12"/>
    <s v="Curd-Mosaru-lts-kg-1.0300"/>
    <n v="42"/>
    <n v="1"/>
    <x v="5"/>
    <s v="Ravi"/>
    <n v="42"/>
    <s v="Dairy"/>
    <m/>
    <m/>
    <m/>
    <m/>
    <m/>
    <x v="0"/>
  </r>
  <r>
    <x v="12"/>
    <s v="Milk-Haalu-lts-kg-1.0300"/>
    <n v="36"/>
    <n v="2"/>
    <x v="5"/>
    <s v="Ravi"/>
    <n v="72"/>
    <s v="Dairy"/>
    <m/>
    <m/>
    <m/>
    <m/>
    <m/>
    <x v="0"/>
  </r>
  <r>
    <x v="12"/>
    <s v="Gas-Gas-kg-kg-1.0000"/>
    <n v="78.95"/>
    <n v="1.019999999999996"/>
    <x v="1"/>
    <s v="Ravi"/>
    <n v="80.528999999999684"/>
    <s v="Gas"/>
    <m/>
    <m/>
    <m/>
    <m/>
    <m/>
    <x v="0"/>
  </r>
  <r>
    <x v="12"/>
    <s v="Gas-Gas-kg-kg-1.0000"/>
    <n v="78.95"/>
    <n v="17.980000000000004"/>
    <x v="3"/>
    <s v="Common"/>
    <n v="1419.5210000000004"/>
    <s v="Gas"/>
    <m/>
    <m/>
    <m/>
    <m/>
    <m/>
    <x v="0"/>
  </r>
  <r>
    <x v="12"/>
    <s v="Lemon-Nimbehannu-count-count-1.0000"/>
    <n v="3"/>
    <n v="8"/>
    <x v="2"/>
    <s v="Ravi"/>
    <n v="24"/>
    <s v="Vegetable"/>
    <m/>
    <m/>
    <m/>
    <m/>
    <m/>
    <x v="0"/>
  </r>
  <r>
    <x v="12"/>
    <s v="Onion-Erulli-kg-kg-1.0000"/>
    <n v="14"/>
    <n v="0.61499999999999999"/>
    <x v="2"/>
    <s v="Ravi"/>
    <n v="8.61"/>
    <s v="Vegetable"/>
    <m/>
    <m/>
    <m/>
    <m/>
    <m/>
    <x v="0"/>
  </r>
  <r>
    <x v="12"/>
    <s v="Carrot-carrot-kg-kg-1.0000"/>
    <n v="27.97"/>
    <n v="0.22500000000000001"/>
    <x v="2"/>
    <s v="Ravi"/>
    <n v="6.2932499999999996"/>
    <s v="Vegetable"/>
    <m/>
    <m/>
    <m/>
    <m/>
    <m/>
    <x v="0"/>
  </r>
  <r>
    <x v="12"/>
    <s v="Tomato (Jam)-tomatojam-kg-kg-1.0000"/>
    <n v="14.75"/>
    <n v="0.4"/>
    <x v="2"/>
    <s v="Ravi"/>
    <n v="5.9"/>
    <s v="Vegetable"/>
    <m/>
    <m/>
    <m/>
    <m/>
    <m/>
    <x v="0"/>
  </r>
  <r>
    <x v="12"/>
    <s v="Ketchup(1.2 kg)-ketchup-bottle-kg-1.2000"/>
    <n v="75"/>
    <n v="1.2"/>
    <x v="6"/>
    <s v="Jaggu"/>
    <n v="90"/>
    <s v="Sauce"/>
    <m/>
    <m/>
    <m/>
    <m/>
    <m/>
    <x v="0"/>
  </r>
  <r>
    <x v="12"/>
    <s v="Onion-Erulli-kg-kg-1.0000"/>
    <n v="14"/>
    <n v="0.65"/>
    <x v="6"/>
    <s v="Jaggu"/>
    <n v="9.1"/>
    <s v="Vegetable"/>
    <m/>
    <m/>
    <m/>
    <m/>
    <m/>
    <x v="0"/>
  </r>
  <r>
    <x v="12"/>
    <s v="Lemon-Nimbehannu-count-count-1.0000"/>
    <n v="3"/>
    <n v="10"/>
    <x v="6"/>
    <s v="Jaggu"/>
    <n v="30"/>
    <s v="Vegetable"/>
    <m/>
    <m/>
    <m/>
    <m/>
    <m/>
    <x v="0"/>
  </r>
  <r>
    <x v="12"/>
    <s v="Curd-Mosaru-lts-kg-1.0300"/>
    <n v="42"/>
    <n v="2"/>
    <x v="1"/>
    <s v="Ravi"/>
    <n v="84"/>
    <s v="Dairy"/>
    <m/>
    <m/>
    <m/>
    <m/>
    <m/>
    <x v="0"/>
  </r>
  <r>
    <x v="12"/>
    <s v="Milk-Haalu-lts-kg-1.0300"/>
    <n v="36"/>
    <n v="1.5"/>
    <x v="1"/>
    <s v="Ravi"/>
    <n v="54"/>
    <s v="Dairy"/>
    <m/>
    <m/>
    <m/>
    <m/>
    <m/>
    <x v="0"/>
  </r>
  <r>
    <x v="12"/>
    <s v="Coconut-Theginkai-count-count-1.0000"/>
    <n v="28"/>
    <n v="3"/>
    <x v="1"/>
    <s v="Ravi"/>
    <n v="84"/>
    <s v="Vegetable"/>
    <m/>
    <m/>
    <m/>
    <m/>
    <m/>
    <x v="0"/>
  </r>
  <r>
    <x v="12"/>
    <s v="South Rice-South Hakki-kg-kg-1.0000"/>
    <n v="52"/>
    <n v="5.4"/>
    <x v="1"/>
    <s v="Ravi"/>
    <n v="280.8"/>
    <s v="Dry Grocery"/>
    <m/>
    <m/>
    <m/>
    <m/>
    <m/>
    <x v="0"/>
  </r>
  <r>
    <x v="12"/>
    <s v="Sugar-Sakkre-kg-kg-1.0000"/>
    <n v="37"/>
    <n v="0.9"/>
    <x v="1"/>
    <s v="Ravi"/>
    <n v="33.300000000000004"/>
    <s v="Dry Grocery"/>
    <m/>
    <m/>
    <m/>
    <m/>
    <m/>
    <x v="0"/>
  </r>
  <r>
    <x v="12"/>
    <s v="Chilly Powder-Chilly Powder-kg-kg-1.0000"/>
    <n v="280"/>
    <n v="0.115"/>
    <x v="1"/>
    <s v="Ravi"/>
    <n v="32.200000000000003"/>
    <s v="Dry Grocery"/>
    <m/>
    <m/>
    <m/>
    <m/>
    <m/>
    <x v="0"/>
  </r>
  <r>
    <x v="12"/>
    <s v="Coriander Powder (500 gram)-Dhanya Powder (500 gram)-kg-kg-1.0000"/>
    <n v="120"/>
    <n v="0.02"/>
    <x v="1"/>
    <s v="Ravi"/>
    <n v="2.4"/>
    <s v="Dry Grocery"/>
    <m/>
    <m/>
    <m/>
    <m/>
    <m/>
    <x v="0"/>
  </r>
  <r>
    <x v="12"/>
    <s v="Rasam powder-Rasam powder-kg-kg-1.0000"/>
    <n v="340"/>
    <n v="0.02"/>
    <x v="1"/>
    <s v="Ravi"/>
    <n v="6.8"/>
    <s v="Dry Grocery"/>
    <m/>
    <m/>
    <m/>
    <m/>
    <m/>
    <x v="0"/>
  </r>
  <r>
    <x v="12"/>
    <s v="Sambar powder-Sambar powder-kg-kg-1.0000"/>
    <n v="500"/>
    <n v="5.5E-2"/>
    <x v="1"/>
    <s v="Ravi"/>
    <n v="27.5"/>
    <s v="Dry Grocery"/>
    <m/>
    <m/>
    <m/>
    <m/>
    <m/>
    <x v="0"/>
  </r>
  <r>
    <x v="12"/>
    <s v="Fenugreek Seeds-menthya beeja-kg-kg-1.0000"/>
    <n v="125"/>
    <n v="0.23"/>
    <x v="1"/>
    <s v="Ravi"/>
    <n v="28.75"/>
    <s v="Dry Grocery"/>
    <m/>
    <m/>
    <m/>
    <m/>
    <m/>
    <x v="0"/>
  </r>
  <r>
    <x v="12"/>
    <s v="Turmeric Powder-Arishina pudi-kg-kg-1.0000"/>
    <n v="187.41"/>
    <n v="0.03"/>
    <x v="1"/>
    <s v="Ravi"/>
    <n v="5.6223000000000001"/>
    <s v="Dry Grocery"/>
    <m/>
    <m/>
    <m/>
    <m/>
    <m/>
    <x v="0"/>
  </r>
  <r>
    <x v="12"/>
    <s v="Garam Masala (100 gram)-garam masala-pkt-kg-0.1000"/>
    <n v="57.5"/>
    <n v="0.02"/>
    <x v="1"/>
    <s v="Ravi"/>
    <n v="1.1500000000000001"/>
    <s v="Dry Grocery"/>
    <m/>
    <m/>
    <m/>
    <m/>
    <m/>
    <x v="0"/>
  </r>
  <r>
    <x v="12"/>
    <s v="Dalda-dalda-lts-kg-0.9050"/>
    <n v="96"/>
    <n v="0.24"/>
    <x v="1"/>
    <s v="Ravi"/>
    <n v="23.04"/>
    <s v="Oil"/>
    <m/>
    <m/>
    <m/>
    <m/>
    <m/>
    <x v="0"/>
  </r>
  <r>
    <x v="12"/>
    <s v="Oil-Yenne-lts-kg-0.9150"/>
    <n v="82"/>
    <n v="1"/>
    <x v="1"/>
    <s v="Ravi"/>
    <n v="82"/>
    <s v="Oil"/>
    <m/>
    <m/>
    <m/>
    <m/>
    <m/>
    <x v="0"/>
  </r>
  <r>
    <x v="12"/>
    <s v="Jeera Seeds-Jeerge-kg-kg-1.0000"/>
    <n v="230"/>
    <n v="7.0000000000000007E-2"/>
    <x v="1"/>
    <s v="Ravi"/>
    <n v="16.100000000000001"/>
    <s v="Dry Grocery"/>
    <m/>
    <m/>
    <m/>
    <m/>
    <m/>
    <x v="0"/>
  </r>
  <r>
    <x v="12"/>
    <s v="Mustard-Sasive-kg-kg-1.0000"/>
    <n v="70"/>
    <n v="0.04"/>
    <x v="1"/>
    <s v="Ravi"/>
    <n v="2.8000000000000003"/>
    <s v="Dry Grocery"/>
    <m/>
    <m/>
    <m/>
    <m/>
    <m/>
    <x v="0"/>
  </r>
  <r>
    <x v="12"/>
    <s v="channadal(split)-Kadlebele-kg-kg-1.0000"/>
    <n v="55"/>
    <n v="4.4999999999999998E-2"/>
    <x v="1"/>
    <s v="Ravi"/>
    <n v="2.4750000000000001"/>
    <s v="Dry Grocery"/>
    <m/>
    <m/>
    <m/>
    <m/>
    <m/>
    <x v="0"/>
  </r>
  <r>
    <x v="12"/>
    <s v="Onion-Erulli-kg-kg-1.0000"/>
    <n v="14"/>
    <n v="2.5"/>
    <x v="1"/>
    <s v="Ravi"/>
    <n v="35"/>
    <s v="Vegetable"/>
    <m/>
    <m/>
    <m/>
    <m/>
    <m/>
    <x v="0"/>
  </r>
  <r>
    <x v="12"/>
    <s v="Garlic-Belulli-kg-kg-1.0000"/>
    <n v="28"/>
    <n v="0.2"/>
    <x v="1"/>
    <s v="Ravi"/>
    <n v="5.6000000000000005"/>
    <s v="Vegetable"/>
    <m/>
    <m/>
    <m/>
    <m/>
    <m/>
    <x v="0"/>
  </r>
  <r>
    <x v="12"/>
    <s v="Ginger-shunti-kg-kg-1.0000"/>
    <n v="40"/>
    <n v="0.1"/>
    <x v="1"/>
    <s v="Ravi"/>
    <n v="4"/>
    <s v="Vegetable"/>
    <m/>
    <m/>
    <m/>
    <m/>
    <m/>
    <x v="0"/>
  </r>
  <r>
    <x v="12"/>
    <s v="Wheat-Godhi-kg-kg-1.0000"/>
    <n v="34"/>
    <n v="0.7"/>
    <x v="1"/>
    <s v="Ravi"/>
    <n v="23.799999999999997"/>
    <s v="Dry Grocery"/>
    <m/>
    <m/>
    <m/>
    <m/>
    <m/>
    <x v="0"/>
  </r>
  <r>
    <x v="12"/>
    <s v="Toordal-Thogaribele-kg-kg-1.0000"/>
    <n v="64.069999999999993"/>
    <n v="0.5"/>
    <x v="1"/>
    <s v="Ravi"/>
    <n v="32.034999999999997"/>
    <s v="Dry Grocery"/>
    <m/>
    <m/>
    <m/>
    <m/>
    <m/>
    <x v="0"/>
  </r>
  <r>
    <x v="12"/>
    <s v="Tamarind-hunsehannu-kg-kg-1.0000"/>
    <n v="170"/>
    <n v="0.1"/>
    <x v="1"/>
    <s v="Ravi"/>
    <n v="17"/>
    <s v="Dry Grocery"/>
    <m/>
    <m/>
    <m/>
    <m/>
    <m/>
    <x v="0"/>
  </r>
  <r>
    <x v="12"/>
    <s v="Guntur -guntur-kg-kg-1.0000"/>
    <n v="138"/>
    <n v="0.03"/>
    <x v="1"/>
    <s v="Ravi"/>
    <n v="4.1399999999999997"/>
    <s v="Dry Grocery"/>
    <m/>
    <m/>
    <m/>
    <m/>
    <m/>
    <x v="0"/>
  </r>
  <r>
    <x v="12"/>
    <s v="Green chilly-hasinmenshinkayi-kg-kg-1.0000"/>
    <n v="30"/>
    <n v="0.2"/>
    <x v="1"/>
    <s v="Ravi"/>
    <n v="6"/>
    <s v="Vegetable"/>
    <m/>
    <m/>
    <m/>
    <m/>
    <m/>
    <x v="0"/>
  </r>
  <r>
    <x v="12"/>
    <s v="Fenugreek Seeds-menthya beeja-kg-kg-1.0000"/>
    <n v="125"/>
    <n v="0.01"/>
    <x v="1"/>
    <s v="Ravi"/>
    <n v="1.25"/>
    <s v="Dry Grocery"/>
    <m/>
    <m/>
    <m/>
    <m/>
    <m/>
    <x v="0"/>
  </r>
  <r>
    <x v="12"/>
    <s v="Urad Dal-Uddina bele-kg-kg-1.0000"/>
    <n v="76"/>
    <n v="0.01"/>
    <x v="1"/>
    <s v="Ravi"/>
    <n v="0.76"/>
    <s v="Dry Grocery"/>
    <m/>
    <m/>
    <m/>
    <m/>
    <m/>
    <x v="0"/>
  </r>
  <r>
    <x v="12"/>
    <s v="Beans-Beans-kg-kg-1.0000"/>
    <n v="43.06"/>
    <n v="1"/>
    <x v="1"/>
    <s v="Ravi"/>
    <n v="43.06"/>
    <s v="Vegetable"/>
    <m/>
    <m/>
    <m/>
    <m/>
    <m/>
    <x v="0"/>
  </r>
  <r>
    <x v="12"/>
    <s v="Carrot-carrot-kg-kg-1.0000"/>
    <n v="27.97"/>
    <n v="0.15"/>
    <x v="1"/>
    <s v="Ravi"/>
    <n v="4.1955"/>
    <s v="Vegetable"/>
    <m/>
    <m/>
    <m/>
    <m/>
    <m/>
    <x v="0"/>
  </r>
  <r>
    <x v="12"/>
    <s v="Coriander leaves-Kothamiri Soppu-kg-kg-1.0000"/>
    <n v="25"/>
    <n v="0.2"/>
    <x v="1"/>
    <s v="Ravi"/>
    <n v="5"/>
    <s v="Vegetable"/>
    <m/>
    <m/>
    <m/>
    <m/>
    <m/>
    <x v="0"/>
  </r>
  <r>
    <x v="12"/>
    <s v="curry leaves-karbensoppu-kg-kg-1.0000"/>
    <n v="312.14"/>
    <n v="0.04"/>
    <x v="1"/>
    <s v="Ravi"/>
    <n v="12.4856"/>
    <s v="Vegetable"/>
    <m/>
    <m/>
    <m/>
    <m/>
    <m/>
    <x v="0"/>
  </r>
  <r>
    <x v="12"/>
    <s v="Tomato (Jam)-tomatojam-kg-kg-1.0000"/>
    <n v="14.75"/>
    <n v="1.2"/>
    <x v="1"/>
    <s v="Ravi"/>
    <n v="17.7"/>
    <s v="Vegetable"/>
    <m/>
    <m/>
    <m/>
    <m/>
    <m/>
    <x v="0"/>
  </r>
  <r>
    <x v="12"/>
    <s v="mixed vegetables-mixed tharkari-kg-kg-1.0000"/>
    <n v="35"/>
    <n v="1"/>
    <x v="1"/>
    <s v="Ravi"/>
    <n v="35"/>
    <s v="Vegetable"/>
    <m/>
    <m/>
    <m/>
    <m/>
    <m/>
    <x v="0"/>
  </r>
  <r>
    <x v="12"/>
    <s v="North Papad (1 kg)-North Papad (1 kg)-kg-kg-1.0000"/>
    <n v="160"/>
    <n v="0.22"/>
    <x v="1"/>
    <s v="Ravi"/>
    <n v="35.200000000000003"/>
    <s v="Dry Grocery"/>
    <m/>
    <m/>
    <m/>
    <m/>
    <m/>
    <x v="0"/>
  </r>
  <r>
    <x v="12"/>
    <s v="South Papad (500 gram)-South Papad (500 gram)-pkt-kg-0.5000"/>
    <n v="62.03"/>
    <n v="0.1"/>
    <x v="1"/>
    <s v="Ravi"/>
    <n v="6.2030000000000003"/>
    <s v="Dry Grocery"/>
    <m/>
    <m/>
    <m/>
    <m/>
    <m/>
    <x v="0"/>
  </r>
  <r>
    <x v="12"/>
    <s v="Pineapple-ANNANAS-kg-kg-1.0000"/>
    <n v="30"/>
    <n v="0.3"/>
    <x v="1"/>
    <s v="Ravi"/>
    <n v="9"/>
    <s v="Fruits"/>
    <m/>
    <m/>
    <m/>
    <m/>
    <m/>
    <x v="0"/>
  </r>
  <r>
    <x v="12"/>
    <s v="Capsicum-Capsicum-kg-kg-1.0000"/>
    <n v="30"/>
    <n v="0.25"/>
    <x v="1"/>
    <s v="Ravi"/>
    <n v="7.5"/>
    <s v="Vegetable"/>
    <m/>
    <m/>
    <m/>
    <m/>
    <m/>
    <x v="0"/>
  </r>
  <r>
    <x v="12"/>
    <s v="Chiroti Semolina-Chiroti rava-kg-kg-1.0000"/>
    <n v="34"/>
    <n v="0.4"/>
    <x v="1"/>
    <s v="Ravi"/>
    <n v="13.600000000000001"/>
    <s v="Dry Grocery"/>
    <m/>
    <m/>
    <m/>
    <m/>
    <m/>
    <x v="0"/>
  </r>
  <r>
    <x v="12"/>
    <s v="Ghee-Thuppa-lts-kg-0.9300"/>
    <n v="430"/>
    <n v="0.05"/>
    <x v="1"/>
    <s v="Ravi"/>
    <n v="21.5"/>
    <s v="Dairy"/>
    <m/>
    <m/>
    <m/>
    <m/>
    <m/>
    <x v="0"/>
  </r>
  <r>
    <x v="12"/>
    <s v="Pudina-Pudina-kg-kg-1.0000"/>
    <n v="125"/>
    <n v="0.08"/>
    <x v="1"/>
    <s v="Ravi"/>
    <n v="10"/>
    <s v="Vegetable"/>
    <m/>
    <m/>
    <m/>
    <m/>
    <m/>
    <x v="0"/>
  </r>
  <r>
    <x v="12"/>
    <s v="Milk-Haalu-lts-kg-1.0300"/>
    <n v="36"/>
    <n v="4"/>
    <x v="4"/>
    <s v="Vicky"/>
    <n v="144"/>
    <s v="Dairy"/>
    <m/>
    <m/>
    <m/>
    <m/>
    <m/>
    <x v="0"/>
  </r>
  <r>
    <x v="12"/>
    <s v="Sugar-Sakkre-kg-kg-1.0000"/>
    <n v="37"/>
    <n v="0.6"/>
    <x v="4"/>
    <s v="Vicky"/>
    <n v="22.2"/>
    <s v="Dry Grocery"/>
    <m/>
    <m/>
    <m/>
    <m/>
    <m/>
    <x v="0"/>
  </r>
  <r>
    <x v="12"/>
    <s v="Tea powder-Tea powder-kg-kg-1.0000"/>
    <n v="390"/>
    <n v="0.35"/>
    <x v="4"/>
    <s v="Vicky"/>
    <n v="136.5"/>
    <s v="Hot Beverage"/>
    <m/>
    <m/>
    <m/>
    <m/>
    <m/>
    <x v="0"/>
  </r>
  <r>
    <x v="12"/>
    <s v="Banana-BALLEHANNU-kg-kg-1.0000"/>
    <n v="2"/>
    <n v="5"/>
    <x v="1"/>
    <s v="Ravi"/>
    <n v="10"/>
    <s v="Fruits"/>
    <m/>
    <m/>
    <m/>
    <m/>
    <m/>
    <x v="0"/>
  </r>
  <r>
    <x v="12"/>
    <s v="Curd-Mosaru-lts-kg-1.0300"/>
    <n v="42"/>
    <n v="1.5"/>
    <x v="0"/>
    <s v="Murthy"/>
    <n v="63"/>
    <s v="Dairy"/>
    <m/>
    <m/>
    <m/>
    <m/>
    <m/>
    <x v="0"/>
  </r>
  <r>
    <x v="12"/>
    <s v="Paneer-Paneer-kg-kg-1.0000"/>
    <n v="175"/>
    <n v="1"/>
    <x v="0"/>
    <s v="Murthy"/>
    <n v="175"/>
    <s v="Dairy"/>
    <m/>
    <m/>
    <m/>
    <m/>
    <m/>
    <x v="0"/>
  </r>
  <r>
    <x v="12"/>
    <s v="Mushroom-Mushroom-pkt-pkt-1.0000"/>
    <n v="32"/>
    <m/>
    <x v="0"/>
    <s v="Murthy"/>
    <n v="0"/>
    <s v="Vegetable"/>
    <n v="1"/>
    <m/>
    <m/>
    <m/>
    <m/>
    <x v="0"/>
  </r>
  <r>
    <x v="13"/>
    <s v="Butter-Butter-kg-kg-1.0000"/>
    <n v="140"/>
    <m/>
    <x v="0"/>
    <s v="Murthy"/>
    <n v="0"/>
    <s v="Dairy"/>
    <n v="0.5"/>
    <m/>
    <m/>
    <m/>
    <m/>
    <x v="0"/>
  </r>
  <r>
    <x v="13"/>
    <s v="Babycorn-Babycorn-kg-kg-1.0000"/>
    <n v="60"/>
    <m/>
    <x v="0"/>
    <s v="Murthy"/>
    <n v="0"/>
    <s v="Vegetable"/>
    <n v="0.7"/>
    <m/>
    <m/>
    <m/>
    <m/>
    <x v="0"/>
  </r>
  <r>
    <x v="13"/>
    <s v="Green peas-green peas-kg-kg-1.0000"/>
    <n v="100"/>
    <m/>
    <x v="0"/>
    <s v="Murthy"/>
    <n v="0"/>
    <s v="Processed Food"/>
    <n v="1"/>
    <m/>
    <m/>
    <m/>
    <m/>
    <x v="0"/>
  </r>
  <r>
    <x v="13"/>
    <s v="French fries-french fries-kg-kg-1.0000"/>
    <n v="280"/>
    <m/>
    <x v="0"/>
    <s v="Murthy"/>
    <n v="0"/>
    <s v="Processed Food"/>
    <n v="1"/>
    <m/>
    <m/>
    <m/>
    <m/>
    <x v="0"/>
  </r>
  <r>
    <x v="13"/>
    <s v="Paneer-Paneer-kg-kg-1.0000"/>
    <n v="175"/>
    <m/>
    <x v="0"/>
    <s v="Murthy"/>
    <n v="0"/>
    <s v="Dairy"/>
    <n v="2"/>
    <m/>
    <m/>
    <m/>
    <m/>
    <x v="0"/>
  </r>
  <r>
    <x v="13"/>
    <s v="Lemon-Nimbehannu-count-count-1.0000"/>
    <n v="3"/>
    <m/>
    <x v="3"/>
    <s v="Common"/>
    <n v="0"/>
    <s v="Vegetable"/>
    <m/>
    <n v="100"/>
    <m/>
    <m/>
    <m/>
    <x v="0"/>
  </r>
  <r>
    <x v="13"/>
    <s v="Curd-Mosaru-lts-kg-1.0300"/>
    <n v="42"/>
    <m/>
    <x v="3"/>
    <s v="Common"/>
    <n v="0"/>
    <s v="Dairy"/>
    <m/>
    <n v="6"/>
    <m/>
    <m/>
    <m/>
    <x v="0"/>
  </r>
  <r>
    <x v="13"/>
    <s v="Milk-Haalu-lts-kg-1.0300"/>
    <n v="36"/>
    <m/>
    <x v="3"/>
    <s v="Common"/>
    <n v="0"/>
    <s v="Dairy"/>
    <m/>
    <n v="11"/>
    <m/>
    <m/>
    <m/>
    <x v="0"/>
  </r>
  <r>
    <x v="13"/>
    <s v="Carrot-carrot-kg-kg-1.0000"/>
    <n v="27.97"/>
    <m/>
    <x v="3"/>
    <s v="Common"/>
    <n v="0"/>
    <s v="Vegetable"/>
    <m/>
    <n v="1"/>
    <m/>
    <m/>
    <m/>
    <x v="0"/>
  </r>
  <r>
    <x v="13"/>
    <s v="Coriander leaves-Kothamiri Soppu-kg-kg-1.0000"/>
    <n v="25"/>
    <m/>
    <x v="3"/>
    <s v="Common"/>
    <n v="0"/>
    <s v="Vegetable"/>
    <m/>
    <n v="1.1000000000000001"/>
    <m/>
    <m/>
    <m/>
    <x v="0"/>
  </r>
  <r>
    <x v="13"/>
    <s v="Palak leaves-Palak soppu-kg-kg-1.0000"/>
    <n v="38"/>
    <m/>
    <x v="0"/>
    <s v="Murthy"/>
    <n v="0"/>
    <s v="Vegetable"/>
    <m/>
    <n v="1.8"/>
    <m/>
    <m/>
    <m/>
    <x v="0"/>
  </r>
  <r>
    <x v="13"/>
    <s v="Pudina-Pudina-kg-kg-1.0000"/>
    <n v="125"/>
    <m/>
    <x v="3"/>
    <s v="Common"/>
    <n v="0"/>
    <s v="Vegetable"/>
    <m/>
    <n v="1.2"/>
    <m/>
    <m/>
    <m/>
    <x v="0"/>
  </r>
  <r>
    <x v="13"/>
    <s v="curry leaves-karbensoppu-kg-kg-1.0000"/>
    <n v="312.14"/>
    <m/>
    <x v="3"/>
    <s v="Common"/>
    <n v="0"/>
    <s v="Vegetable"/>
    <m/>
    <n v="0.04"/>
    <m/>
    <m/>
    <m/>
    <x v="0"/>
  </r>
  <r>
    <x v="13"/>
    <s v="Ginger-shunti-kg-kg-1.0000"/>
    <n v="40"/>
    <m/>
    <x v="3"/>
    <s v="Common"/>
    <n v="0"/>
    <s v="Vegetable"/>
    <m/>
    <n v="1"/>
    <m/>
    <m/>
    <m/>
    <x v="0"/>
  </r>
  <r>
    <x v="13"/>
    <s v="Tomato (Jam)-tomatojam-kg-kg-1.0000"/>
    <n v="14.75"/>
    <m/>
    <x v="3"/>
    <s v="Common"/>
    <n v="0"/>
    <s v="Vegetable"/>
    <m/>
    <n v="1"/>
    <m/>
    <m/>
    <m/>
    <x v="0"/>
  </r>
  <r>
    <x v="13"/>
    <s v="Paneer-Paneer-kg-kg-1.0000"/>
    <n v="175"/>
    <m/>
    <x v="0"/>
    <s v="Murthy"/>
    <n v="0"/>
    <s v="Dairy"/>
    <m/>
    <n v="1"/>
    <m/>
    <m/>
    <m/>
    <x v="0"/>
  </r>
  <r>
    <x v="13"/>
    <s v="Mushroom-Mushroom-pkt-pkt-1.0000"/>
    <n v="32"/>
    <m/>
    <x v="0"/>
    <s v="Murthy"/>
    <n v="0"/>
    <s v="Vegetable"/>
    <m/>
    <n v="10"/>
    <m/>
    <m/>
    <m/>
    <x v="0"/>
  </r>
  <r>
    <x v="13"/>
    <s v="Butter-Butter-kg-kg-1.0000"/>
    <n v="140"/>
    <m/>
    <x v="0"/>
    <s v="Murthy"/>
    <n v="0"/>
    <s v="Dairy"/>
    <m/>
    <n v="1"/>
    <m/>
    <m/>
    <m/>
    <x v="0"/>
  </r>
  <r>
    <x v="13"/>
    <s v="Babycorn-Babycorn-kg-kg-1.0000"/>
    <n v="60"/>
    <m/>
    <x v="0"/>
    <s v="Murthy"/>
    <n v="0"/>
    <s v="Vegetable"/>
    <m/>
    <n v="1"/>
    <m/>
    <m/>
    <m/>
    <x v="0"/>
  </r>
  <r>
    <x v="13"/>
    <s v="Cream-Cream-lts-kg-1.0000"/>
    <n v="190"/>
    <m/>
    <x v="0"/>
    <s v="Murthy"/>
    <n v="0"/>
    <s v="Dairy"/>
    <m/>
    <n v="1"/>
    <m/>
    <m/>
    <m/>
    <x v="0"/>
  </r>
  <r>
    <x v="13"/>
    <s v="Beans-Beans-kg-kg-1.0000"/>
    <n v="43.06"/>
    <m/>
    <x v="3"/>
    <s v="Common"/>
    <n v="0"/>
    <s v="Vegetable"/>
    <m/>
    <m/>
    <m/>
    <m/>
    <m/>
    <x v="0"/>
  </r>
  <r>
    <x v="13"/>
    <s v="Charcoal-Charcoal-kg-kg-1.0000"/>
    <n v="26"/>
    <n v="13.5"/>
    <x v="0"/>
    <s v="Murthy"/>
    <n v="351"/>
    <s v="Heating"/>
    <m/>
    <m/>
    <m/>
    <m/>
    <m/>
    <x v="0"/>
  </r>
  <r>
    <x v="13"/>
    <s v="Moong Dal-Hesaru bele-kg-kg-1.0000"/>
    <n v="75"/>
    <n v="1"/>
    <x v="0"/>
    <s v="Murthy"/>
    <n v="75"/>
    <s v="Dry Grocery"/>
    <m/>
    <m/>
    <m/>
    <m/>
    <m/>
    <x v="0"/>
  </r>
  <r>
    <x v="13"/>
    <s v="Capsicum-Capsicum-kg-kg-1.0000"/>
    <n v="30"/>
    <n v="1.5"/>
    <x v="0"/>
    <s v="Murthy"/>
    <n v="45"/>
    <s v="Vegetable"/>
    <m/>
    <m/>
    <m/>
    <m/>
    <m/>
    <x v="0"/>
  </r>
  <r>
    <x v="13"/>
    <s v="Onion-Erulli-kg-kg-1.0000"/>
    <n v="14"/>
    <n v="7.5"/>
    <x v="0"/>
    <s v="Murthy"/>
    <n v="105"/>
    <s v="Vegetable"/>
    <m/>
    <m/>
    <m/>
    <m/>
    <m/>
    <x v="0"/>
  </r>
  <r>
    <x v="13"/>
    <s v="Bullet Rice-Bullet Rice-kg-kg-1.0000"/>
    <n v="64"/>
    <n v="2.5"/>
    <x v="0"/>
    <s v="Murthy"/>
    <n v="160"/>
    <s v="Dry Grocery"/>
    <m/>
    <m/>
    <m/>
    <m/>
    <m/>
    <x v="0"/>
  </r>
  <r>
    <x v="13"/>
    <s v="Basumathi Rice-Basumathi Rice-kg-kg-1.0000"/>
    <n v="62"/>
    <n v="2"/>
    <x v="0"/>
    <s v="Murthy"/>
    <n v="124"/>
    <s v="Dry Grocery"/>
    <m/>
    <m/>
    <m/>
    <m/>
    <m/>
    <x v="0"/>
  </r>
  <r>
    <x v="13"/>
    <s v="Cinnamon-Chekke-kg-kg-1.0000"/>
    <n v="220"/>
    <n v="5.0000000000000001E-3"/>
    <x v="0"/>
    <s v="Murthy"/>
    <n v="1.1000000000000001"/>
    <s v="Spice"/>
    <m/>
    <m/>
    <m/>
    <m/>
    <m/>
    <x v="0"/>
  </r>
  <r>
    <x v="13"/>
    <s v="Cloves-lavanga-kg-kg-1.0000"/>
    <n v="740"/>
    <n v="5.0000000000000001E-3"/>
    <x v="0"/>
    <s v="Murthy"/>
    <n v="3.7"/>
    <s v="Spice"/>
    <m/>
    <m/>
    <m/>
    <m/>
    <m/>
    <x v="0"/>
  </r>
  <r>
    <x v="13"/>
    <s v="Elaichi-yelakki-kg-kg-1.0000"/>
    <n v="1450"/>
    <n v="5.0000000000000001E-3"/>
    <x v="0"/>
    <s v="Murthy"/>
    <n v="7.25"/>
    <s v="Spice"/>
    <m/>
    <m/>
    <m/>
    <m/>
    <m/>
    <x v="0"/>
  </r>
  <r>
    <x v="13"/>
    <s v="Maratimoggu-Maratimoggu-kg-kg-1.0000"/>
    <n v="750"/>
    <n v="5.0000000000000001E-3"/>
    <x v="0"/>
    <s v="Murthy"/>
    <n v="3.75"/>
    <s v="Spice"/>
    <m/>
    <m/>
    <m/>
    <m/>
    <m/>
    <x v="0"/>
  </r>
  <r>
    <x v="13"/>
    <s v="Mace-japathre-kg-kg-1.0000"/>
    <n v="1480"/>
    <n v="5.0000000000000001E-3"/>
    <x v="0"/>
    <s v="Murthy"/>
    <n v="7.4"/>
    <s v="Spice"/>
    <m/>
    <m/>
    <m/>
    <m/>
    <m/>
    <x v="0"/>
  </r>
  <r>
    <x v="13"/>
    <s v="Palak leaves-Palak soppu-kg-kg-1.0000"/>
    <n v="38"/>
    <n v="1.4"/>
    <x v="0"/>
    <s v="Murthy"/>
    <n v="53.199999999999996"/>
    <s v="Vegetable"/>
    <m/>
    <m/>
    <m/>
    <m/>
    <m/>
    <x v="0"/>
  </r>
  <r>
    <x v="13"/>
    <s v="Green chilly-hasinmenshinkayi-kg-kg-1.0000"/>
    <n v="30"/>
    <n v="0.65"/>
    <x v="0"/>
    <s v="Murthy"/>
    <n v="19.5"/>
    <s v="Vegetable"/>
    <m/>
    <m/>
    <m/>
    <m/>
    <m/>
    <x v="0"/>
  </r>
  <r>
    <x v="13"/>
    <s v="Coriander leaves-Kothamiri Soppu-kg-kg-1.0000"/>
    <n v="25"/>
    <n v="0.5"/>
    <x v="0"/>
    <s v="Murthy"/>
    <n v="12.5"/>
    <s v="Vegetable"/>
    <m/>
    <m/>
    <m/>
    <m/>
    <m/>
    <x v="0"/>
  </r>
  <r>
    <x v="13"/>
    <s v="Pudina-Pudina-kg-kg-1.0000"/>
    <n v="125"/>
    <n v="0.18"/>
    <x v="0"/>
    <s v="Murthy"/>
    <n v="22.5"/>
    <s v="Vegetable"/>
    <m/>
    <m/>
    <m/>
    <m/>
    <m/>
    <x v="0"/>
  </r>
  <r>
    <x v="13"/>
    <s v="curry leaves-karbensoppu-kg-kg-1.0000"/>
    <n v="312.14"/>
    <n v="0.04"/>
    <x v="0"/>
    <s v="Murthy"/>
    <n v="12.4856"/>
    <s v="Vegetable"/>
    <m/>
    <m/>
    <m/>
    <m/>
    <m/>
    <x v="0"/>
  </r>
  <r>
    <x v="13"/>
    <s v="Carrot-carrot-kg-kg-1.0000"/>
    <n v="27.97"/>
    <n v="0.8"/>
    <x v="0"/>
    <s v="Murthy"/>
    <n v="22.376000000000001"/>
    <s v="Vegetable"/>
    <m/>
    <m/>
    <m/>
    <m/>
    <m/>
    <x v="0"/>
  </r>
  <r>
    <x v="13"/>
    <s v="Green peas-green peas-kg-kg-1.0000"/>
    <n v="100"/>
    <n v="1"/>
    <x v="0"/>
    <s v="Murthy"/>
    <n v="100"/>
    <s v="Processed Food"/>
    <m/>
    <m/>
    <m/>
    <m/>
    <m/>
    <x v="0"/>
  </r>
  <r>
    <x v="13"/>
    <s v="Butter-Butter-kg-kg-1.0000"/>
    <n v="140"/>
    <n v="1"/>
    <x v="0"/>
    <s v="Murthy"/>
    <n v="140"/>
    <s v="Dairy"/>
    <m/>
    <m/>
    <m/>
    <m/>
    <m/>
    <x v="0"/>
  </r>
  <r>
    <x v="13"/>
    <s v="Ginger-shunti-kg-kg-1.0000"/>
    <n v="40"/>
    <n v="0.3"/>
    <x v="0"/>
    <s v="Murthy"/>
    <n v="12"/>
    <s v="Vegetable"/>
    <m/>
    <m/>
    <m/>
    <m/>
    <m/>
    <x v="0"/>
  </r>
  <r>
    <x v="13"/>
    <s v="Beans-Beans-kg-kg-1.0000"/>
    <n v="43.06"/>
    <n v="1.6"/>
    <x v="0"/>
    <s v="Murthy"/>
    <n v="68.896000000000001"/>
    <s v="Vegetable"/>
    <m/>
    <m/>
    <m/>
    <m/>
    <m/>
    <x v="0"/>
  </r>
  <r>
    <x v="13"/>
    <s v="Curd-Mosaru-lts-kg-1.0300"/>
    <n v="42"/>
    <n v="1"/>
    <x v="0"/>
    <s v="Murthy"/>
    <n v="42"/>
    <s v="Dairy"/>
    <m/>
    <m/>
    <m/>
    <m/>
    <m/>
    <x v="0"/>
  </r>
  <r>
    <x v="13"/>
    <s v="Oil-Yenne-lts-kg-0.9150"/>
    <n v="82"/>
    <n v="4"/>
    <x v="0"/>
    <s v="Murthy"/>
    <n v="328"/>
    <s v="Oil"/>
    <m/>
    <m/>
    <m/>
    <m/>
    <m/>
    <x v="0"/>
  </r>
  <r>
    <x v="13"/>
    <s v="Paneer-Paneer-kg-kg-1.0000"/>
    <n v="175"/>
    <n v="1"/>
    <x v="0"/>
    <s v="Murthy"/>
    <n v="175"/>
    <s v="Dairy"/>
    <m/>
    <m/>
    <m/>
    <m/>
    <m/>
    <x v="0"/>
  </r>
  <r>
    <x v="13"/>
    <s v="Coriander leaves-Kothamiri Soppu-kg-kg-1.0000"/>
    <n v="25"/>
    <n v="0.55000000000000004"/>
    <x v="0"/>
    <s v="Murthy"/>
    <n v="13.750000000000002"/>
    <s v="Vegetable"/>
    <m/>
    <m/>
    <m/>
    <m/>
    <m/>
    <x v="0"/>
  </r>
  <r>
    <x v="13"/>
    <s v="Cabbage-geddekosu-kg-kg-1.0000"/>
    <n v="3"/>
    <n v="1.33"/>
    <x v="0"/>
    <s v="Murthy"/>
    <n v="3.99"/>
    <s v="Vegetable"/>
    <m/>
    <m/>
    <m/>
    <m/>
    <m/>
    <x v="0"/>
  </r>
  <r>
    <x v="13"/>
    <s v="Corn flour-Corn flour-kg-kg-1.0000"/>
    <n v="45"/>
    <n v="1"/>
    <x v="0"/>
    <s v="Murthy"/>
    <n v="45"/>
    <s v="Dry Grocery"/>
    <m/>
    <m/>
    <m/>
    <m/>
    <m/>
    <x v="0"/>
  </r>
  <r>
    <x v="13"/>
    <s v="Mushroom-Mushroom-pkt-pkt-1.0000"/>
    <n v="32"/>
    <n v="6"/>
    <x v="0"/>
    <s v="Murthy"/>
    <n v="192"/>
    <s v="Vegetable"/>
    <m/>
    <m/>
    <m/>
    <m/>
    <m/>
    <x v="0"/>
  </r>
  <r>
    <x v="13"/>
    <s v="Meat Masala Powder (100 gram)-meat masala-pkt-kg-0.1000"/>
    <n v="49.5"/>
    <n v="0.05"/>
    <x v="0"/>
    <s v="Murthy"/>
    <n v="2.4750000000000001"/>
    <s v="Dry Grocery"/>
    <m/>
    <m/>
    <m/>
    <m/>
    <m/>
    <x v="0"/>
  </r>
  <r>
    <x v="13"/>
    <s v="Babycorn-Babycorn-kg-kg-1.0000"/>
    <n v="60"/>
    <n v="0.2"/>
    <x v="0"/>
    <s v="Murthy"/>
    <n v="12"/>
    <s v="Vegetable"/>
    <m/>
    <m/>
    <m/>
    <m/>
    <m/>
    <x v="0"/>
  </r>
  <r>
    <x v="13"/>
    <s v="Gram Flour-Kadle Ittu-kg-kg-1.0000"/>
    <n v="72"/>
    <n v="0.05"/>
    <x v="0"/>
    <s v="Murthy"/>
    <n v="3.6"/>
    <s v="Dry Grocery"/>
    <m/>
    <m/>
    <m/>
    <m/>
    <m/>
    <x v="0"/>
  </r>
  <r>
    <x v="13"/>
    <s v="Tea powder-Tea powder-kg-kg-1.0000"/>
    <n v="390"/>
    <n v="0.35"/>
    <x v="4"/>
    <s v="Vicky"/>
    <n v="136.5"/>
    <s v="Hot Beverage"/>
    <m/>
    <m/>
    <m/>
    <m/>
    <m/>
    <x v="0"/>
  </r>
  <r>
    <x v="13"/>
    <s v="Curd-Mosaru-lts-kg-1.0300"/>
    <n v="42"/>
    <n v="0.5"/>
    <x v="0"/>
    <s v="Murthy"/>
    <n v="21"/>
    <s v="Dairy"/>
    <m/>
    <m/>
    <m/>
    <m/>
    <m/>
    <x v="0"/>
  </r>
  <r>
    <x v="13"/>
    <s v="Chilly Powder-Chilly Powder-kg-kg-1.0000"/>
    <n v="280"/>
    <n v="0.05"/>
    <x v="0"/>
    <s v="Murthy"/>
    <n v="14"/>
    <s v="Dry Grocery"/>
    <m/>
    <m/>
    <m/>
    <m/>
    <m/>
    <x v="0"/>
  </r>
  <r>
    <x v="13"/>
    <s v="Garam Masala (100 gram)-garam masala-pkt-kg-0.1000"/>
    <n v="57.5"/>
    <n v="0.16"/>
    <x v="0"/>
    <s v="Murthy"/>
    <n v="9.2000000000000011"/>
    <s v="Dry Grocery"/>
    <m/>
    <m/>
    <m/>
    <m/>
    <m/>
    <x v="0"/>
  </r>
  <r>
    <x v="13"/>
    <s v="Meat Masala Powder (100 gram)-meat masala-pkt-kg-0.1000"/>
    <n v="49.5"/>
    <n v="8.5000000000000006E-2"/>
    <x v="0"/>
    <s v="Murthy"/>
    <n v="4.2075000000000005"/>
    <s v="Dry Grocery"/>
    <m/>
    <m/>
    <m/>
    <m/>
    <m/>
    <x v="0"/>
  </r>
  <r>
    <x v="13"/>
    <s v="Turmeric Powder-Arishina pudi-kg-kg-1.0000"/>
    <n v="187.41"/>
    <n v="1.4999999999999999E-2"/>
    <x v="0"/>
    <s v="Murthy"/>
    <n v="2.81115"/>
    <s v="Dry Grocery"/>
    <m/>
    <m/>
    <m/>
    <m/>
    <m/>
    <x v="0"/>
  </r>
  <r>
    <x v="13"/>
    <s v="Chat Masala (100 gram)-chat masala-pkt-kg-0.1000"/>
    <n v="48"/>
    <n v="2.5000000000000001E-2"/>
    <x v="0"/>
    <s v="Murthy"/>
    <n v="1.2000000000000002"/>
    <s v="Dry Grocery"/>
    <m/>
    <m/>
    <m/>
    <m/>
    <m/>
    <x v="0"/>
  </r>
  <r>
    <x v="13"/>
    <s v="Salt Powder-Uppu-kg-kg-1.0000"/>
    <n v="17"/>
    <n v="0.06"/>
    <x v="0"/>
    <s v="Murthy"/>
    <n v="1.02"/>
    <s v="Dry Grocery"/>
    <m/>
    <m/>
    <m/>
    <m/>
    <m/>
    <x v="0"/>
  </r>
  <r>
    <x v="13"/>
    <s v="Black Pepper Powder-Kaal menasu-kg-kg-1.0000"/>
    <n v="380"/>
    <n v="0.05"/>
    <x v="0"/>
    <s v="Murthy"/>
    <n v="19"/>
    <s v="Dry Grocery"/>
    <m/>
    <m/>
    <m/>
    <m/>
    <m/>
    <x v="0"/>
  </r>
  <r>
    <x v="13"/>
    <s v="Kitchen king (100 gram)-Kitchen king (100 gram)-pkt-kg-0.1000"/>
    <n v="51"/>
    <n v="0.18"/>
    <x v="0"/>
    <s v="Murthy"/>
    <n v="9.18"/>
    <s v="Dry Grocery"/>
    <m/>
    <m/>
    <m/>
    <m/>
    <m/>
    <x v="0"/>
  </r>
  <r>
    <x v="13"/>
    <s v="White Pepper Powder (500 gram)-Billi menasu pudi-kg-kg-1.0000"/>
    <n v="180"/>
    <n v="0.25"/>
    <x v="0"/>
    <s v="Murthy"/>
    <n v="45"/>
    <s v="Dry Grocery"/>
    <m/>
    <m/>
    <m/>
    <m/>
    <m/>
    <x v="0"/>
  </r>
  <r>
    <x v="13"/>
    <s v="Tasting Powder (500 kg)-tasting powder-kg-kg-1.0000"/>
    <n v="148"/>
    <n v="0.26500000000000001"/>
    <x v="0"/>
    <s v="Murthy"/>
    <n v="39.22"/>
    <s v="Dry Grocery"/>
    <m/>
    <m/>
    <m/>
    <m/>
    <m/>
    <x v="0"/>
  </r>
  <r>
    <x v="13"/>
    <s v="Vinegar-Vinegar-bottle-kg-0.8600"/>
    <n v="24"/>
    <n v="0.19"/>
    <x v="0"/>
    <s v="Murthy"/>
    <n v="4.5600000000000005"/>
    <s v="Dry Grocery"/>
    <m/>
    <m/>
    <m/>
    <m/>
    <m/>
    <x v="0"/>
  </r>
  <r>
    <x v="13"/>
    <s v="Dark soya souce-Dark soya souce-bottle-kg-0.8150"/>
    <n v="33"/>
    <n v="0.45"/>
    <x v="0"/>
    <s v="Murthy"/>
    <n v="14.85"/>
    <s v="Sauce"/>
    <m/>
    <m/>
    <m/>
    <m/>
    <m/>
    <x v="0"/>
  </r>
  <r>
    <x v="13"/>
    <s v="Mustard oil-Sasive yenne-lts-kg-0.9100"/>
    <n v="135"/>
    <n v="0.13500000000000001"/>
    <x v="0"/>
    <s v="Murthy"/>
    <n v="18.225000000000001"/>
    <s v="Oil"/>
    <m/>
    <m/>
    <m/>
    <m/>
    <m/>
    <x v="0"/>
  </r>
  <r>
    <x v="13"/>
    <s v="Ketchup(1.2 kg)-ketchup-bottle-kg-1.2000"/>
    <n v="75"/>
    <n v="0.63500000000000001"/>
    <x v="0"/>
    <s v="Murthy"/>
    <n v="47.625"/>
    <s v="Sauce"/>
    <m/>
    <m/>
    <m/>
    <m/>
    <m/>
    <x v="0"/>
  </r>
  <r>
    <x v="13"/>
    <s v="Coriander Powder (500 gram)-Dhanya Powder (500 gram)-kg-kg-1.0000"/>
    <n v="120"/>
    <n v="0.115"/>
    <x v="0"/>
    <s v="Murthy"/>
    <n v="13.8"/>
    <s v="Dry Grocery"/>
    <m/>
    <m/>
    <m/>
    <m/>
    <m/>
    <x v="0"/>
  </r>
  <r>
    <x v="13"/>
    <s v="Gas-Gas-kg-kg-1.0000"/>
    <n v="78.95"/>
    <n v="19"/>
    <x v="3"/>
    <s v="Common"/>
    <n v="1500.05"/>
    <s v="Gas"/>
    <m/>
    <m/>
    <m/>
    <m/>
    <m/>
    <x v="0"/>
  </r>
  <r>
    <x v="13"/>
    <s v="Capcicum Sauce (60 gram)-Capcicum Sauce (60 gram)-kg-kg-1.0000"/>
    <n v="55"/>
    <n v="0.01"/>
    <x v="0"/>
    <s v="Murthy"/>
    <n v="0.55000000000000004"/>
    <s v="Sauce"/>
    <m/>
    <m/>
    <m/>
    <m/>
    <m/>
    <x v="0"/>
  </r>
  <r>
    <x v="13"/>
    <s v="Ginger Powder-shunti pudi-pkt-kg-0.1000"/>
    <n v="0"/>
    <n v="0.01"/>
    <x v="0"/>
    <s v="Murthy"/>
    <n v="0"/>
    <s v="Dry Grocery"/>
    <m/>
    <m/>
    <m/>
    <m/>
    <m/>
    <x v="0"/>
  </r>
  <r>
    <x v="13"/>
    <s v="Yellow Gravy"/>
    <n v="0"/>
    <n v="0.7"/>
    <x v="0"/>
    <s v="Murthy"/>
    <n v="0"/>
    <s v="SemiFinished_Prod"/>
    <m/>
    <m/>
    <m/>
    <m/>
    <m/>
    <x v="0"/>
  </r>
  <r>
    <x v="13"/>
    <s v="Cucumber-sothekayi-kg-kg-1.0000"/>
    <n v="43.98"/>
    <n v="0.12"/>
    <x v="0"/>
    <s v="Murthy"/>
    <n v="5.2775999999999996"/>
    <s v="Vegetable"/>
    <m/>
    <m/>
    <m/>
    <m/>
    <m/>
    <x v="0"/>
  </r>
  <r>
    <x v="13"/>
    <s v="Hakka Noodles-Hakka Noodles-pkt-kg-0.4000"/>
    <n v="40"/>
    <n v="1"/>
    <x v="0"/>
    <s v="Murthy"/>
    <n v="40"/>
    <s v="Dry Grocery"/>
    <m/>
    <m/>
    <m/>
    <m/>
    <m/>
    <x v="0"/>
  </r>
  <r>
    <x v="13"/>
    <s v="Green peas-green peas-kg-kg-1.0000"/>
    <n v="100"/>
    <n v="0.9"/>
    <x v="0"/>
    <s v="Murthy"/>
    <n v="90"/>
    <s v="Processed Food"/>
    <m/>
    <m/>
    <m/>
    <m/>
    <m/>
    <x v="0"/>
  </r>
  <r>
    <x v="13"/>
    <s v="Cream-Cream-lts-kg-1.0000"/>
    <n v="190"/>
    <n v="0.33500000000000002"/>
    <x v="0"/>
    <s v="Murthy"/>
    <n v="63.650000000000006"/>
    <s v="Dairy"/>
    <m/>
    <m/>
    <m/>
    <m/>
    <m/>
    <x v="0"/>
  </r>
  <r>
    <x v="13"/>
    <s v="Mango-Mavinhannu-kg-kg-1.0000"/>
    <n v="150"/>
    <m/>
    <x v="5"/>
    <s v="Ravi"/>
    <n v="0"/>
    <s v="Fruits"/>
    <m/>
    <n v="1"/>
    <m/>
    <m/>
    <m/>
    <x v="0"/>
  </r>
  <r>
    <x v="13"/>
    <s v="Watermelon-Watermelon-kg-kg-1.0000"/>
    <n v="20"/>
    <m/>
    <x v="5"/>
    <s v="Ravi"/>
    <n v="0"/>
    <s v="Fruits"/>
    <m/>
    <n v="13"/>
    <m/>
    <m/>
    <m/>
    <x v="0"/>
  </r>
  <r>
    <x v="13"/>
    <s v="Muskmelon-THARBUJA-kg-kg-1.0000"/>
    <n v="20"/>
    <m/>
    <x v="5"/>
    <s v="Ravi"/>
    <n v="0"/>
    <s v="Fruits"/>
    <m/>
    <n v="3"/>
    <m/>
    <m/>
    <m/>
    <x v="0"/>
  </r>
  <r>
    <x v="13"/>
    <s v="Pineapple-ANNANAS-kg-kg-1.0000"/>
    <n v="30"/>
    <m/>
    <x v="5"/>
    <s v="Ravi"/>
    <n v="0"/>
    <s v="Fruits"/>
    <m/>
    <n v="4"/>
    <m/>
    <m/>
    <m/>
    <x v="0"/>
  </r>
  <r>
    <x v="13"/>
    <s v="Chickoo-Sapota-kg-kg-1.0000"/>
    <n v="40"/>
    <m/>
    <x v="5"/>
    <s v="Ravi"/>
    <n v="0"/>
    <s v="Fruits"/>
    <m/>
    <n v="2"/>
    <m/>
    <m/>
    <m/>
    <x v="0"/>
  </r>
  <r>
    <x v="13"/>
    <s v="BUTTERFRUIT-BUTTERFRUIT-kg-kg-1.0000"/>
    <n v="130"/>
    <m/>
    <x v="5"/>
    <s v="Ravi"/>
    <n v="0"/>
    <s v="Fruits"/>
    <m/>
    <n v="2"/>
    <m/>
    <m/>
    <m/>
    <x v="0"/>
  </r>
  <r>
    <x v="13"/>
    <s v="Apple-SEBU-kg-kg-1.0000"/>
    <n v="120"/>
    <m/>
    <x v="5"/>
    <s v="Ravi"/>
    <n v="0"/>
    <s v="Fruits"/>
    <m/>
    <n v="1"/>
    <m/>
    <m/>
    <m/>
    <x v="0"/>
  </r>
  <r>
    <x v="13"/>
    <s v="Papaya-PRANGIHANNU-kg-kg-1.0000"/>
    <n v="20"/>
    <m/>
    <x v="5"/>
    <s v="Ravi"/>
    <n v="0"/>
    <s v="Fruits"/>
    <m/>
    <n v="1"/>
    <m/>
    <m/>
    <m/>
    <x v="0"/>
  </r>
  <r>
    <x v="13"/>
    <s v="Banana-BALLEHANNU-kg-kg-1.0000"/>
    <n v="2"/>
    <m/>
    <x v="5"/>
    <s v="Ravi"/>
    <n v="0"/>
    <s v="Fruits"/>
    <m/>
    <n v="20"/>
    <m/>
    <m/>
    <m/>
    <x v="0"/>
  </r>
  <r>
    <x v="13"/>
    <s v="Pineapple-ANNANAS-kg-kg-1.0000"/>
    <n v="30"/>
    <m/>
    <x v="5"/>
    <s v="Ravi"/>
    <n v="0"/>
    <s v="Fruits"/>
    <n v="1.25"/>
    <m/>
    <m/>
    <m/>
    <m/>
    <x v="0"/>
  </r>
  <r>
    <x v="13"/>
    <s v="Muskmelon-THARBUJA-kg-kg-1.0000"/>
    <n v="20"/>
    <m/>
    <x v="5"/>
    <s v="Ravi"/>
    <n v="0"/>
    <s v="Fruits"/>
    <n v="1.3"/>
    <m/>
    <m/>
    <m/>
    <m/>
    <x v="0"/>
  </r>
  <r>
    <x v="13"/>
    <s v="Apple-SEBU-kg-kg-1.0000"/>
    <n v="120"/>
    <m/>
    <x v="5"/>
    <s v="Ravi"/>
    <n v="0"/>
    <s v="Fruits"/>
    <n v="1.3"/>
    <m/>
    <m/>
    <m/>
    <m/>
    <x v="0"/>
  </r>
  <r>
    <x v="13"/>
    <s v="Orange -Kitlehannu-kg-kg-1.0000"/>
    <n v="50"/>
    <m/>
    <x v="5"/>
    <s v="Ravi"/>
    <n v="0"/>
    <s v="Fruits"/>
    <n v="0.45"/>
    <m/>
    <m/>
    <m/>
    <m/>
    <x v="0"/>
  </r>
  <r>
    <x v="13"/>
    <s v="Moosambi-MOOSAMBI-kg-kg-1.0000"/>
    <n v="50"/>
    <m/>
    <x v="5"/>
    <s v="Ravi"/>
    <n v="0"/>
    <s v="Fruits"/>
    <n v="0.45"/>
    <m/>
    <m/>
    <m/>
    <m/>
    <x v="0"/>
  </r>
  <r>
    <x v="13"/>
    <s v="Chickoo-Sapota-kg-kg-1.0000"/>
    <n v="40"/>
    <m/>
    <x v="5"/>
    <s v="Ravi"/>
    <n v="0"/>
    <s v="Fruits"/>
    <n v="2.4"/>
    <m/>
    <m/>
    <m/>
    <m/>
    <x v="0"/>
  </r>
  <r>
    <x v="13"/>
    <s v="Papaya-PRANGIHANNU-kg-kg-1.0000"/>
    <n v="20"/>
    <n v="1"/>
    <x v="5"/>
    <s v="Ravi"/>
    <n v="20"/>
    <s v="Fruits"/>
    <m/>
    <m/>
    <m/>
    <m/>
    <m/>
    <x v="0"/>
  </r>
  <r>
    <x v="13"/>
    <s v="BUTTERFRUIT-BUTTERFRUIT-kg-kg-1.0000"/>
    <n v="130"/>
    <n v="1"/>
    <x v="5"/>
    <s v="Ravi"/>
    <n v="130"/>
    <s v="Fruits"/>
    <m/>
    <m/>
    <m/>
    <m/>
    <m/>
    <x v="0"/>
  </r>
  <r>
    <x v="13"/>
    <s v="Mango-Mavinhannu-kg-kg-1.0000"/>
    <n v="150"/>
    <n v="1"/>
    <x v="5"/>
    <s v="Ravi"/>
    <n v="150"/>
    <s v="Fruits"/>
    <m/>
    <m/>
    <m/>
    <m/>
    <m/>
    <x v="0"/>
  </r>
  <r>
    <x v="13"/>
    <s v="Watermelon-Watermelon-kg-kg-1.0000"/>
    <n v="20"/>
    <n v="1.8"/>
    <x v="5"/>
    <s v="Ravi"/>
    <n v="36"/>
    <s v="Fruits"/>
    <m/>
    <m/>
    <m/>
    <m/>
    <m/>
    <x v="0"/>
  </r>
  <r>
    <x v="13"/>
    <s v="Curd-Mosaru-lts-kg-1.0300"/>
    <n v="42"/>
    <n v="1"/>
    <x v="5"/>
    <s v="Ravi"/>
    <n v="42"/>
    <s v="Dairy"/>
    <m/>
    <m/>
    <m/>
    <m/>
    <m/>
    <x v="0"/>
  </r>
  <r>
    <x v="13"/>
    <s v="Milk-Haalu-lts-kg-1.0300"/>
    <n v="36"/>
    <n v="2.5"/>
    <x v="5"/>
    <s v="Ravi"/>
    <n v="90"/>
    <s v="Dairy"/>
    <m/>
    <m/>
    <m/>
    <m/>
    <m/>
    <x v="0"/>
  </r>
  <r>
    <x v="13"/>
    <s v="Onion-Erulli-kg-kg-1.0000"/>
    <n v="14"/>
    <n v="0.67"/>
    <x v="2"/>
    <s v="Ravi"/>
    <n v="9.3800000000000008"/>
    <s v="Vegetable"/>
    <m/>
    <m/>
    <m/>
    <m/>
    <m/>
    <x v="0"/>
  </r>
  <r>
    <x v="13"/>
    <s v="Tomato (Jam)-tomatojam-kg-kg-1.0000"/>
    <n v="14.75"/>
    <n v="0.5"/>
    <x v="2"/>
    <s v="Ravi"/>
    <n v="7.375"/>
    <s v="Vegetable"/>
    <m/>
    <m/>
    <m/>
    <m/>
    <m/>
    <x v="0"/>
  </r>
  <r>
    <x v="13"/>
    <s v="Carrot-carrot-kg-kg-1.0000"/>
    <n v="27.97"/>
    <n v="0.12"/>
    <x v="2"/>
    <s v="Ravi"/>
    <n v="3.3563999999999998"/>
    <s v="Vegetable"/>
    <m/>
    <m/>
    <m/>
    <m/>
    <m/>
    <x v="0"/>
  </r>
  <r>
    <x v="13"/>
    <s v="Coriander leaves-Kothamiri Soppu-kg-kg-1.0000"/>
    <n v="25"/>
    <n v="0.05"/>
    <x v="2"/>
    <s v="Ravi"/>
    <n v="1.25"/>
    <s v="Vegetable"/>
    <m/>
    <m/>
    <m/>
    <m/>
    <m/>
    <x v="0"/>
  </r>
  <r>
    <x v="13"/>
    <s v="Sugar-Sakkre-kg-kg-1.0000"/>
    <n v="37"/>
    <n v="5"/>
    <x v="5"/>
    <s v="Ravi"/>
    <n v="185"/>
    <s v="Dry Grocery"/>
    <m/>
    <m/>
    <m/>
    <m/>
    <m/>
    <x v="0"/>
  </r>
  <r>
    <x v="13"/>
    <s v="Lemon-Nimbehannu-count-count-1.0000"/>
    <n v="3"/>
    <n v="4"/>
    <x v="5"/>
    <s v="Ravi"/>
    <n v="12"/>
    <s v="Vegetable"/>
    <m/>
    <m/>
    <m/>
    <m/>
    <m/>
    <x v="0"/>
  </r>
  <r>
    <x v="13"/>
    <s v="Soda (750 mL)-Soda (750 mL)-lts-kg-1.0000"/>
    <n v="16"/>
    <m/>
    <x v="5"/>
    <s v="Ravi"/>
    <n v="0"/>
    <s v="Juice"/>
    <n v="28"/>
    <m/>
    <m/>
    <m/>
    <m/>
    <x v="0"/>
  </r>
  <r>
    <x v="13"/>
    <s v="Milk-Haalu-lts-kg-1.0300"/>
    <n v="36"/>
    <n v="2.5"/>
    <x v="1"/>
    <s v="Ravi"/>
    <n v="90"/>
    <s v="Dairy"/>
    <m/>
    <m/>
    <m/>
    <m/>
    <m/>
    <x v="0"/>
  </r>
  <r>
    <x v="13"/>
    <s v="Curd-Mosaru-lts-kg-1.0300"/>
    <n v="42"/>
    <n v="1.5"/>
    <x v="1"/>
    <s v="Ravi"/>
    <n v="63"/>
    <s v="Dairy"/>
    <m/>
    <m/>
    <m/>
    <m/>
    <m/>
    <x v="0"/>
  </r>
  <r>
    <x v="13"/>
    <s v="Coconut-Theginkai-count-count-1.0000"/>
    <n v="28"/>
    <n v="3"/>
    <x v="1"/>
    <s v="Ravi"/>
    <n v="84"/>
    <s v="Vegetable"/>
    <m/>
    <m/>
    <m/>
    <m/>
    <m/>
    <x v="0"/>
  </r>
  <r>
    <x v="13"/>
    <s v="South Rice-South Hakki-kg-kg-1.0000"/>
    <n v="52"/>
    <n v="6.4"/>
    <x v="1"/>
    <s v="Ravi"/>
    <n v="332.8"/>
    <s v="Dry Grocery"/>
    <m/>
    <m/>
    <m/>
    <m/>
    <m/>
    <x v="0"/>
  </r>
  <r>
    <x v="13"/>
    <s v="Sugar-Sakkre-kg-kg-1.0000"/>
    <n v="37"/>
    <n v="0.9"/>
    <x v="1"/>
    <s v="Ravi"/>
    <n v="33.300000000000004"/>
    <s v="Dry Grocery"/>
    <m/>
    <m/>
    <m/>
    <m/>
    <m/>
    <x v="0"/>
  </r>
  <r>
    <x v="13"/>
    <s v="Chilly Powder-Chilly Powder-kg-kg-1.0000"/>
    <n v="280"/>
    <n v="0.13"/>
    <x v="1"/>
    <s v="Ravi"/>
    <n v="36.4"/>
    <s v="Dry Grocery"/>
    <m/>
    <m/>
    <m/>
    <m/>
    <m/>
    <x v="0"/>
  </r>
  <r>
    <x v="13"/>
    <s v="Coriander Powder (500 gram)-Dhanya Powder (500 gram)-kg-kg-1.0000"/>
    <n v="120"/>
    <n v="0.02"/>
    <x v="1"/>
    <s v="Ravi"/>
    <n v="2.4"/>
    <s v="Dry Grocery"/>
    <m/>
    <m/>
    <m/>
    <m/>
    <m/>
    <x v="0"/>
  </r>
  <r>
    <x v="13"/>
    <s v="Rasam powder-Rasam powder-kg-kg-1.0000"/>
    <n v="340"/>
    <n v="0.02"/>
    <x v="1"/>
    <s v="Ravi"/>
    <n v="6.8"/>
    <s v="Dry Grocery"/>
    <m/>
    <m/>
    <m/>
    <m/>
    <m/>
    <x v="0"/>
  </r>
  <r>
    <x v="13"/>
    <s v="Sambar powder-Sambar powder-kg-kg-1.0000"/>
    <n v="500"/>
    <n v="0.105"/>
    <x v="1"/>
    <s v="Ravi"/>
    <n v="52.5"/>
    <s v="Dry Grocery"/>
    <m/>
    <m/>
    <m/>
    <m/>
    <m/>
    <x v="0"/>
  </r>
  <r>
    <x v="13"/>
    <s v="Crystal Salt-Kalluppu-kg-kg-1.0000"/>
    <n v="7"/>
    <n v="0.53"/>
    <x v="1"/>
    <s v="Ravi"/>
    <n v="3.71"/>
    <s v="Dry Grocery"/>
    <m/>
    <m/>
    <m/>
    <m/>
    <m/>
    <x v="0"/>
  </r>
  <r>
    <x v="13"/>
    <s v="Turmeric Powder-Arishina pudi-kg-kg-1.0000"/>
    <n v="187.41"/>
    <n v="4.4999999999999998E-2"/>
    <x v="1"/>
    <s v="Ravi"/>
    <n v="8.4334499999999988"/>
    <s v="Dry Grocery"/>
    <m/>
    <m/>
    <m/>
    <m/>
    <m/>
    <x v="0"/>
  </r>
  <r>
    <x v="13"/>
    <s v="Garam Masala (100 gram)-garam masala-pkt-kg-0.1000"/>
    <n v="57.5"/>
    <n v="0.03"/>
    <x v="1"/>
    <s v="Ravi"/>
    <n v="1.7249999999999999"/>
    <s v="Dry Grocery"/>
    <m/>
    <m/>
    <m/>
    <m/>
    <m/>
    <x v="0"/>
  </r>
  <r>
    <x v="13"/>
    <s v="Dalda-dalda-lts-kg-0.9050"/>
    <n v="96"/>
    <n v="0.32"/>
    <x v="1"/>
    <s v="Ravi"/>
    <n v="30.72"/>
    <s v="Oil"/>
    <m/>
    <m/>
    <m/>
    <m/>
    <m/>
    <x v="0"/>
  </r>
  <r>
    <x v="13"/>
    <s v="Oil-Yenne-lts-kg-0.9150"/>
    <n v="82"/>
    <n v="1"/>
    <x v="1"/>
    <s v="Ravi"/>
    <n v="82"/>
    <s v="Oil"/>
    <m/>
    <m/>
    <m/>
    <m/>
    <m/>
    <x v="0"/>
  </r>
  <r>
    <x v="13"/>
    <s v="Jeera Seeds-Jeerge-kg-kg-1.0000"/>
    <n v="230"/>
    <n v="0.23"/>
    <x v="1"/>
    <s v="Ravi"/>
    <n v="52.900000000000006"/>
    <s v="Dry Grocery"/>
    <m/>
    <m/>
    <m/>
    <m/>
    <m/>
    <x v="0"/>
  </r>
  <r>
    <x v="13"/>
    <s v="Mustard-Sasive-kg-kg-1.0000"/>
    <n v="70"/>
    <n v="0.115"/>
    <x v="1"/>
    <s v="Ravi"/>
    <n v="8.0500000000000007"/>
    <s v="Dry Grocery"/>
    <m/>
    <m/>
    <m/>
    <m/>
    <m/>
    <x v="0"/>
  </r>
  <r>
    <x v="13"/>
    <s v="channadal(split)-Kadlebele-kg-kg-1.0000"/>
    <n v="55"/>
    <n v="0.14499999999999999"/>
    <x v="1"/>
    <s v="Ravi"/>
    <n v="7.9749999999999996"/>
    <s v="Dry Grocery"/>
    <m/>
    <m/>
    <m/>
    <m/>
    <m/>
    <x v="0"/>
  </r>
  <r>
    <x v="13"/>
    <s v="Onion-Erulli-kg-kg-1.0000"/>
    <n v="14"/>
    <n v="2.5"/>
    <x v="1"/>
    <s v="Ravi"/>
    <n v="35"/>
    <s v="Vegetable"/>
    <m/>
    <m/>
    <m/>
    <m/>
    <m/>
    <x v="0"/>
  </r>
  <r>
    <x v="13"/>
    <s v="Garlic-Belulli-kg-kg-1.0000"/>
    <n v="28"/>
    <n v="0.25"/>
    <x v="1"/>
    <s v="Ravi"/>
    <n v="7"/>
    <s v="Vegetable"/>
    <m/>
    <m/>
    <m/>
    <m/>
    <m/>
    <x v="0"/>
  </r>
  <r>
    <x v="13"/>
    <s v="Ginger-shunti-kg-kg-1.0000"/>
    <n v="40"/>
    <n v="0.2"/>
    <x v="1"/>
    <s v="Ravi"/>
    <n v="8"/>
    <s v="Vegetable"/>
    <m/>
    <m/>
    <m/>
    <m/>
    <m/>
    <x v="0"/>
  </r>
  <r>
    <x v="13"/>
    <s v="Wheat-Godhi-kg-kg-1.0000"/>
    <n v="34"/>
    <n v="0.8"/>
    <x v="1"/>
    <s v="Ravi"/>
    <n v="27.200000000000003"/>
    <s v="Dry Grocery"/>
    <m/>
    <m/>
    <m/>
    <m/>
    <m/>
    <x v="0"/>
  </r>
  <r>
    <x v="13"/>
    <s v="Toordal-Thogaribele-kg-kg-1.0000"/>
    <n v="64.069999999999993"/>
    <n v="0.5"/>
    <x v="1"/>
    <s v="Ravi"/>
    <n v="32.034999999999997"/>
    <s v="Dry Grocery"/>
    <m/>
    <m/>
    <m/>
    <m/>
    <m/>
    <x v="0"/>
  </r>
  <r>
    <x v="13"/>
    <s v="Tamarind-hunsehannu-kg-kg-1.0000"/>
    <n v="170"/>
    <n v="0.1"/>
    <x v="1"/>
    <s v="Ravi"/>
    <n v="17"/>
    <s v="Dry Grocery"/>
    <m/>
    <m/>
    <m/>
    <m/>
    <m/>
    <x v="0"/>
  </r>
  <r>
    <x v="13"/>
    <s v="Byadagi chilly-Byadagi chilly-kg-kg-1.0000"/>
    <n v="280"/>
    <n v="0.02"/>
    <x v="1"/>
    <s v="Ravi"/>
    <n v="5.6000000000000005"/>
    <s v="Dry Grocery"/>
    <m/>
    <m/>
    <m/>
    <m/>
    <m/>
    <x v="0"/>
  </r>
  <r>
    <x v="13"/>
    <s v="vermicelli-Shavige-kg-kg-1.0000"/>
    <n v="61.08"/>
    <n v="0.35"/>
    <x v="1"/>
    <s v="Ravi"/>
    <n v="21.377999999999997"/>
    <s v="Dry Grocery"/>
    <m/>
    <m/>
    <m/>
    <m/>
    <m/>
    <x v="0"/>
  </r>
  <r>
    <x v="13"/>
    <s v="Guntur -guntur-kg-kg-1.0000"/>
    <n v="138"/>
    <n v="0.02"/>
    <x v="1"/>
    <s v="Ravi"/>
    <n v="2.7600000000000002"/>
    <s v="Dry Grocery"/>
    <m/>
    <m/>
    <m/>
    <m/>
    <m/>
    <x v="0"/>
  </r>
  <r>
    <x v="13"/>
    <s v="Urad Dal-Uddina bele-kg-kg-1.0000"/>
    <n v="76"/>
    <n v="7.0000000000000007E-2"/>
    <x v="1"/>
    <s v="Ravi"/>
    <n v="5.32"/>
    <s v="Dry Grocery"/>
    <m/>
    <m/>
    <m/>
    <m/>
    <m/>
    <x v="0"/>
  </r>
  <r>
    <x v="13"/>
    <s v="Pudina-Pudina-kg-kg-1.0000"/>
    <n v="125"/>
    <n v="0.06"/>
    <x v="1"/>
    <s v="Ravi"/>
    <n v="7.5"/>
    <s v="Vegetable"/>
    <m/>
    <m/>
    <m/>
    <m/>
    <m/>
    <x v="0"/>
  </r>
  <r>
    <x v="13"/>
    <s v="Coriander leaves-Kothamiri Soppu-kg-kg-1.0000"/>
    <n v="25"/>
    <n v="0.2"/>
    <x v="1"/>
    <s v="Ravi"/>
    <n v="5"/>
    <s v="Vegetable"/>
    <m/>
    <m/>
    <m/>
    <m/>
    <m/>
    <x v="0"/>
  </r>
  <r>
    <x v="13"/>
    <s v="curry leaves-karbensoppu-kg-kg-1.0000"/>
    <n v="312.14"/>
    <n v="0.04"/>
    <x v="1"/>
    <s v="Ravi"/>
    <n v="12.4856"/>
    <s v="Vegetable"/>
    <m/>
    <m/>
    <m/>
    <m/>
    <m/>
    <x v="0"/>
  </r>
  <r>
    <x v="13"/>
    <s v="Tomato (Jam)-tomatojam-kg-kg-1.0000"/>
    <n v="14.75"/>
    <n v="0.8"/>
    <x v="1"/>
    <s v="Ravi"/>
    <n v="11.8"/>
    <s v="Vegetable"/>
    <m/>
    <m/>
    <m/>
    <m/>
    <m/>
    <x v="0"/>
  </r>
  <r>
    <x v="13"/>
    <s v="South Papad (500 gram)-South Papad (500 gram)-pkt-kg-0.5000"/>
    <n v="62.03"/>
    <n v="0.21"/>
    <x v="1"/>
    <s v="Ravi"/>
    <n v="13.026299999999999"/>
    <s v="Dry Grocery"/>
    <m/>
    <m/>
    <m/>
    <m/>
    <m/>
    <x v="0"/>
  </r>
  <r>
    <x v="13"/>
    <s v="North Papad (1 kg)-North Papad (1 kg)-kg-kg-1.0000"/>
    <n v="160"/>
    <n v="0.08"/>
    <x v="1"/>
    <s v="Ravi"/>
    <n v="12.8"/>
    <s v="Dry Grocery"/>
    <m/>
    <m/>
    <m/>
    <m/>
    <m/>
    <x v="0"/>
  </r>
  <r>
    <x v="13"/>
    <s v="mixed vegetables-mixed tharkari-kg-kg-1.0000"/>
    <n v="35"/>
    <n v="2"/>
    <x v="1"/>
    <s v="Ravi"/>
    <n v="70"/>
    <s v="Vegetable"/>
    <m/>
    <m/>
    <m/>
    <m/>
    <m/>
    <x v="0"/>
  </r>
  <r>
    <x v="13"/>
    <s v="Elaichi-yelakki-kg-kg-1.0000"/>
    <n v="1450"/>
    <n v="0.01"/>
    <x v="1"/>
    <s v="Ravi"/>
    <n v="14.5"/>
    <s v="Spice"/>
    <m/>
    <m/>
    <m/>
    <m/>
    <m/>
    <x v="0"/>
  </r>
  <r>
    <x v="13"/>
    <s v="Pickle-Uppinkayi-kg-kg-1.0000"/>
    <n v="40"/>
    <n v="0.3"/>
    <x v="1"/>
    <s v="Ravi"/>
    <n v="12"/>
    <s v="Processed Food"/>
    <m/>
    <m/>
    <m/>
    <m/>
    <m/>
    <x v="0"/>
  </r>
  <r>
    <x v="13"/>
    <s v="Potato-Aloogedde-kg-kg-1.0000"/>
    <n v="20"/>
    <n v="1"/>
    <x v="1"/>
    <s v="Ravi"/>
    <n v="20"/>
    <s v="Vegetable"/>
    <m/>
    <m/>
    <m/>
    <m/>
    <m/>
    <x v="0"/>
  </r>
  <r>
    <x v="13"/>
    <s v="Cashew-Godambi-kg-kg-1.0000"/>
    <n v="840"/>
    <n v="2.5000000000000001E-2"/>
    <x v="1"/>
    <s v="Ravi"/>
    <n v="21"/>
    <s v="Dry Grocery"/>
    <m/>
    <m/>
    <m/>
    <m/>
    <m/>
    <x v="0"/>
  </r>
  <r>
    <x v="13"/>
    <s v="Raisin-drakshi-kg-kg-1.0000"/>
    <n v="240"/>
    <n v="2.5000000000000001E-2"/>
    <x v="1"/>
    <s v="Ravi"/>
    <n v="6"/>
    <s v="Dry Grocery"/>
    <m/>
    <m/>
    <m/>
    <m/>
    <m/>
    <x v="0"/>
  </r>
  <r>
    <x v="13"/>
    <s v="Onion-Erulli-kg-kg-1.0000"/>
    <n v="14"/>
    <n v="0.45"/>
    <x v="6"/>
    <s v="Jaggu"/>
    <n v="6.3"/>
    <s v="Vegetable"/>
    <m/>
    <m/>
    <m/>
    <m/>
    <m/>
    <x v="0"/>
  </r>
  <r>
    <x v="13"/>
    <s v="Lemon-Nimbehannu-count-count-1.0000"/>
    <n v="3"/>
    <n v="12"/>
    <x v="6"/>
    <s v="Jaggu"/>
    <n v="36"/>
    <s v="Vegetable"/>
    <m/>
    <m/>
    <m/>
    <m/>
    <m/>
    <x v="0"/>
  </r>
  <r>
    <x v="13"/>
    <s v="Green chilly-hasinmenshinkayi-kg-kg-1.0000"/>
    <n v="30"/>
    <n v="0.2"/>
    <x v="1"/>
    <s v="Ravi"/>
    <n v="6"/>
    <s v="Vegetable"/>
    <m/>
    <m/>
    <m/>
    <m/>
    <m/>
    <x v="0"/>
  </r>
  <r>
    <x v="13"/>
    <s v="Milk-Haalu-lts-kg-1.0300"/>
    <n v="36"/>
    <n v="3"/>
    <x v="4"/>
    <s v="Vicky"/>
    <n v="108"/>
    <s v="Dairy"/>
    <m/>
    <m/>
    <m/>
    <m/>
    <m/>
    <x v="0"/>
  </r>
  <r>
    <x v="13"/>
    <s v="Curd-Mosaru-lts-kg-1.0300"/>
    <n v="42"/>
    <n v="1.5"/>
    <x v="0"/>
    <s v="Murthy"/>
    <n v="63"/>
    <s v="Dairy"/>
    <m/>
    <m/>
    <m/>
    <m/>
    <m/>
    <x v="0"/>
  </r>
  <r>
    <x v="13"/>
    <s v="Tea powder-Tea powder-kg-kg-1.0000"/>
    <n v="390"/>
    <n v="0.43"/>
    <x v="4"/>
    <s v="Vicky"/>
    <n v="167.7"/>
    <s v="Hot Beverage"/>
    <m/>
    <m/>
    <m/>
    <m/>
    <m/>
    <x v="0"/>
  </r>
  <r>
    <x v="13"/>
    <s v="Sugar-Sakkre-kg-kg-1.0000"/>
    <n v="37"/>
    <n v="1.2000000000000002"/>
    <x v="4"/>
    <s v="Vicky"/>
    <n v="44.400000000000006"/>
    <s v="Dry Grocery"/>
    <m/>
    <m/>
    <m/>
    <m/>
    <m/>
    <x v="0"/>
  </r>
  <r>
    <x v="14"/>
    <s v="Babycorn-Babycorn-kg-kg-1.0000"/>
    <n v="60"/>
    <m/>
    <x v="0"/>
    <s v="Murthy"/>
    <n v="0"/>
    <s v="Vegetable"/>
    <n v="1.7"/>
    <m/>
    <m/>
    <m/>
    <m/>
    <x v="0"/>
  </r>
  <r>
    <x v="14"/>
    <s v="Paneer-Paneer-kg-kg-1.0000"/>
    <n v="175"/>
    <m/>
    <x v="0"/>
    <s v="Murthy"/>
    <n v="0"/>
    <s v="Dairy"/>
    <n v="2"/>
    <m/>
    <m/>
    <m/>
    <m/>
    <x v="0"/>
  </r>
  <r>
    <x v="14"/>
    <s v="Green peas-green peas-kg-kg-1.0000"/>
    <n v="100"/>
    <m/>
    <x v="0"/>
    <s v="Murthy"/>
    <n v="0"/>
    <s v="Processed Food"/>
    <n v="0.1"/>
    <m/>
    <m/>
    <m/>
    <m/>
    <x v="0"/>
  </r>
  <r>
    <x v="14"/>
    <s v="Butter-Butter-kg-kg-1.0000"/>
    <n v="140"/>
    <m/>
    <x v="0"/>
    <s v="Murthy"/>
    <n v="0"/>
    <s v="Dairy"/>
    <n v="0.3"/>
    <m/>
    <m/>
    <m/>
    <m/>
    <x v="0"/>
  </r>
  <r>
    <x v="14"/>
    <s v="Mushroom-Mushroom-pkt-pkt-1.0000"/>
    <n v="32"/>
    <m/>
    <x v="0"/>
    <s v="Murthy"/>
    <n v="0"/>
    <s v="Vegetable"/>
    <n v="5"/>
    <m/>
    <m/>
    <m/>
    <m/>
    <x v="0"/>
  </r>
  <r>
    <x v="14"/>
    <s v="French fries-french fries-kg-kg-1.0000"/>
    <n v="280"/>
    <m/>
    <x v="0"/>
    <s v="Murthy"/>
    <n v="0"/>
    <s v="Processed Food"/>
    <n v="1.18"/>
    <m/>
    <m/>
    <m/>
    <m/>
    <x v="0"/>
  </r>
  <r>
    <x v="14"/>
    <s v="Curd-Mosaru-lts-kg-1.0300"/>
    <n v="42"/>
    <m/>
    <x v="3"/>
    <s v="Common"/>
    <n v="0"/>
    <s v="Dairy"/>
    <n v="3"/>
    <m/>
    <m/>
    <m/>
    <m/>
    <x v="0"/>
  </r>
  <r>
    <x v="14"/>
    <s v="Cream-Cream-lts-kg-1.0000"/>
    <n v="190"/>
    <m/>
    <x v="0"/>
    <s v="Murthy"/>
    <n v="0"/>
    <s v="Dairy"/>
    <n v="0.76500000000000001"/>
    <m/>
    <m/>
    <m/>
    <m/>
    <x v="0"/>
  </r>
  <r>
    <x v="14"/>
    <s v="Curd-Mosaru-lts-kg-1.0300"/>
    <n v="42"/>
    <m/>
    <x v="3"/>
    <s v="Common"/>
    <n v="0"/>
    <s v="Dairy"/>
    <m/>
    <n v="6"/>
    <m/>
    <m/>
    <m/>
    <x v="0"/>
  </r>
  <r>
    <x v="14"/>
    <s v="Milk-Haalu-lts-kg-1.0300"/>
    <n v="36"/>
    <m/>
    <x v="3"/>
    <s v="Common"/>
    <n v="0"/>
    <s v="Dairy"/>
    <m/>
    <n v="6"/>
    <m/>
    <m/>
    <m/>
    <x v="0"/>
  </r>
  <r>
    <x v="14"/>
    <s v="Carrot-carrot-kg-kg-1.0000"/>
    <n v="27.97"/>
    <m/>
    <x v="3"/>
    <s v="Common"/>
    <n v="0"/>
    <s v="Vegetable"/>
    <m/>
    <n v="2"/>
    <m/>
    <m/>
    <m/>
    <x v="0"/>
  </r>
  <r>
    <x v="14"/>
    <s v="Beans-Beans-kg-kg-1.0000"/>
    <n v="43.06"/>
    <m/>
    <x v="3"/>
    <s v="Common"/>
    <n v="0"/>
    <s v="Vegetable"/>
    <m/>
    <n v="2"/>
    <m/>
    <m/>
    <m/>
    <x v="0"/>
  </r>
  <r>
    <x v="14"/>
    <s v="Green chilly-hasinmenshinkayi-kg-kg-1.0000"/>
    <n v="30"/>
    <m/>
    <x v="3"/>
    <s v="Common"/>
    <n v="0"/>
    <s v="Vegetable"/>
    <m/>
    <n v="2"/>
    <m/>
    <m/>
    <m/>
    <x v="0"/>
  </r>
  <r>
    <x v="14"/>
    <s v="Garlic-Belulli-kg-kg-1.0000"/>
    <n v="28"/>
    <m/>
    <x v="3"/>
    <s v="Common"/>
    <n v="0"/>
    <s v="Vegetable"/>
    <m/>
    <n v="5"/>
    <m/>
    <m/>
    <m/>
    <x v="0"/>
  </r>
  <r>
    <x v="14"/>
    <s v="Cauliflower-hookosu-kg-kg-1.0000"/>
    <n v="23.33"/>
    <m/>
    <x v="0"/>
    <s v="Murthy"/>
    <n v="0"/>
    <s v="Vegetable"/>
    <m/>
    <n v="5"/>
    <m/>
    <m/>
    <m/>
    <x v="0"/>
  </r>
  <r>
    <x v="14"/>
    <s v="Coriander leaves-Kothamiri Soppu-kg-kg-1.0000"/>
    <n v="25"/>
    <m/>
    <x v="3"/>
    <s v="Common"/>
    <n v="0"/>
    <s v="Vegetable"/>
    <m/>
    <n v="1.1499999999999999"/>
    <m/>
    <m/>
    <m/>
    <x v="0"/>
  </r>
  <r>
    <x v="14"/>
    <s v="Pudina-Pudina-kg-kg-1.0000"/>
    <n v="125"/>
    <m/>
    <x v="3"/>
    <s v="Common"/>
    <n v="0"/>
    <s v="Vegetable"/>
    <m/>
    <n v="0.12"/>
    <m/>
    <m/>
    <m/>
    <x v="0"/>
  </r>
  <r>
    <x v="14"/>
    <s v="mixed vegetables-mixed tharkari-kg-kg-1.0000"/>
    <n v="35"/>
    <m/>
    <x v="1"/>
    <s v="Ravi"/>
    <n v="0"/>
    <s v="Vegetable"/>
    <m/>
    <n v="2.2000000000000002"/>
    <m/>
    <m/>
    <m/>
    <x v="0"/>
  </r>
  <r>
    <x v="14"/>
    <s v="Tomato (Huli)-tomatohuli-kg-kg-1.0000"/>
    <n v="15"/>
    <m/>
    <x v="1"/>
    <s v="Ravi"/>
    <n v="0"/>
    <s v="Vegetable"/>
    <m/>
    <n v="1.5"/>
    <m/>
    <m/>
    <m/>
    <x v="0"/>
  </r>
  <r>
    <x v="14"/>
    <s v="Tomato (Jam)-tomatojam-kg-kg-1.0000"/>
    <n v="14.75"/>
    <m/>
    <x v="0"/>
    <s v="Murthy"/>
    <n v="0"/>
    <s v="Vegetable"/>
    <m/>
    <n v="2"/>
    <m/>
    <m/>
    <m/>
    <x v="0"/>
  </r>
  <r>
    <x v="14"/>
    <s v="curry leaves-karbensoppu-kg-kg-1.0000"/>
    <n v="312.14"/>
    <m/>
    <x v="3"/>
    <s v="Common"/>
    <n v="0"/>
    <s v="Vegetable"/>
    <m/>
    <n v="0.04"/>
    <m/>
    <m/>
    <m/>
    <x v="0"/>
  </r>
  <r>
    <x v="14"/>
    <s v="Palak leaves-Palak soppu-kg-kg-1.0000"/>
    <n v="38"/>
    <m/>
    <x v="0"/>
    <s v="Murthy"/>
    <n v="0"/>
    <s v="Vegetable"/>
    <m/>
    <n v="2"/>
    <m/>
    <m/>
    <m/>
    <x v="0"/>
  </r>
  <r>
    <x v="14"/>
    <s v="Butter-Butter-kg-kg-1.0000"/>
    <n v="140"/>
    <m/>
    <x v="0"/>
    <s v="Murthy"/>
    <n v="0"/>
    <s v="Dairy"/>
    <m/>
    <n v="1"/>
    <m/>
    <m/>
    <m/>
    <x v="0"/>
  </r>
  <r>
    <x v="14"/>
    <s v="Paneer-Paneer-kg-kg-1.0000"/>
    <n v="175"/>
    <m/>
    <x v="0"/>
    <s v="Murthy"/>
    <n v="0"/>
    <s v="Dairy"/>
    <m/>
    <n v="1"/>
    <m/>
    <m/>
    <m/>
    <x v="0"/>
  </r>
  <r>
    <x v="14"/>
    <s v="Green peas-green peas-kg-kg-1.0000"/>
    <n v="100"/>
    <m/>
    <x v="0"/>
    <s v="Murthy"/>
    <n v="0"/>
    <s v="Processed Food"/>
    <m/>
    <n v="1"/>
    <m/>
    <m/>
    <m/>
    <x v="0"/>
  </r>
  <r>
    <x v="14"/>
    <s v="Mushroom-Mushroom-pkt-pkt-1.0000"/>
    <n v="32"/>
    <m/>
    <x v="0"/>
    <s v="Murthy"/>
    <n v="0"/>
    <s v="Vegetable"/>
    <m/>
    <n v="5"/>
    <m/>
    <m/>
    <m/>
    <x v="0"/>
  </r>
  <r>
    <x v="14"/>
    <s v="Tea powder-Tea powder-kg-kg-1.0000"/>
    <n v="390"/>
    <m/>
    <x v="4"/>
    <s v="Vicky"/>
    <n v="0"/>
    <s v="Hot Beverage"/>
    <m/>
    <n v="2"/>
    <m/>
    <m/>
    <m/>
    <x v="0"/>
  </r>
  <r>
    <x v="14"/>
    <s v="Milk-Haalu-lts-kg-1.0300"/>
    <n v="36"/>
    <n v="2.5"/>
    <x v="1"/>
    <s v="Ravi"/>
    <n v="90"/>
    <s v="Dairy"/>
    <m/>
    <m/>
    <m/>
    <m/>
    <m/>
    <x v="0"/>
  </r>
  <r>
    <x v="14"/>
    <s v="Curd-Mosaru-lts-kg-1.0300"/>
    <n v="42"/>
    <n v="1.5"/>
    <x v="1"/>
    <s v="Ravi"/>
    <n v="63"/>
    <s v="Dairy"/>
    <m/>
    <m/>
    <m/>
    <m/>
    <m/>
    <x v="0"/>
  </r>
  <r>
    <x v="14"/>
    <s v="South Rice-South Hakki-kg-kg-1.0000"/>
    <n v="52"/>
    <n v="3"/>
    <x v="1"/>
    <s v="Ravi"/>
    <n v="156"/>
    <s v="Dry Grocery"/>
    <m/>
    <m/>
    <m/>
    <m/>
    <m/>
    <x v="0"/>
  </r>
  <r>
    <x v="14"/>
    <s v="Coconut-Theginkai-count-count-1.0000"/>
    <n v="28"/>
    <n v="3"/>
    <x v="1"/>
    <s v="Ravi"/>
    <n v="84"/>
    <s v="Vegetable"/>
    <m/>
    <m/>
    <m/>
    <m/>
    <m/>
    <x v="0"/>
  </r>
  <r>
    <x v="14"/>
    <s v="Sugar-Sakkre-kg-kg-1.0000"/>
    <n v="37"/>
    <n v="0.45"/>
    <x v="1"/>
    <s v="Ravi"/>
    <n v="16.650000000000002"/>
    <s v="Dry Grocery"/>
    <m/>
    <m/>
    <m/>
    <m/>
    <m/>
    <x v="0"/>
  </r>
  <r>
    <x v="14"/>
    <s v="Chilly Powder-Chilly Powder-kg-kg-1.0000"/>
    <n v="280"/>
    <n v="0.16500000000000001"/>
    <x v="1"/>
    <s v="Ravi"/>
    <n v="46.2"/>
    <s v="Dry Grocery"/>
    <m/>
    <m/>
    <m/>
    <m/>
    <m/>
    <x v="0"/>
  </r>
  <r>
    <x v="14"/>
    <s v="Coriander Powder (500 gram)-Dhanya Powder (500 gram)-kg-kg-1.0000"/>
    <n v="120"/>
    <n v="0.05"/>
    <x v="1"/>
    <s v="Ravi"/>
    <n v="6"/>
    <s v="Dry Grocery"/>
    <m/>
    <m/>
    <m/>
    <m/>
    <m/>
    <x v="0"/>
  </r>
  <r>
    <x v="14"/>
    <s v="Turmeric Powder-Arishina pudi-kg-kg-1.0000"/>
    <n v="187.41"/>
    <n v="4.4999999999999998E-2"/>
    <x v="1"/>
    <s v="Ravi"/>
    <n v="8.4334499999999988"/>
    <s v="Dry Grocery"/>
    <m/>
    <m/>
    <m/>
    <m/>
    <m/>
    <x v="0"/>
  </r>
  <r>
    <x v="14"/>
    <s v="Sabbudana-sago sabakki-kg-kg-1.0000"/>
    <n v="86"/>
    <n v="0.35"/>
    <x v="1"/>
    <s v="Ravi"/>
    <n v="30.099999999999998"/>
    <s v="Dry Grocery"/>
    <m/>
    <m/>
    <m/>
    <m/>
    <m/>
    <x v="0"/>
  </r>
  <r>
    <x v="14"/>
    <s v="Rasam powder-Rasam powder-kg-kg-1.0000"/>
    <n v="340"/>
    <n v="0.02"/>
    <x v="1"/>
    <s v="Ravi"/>
    <n v="6.8"/>
    <s v="Dry Grocery"/>
    <m/>
    <m/>
    <m/>
    <m/>
    <m/>
    <x v="0"/>
  </r>
  <r>
    <x v="14"/>
    <s v="Sambar powder-Sambar powder-kg-kg-1.0000"/>
    <n v="500"/>
    <n v="0.1"/>
    <x v="1"/>
    <s v="Ravi"/>
    <n v="50"/>
    <s v="Dry Grocery"/>
    <m/>
    <m/>
    <m/>
    <m/>
    <m/>
    <x v="0"/>
  </r>
  <r>
    <x v="14"/>
    <s v="Crystal Salt-Kalluppu-kg-kg-1.0000"/>
    <n v="7"/>
    <n v="0.48"/>
    <x v="1"/>
    <s v="Ravi"/>
    <n v="3.36"/>
    <s v="Dry Grocery"/>
    <m/>
    <m/>
    <m/>
    <m/>
    <m/>
    <x v="0"/>
  </r>
  <r>
    <x v="14"/>
    <s v="Dalda-dalda-lts-kg-0.9050"/>
    <n v="96"/>
    <n v="0.57499999999999996"/>
    <x v="1"/>
    <s v="Ravi"/>
    <n v="55.199999999999996"/>
    <s v="Oil"/>
    <m/>
    <m/>
    <m/>
    <m/>
    <m/>
    <x v="0"/>
  </r>
  <r>
    <x v="14"/>
    <s v="Oil-Yenne-lts-kg-0.9150"/>
    <n v="82"/>
    <n v="2"/>
    <x v="1"/>
    <s v="Ravi"/>
    <n v="164"/>
    <s v="Oil"/>
    <m/>
    <m/>
    <m/>
    <m/>
    <m/>
    <x v="0"/>
  </r>
  <r>
    <x v="14"/>
    <s v="Garam Masala (100 gram)-garam masala-pkt-kg-0.1000"/>
    <n v="57.5"/>
    <n v="0.01"/>
    <x v="1"/>
    <s v="Ravi"/>
    <n v="0.57500000000000007"/>
    <s v="Dry Grocery"/>
    <m/>
    <m/>
    <m/>
    <m/>
    <m/>
    <x v="0"/>
  </r>
  <r>
    <x v="14"/>
    <s v="Jeera Seeds-Jeerge-kg-kg-1.0000"/>
    <n v="230"/>
    <n v="0.16"/>
    <x v="1"/>
    <s v="Ravi"/>
    <n v="36.800000000000004"/>
    <s v="Dry Grocery"/>
    <m/>
    <m/>
    <m/>
    <m/>
    <m/>
    <x v="0"/>
  </r>
  <r>
    <x v="14"/>
    <s v="Mustard-Sasive-kg-kg-1.0000"/>
    <n v="70"/>
    <n v="7.4999999999999997E-2"/>
    <x v="1"/>
    <s v="Ravi"/>
    <n v="5.25"/>
    <s v="Dry Grocery"/>
    <m/>
    <m/>
    <m/>
    <m/>
    <m/>
    <x v="0"/>
  </r>
  <r>
    <x v="14"/>
    <s v="channadal(split)-Kadlebele-kg-kg-1.0000"/>
    <n v="55"/>
    <n v="0.215"/>
    <x v="1"/>
    <s v="Ravi"/>
    <n v="11.824999999999999"/>
    <s v="Dry Grocery"/>
    <m/>
    <m/>
    <m/>
    <m/>
    <m/>
    <x v="0"/>
  </r>
  <r>
    <x v="14"/>
    <s v="Onion-Erulli-kg-kg-1.0000"/>
    <n v="14"/>
    <n v="2.5"/>
    <x v="1"/>
    <s v="Ravi"/>
    <n v="35"/>
    <s v="Vegetable"/>
    <m/>
    <m/>
    <m/>
    <m/>
    <m/>
    <x v="0"/>
  </r>
  <r>
    <x v="14"/>
    <s v="Garlic-Belulli-kg-kg-1.0000"/>
    <n v="28"/>
    <n v="0.2"/>
    <x v="1"/>
    <s v="Ravi"/>
    <n v="5.6000000000000005"/>
    <s v="Vegetable"/>
    <m/>
    <m/>
    <m/>
    <m/>
    <m/>
    <x v="0"/>
  </r>
  <r>
    <x v="14"/>
    <s v="Ginger-shunti-kg-kg-1.0000"/>
    <n v="40"/>
    <n v="0.1"/>
    <x v="1"/>
    <s v="Ravi"/>
    <n v="4"/>
    <s v="Vegetable"/>
    <m/>
    <m/>
    <m/>
    <m/>
    <m/>
    <x v="0"/>
  </r>
  <r>
    <x v="14"/>
    <s v="Wheat-Godhi-kg-kg-1.0000"/>
    <n v="34"/>
    <n v="0.75"/>
    <x v="1"/>
    <s v="Ravi"/>
    <n v="25.5"/>
    <s v="Dry Grocery"/>
    <m/>
    <m/>
    <m/>
    <m/>
    <m/>
    <x v="0"/>
  </r>
  <r>
    <x v="14"/>
    <s v="Toordal-Thogaribele-kg-kg-1.0000"/>
    <n v="64.069999999999993"/>
    <n v="0.5"/>
    <x v="1"/>
    <s v="Ravi"/>
    <n v="32.034999999999997"/>
    <s v="Dry Grocery"/>
    <m/>
    <m/>
    <m/>
    <m/>
    <m/>
    <x v="0"/>
  </r>
  <r>
    <x v="14"/>
    <s v="Tamarind-hunsehannu-kg-kg-1.0000"/>
    <n v="170"/>
    <n v="0.15"/>
    <x v="1"/>
    <s v="Ravi"/>
    <n v="25.5"/>
    <s v="Dry Grocery"/>
    <m/>
    <m/>
    <m/>
    <m/>
    <m/>
    <x v="0"/>
  </r>
  <r>
    <x v="14"/>
    <s v="Guntur -guntur-kg-kg-1.0000"/>
    <n v="138"/>
    <n v="0.03"/>
    <x v="1"/>
    <s v="Ravi"/>
    <n v="4.1399999999999997"/>
    <s v="Dry Grocery"/>
    <m/>
    <m/>
    <m/>
    <m/>
    <m/>
    <x v="0"/>
  </r>
  <r>
    <x v="14"/>
    <s v="Green chilly-hasinmenshinkayi-kg-kg-1.0000"/>
    <n v="30"/>
    <n v="0.3"/>
    <x v="1"/>
    <s v="Ravi"/>
    <n v="9"/>
    <s v="Vegetable"/>
    <m/>
    <m/>
    <m/>
    <m/>
    <m/>
    <x v="0"/>
  </r>
  <r>
    <x v="14"/>
    <s v="North Papad (1 kg)-North Papad (1 kg)-kg-kg-1.0000"/>
    <n v="160"/>
    <n v="0.06"/>
    <x v="1"/>
    <s v="Ravi"/>
    <n v="9.6"/>
    <s v="Dry Grocery"/>
    <m/>
    <m/>
    <m/>
    <m/>
    <m/>
    <x v="0"/>
  </r>
  <r>
    <x v="14"/>
    <s v="South Papad (500 gram)-South Papad (500 gram)-pkt-kg-0.5000"/>
    <n v="62.03"/>
    <n v="0.06"/>
    <x v="1"/>
    <s v="Ravi"/>
    <n v="3.7218"/>
    <s v="Dry Grocery"/>
    <m/>
    <m/>
    <m/>
    <m/>
    <m/>
    <x v="0"/>
  </r>
  <r>
    <x v="14"/>
    <s v="Elaichi-yelakki-kg-kg-1.0000"/>
    <n v="1450"/>
    <n v="2.5000000000000001E-2"/>
    <x v="1"/>
    <s v="Ravi"/>
    <n v="36.25"/>
    <s v="Spice"/>
    <m/>
    <m/>
    <m/>
    <m/>
    <m/>
    <x v="0"/>
  </r>
  <r>
    <x v="14"/>
    <s v="Fried Gram-Hurgadle-kg-kg-1.0000"/>
    <n v="60"/>
    <n v="0.15"/>
    <x v="1"/>
    <s v="Ravi"/>
    <n v="9"/>
    <s v="Dry Grocery"/>
    <m/>
    <m/>
    <m/>
    <m/>
    <m/>
    <x v="0"/>
  </r>
  <r>
    <x v="14"/>
    <s v="Groundnut Seeds-Kadlekayi Beeja-kg-kg-1.0000"/>
    <n v="108"/>
    <n v="0.25"/>
    <x v="1"/>
    <s v="Ravi"/>
    <n v="27"/>
    <s v="Dry Grocery"/>
    <m/>
    <m/>
    <m/>
    <m/>
    <m/>
    <x v="0"/>
  </r>
  <r>
    <x v="14"/>
    <s v="Fenugreek Seeds-menthya beeja-kg-kg-1.0000"/>
    <n v="125"/>
    <n v="0.01"/>
    <x v="1"/>
    <s v="Ravi"/>
    <n v="1.25"/>
    <s v="Dry Grocery"/>
    <m/>
    <m/>
    <m/>
    <m/>
    <m/>
    <x v="0"/>
  </r>
  <r>
    <x v="14"/>
    <s v="Urad Dal-Uddina bele-kg-kg-1.0000"/>
    <n v="76"/>
    <n v="6.5000000000000002E-2"/>
    <x v="1"/>
    <s v="Ravi"/>
    <n v="4.9400000000000004"/>
    <s v="Dry Grocery"/>
    <m/>
    <m/>
    <m/>
    <m/>
    <m/>
    <x v="0"/>
  </r>
  <r>
    <x v="14"/>
    <s v="Beans-Beans-kg-kg-1.0000"/>
    <n v="43.06"/>
    <n v="0.5"/>
    <x v="1"/>
    <s v="Ravi"/>
    <n v="21.53"/>
    <s v="Vegetable"/>
    <m/>
    <m/>
    <m/>
    <m/>
    <m/>
    <x v="0"/>
  </r>
  <r>
    <x v="14"/>
    <s v="Carrot-carrot-kg-kg-1.0000"/>
    <n v="27.97"/>
    <n v="0.5"/>
    <x v="1"/>
    <s v="Ravi"/>
    <n v="13.984999999999999"/>
    <s v="Vegetable"/>
    <m/>
    <m/>
    <m/>
    <m/>
    <m/>
    <x v="0"/>
  </r>
  <r>
    <x v="14"/>
    <s v="Pudina-Pudina-kg-kg-1.0000"/>
    <n v="125"/>
    <n v="0.06"/>
    <x v="1"/>
    <s v="Ravi"/>
    <n v="7.5"/>
    <s v="Vegetable"/>
    <m/>
    <m/>
    <m/>
    <m/>
    <m/>
    <x v="0"/>
  </r>
  <r>
    <x v="14"/>
    <s v="curry leaves-karbensoppu-kg-kg-1.0000"/>
    <n v="312.14"/>
    <n v="0.04"/>
    <x v="1"/>
    <s v="Ravi"/>
    <n v="12.4856"/>
    <s v="Vegetable"/>
    <m/>
    <m/>
    <m/>
    <m/>
    <m/>
    <x v="0"/>
  </r>
  <r>
    <x v="14"/>
    <s v="Coriander leaves-Kothamiri Soppu-kg-kg-1.0000"/>
    <n v="25"/>
    <n v="0.2"/>
    <x v="1"/>
    <s v="Ravi"/>
    <n v="5"/>
    <s v="Vegetable"/>
    <m/>
    <m/>
    <m/>
    <m/>
    <m/>
    <x v="0"/>
  </r>
  <r>
    <x v="14"/>
    <s v="Tomato (Jam)-tomatojam-kg-kg-1.0000"/>
    <n v="14.75"/>
    <n v="1.2"/>
    <x v="1"/>
    <s v="Ravi"/>
    <n v="17.7"/>
    <s v="Vegetable"/>
    <m/>
    <m/>
    <m/>
    <m/>
    <m/>
    <x v="0"/>
  </r>
  <r>
    <x v="14"/>
    <s v="Cashew-Godambi-kg-kg-1.0000"/>
    <n v="840"/>
    <n v="2.5000000000000001E-2"/>
    <x v="1"/>
    <s v="Ravi"/>
    <n v="21"/>
    <s v="Dry Grocery"/>
    <m/>
    <m/>
    <m/>
    <m/>
    <m/>
    <x v="0"/>
  </r>
  <r>
    <x v="14"/>
    <s v="Raisin-drakshi-kg-kg-1.0000"/>
    <n v="240"/>
    <n v="2.5000000000000001E-2"/>
    <x v="1"/>
    <s v="Ravi"/>
    <n v="6"/>
    <s v="Dry Grocery"/>
    <m/>
    <m/>
    <m/>
    <m/>
    <m/>
    <x v="0"/>
  </r>
  <r>
    <x v="14"/>
    <s v="CHICK PEAS-kadalekalu-kg-kg-1.0000"/>
    <n v="76"/>
    <n v="0.5"/>
    <x v="1"/>
    <s v="Ravi"/>
    <n v="38"/>
    <s v="Dry Grocery"/>
    <m/>
    <m/>
    <m/>
    <m/>
    <m/>
    <x v="0"/>
  </r>
  <r>
    <x v="14"/>
    <s v="Byadagi chilly-Byadagi chilly-kg-kg-1.0000"/>
    <n v="280"/>
    <n v="0.03"/>
    <x v="1"/>
    <s v="Ravi"/>
    <n v="8.4"/>
    <s v="Dry Grocery"/>
    <m/>
    <m/>
    <m/>
    <m/>
    <m/>
    <x v="0"/>
  </r>
  <r>
    <x v="14"/>
    <s v="Pickle-Uppinkayi-kg-kg-1.0000"/>
    <n v="40"/>
    <n v="0.25"/>
    <x v="1"/>
    <s v="Ravi"/>
    <n v="10"/>
    <s v="Processed Food"/>
    <m/>
    <m/>
    <m/>
    <m/>
    <m/>
    <x v="0"/>
  </r>
  <r>
    <x v="14"/>
    <s v="mixed vegetables-mixed tharkari-kg-kg-1.0000"/>
    <n v="35"/>
    <n v="1"/>
    <x v="1"/>
    <s v="Ravi"/>
    <n v="35"/>
    <s v="Vegetable"/>
    <m/>
    <m/>
    <m/>
    <m/>
    <m/>
    <x v="0"/>
  </r>
  <r>
    <x v="14"/>
    <s v="Papaya-PRANGIHANNU-kg-kg-1.0000"/>
    <n v="20"/>
    <m/>
    <x v="5"/>
    <s v="Ravi"/>
    <n v="0"/>
    <s v="Fruits"/>
    <n v="1.1000000000000001"/>
    <m/>
    <m/>
    <m/>
    <m/>
    <x v="0"/>
  </r>
  <r>
    <x v="14"/>
    <s v="BUTTERFRUIT-BUTTERFRUIT-kg-kg-1.0000"/>
    <n v="130"/>
    <m/>
    <x v="5"/>
    <s v="Ravi"/>
    <n v="0"/>
    <s v="Fruits"/>
    <n v="2"/>
    <m/>
    <m/>
    <m/>
    <m/>
    <x v="0"/>
  </r>
  <r>
    <x v="14"/>
    <s v="Chickoo-Sapota-kg-kg-1.0000"/>
    <n v="40"/>
    <m/>
    <x v="5"/>
    <s v="Ravi"/>
    <n v="0"/>
    <s v="Fruits"/>
    <n v="2"/>
    <m/>
    <m/>
    <m/>
    <m/>
    <x v="0"/>
  </r>
  <r>
    <x v="14"/>
    <s v="Apple-SEBU-kg-kg-1.0000"/>
    <n v="120"/>
    <m/>
    <x v="5"/>
    <s v="Ravi"/>
    <n v="0"/>
    <s v="Fruits"/>
    <n v="0.75"/>
    <m/>
    <m/>
    <m/>
    <m/>
    <x v="0"/>
  </r>
  <r>
    <x v="14"/>
    <s v="Pineapple-ANNANAS-kg-kg-1.0000"/>
    <n v="30"/>
    <m/>
    <x v="5"/>
    <s v="Ravi"/>
    <n v="0"/>
    <s v="Fruits"/>
    <n v="3.5"/>
    <m/>
    <m/>
    <m/>
    <m/>
    <x v="0"/>
  </r>
  <r>
    <x v="14"/>
    <s v="Mango-Mavinhannu-kg-kg-1.0000"/>
    <n v="150"/>
    <m/>
    <x v="5"/>
    <s v="Ravi"/>
    <n v="0"/>
    <s v="Fruits"/>
    <n v="0.35"/>
    <m/>
    <m/>
    <m/>
    <m/>
    <x v="0"/>
  </r>
  <r>
    <x v="14"/>
    <s v="Moosambi-MOOSAMBI-kg-kg-1.0000"/>
    <n v="50"/>
    <m/>
    <x v="5"/>
    <s v="Ravi"/>
    <n v="0"/>
    <s v="Fruits"/>
    <n v="0.3"/>
    <m/>
    <m/>
    <m/>
    <m/>
    <x v="0"/>
  </r>
  <r>
    <x v="14"/>
    <s v="Onion-Erulli-kg-kg-1.0000"/>
    <n v="14"/>
    <n v="0.3"/>
    <x v="6"/>
    <s v="Jaggu"/>
    <n v="4.2"/>
    <s v="Vegetable"/>
    <m/>
    <m/>
    <m/>
    <m/>
    <m/>
    <x v="0"/>
  </r>
  <r>
    <x v="14"/>
    <s v="Lemon-Nimbehannu-count-count-1.0000"/>
    <n v="3"/>
    <n v="3"/>
    <x v="6"/>
    <s v="Jaggu"/>
    <n v="9"/>
    <s v="Vegetable"/>
    <m/>
    <m/>
    <m/>
    <m/>
    <m/>
    <x v="0"/>
  </r>
  <r>
    <x v="14"/>
    <s v="Ketchup(1.2 kg)-ketchup-bottle-kg-1.2000"/>
    <n v="75"/>
    <n v="0.3"/>
    <x v="6"/>
    <s v="Jaggu"/>
    <n v="22.5"/>
    <s v="Sauce"/>
    <m/>
    <m/>
    <m/>
    <m/>
    <m/>
    <x v="0"/>
  </r>
  <r>
    <x v="14"/>
    <s v="Palak leaves-Palak soppu-kg-kg-1.0000"/>
    <n v="38"/>
    <m/>
    <x v="0"/>
    <s v="Murthy"/>
    <n v="0"/>
    <s v="Vegetable"/>
    <m/>
    <m/>
    <n v="0.2"/>
    <m/>
    <m/>
    <x v="0"/>
  </r>
  <r>
    <x v="14"/>
    <s v="Maida-Maida-kg-kg-1.0000"/>
    <n v="29.51"/>
    <m/>
    <x v="0"/>
    <s v="Murthy"/>
    <n v="0"/>
    <s v="Dry Grocery"/>
    <m/>
    <m/>
    <n v="8.5000000000000006E-2"/>
    <m/>
    <m/>
    <x v="0"/>
  </r>
  <r>
    <x v="14"/>
    <s v="Capsicum-Capsicum-kg-kg-1.0000"/>
    <n v="30"/>
    <n v="1.5"/>
    <x v="0"/>
    <s v="Murthy"/>
    <n v="45"/>
    <s v="Vegetable"/>
    <m/>
    <m/>
    <m/>
    <m/>
    <m/>
    <x v="0"/>
  </r>
  <r>
    <x v="14"/>
    <s v="Onion-Erulli-kg-kg-1.0000"/>
    <n v="14"/>
    <n v="5.5"/>
    <x v="0"/>
    <s v="Murthy"/>
    <n v="77"/>
    <s v="Vegetable"/>
    <m/>
    <m/>
    <m/>
    <m/>
    <m/>
    <x v="0"/>
  </r>
  <r>
    <x v="14"/>
    <s v="Green chilly-hasinmenshinkayi-kg-kg-1.0000"/>
    <n v="30"/>
    <n v="0.65"/>
    <x v="0"/>
    <s v="Murthy"/>
    <n v="19.5"/>
    <s v="Vegetable"/>
    <m/>
    <m/>
    <m/>
    <m/>
    <m/>
    <x v="0"/>
  </r>
  <r>
    <x v="14"/>
    <s v="Coriander leaves-Kothamiri Soppu-kg-kg-1.0000"/>
    <n v="25"/>
    <n v="0.57999999999999996"/>
    <x v="0"/>
    <s v="Murthy"/>
    <n v="14.499999999999998"/>
    <s v="Vegetable"/>
    <m/>
    <m/>
    <m/>
    <m/>
    <m/>
    <x v="0"/>
  </r>
  <r>
    <x v="14"/>
    <s v="Basumathi Rice-Basumathi Rice-kg-kg-1.0000"/>
    <n v="62"/>
    <n v="1.5"/>
    <x v="0"/>
    <s v="Murthy"/>
    <n v="93"/>
    <s v="Dry Grocery"/>
    <m/>
    <m/>
    <m/>
    <m/>
    <m/>
    <x v="0"/>
  </r>
  <r>
    <x v="14"/>
    <s v="Cinnamon-Chekke-kg-kg-1.0000"/>
    <n v="220"/>
    <n v="5.0000000000000001E-3"/>
    <x v="0"/>
    <s v="Murthy"/>
    <n v="1.1000000000000001"/>
    <s v="Spice"/>
    <m/>
    <m/>
    <m/>
    <m/>
    <m/>
    <x v="0"/>
  </r>
  <r>
    <x v="14"/>
    <s v="Cloves-lavanga-kg-kg-1.0000"/>
    <n v="740"/>
    <n v="5.0000000000000001E-3"/>
    <x v="0"/>
    <s v="Murthy"/>
    <n v="3.7"/>
    <s v="Spice"/>
    <m/>
    <m/>
    <m/>
    <m/>
    <m/>
    <x v="0"/>
  </r>
  <r>
    <x v="14"/>
    <s v="Elaichi-yelakki-kg-kg-1.0000"/>
    <n v="1450"/>
    <n v="5.0000000000000001E-3"/>
    <x v="0"/>
    <s v="Murthy"/>
    <n v="7.25"/>
    <s v="Spice"/>
    <m/>
    <m/>
    <m/>
    <m/>
    <m/>
    <x v="0"/>
  </r>
  <r>
    <x v="14"/>
    <s v="Maratimoggu-Maratimoggu-kg-kg-1.0000"/>
    <n v="750"/>
    <n v="5.0000000000000001E-3"/>
    <x v="0"/>
    <s v="Murthy"/>
    <n v="3.75"/>
    <s v="Spice"/>
    <m/>
    <m/>
    <m/>
    <m/>
    <m/>
    <x v="0"/>
  </r>
  <r>
    <x v="14"/>
    <s v="Mace-japathre-kg-kg-1.0000"/>
    <n v="1480"/>
    <n v="4.0000000000000001E-3"/>
    <x v="0"/>
    <s v="Murthy"/>
    <n v="5.92"/>
    <s v="Spice"/>
    <m/>
    <m/>
    <m/>
    <m/>
    <m/>
    <x v="0"/>
  </r>
  <r>
    <x v="14"/>
    <s v="Bullet Rice-Bullet Rice-kg-kg-1.0000"/>
    <n v="64"/>
    <n v="2"/>
    <x v="0"/>
    <s v="Murthy"/>
    <n v="128"/>
    <s v="Dry Grocery"/>
    <m/>
    <m/>
    <m/>
    <m/>
    <m/>
    <x v="0"/>
  </r>
  <r>
    <x v="14"/>
    <s v="Charcoal-Charcoal-kg-kg-1.0000"/>
    <n v="26"/>
    <n v="9.1"/>
    <x v="0"/>
    <s v="Murthy"/>
    <n v="236.6"/>
    <s v="Heating"/>
    <m/>
    <m/>
    <m/>
    <m/>
    <m/>
    <x v="0"/>
  </r>
  <r>
    <x v="14"/>
    <s v="Maida-Maida-kg-kg-1.0000"/>
    <n v="29.51"/>
    <n v="3"/>
    <x v="0"/>
    <s v="Murthy"/>
    <n v="88.53"/>
    <s v="Dry Grocery"/>
    <m/>
    <m/>
    <m/>
    <m/>
    <m/>
    <x v="0"/>
  </r>
  <r>
    <x v="14"/>
    <s v="Roti Wheat-Roti atta-kg-kg-1.0000"/>
    <n v="27"/>
    <n v="3"/>
    <x v="0"/>
    <s v="Murthy"/>
    <n v="81"/>
    <s v="Dry Grocery"/>
    <m/>
    <m/>
    <m/>
    <m/>
    <m/>
    <x v="0"/>
  </r>
  <r>
    <x v="14"/>
    <s v="Oil-Yenne-lts-kg-0.9150"/>
    <n v="82"/>
    <n v="5"/>
    <x v="0"/>
    <s v="Murthy"/>
    <n v="410"/>
    <s v="Oil"/>
    <m/>
    <m/>
    <m/>
    <m/>
    <m/>
    <x v="0"/>
  </r>
  <r>
    <x v="14"/>
    <s v="Pudina-Pudina-kg-kg-1.0000"/>
    <n v="125"/>
    <n v="0.06"/>
    <x v="0"/>
    <s v="Murthy"/>
    <n v="7.5"/>
    <s v="Vegetable"/>
    <m/>
    <m/>
    <m/>
    <m/>
    <m/>
    <x v="0"/>
  </r>
  <r>
    <x v="14"/>
    <s v="Milk-Haalu-lts-kg-1.0300"/>
    <n v="36"/>
    <n v="0.5"/>
    <x v="0"/>
    <s v="Murthy"/>
    <n v="18"/>
    <s v="Dairy"/>
    <m/>
    <m/>
    <m/>
    <m/>
    <m/>
    <x v="0"/>
  </r>
  <r>
    <x v="14"/>
    <s v="Beans-Beans-kg-kg-1.0000"/>
    <n v="43.06"/>
    <n v="1.25"/>
    <x v="0"/>
    <s v="Murthy"/>
    <n v="53.825000000000003"/>
    <s v="Vegetable"/>
    <m/>
    <m/>
    <m/>
    <m/>
    <m/>
    <x v="0"/>
  </r>
  <r>
    <x v="14"/>
    <s v="Carrot-carrot-kg-kg-1.0000"/>
    <n v="27.97"/>
    <n v="1"/>
    <x v="0"/>
    <s v="Murthy"/>
    <n v="27.97"/>
    <s v="Vegetable"/>
    <m/>
    <m/>
    <m/>
    <m/>
    <m/>
    <x v="0"/>
  </r>
  <r>
    <x v="14"/>
    <s v="Corn flour-Corn flour-kg-kg-1.0000"/>
    <n v="45"/>
    <n v="1"/>
    <x v="0"/>
    <s v="Murthy"/>
    <n v="45"/>
    <s v="Dry Grocery"/>
    <m/>
    <m/>
    <m/>
    <m/>
    <m/>
    <x v="0"/>
  </r>
  <r>
    <x v="14"/>
    <s v="Butter-Butter-kg-kg-1.0000"/>
    <n v="140"/>
    <n v="1"/>
    <x v="0"/>
    <s v="Murthy"/>
    <n v="140"/>
    <s v="Dairy"/>
    <m/>
    <m/>
    <m/>
    <m/>
    <m/>
    <x v="0"/>
  </r>
  <r>
    <x v="14"/>
    <s v="Dalda-dalda-lts-kg-0.9050"/>
    <n v="96"/>
    <n v="0.06"/>
    <x v="0"/>
    <s v="Murthy"/>
    <n v="5.76"/>
    <s v="Oil"/>
    <m/>
    <m/>
    <m/>
    <m/>
    <m/>
    <x v="0"/>
  </r>
  <r>
    <x v="14"/>
    <s v="Jeera Seeds-Jeerge-kg-kg-1.0000"/>
    <n v="230"/>
    <n v="0.05"/>
    <x v="0"/>
    <s v="Murthy"/>
    <n v="11.5"/>
    <s v="Dry Grocery"/>
    <m/>
    <m/>
    <m/>
    <m/>
    <m/>
    <x v="0"/>
  </r>
  <r>
    <x v="14"/>
    <s v="Red bush-Red bush-tin-tin-1.0000"/>
    <n v="48"/>
    <n v="1"/>
    <x v="0"/>
    <s v="Murthy"/>
    <n v="48"/>
    <s v="Food Color"/>
    <m/>
    <m/>
    <m/>
    <m/>
    <m/>
    <x v="0"/>
  </r>
  <r>
    <x v="14"/>
    <s v="Lemon-Nimbehannu-count-count-1.0000"/>
    <n v="3"/>
    <n v="5"/>
    <x v="0"/>
    <s v="Murthy"/>
    <n v="15"/>
    <s v="Vegetable"/>
    <m/>
    <m/>
    <m/>
    <m/>
    <m/>
    <x v="0"/>
  </r>
  <r>
    <x v="14"/>
    <s v="Curd-Mosaru-lts-kg-1.0300"/>
    <n v="42"/>
    <n v="0.5"/>
    <x v="0"/>
    <s v="Murthy"/>
    <n v="21"/>
    <s v="Dairy"/>
    <m/>
    <m/>
    <m/>
    <m/>
    <m/>
    <x v="0"/>
  </r>
  <r>
    <x v="14"/>
    <s v="Gram Flour-Kadle Ittu-kg-kg-1.0000"/>
    <n v="72"/>
    <n v="0.1"/>
    <x v="0"/>
    <s v="Murthy"/>
    <n v="7.2"/>
    <s v="Dry Grocery"/>
    <m/>
    <m/>
    <m/>
    <m/>
    <m/>
    <x v="0"/>
  </r>
  <r>
    <x v="14"/>
    <s v="Yellow Gravy"/>
    <n v="0"/>
    <n v="0.6"/>
    <x v="0"/>
    <s v="Murthy"/>
    <n v="0"/>
    <s v="SemiFinished_Prod"/>
    <m/>
    <m/>
    <m/>
    <m/>
    <m/>
    <x v="0"/>
  </r>
  <r>
    <x v="14"/>
    <s v="Burjji Masala"/>
    <n v="0"/>
    <n v="1.4"/>
    <x v="0"/>
    <s v="Murthy"/>
    <n v="0"/>
    <s v="SemiFinished_Prod"/>
    <m/>
    <m/>
    <m/>
    <m/>
    <m/>
    <x v="0"/>
  </r>
  <r>
    <x v="14"/>
    <s v="Green peas-green peas-kg-kg-1.0000"/>
    <n v="100"/>
    <n v="0.63"/>
    <x v="0"/>
    <s v="Murthy"/>
    <n v="63"/>
    <s v="Processed Food"/>
    <m/>
    <m/>
    <m/>
    <m/>
    <m/>
    <x v="0"/>
  </r>
  <r>
    <x v="14"/>
    <s v="French fries-french fries-kg-kg-1.0000"/>
    <n v="280"/>
    <n v="1.18"/>
    <x v="0"/>
    <s v="Murthy"/>
    <n v="330.4"/>
    <s v="Processed Food"/>
    <m/>
    <m/>
    <m/>
    <m/>
    <m/>
    <x v="0"/>
  </r>
  <r>
    <x v="14"/>
    <s v="Cabbage-geddekosu-kg-kg-1.0000"/>
    <n v="3"/>
    <n v="1.25"/>
    <x v="0"/>
    <s v="Murthy"/>
    <n v="3.75"/>
    <s v="Vegetable"/>
    <m/>
    <m/>
    <m/>
    <m/>
    <m/>
    <x v="0"/>
  </r>
  <r>
    <x v="14"/>
    <s v="Mushroom-Mushroom-pkt-pkt-1.0000"/>
    <n v="32"/>
    <n v="9"/>
    <x v="0"/>
    <s v="Murthy"/>
    <n v="288"/>
    <s v="Vegetable"/>
    <m/>
    <m/>
    <m/>
    <m/>
    <m/>
    <x v="0"/>
  </r>
  <r>
    <x v="14"/>
    <s v="Babycorn-Babycorn-kg-kg-1.0000"/>
    <n v="60"/>
    <n v="1"/>
    <x v="0"/>
    <s v="Murthy"/>
    <n v="60"/>
    <s v="Vegetable"/>
    <m/>
    <m/>
    <m/>
    <m/>
    <m/>
    <x v="0"/>
  </r>
  <r>
    <x v="14"/>
    <s v="Cream-Cream-lts-kg-1.0000"/>
    <n v="190"/>
    <n v="0.3"/>
    <x v="0"/>
    <s v="Murthy"/>
    <n v="57"/>
    <s v="Dairy"/>
    <m/>
    <m/>
    <m/>
    <m/>
    <m/>
    <x v="0"/>
  </r>
  <r>
    <x v="14"/>
    <s v="Hakka Noodles-Hakka Noodles-pkt-kg-0.4000"/>
    <n v="40"/>
    <n v="1"/>
    <x v="0"/>
    <s v="Murthy"/>
    <n v="40"/>
    <s v="Dry Grocery"/>
    <m/>
    <m/>
    <m/>
    <m/>
    <m/>
    <x v="0"/>
  </r>
  <r>
    <x v="14"/>
    <s v="Chilly Powder-Chilly Powder-kg-kg-1.0000"/>
    <n v="280"/>
    <n v="0.15"/>
    <x v="0"/>
    <s v="Murthy"/>
    <n v="42"/>
    <s v="Dry Grocery"/>
    <m/>
    <m/>
    <m/>
    <m/>
    <m/>
    <x v="0"/>
  </r>
  <r>
    <x v="14"/>
    <s v="Garam Masala (100 gram)-garam masala-pkt-kg-0.1000"/>
    <n v="57.5"/>
    <n v="0.05"/>
    <x v="0"/>
    <s v="Murthy"/>
    <n v="2.875"/>
    <s v="Dry Grocery"/>
    <m/>
    <m/>
    <m/>
    <m/>
    <m/>
    <x v="0"/>
  </r>
  <r>
    <x v="14"/>
    <s v="Turmeric Powder-Arishina pudi-kg-kg-1.0000"/>
    <n v="187.41"/>
    <n v="0.01"/>
    <x v="0"/>
    <s v="Murthy"/>
    <n v="1.8741000000000001"/>
    <s v="Dry Grocery"/>
    <m/>
    <m/>
    <m/>
    <m/>
    <m/>
    <x v="0"/>
  </r>
  <r>
    <x v="14"/>
    <s v="Chat Masala (100 gram)-chat masala-pkt-kg-0.1000"/>
    <n v="48"/>
    <n v="0.1"/>
    <x v="0"/>
    <s v="Murthy"/>
    <n v="4.8000000000000007"/>
    <s v="Dry Grocery"/>
    <m/>
    <m/>
    <m/>
    <m/>
    <m/>
    <x v="0"/>
  </r>
  <r>
    <x v="14"/>
    <s v="Salt Powder-Uppu-kg-kg-1.0000"/>
    <n v="17"/>
    <n v="1.07"/>
    <x v="0"/>
    <s v="Murthy"/>
    <n v="18.190000000000001"/>
    <s v="Dry Grocery"/>
    <m/>
    <m/>
    <m/>
    <m/>
    <m/>
    <x v="0"/>
  </r>
  <r>
    <x v="14"/>
    <s v="Black Pepper Powder-Kaal menasu-kg-kg-1.0000"/>
    <n v="380"/>
    <n v="7.0000000000000007E-2"/>
    <x v="0"/>
    <s v="Murthy"/>
    <n v="26.6"/>
    <s v="Dry Grocery"/>
    <m/>
    <m/>
    <m/>
    <m/>
    <m/>
    <x v="0"/>
  </r>
  <r>
    <x v="14"/>
    <s v="White Pepper Powder (500 gram)-Billi menasu pudi-kg-kg-1.0000"/>
    <n v="180"/>
    <n v="0.3"/>
    <x v="0"/>
    <s v="Murthy"/>
    <n v="54"/>
    <s v="Dry Grocery"/>
    <m/>
    <m/>
    <m/>
    <m/>
    <m/>
    <x v="0"/>
  </r>
  <r>
    <x v="14"/>
    <s v="Tasting Powder (500 kg)-tasting powder-kg-kg-1.0000"/>
    <n v="148"/>
    <n v="0.2"/>
    <x v="0"/>
    <s v="Murthy"/>
    <n v="29.6"/>
    <s v="Dry Grocery"/>
    <m/>
    <m/>
    <m/>
    <m/>
    <m/>
    <x v="0"/>
  </r>
  <r>
    <x v="14"/>
    <s v="Vinegar-Vinegar-bottle-kg-0.8600"/>
    <n v="24"/>
    <n v="0.20499999999999999"/>
    <x v="0"/>
    <s v="Murthy"/>
    <n v="4.92"/>
    <s v="Dry Grocery"/>
    <m/>
    <m/>
    <m/>
    <m/>
    <m/>
    <x v="0"/>
  </r>
  <r>
    <x v="14"/>
    <s v="Dark soya souce-Dark soya souce-bottle-kg-0.8150"/>
    <n v="33"/>
    <n v="0.155"/>
    <x v="0"/>
    <s v="Murthy"/>
    <n v="5.1150000000000002"/>
    <s v="Sauce"/>
    <m/>
    <m/>
    <m/>
    <m/>
    <m/>
    <x v="0"/>
  </r>
  <r>
    <x v="14"/>
    <s v="Paneer-Paneer-kg-kg-1.0000"/>
    <n v="175"/>
    <n v="1"/>
    <x v="0"/>
    <s v="Murthy"/>
    <n v="175"/>
    <s v="Dairy"/>
    <m/>
    <m/>
    <m/>
    <m/>
    <m/>
    <x v="0"/>
  </r>
  <r>
    <x v="14"/>
    <s v="Milk-Haalu-lts-kg-1.0300"/>
    <n v="36"/>
    <n v="3"/>
    <x v="4"/>
    <s v="Vicky"/>
    <n v="108"/>
    <s v="Dairy"/>
    <m/>
    <m/>
    <m/>
    <m/>
    <m/>
    <x v="0"/>
  </r>
  <r>
    <x v="14"/>
    <s v="Sugar-Sakkre-kg-kg-1.0000"/>
    <n v="37"/>
    <n v="1.1599999999999999"/>
    <x v="4"/>
    <s v="Vicky"/>
    <n v="42.919999999999995"/>
    <s v="Dry Grocery"/>
    <m/>
    <m/>
    <m/>
    <m/>
    <m/>
    <x v="0"/>
  </r>
  <r>
    <x v="14"/>
    <s v="Tea powder-Tea powder-kg-kg-1.0000"/>
    <n v="390"/>
    <n v="0.33499999999999996"/>
    <x v="4"/>
    <s v="Vicky"/>
    <n v="130.64999999999998"/>
    <s v="Hot Beverage"/>
    <m/>
    <m/>
    <m/>
    <m/>
    <m/>
    <x v="0"/>
  </r>
  <r>
    <x v="14"/>
    <s v="Curd-Mosaru-lts-kg-1.0300"/>
    <n v="42"/>
    <n v="1.5"/>
    <x v="0"/>
    <s v="Murthy"/>
    <n v="63"/>
    <s v="Dairy"/>
    <m/>
    <m/>
    <m/>
    <m/>
    <m/>
    <x v="0"/>
  </r>
  <r>
    <x v="14"/>
    <s v="Garlic-Belulli-kg-kg-1.0000"/>
    <n v="28"/>
    <n v="0.19"/>
    <x v="2"/>
    <s v="Ravi"/>
    <n v="5.32"/>
    <s v="Vegetable"/>
    <m/>
    <m/>
    <m/>
    <m/>
    <m/>
    <x v="0"/>
  </r>
  <r>
    <x v="14"/>
    <s v="Ginger-shunti-kg-kg-1.0000"/>
    <n v="40"/>
    <n v="0.06"/>
    <x v="2"/>
    <s v="Ravi"/>
    <n v="2.4"/>
    <s v="Vegetable"/>
    <m/>
    <m/>
    <m/>
    <m/>
    <m/>
    <x v="0"/>
  </r>
  <r>
    <x v="14"/>
    <s v="Green chilly-hasinmenshinkayi-kg-kg-1.0000"/>
    <n v="30"/>
    <n v="0.14000000000000001"/>
    <x v="2"/>
    <s v="Ravi"/>
    <n v="4.2"/>
    <s v="Vegetable"/>
    <m/>
    <m/>
    <m/>
    <m/>
    <m/>
    <x v="0"/>
  </r>
  <r>
    <x v="14"/>
    <s v="Tomato (Jam)-tomatojam-kg-kg-1.0000"/>
    <n v="14.75"/>
    <n v="0.22"/>
    <x v="2"/>
    <s v="Ravi"/>
    <n v="3.2450000000000001"/>
    <s v="Vegetable"/>
    <m/>
    <m/>
    <m/>
    <m/>
    <m/>
    <x v="0"/>
  </r>
  <r>
    <x v="14"/>
    <s v="Pudina-Pudina-kg-kg-1.0000"/>
    <n v="125"/>
    <n v="0.03"/>
    <x v="2"/>
    <s v="Ravi"/>
    <n v="3.75"/>
    <s v="Vegetable"/>
    <m/>
    <m/>
    <m/>
    <m/>
    <m/>
    <x v="0"/>
  </r>
  <r>
    <x v="14"/>
    <s v="Peas-batani-kg-kg-1.0000"/>
    <n v="48"/>
    <n v="0.15"/>
    <x v="2"/>
    <s v="Ravi"/>
    <n v="7.1999999999999993"/>
    <s v="Dry Grocery"/>
    <m/>
    <m/>
    <m/>
    <m/>
    <m/>
    <x v="0"/>
  </r>
  <r>
    <x v="14"/>
    <s v="Potato-Aloogedde-kg-kg-1.0000"/>
    <n v="20"/>
    <n v="0.3"/>
    <x v="2"/>
    <s v="Ravi"/>
    <n v="6"/>
    <s v="Vegetable"/>
    <m/>
    <m/>
    <m/>
    <m/>
    <m/>
    <x v="0"/>
  </r>
  <r>
    <x v="14"/>
    <s v="Coriander leaves-Kothamiri Soppu-kg-kg-1.0000"/>
    <n v="25"/>
    <n v="0.13500000000000001"/>
    <x v="2"/>
    <s v="Ravi"/>
    <n v="3.375"/>
    <s v="Vegetable"/>
    <m/>
    <m/>
    <m/>
    <m/>
    <m/>
    <x v="0"/>
  </r>
  <r>
    <x v="14"/>
    <s v="Coconut-Theginkai-count-count-1.0000"/>
    <n v="28"/>
    <n v="1"/>
    <x v="2"/>
    <s v="Ravi"/>
    <n v="28"/>
    <s v="Vegetable"/>
    <m/>
    <m/>
    <m/>
    <m/>
    <m/>
    <x v="0"/>
  </r>
  <r>
    <x v="14"/>
    <s v="Garam Masala (100 gram)-garam masala-pkt-kg-0.1000"/>
    <n v="57.5"/>
    <n v="0.04"/>
    <x v="2"/>
    <s v="Ravi"/>
    <n v="2.3000000000000003"/>
    <s v="Dry Grocery"/>
    <m/>
    <m/>
    <m/>
    <m/>
    <m/>
    <x v="0"/>
  </r>
  <r>
    <x v="14"/>
    <s v="Pav Baji Masala (100 gram)-pav baji masala-pkt-kg-0.1000"/>
    <n v="46.4"/>
    <n v="0.04"/>
    <x v="2"/>
    <s v="Ravi"/>
    <n v="1.8559999999999999"/>
    <s v="Dry Grocery"/>
    <m/>
    <m/>
    <m/>
    <m/>
    <m/>
    <x v="0"/>
  </r>
  <r>
    <x v="14"/>
    <s v="Chat Masala (100 gram)-chat masala-pkt-kg-0.1000"/>
    <n v="48"/>
    <n v="0.06"/>
    <x v="2"/>
    <s v="Ravi"/>
    <n v="2.88"/>
    <s v="Dry Grocery"/>
    <m/>
    <m/>
    <m/>
    <m/>
    <m/>
    <x v="0"/>
  </r>
  <r>
    <x v="14"/>
    <s v="Coriander Powder (500 gram)-Dhanya Powder (500 gram)-kg-kg-1.0000"/>
    <n v="120"/>
    <n v="0.05"/>
    <x v="2"/>
    <s v="Ravi"/>
    <n v="6"/>
    <s v="Dry Grocery"/>
    <m/>
    <m/>
    <m/>
    <m/>
    <m/>
    <x v="0"/>
  </r>
  <r>
    <x v="14"/>
    <s v="Crystal Salt-Kalluppu-kg-kg-1.0000"/>
    <n v="7"/>
    <n v="7.0000000000000007E-2"/>
    <x v="2"/>
    <s v="Ravi"/>
    <n v="0.49000000000000005"/>
    <s v="Dry Grocery"/>
    <m/>
    <m/>
    <m/>
    <m/>
    <m/>
    <x v="0"/>
  </r>
  <r>
    <x v="14"/>
    <s v="Meat Masala Powder (100 gram)-meat masala-pkt-kg-0.1000"/>
    <n v="49.5"/>
    <n v="0.02"/>
    <x v="2"/>
    <s v="Ravi"/>
    <n v="0.99"/>
    <s v="Dry Grocery"/>
    <m/>
    <m/>
    <m/>
    <m/>
    <m/>
    <x v="0"/>
  </r>
  <r>
    <x v="14"/>
    <s v="Kasoori Methi-Kasoori Methi-kg-kg-1.0000"/>
    <n v="450"/>
    <n v="5.0000000000000001E-3"/>
    <x v="2"/>
    <s v="Ravi"/>
    <n v="2.25"/>
    <s v="Dry Grocery"/>
    <m/>
    <m/>
    <m/>
    <m/>
    <m/>
    <x v="0"/>
  </r>
  <r>
    <x v="14"/>
    <s v="Sugar-Sakkre-kg-kg-1.0000"/>
    <n v="37"/>
    <n v="1.5"/>
    <x v="5"/>
    <s v="Ravi"/>
    <n v="55.5"/>
    <s v="Dry Grocery"/>
    <m/>
    <m/>
    <m/>
    <s v="Sugar Syrup"/>
    <m/>
    <x v="0"/>
  </r>
  <r>
    <x v="14"/>
    <s v="Onion-Erulli-kg-kg-1.0000"/>
    <n v="14"/>
    <n v="0.66"/>
    <x v="2"/>
    <s v="Ravi"/>
    <n v="9.24"/>
    <s v="Vegetable"/>
    <m/>
    <m/>
    <m/>
    <m/>
    <m/>
    <x v="0"/>
  </r>
  <r>
    <x v="14"/>
    <s v="Tomato (Jam)-tomatojam-kg-kg-1.0000"/>
    <n v="14.75"/>
    <n v="0.41"/>
    <x v="2"/>
    <s v="Ravi"/>
    <n v="6.0474999999999994"/>
    <s v="Vegetable"/>
    <m/>
    <m/>
    <m/>
    <m/>
    <m/>
    <x v="0"/>
  </r>
  <r>
    <x v="14"/>
    <s v="Dalda-dalda-lts-kg-0.9050"/>
    <n v="96"/>
    <n v="0.05"/>
    <x v="2"/>
    <s v="Ravi"/>
    <n v="4.8000000000000007"/>
    <s v="Oil"/>
    <m/>
    <m/>
    <m/>
    <m/>
    <m/>
    <x v="0"/>
  </r>
  <r>
    <x v="14"/>
    <s v="Carrot-carrot-kg-kg-1.0000"/>
    <n v="27.97"/>
    <n v="0.26"/>
    <x v="2"/>
    <s v="Ravi"/>
    <n v="7.2721999999999998"/>
    <s v="Vegetable"/>
    <m/>
    <m/>
    <m/>
    <m/>
    <m/>
    <x v="0"/>
  </r>
  <r>
    <x v="14"/>
    <s v="Milk-Haalu-lts-kg-1.0300"/>
    <n v="36"/>
    <n v="0.5"/>
    <x v="2"/>
    <s v="Ravi"/>
    <n v="18"/>
    <s v="Dairy"/>
    <m/>
    <m/>
    <m/>
    <m/>
    <m/>
    <x v="0"/>
  </r>
  <r>
    <x v="14"/>
    <s v="Curd-Mosaru-lts-kg-1.0300"/>
    <n v="42"/>
    <n v="0.5"/>
    <x v="2"/>
    <s v="Ravi"/>
    <n v="21"/>
    <s v="Dairy"/>
    <m/>
    <m/>
    <m/>
    <m/>
    <m/>
    <x v="0"/>
  </r>
  <r>
    <x v="14"/>
    <s v="Watermelon-Watermelon-kg-kg-1.0000"/>
    <n v="20"/>
    <n v="1.43"/>
    <x v="5"/>
    <s v="Ravi"/>
    <n v="28.599999999999998"/>
    <s v="Fruits"/>
    <m/>
    <m/>
    <m/>
    <m/>
    <m/>
    <x v="0"/>
  </r>
  <r>
    <x v="14"/>
    <s v="Moosambi-MOOSAMBI-kg-kg-1.0000"/>
    <n v="50"/>
    <n v="3"/>
    <x v="5"/>
    <s v="Ravi"/>
    <n v="150"/>
    <s v="Fruits"/>
    <m/>
    <m/>
    <m/>
    <m/>
    <m/>
    <x v="0"/>
  </r>
  <r>
    <x v="14"/>
    <s v="Lemon-Nimbehannu-count-count-1.0000"/>
    <n v="3"/>
    <n v="10"/>
    <x v="5"/>
    <s v="Ravi"/>
    <n v="30"/>
    <s v="Vegetable"/>
    <m/>
    <m/>
    <m/>
    <m/>
    <m/>
    <x v="0"/>
  </r>
  <r>
    <x v="14"/>
    <s v="Ketchup(1.2 kg)-ketchup-bottle-kg-1.2000"/>
    <n v="75"/>
    <n v="0.5"/>
    <x v="0"/>
    <s v="Murthy"/>
    <n v="37.5"/>
    <s v="Sauce"/>
    <m/>
    <m/>
    <m/>
    <m/>
    <m/>
    <x v="0"/>
  </r>
  <r>
    <x v="14"/>
    <s v="Coriander Powder (500 gram)-Dhanya Powder (500 gram)-kg-kg-1.0000"/>
    <n v="120"/>
    <n v="0.1"/>
    <x v="0"/>
    <s v="Murthy"/>
    <n v="12"/>
    <s v="Dry Grocery"/>
    <m/>
    <m/>
    <m/>
    <m/>
    <m/>
    <x v="0"/>
  </r>
  <r>
    <x v="14"/>
    <s v="Ginger Powder-shunti pudi-pkt-kg-0.1000"/>
    <n v="0"/>
    <n v="1.4999999999999999E-2"/>
    <x v="0"/>
    <s v="Murthy"/>
    <n v="0"/>
    <s v="Dry Grocery"/>
    <m/>
    <m/>
    <m/>
    <m/>
    <m/>
    <x v="0"/>
  </r>
  <r>
    <x v="14"/>
    <s v="Kitchen king (100 gram)-Kitchen king (100 gram)-pkt-kg-0.1000"/>
    <n v="51"/>
    <n v="0.08"/>
    <x v="0"/>
    <s v="Murthy"/>
    <n v="4.08"/>
    <s v="Dry Grocery"/>
    <m/>
    <m/>
    <m/>
    <m/>
    <m/>
    <x v="0"/>
  </r>
  <r>
    <x v="15"/>
    <s v="Basumathi Rice-Basumathi Rice-kg-kg-1.0000"/>
    <n v="62"/>
    <n v="1.5"/>
    <x v="0"/>
    <s v="Murthy"/>
    <n v="93"/>
    <s v="Dry Grocery"/>
    <m/>
    <m/>
    <m/>
    <m/>
    <m/>
    <x v="0"/>
  </r>
  <r>
    <x v="15"/>
    <s v="Onion-Erulli-kg-kg-1.0000"/>
    <n v="14"/>
    <n v="6"/>
    <x v="0"/>
    <s v="Murthy"/>
    <n v="84"/>
    <s v="Vegetable"/>
    <m/>
    <m/>
    <m/>
    <m/>
    <m/>
    <x v="0"/>
  </r>
  <r>
    <x v="15"/>
    <s v="Capsicum-Capsicum-kg-kg-1.0000"/>
    <n v="30"/>
    <n v="1.75"/>
    <x v="0"/>
    <s v="Murthy"/>
    <n v="52.5"/>
    <s v="Vegetable"/>
    <m/>
    <m/>
    <m/>
    <m/>
    <m/>
    <x v="0"/>
  </r>
  <r>
    <x v="15"/>
    <s v="Green chilly-hasinmenshinkayi-kg-kg-1.0000"/>
    <n v="30"/>
    <n v="0.65"/>
    <x v="0"/>
    <s v="Murthy"/>
    <n v="19.5"/>
    <s v="Vegetable"/>
    <m/>
    <m/>
    <m/>
    <m/>
    <m/>
    <x v="0"/>
  </r>
  <r>
    <x v="15"/>
    <s v="Bullet Rice-Bullet Rice-kg-kg-1.0000"/>
    <n v="64"/>
    <n v="1.5"/>
    <x v="0"/>
    <s v="Murthy"/>
    <n v="96"/>
    <s v="Dry Grocery"/>
    <m/>
    <m/>
    <m/>
    <m/>
    <m/>
    <x v="0"/>
  </r>
  <r>
    <x v="15"/>
    <s v="Charcoal-Charcoal-kg-kg-1.0000"/>
    <n v="26"/>
    <n v="6"/>
    <x v="0"/>
    <s v="Murthy"/>
    <n v="156"/>
    <s v="Heating"/>
    <m/>
    <m/>
    <m/>
    <m/>
    <m/>
    <x v="0"/>
  </r>
  <r>
    <x v="15"/>
    <s v="Maida-Maida-kg-kg-1.0000"/>
    <n v="29.51"/>
    <n v="2"/>
    <x v="0"/>
    <s v="Murthy"/>
    <n v="59.02"/>
    <s v="Dry Grocery"/>
    <m/>
    <m/>
    <m/>
    <m/>
    <m/>
    <x v="0"/>
  </r>
  <r>
    <x v="15"/>
    <s v="Coriander leaves-Kothamiri Soppu-kg-kg-1.0000"/>
    <n v="25"/>
    <n v="0.53"/>
    <x v="0"/>
    <s v="Murthy"/>
    <n v="13.25"/>
    <s v="Vegetable"/>
    <m/>
    <m/>
    <m/>
    <m/>
    <m/>
    <x v="0"/>
  </r>
  <r>
    <x v="15"/>
    <s v="Dalda-dalda-lts-kg-0.9050"/>
    <n v="96"/>
    <n v="0.65"/>
    <x v="0"/>
    <s v="Murthy"/>
    <n v="62.400000000000006"/>
    <s v="Oil"/>
    <m/>
    <m/>
    <m/>
    <m/>
    <m/>
    <x v="0"/>
  </r>
  <r>
    <x v="15"/>
    <s v="Maida-Maida-kg-kg-1.0000"/>
    <n v="29.51"/>
    <n v="1"/>
    <x v="0"/>
    <s v="Murthy"/>
    <n v="29.51"/>
    <s v="Dry Grocery"/>
    <m/>
    <m/>
    <m/>
    <m/>
    <m/>
    <x v="0"/>
  </r>
  <r>
    <x v="15"/>
    <s v="Oil-Yenne-lts-kg-0.9150"/>
    <n v="82"/>
    <n v="4"/>
    <x v="0"/>
    <s v="Murthy"/>
    <n v="328"/>
    <s v="Oil"/>
    <m/>
    <m/>
    <m/>
    <m/>
    <m/>
    <x v="0"/>
  </r>
  <r>
    <x v="15"/>
    <s v="Paneer-Paneer-kg-kg-1.0000"/>
    <n v="175"/>
    <n v="1.8"/>
    <x v="0"/>
    <s v="Murthy"/>
    <n v="315"/>
    <s v="Dairy"/>
    <m/>
    <m/>
    <m/>
    <m/>
    <m/>
    <x v="0"/>
  </r>
  <r>
    <x v="15"/>
    <s v="Elaichi-yelakki-kg-kg-1.0000"/>
    <n v="1450"/>
    <n v="5.0000000000000001E-3"/>
    <x v="0"/>
    <s v="Murthy"/>
    <n v="7.25"/>
    <s v="Spice"/>
    <m/>
    <m/>
    <m/>
    <s v="Yellow Gravy"/>
    <m/>
    <x v="0"/>
  </r>
  <r>
    <x v="15"/>
    <s v="Cinnamon-Chekke-kg-kg-1.0000"/>
    <n v="220"/>
    <n v="5.0000000000000001E-3"/>
    <x v="0"/>
    <s v="Murthy"/>
    <n v="1.1000000000000001"/>
    <s v="Spice"/>
    <m/>
    <m/>
    <m/>
    <s v="Yellow Gravy"/>
    <m/>
    <x v="0"/>
  </r>
  <r>
    <x v="15"/>
    <s v="Cloves-lavanga-kg-kg-1.0000"/>
    <n v="740"/>
    <n v="5.0000000000000001E-3"/>
    <x v="0"/>
    <s v="Murthy"/>
    <n v="3.7"/>
    <s v="Spice"/>
    <m/>
    <m/>
    <m/>
    <s v="Yellow Gravy"/>
    <m/>
    <x v="0"/>
  </r>
  <r>
    <x v="15"/>
    <s v="Maratimoggu-Maratimoggu-kg-kg-1.0000"/>
    <n v="750"/>
    <n v="5.0000000000000001E-3"/>
    <x v="0"/>
    <s v="Murthy"/>
    <n v="3.75"/>
    <s v="Spice"/>
    <m/>
    <m/>
    <m/>
    <s v="Yellow Gravy"/>
    <m/>
    <x v="0"/>
  </r>
  <r>
    <x v="15"/>
    <s v="Mace-japathre-kg-kg-1.0000"/>
    <n v="1480"/>
    <n v="5.0000000000000001E-3"/>
    <x v="0"/>
    <s v="Murthy"/>
    <n v="7.4"/>
    <s v="Spice"/>
    <m/>
    <m/>
    <m/>
    <s v="Yellow Gravy"/>
    <m/>
    <x v="0"/>
  </r>
  <r>
    <x v="15"/>
    <s v="Gram Flour-Kadle Ittu-kg-kg-1.0000"/>
    <n v="72"/>
    <n v="0.2"/>
    <x v="0"/>
    <s v="Murthy"/>
    <n v="14.4"/>
    <s v="Dry Grocery"/>
    <m/>
    <m/>
    <m/>
    <m/>
    <m/>
    <x v="0"/>
  </r>
  <r>
    <x v="15"/>
    <s v="Corn flour-Corn flour-kg-kg-1.0000"/>
    <n v="45"/>
    <n v="1"/>
    <x v="0"/>
    <s v="Murthy"/>
    <n v="45"/>
    <s v="Dry Grocery"/>
    <m/>
    <m/>
    <m/>
    <m/>
    <m/>
    <x v="0"/>
  </r>
  <r>
    <x v="15"/>
    <s v="curry leaves-karbensoppu-kg-kg-1.0000"/>
    <n v="312.14"/>
    <n v="0.04"/>
    <x v="0"/>
    <s v="Murthy"/>
    <n v="12.4856"/>
    <s v="Vegetable"/>
    <m/>
    <m/>
    <m/>
    <m/>
    <m/>
    <x v="0"/>
  </r>
  <r>
    <x v="15"/>
    <s v="Pudina-Pudina-kg-kg-1.0000"/>
    <n v="125"/>
    <n v="0.12"/>
    <x v="0"/>
    <s v="Murthy"/>
    <n v="15"/>
    <s v="Vegetable"/>
    <m/>
    <m/>
    <m/>
    <m/>
    <m/>
    <x v="0"/>
  </r>
  <r>
    <x v="15"/>
    <s v="Roti Wheat-Roti atta-kg-kg-1.0000"/>
    <n v="27"/>
    <n v="2.5"/>
    <x v="0"/>
    <s v="Murthy"/>
    <n v="67.5"/>
    <s v="Dry Grocery"/>
    <m/>
    <m/>
    <m/>
    <m/>
    <m/>
    <x v="0"/>
  </r>
  <r>
    <x v="15"/>
    <s v="Cauliflower-hookosu-kg-kg-1.0000"/>
    <n v="23.33"/>
    <n v="2"/>
    <x v="0"/>
    <s v="Murthy"/>
    <n v="46.66"/>
    <s v="Vegetable"/>
    <m/>
    <m/>
    <m/>
    <m/>
    <m/>
    <x v="0"/>
  </r>
  <r>
    <x v="15"/>
    <s v="Cabbage-geddekosu-kg-kg-1.0000"/>
    <n v="3"/>
    <n v="1"/>
    <x v="0"/>
    <s v="Murthy"/>
    <n v="3"/>
    <s v="Vegetable"/>
    <m/>
    <m/>
    <m/>
    <m/>
    <m/>
    <x v="0"/>
  </r>
  <r>
    <x v="15"/>
    <s v="Beans-Beans-kg-kg-1.0000"/>
    <n v="43.06"/>
    <n v="0.3"/>
    <x v="0"/>
    <s v="Murthy"/>
    <n v="12.918000000000001"/>
    <s v="Vegetable"/>
    <m/>
    <m/>
    <m/>
    <m/>
    <m/>
    <x v="0"/>
  </r>
  <r>
    <x v="15"/>
    <s v="Carrot-carrot-kg-kg-1.0000"/>
    <n v="27.97"/>
    <n v="0.47"/>
    <x v="0"/>
    <s v="Murthy"/>
    <n v="13.145899999999999"/>
    <s v="Vegetable"/>
    <m/>
    <m/>
    <m/>
    <m/>
    <m/>
    <x v="0"/>
  </r>
  <r>
    <x v="15"/>
    <s v="Tomato (Jam)-tomatojam-kg-kg-1.0000"/>
    <n v="14.75"/>
    <n v="1"/>
    <x v="0"/>
    <s v="Murthy"/>
    <n v="14.75"/>
    <s v="Vegetable"/>
    <m/>
    <m/>
    <m/>
    <m/>
    <m/>
    <x v="0"/>
  </r>
  <r>
    <x v="15"/>
    <s v="Mushroom-Mushroom-pkt-pkt-1.0000"/>
    <n v="32"/>
    <n v="6"/>
    <x v="0"/>
    <s v="Murthy"/>
    <n v="192"/>
    <s v="Vegetable"/>
    <m/>
    <m/>
    <m/>
    <m/>
    <m/>
    <x v="0"/>
  </r>
  <r>
    <x v="15"/>
    <s v="Babycorn-Babycorn-kg-kg-1.0000"/>
    <n v="60"/>
    <n v="0.7"/>
    <x v="0"/>
    <s v="Murthy"/>
    <n v="42"/>
    <s v="Vegetable"/>
    <m/>
    <m/>
    <m/>
    <m/>
    <m/>
    <x v="0"/>
  </r>
  <r>
    <x v="15"/>
    <s v="Sweetcorn-Sweetcorn-tin-kg-0.4000"/>
    <n v="33"/>
    <n v="0.09"/>
    <x v="0"/>
    <s v="Murthy"/>
    <n v="2.9699999999999998"/>
    <s v="Canned Food"/>
    <m/>
    <m/>
    <m/>
    <m/>
    <m/>
    <x v="0"/>
  </r>
  <r>
    <x v="15"/>
    <s v="Cream-Cream-lts-kg-1.0000"/>
    <n v="190"/>
    <n v="0.03"/>
    <x v="0"/>
    <s v="Murthy"/>
    <n v="5.7"/>
    <s v="Dairy"/>
    <m/>
    <m/>
    <m/>
    <m/>
    <m/>
    <x v="0"/>
  </r>
  <r>
    <x v="15"/>
    <s v="Chilly Powder-Chilly Powder-kg-kg-1.0000"/>
    <n v="280"/>
    <n v="0.13"/>
    <x v="0"/>
    <s v="Murthy"/>
    <n v="36.4"/>
    <s v="Dry Grocery"/>
    <m/>
    <m/>
    <m/>
    <m/>
    <m/>
    <x v="0"/>
  </r>
  <r>
    <x v="15"/>
    <s v="Garam Masala (100 gram)-garam masala-pkt-kg-0.1000"/>
    <n v="57.5"/>
    <n v="5.5E-2"/>
    <x v="0"/>
    <s v="Murthy"/>
    <n v="3.1625000000000001"/>
    <s v="Dry Grocery"/>
    <m/>
    <m/>
    <m/>
    <s v="Yellow Gravy"/>
    <m/>
    <x v="0"/>
  </r>
  <r>
    <x v="15"/>
    <s v="Turmeric Powder-Arishina pudi-kg-kg-1.0000"/>
    <n v="187.41"/>
    <n v="0.12"/>
    <x v="0"/>
    <s v="Murthy"/>
    <n v="22.4892"/>
    <s v="Dry Grocery"/>
    <m/>
    <m/>
    <m/>
    <s v="Yellow Gravy"/>
    <m/>
    <x v="0"/>
  </r>
  <r>
    <x v="15"/>
    <s v="Chat Masala (100 gram)-chat masala-pkt-kg-0.1000"/>
    <n v="48"/>
    <n v="0.02"/>
    <x v="0"/>
    <s v="Murthy"/>
    <n v="0.96"/>
    <s v="Dry Grocery"/>
    <m/>
    <m/>
    <m/>
    <m/>
    <m/>
    <x v="0"/>
  </r>
  <r>
    <x v="15"/>
    <s v="Salt Powder-Uppu-kg-kg-1.0000"/>
    <n v="17"/>
    <n v="0.96"/>
    <x v="0"/>
    <s v="Murthy"/>
    <n v="16.32"/>
    <s v="Dry Grocery"/>
    <m/>
    <m/>
    <m/>
    <m/>
    <m/>
    <x v="0"/>
  </r>
  <r>
    <x v="15"/>
    <s v="Black Pepper Powder-Kaal menasu-kg-kg-1.0000"/>
    <n v="380"/>
    <n v="0"/>
    <x v="0"/>
    <s v="Murthy"/>
    <n v="0"/>
    <s v="Dry Grocery"/>
    <m/>
    <m/>
    <m/>
    <m/>
    <m/>
    <x v="0"/>
  </r>
  <r>
    <x v="15"/>
    <s v="White Pepper Powder (500 gram)-Billi menasu pudi-kg-kg-1.0000"/>
    <n v="180"/>
    <n v="0.35499999999999998"/>
    <x v="0"/>
    <s v="Murthy"/>
    <n v="63.9"/>
    <s v="Dry Grocery"/>
    <m/>
    <m/>
    <m/>
    <m/>
    <m/>
    <x v="0"/>
  </r>
  <r>
    <x v="15"/>
    <s v="Tasting Powder (500 kg)-tasting powder-kg-kg-1.0000"/>
    <n v="148"/>
    <n v="0.23"/>
    <x v="0"/>
    <s v="Murthy"/>
    <n v="34.04"/>
    <s v="Dry Grocery"/>
    <m/>
    <m/>
    <m/>
    <m/>
    <m/>
    <x v="0"/>
  </r>
  <r>
    <x v="15"/>
    <s v="Vinegar-Vinegar-bottle-kg-0.8600"/>
    <n v="24"/>
    <n v="9.5000000000000001E-2"/>
    <x v="0"/>
    <s v="Murthy"/>
    <n v="2.2800000000000002"/>
    <s v="Dry Grocery"/>
    <m/>
    <m/>
    <m/>
    <m/>
    <m/>
    <x v="0"/>
  </r>
  <r>
    <x v="15"/>
    <s v="Dark soya souce-Dark soya souce-bottle-kg-0.8150"/>
    <n v="33"/>
    <n v="0.26"/>
    <x v="0"/>
    <s v="Murthy"/>
    <n v="8.58"/>
    <s v="Sauce"/>
    <m/>
    <m/>
    <m/>
    <m/>
    <m/>
    <x v="0"/>
  </r>
  <r>
    <x v="15"/>
    <s v="Mustard oil-Sasive yenne-lts-kg-0.9100"/>
    <n v="135"/>
    <n v="0.02"/>
    <x v="0"/>
    <s v="Murthy"/>
    <n v="2.7"/>
    <s v="Oil"/>
    <m/>
    <m/>
    <m/>
    <m/>
    <m/>
    <x v="0"/>
  </r>
  <r>
    <x v="15"/>
    <s v="Ketchup(1.2 kg)-ketchup-bottle-kg-1.2000"/>
    <n v="75"/>
    <n v="0.52"/>
    <x v="0"/>
    <s v="Murthy"/>
    <n v="39"/>
    <s v="Sauce"/>
    <m/>
    <m/>
    <m/>
    <m/>
    <m/>
    <x v="0"/>
  </r>
  <r>
    <x v="15"/>
    <s v="Coriander Powder (500 gram)-Dhanya Powder (500 gram)-kg-kg-1.0000"/>
    <n v="120"/>
    <n v="0.11"/>
    <x v="0"/>
    <s v="Murthy"/>
    <n v="13.2"/>
    <s v="Dry Grocery"/>
    <m/>
    <m/>
    <m/>
    <m/>
    <m/>
    <x v="0"/>
  </r>
  <r>
    <x v="15"/>
    <s v="Capcicum Sauce (60 gram)-Capcicum Sauce (60 gram)-kg-kg-1.0000"/>
    <n v="55"/>
    <n v="0.01"/>
    <x v="0"/>
    <s v="Murthy"/>
    <n v="0.55000000000000004"/>
    <s v="Sauce"/>
    <m/>
    <m/>
    <m/>
    <m/>
    <m/>
    <x v="0"/>
  </r>
  <r>
    <x v="15"/>
    <s v="Ginger Powder-shunti pudi-pkt-kg-0.1000"/>
    <n v="0"/>
    <n v="0.01"/>
    <x v="0"/>
    <s v="Murthy"/>
    <n v="0"/>
    <s v="Dry Grocery"/>
    <m/>
    <m/>
    <m/>
    <m/>
    <m/>
    <x v="0"/>
  </r>
  <r>
    <x v="15"/>
    <s v="Yellow Gravy"/>
    <n v="0"/>
    <n v="2.9"/>
    <x v="0"/>
    <s v="Murthy"/>
    <n v="0"/>
    <s v="SemiFinished_Prod"/>
    <m/>
    <m/>
    <m/>
    <m/>
    <m/>
    <x v="0"/>
  </r>
  <r>
    <x v="15"/>
    <s v="Milk-Haalu-lts-kg-1.0300"/>
    <n v="36"/>
    <n v="0.5"/>
    <x v="0"/>
    <s v="Murthy"/>
    <n v="18"/>
    <s v="Dairy"/>
    <m/>
    <m/>
    <m/>
    <m/>
    <m/>
    <x v="0"/>
  </r>
  <r>
    <x v="15"/>
    <s v="Burjji Masala"/>
    <n v="0"/>
    <n v="1.3"/>
    <x v="0"/>
    <s v="Murthy"/>
    <n v="0"/>
    <s v="SemiFinished_Prod"/>
    <m/>
    <m/>
    <m/>
    <m/>
    <m/>
    <x v="0"/>
  </r>
  <r>
    <x v="15"/>
    <s v="Kitchen king (100 gram)-Kitchen king (100 gram)-pkt-kg-0.1000"/>
    <n v="51"/>
    <n v="9.5000000000000001E-2"/>
    <x v="0"/>
    <s v="Murthy"/>
    <n v="4.8449999999999998"/>
    <s v="Dry Grocery"/>
    <m/>
    <m/>
    <m/>
    <m/>
    <m/>
    <x v="0"/>
  </r>
  <r>
    <x v="15"/>
    <s v="Green peas-green peas-kg-kg-1.0000"/>
    <n v="100"/>
    <n v="0.47"/>
    <x v="0"/>
    <s v="Murthy"/>
    <n v="47"/>
    <s v="Processed Food"/>
    <m/>
    <m/>
    <m/>
    <m/>
    <m/>
    <x v="0"/>
  </r>
  <r>
    <x v="15"/>
    <s v="Guntur -guntur-kg-kg-1.0000"/>
    <n v="138"/>
    <n v="0.15"/>
    <x v="0"/>
    <s v="Murthy"/>
    <n v="20.7"/>
    <s v="Dry Grocery"/>
    <m/>
    <m/>
    <m/>
    <m/>
    <m/>
    <x v="0"/>
  </r>
  <r>
    <x v="15"/>
    <s v="Byadagi chilly-Byadagi chilly-kg-kg-1.0000"/>
    <n v="280"/>
    <n v="0.1"/>
    <x v="0"/>
    <s v="Murthy"/>
    <n v="28"/>
    <s v="Dry Grocery"/>
    <m/>
    <m/>
    <m/>
    <m/>
    <m/>
    <x v="0"/>
  </r>
  <r>
    <x v="15"/>
    <s v="Butter-Butter-kg-kg-1.0000"/>
    <n v="140"/>
    <n v="0.25"/>
    <x v="0"/>
    <s v="Murthy"/>
    <n v="35"/>
    <s v="Dairy"/>
    <m/>
    <m/>
    <m/>
    <m/>
    <m/>
    <x v="0"/>
  </r>
  <r>
    <x v="15"/>
    <s v="French fries-french fries-kg-kg-1.0000"/>
    <n v="280"/>
    <n v="0.25"/>
    <x v="0"/>
    <s v="Murthy"/>
    <n v="70"/>
    <s v="Processed Food"/>
    <m/>
    <m/>
    <m/>
    <m/>
    <m/>
    <x v="0"/>
  </r>
  <r>
    <x v="15"/>
    <s v="Curd-Mosaru-lts-kg-1.0300"/>
    <n v="42"/>
    <n v="2"/>
    <x v="0"/>
    <s v="Murthy"/>
    <n v="84"/>
    <s v="Dairy"/>
    <m/>
    <m/>
    <m/>
    <s v="Raitha"/>
    <m/>
    <x v="0"/>
  </r>
  <r>
    <x v="15"/>
    <s v="Onion-Erulli-kg-kg-1.0000"/>
    <n v="14"/>
    <n v="17"/>
    <x v="0"/>
    <s v="Murthy"/>
    <n v="238"/>
    <s v="Vegetable"/>
    <m/>
    <m/>
    <m/>
    <s v="Yellow Gravy"/>
    <m/>
    <x v="0"/>
  </r>
  <r>
    <x v="15"/>
    <s v="Tomato (Jam)-tomatojam-kg-kg-1.0000"/>
    <n v="14.75"/>
    <n v="5.5"/>
    <x v="0"/>
    <s v="Murthy"/>
    <n v="81.125"/>
    <s v="Vegetable"/>
    <m/>
    <m/>
    <m/>
    <s v="Yellow Gravy"/>
    <m/>
    <x v="0"/>
  </r>
  <r>
    <x v="15"/>
    <s v="Watermelon seeds-Watermelon seeds-kg-kg-1.0000"/>
    <n v="184"/>
    <n v="1"/>
    <x v="0"/>
    <s v="Murthy"/>
    <n v="184"/>
    <s v="Dry Grocery"/>
    <m/>
    <m/>
    <m/>
    <s v="Yellow Gravy"/>
    <m/>
    <x v="0"/>
  </r>
  <r>
    <x v="15"/>
    <s v="Baby cashew-Baby godambi-kg-kg-1.0000"/>
    <n v="580"/>
    <n v="0.1"/>
    <x v="0"/>
    <s v="Murthy"/>
    <n v="58"/>
    <s v="Dry Grocery"/>
    <m/>
    <m/>
    <m/>
    <s v="Yellow Gravy"/>
    <m/>
    <x v="0"/>
  </r>
  <r>
    <x v="15"/>
    <s v="White thill-Bili Till-kg-kg-1.0000"/>
    <n v="130"/>
    <n v="0.05"/>
    <x v="0"/>
    <s v="Murthy"/>
    <n v="6.5"/>
    <s v="Dry Grocery"/>
    <m/>
    <m/>
    <m/>
    <s v="Yellow Gravy"/>
    <m/>
    <x v="0"/>
  </r>
  <r>
    <x v="15"/>
    <s v="Poppyseeds-ghasghase-kg-kg-1.0000"/>
    <n v="560"/>
    <n v="0.25"/>
    <x v="0"/>
    <s v="Murthy"/>
    <n v="140"/>
    <s v="Dry Grocery"/>
    <m/>
    <m/>
    <m/>
    <s v="Yellow Gravy"/>
    <m/>
    <x v="0"/>
  </r>
  <r>
    <x v="15"/>
    <s v="Garam Masala (100 gram)-garam masala-pkt-kg-0.1000"/>
    <n v="57.5"/>
    <n v="1"/>
    <x v="0"/>
    <s v="Murthy"/>
    <n v="57.5"/>
    <s v="Dry Grocery"/>
    <m/>
    <m/>
    <m/>
    <s v="Yellow Gravy"/>
    <m/>
    <x v="0"/>
  </r>
  <r>
    <x v="15"/>
    <s v="Ginger-shunti-kg-kg-1.0000"/>
    <n v="40"/>
    <n v="0.25"/>
    <x v="0"/>
    <s v="Murthy"/>
    <n v="10"/>
    <s v="Vegetable"/>
    <m/>
    <m/>
    <m/>
    <s v="Yellow Gravy"/>
    <m/>
    <x v="0"/>
  </r>
  <r>
    <x v="15"/>
    <s v="Garlic-Belulli-kg-kg-1.0000"/>
    <n v="28"/>
    <n v="0.25"/>
    <x v="0"/>
    <s v="Murthy"/>
    <n v="7"/>
    <s v="Vegetable"/>
    <m/>
    <m/>
    <m/>
    <s v="Yellow Gravy"/>
    <m/>
    <x v="0"/>
  </r>
  <r>
    <x v="15"/>
    <s v="Oil-Yenne-lts-kg-0.9150"/>
    <n v="82"/>
    <n v="2"/>
    <x v="0"/>
    <s v="Murthy"/>
    <n v="164"/>
    <s v="Oil"/>
    <m/>
    <m/>
    <m/>
    <s v="Yellow Gravy"/>
    <m/>
    <x v="0"/>
  </r>
  <r>
    <x v="15"/>
    <s v="Tea powder-Tea powder-kg-kg-1.0000"/>
    <n v="390"/>
    <n v="0.29499999999999998"/>
    <x v="4"/>
    <s v="Vicky"/>
    <n v="115.05"/>
    <s v="Hot Beverage"/>
    <m/>
    <m/>
    <m/>
    <m/>
    <m/>
    <x v="0"/>
  </r>
  <r>
    <x v="15"/>
    <s v="Sugar-Sakkre-kg-kg-1.0000"/>
    <n v="37"/>
    <n v="0.65"/>
    <x v="4"/>
    <s v="Vicky"/>
    <n v="24.05"/>
    <s v="Dry Grocery"/>
    <m/>
    <m/>
    <m/>
    <m/>
    <m/>
    <x v="0"/>
  </r>
  <r>
    <x v="15"/>
    <s v="Milk-Haalu-lts-kg-1.0300"/>
    <n v="36"/>
    <n v="4"/>
    <x v="4"/>
    <s v="Vicky"/>
    <n v="144"/>
    <s v="Dairy"/>
    <m/>
    <m/>
    <m/>
    <m/>
    <m/>
    <x v="0"/>
  </r>
  <r>
    <x v="15"/>
    <s v="Milk-Haalu-lts-kg-1.0300"/>
    <n v="36"/>
    <n v="2.5"/>
    <x v="1"/>
    <s v="Ravi"/>
    <n v="90"/>
    <s v="Dairy"/>
    <m/>
    <m/>
    <m/>
    <m/>
    <m/>
    <x v="0"/>
  </r>
  <r>
    <x v="15"/>
    <s v="Curd-Mosaru-lts-kg-1.0300"/>
    <n v="42"/>
    <n v="1.5"/>
    <x v="1"/>
    <s v="Ravi"/>
    <n v="63"/>
    <s v="Dairy"/>
    <m/>
    <m/>
    <m/>
    <m/>
    <m/>
    <x v="0"/>
  </r>
  <r>
    <x v="15"/>
    <s v="Coconut-Theginkai-count-count-1.0000"/>
    <n v="28"/>
    <n v="3"/>
    <x v="1"/>
    <s v="Ravi"/>
    <n v="84"/>
    <s v="Vegetable"/>
    <m/>
    <m/>
    <m/>
    <m/>
    <m/>
    <x v="0"/>
  </r>
  <r>
    <x v="15"/>
    <s v="South Rice-South Hakki-kg-kg-1.0000"/>
    <n v="52"/>
    <n v="5"/>
    <x v="1"/>
    <s v="Ravi"/>
    <n v="260"/>
    <s v="Dry Grocery"/>
    <m/>
    <m/>
    <m/>
    <m/>
    <m/>
    <x v="0"/>
  </r>
  <r>
    <x v="15"/>
    <s v="Sugar-Sakkre-kg-kg-1.0000"/>
    <n v="37"/>
    <n v="0.45"/>
    <x v="1"/>
    <s v="Ravi"/>
    <n v="16.650000000000002"/>
    <s v="Dry Grocery"/>
    <m/>
    <m/>
    <m/>
    <m/>
    <m/>
    <x v="0"/>
  </r>
  <r>
    <x v="15"/>
    <s v="Chilly Powder-Chilly Powder-kg-kg-1.0000"/>
    <n v="280"/>
    <n v="0.04"/>
    <x v="1"/>
    <s v="Ravi"/>
    <n v="11.200000000000001"/>
    <s v="Dry Grocery"/>
    <m/>
    <m/>
    <m/>
    <m/>
    <m/>
    <x v="0"/>
  </r>
  <r>
    <x v="15"/>
    <s v="Coriander Powder (500 gram)-Dhanya Powder (500 gram)-kg-kg-1.0000"/>
    <n v="120"/>
    <n v="0.05"/>
    <x v="1"/>
    <s v="Ravi"/>
    <n v="6"/>
    <s v="Dry Grocery"/>
    <m/>
    <m/>
    <m/>
    <m/>
    <m/>
    <x v="0"/>
  </r>
  <r>
    <x v="15"/>
    <s v="Crystal Salt-Kalluppu-kg-kg-1.0000"/>
    <n v="7"/>
    <n v="0.04"/>
    <x v="1"/>
    <s v="Ravi"/>
    <n v="0.28000000000000003"/>
    <s v="Dry Grocery"/>
    <m/>
    <m/>
    <m/>
    <m/>
    <m/>
    <x v="0"/>
  </r>
  <r>
    <x v="15"/>
    <s v="Turmeric Powder-Arishina pudi-kg-kg-1.0000"/>
    <n v="187.41"/>
    <n v="0.03"/>
    <x v="1"/>
    <s v="Ravi"/>
    <n v="5.6223000000000001"/>
    <s v="Dry Grocery"/>
    <m/>
    <m/>
    <m/>
    <m/>
    <m/>
    <x v="0"/>
  </r>
  <r>
    <x v="15"/>
    <s v="Dalda-dalda-lts-kg-0.9050"/>
    <n v="96"/>
    <n v="0.38"/>
    <x v="1"/>
    <s v="Ravi"/>
    <n v="36.480000000000004"/>
    <s v="Oil"/>
    <m/>
    <m/>
    <m/>
    <m/>
    <m/>
    <x v="0"/>
  </r>
  <r>
    <x v="15"/>
    <s v="Oil-Yenne-lts-kg-0.9150"/>
    <n v="82"/>
    <n v="2"/>
    <x v="1"/>
    <s v="Ravi"/>
    <n v="164"/>
    <s v="Oil"/>
    <m/>
    <m/>
    <m/>
    <m/>
    <m/>
    <x v="0"/>
  </r>
  <r>
    <x v="15"/>
    <s v="Jeera Seeds-Jeerge-kg-kg-1.0000"/>
    <n v="230"/>
    <n v="0.155"/>
    <x v="1"/>
    <s v="Ravi"/>
    <n v="35.65"/>
    <s v="Dry Grocery"/>
    <m/>
    <m/>
    <m/>
    <m/>
    <m/>
    <x v="0"/>
  </r>
  <r>
    <x v="15"/>
    <s v="Mustard-Sasive-kg-kg-1.0000"/>
    <n v="70"/>
    <n v="0.06"/>
    <x v="1"/>
    <s v="Ravi"/>
    <n v="4.2"/>
    <s v="Dry Grocery"/>
    <m/>
    <m/>
    <m/>
    <m/>
    <m/>
    <x v="0"/>
  </r>
  <r>
    <x v="15"/>
    <s v="channadal(split)-Kadlebele-kg-kg-1.0000"/>
    <n v="55"/>
    <n v="0.19"/>
    <x v="1"/>
    <s v="Ravi"/>
    <n v="10.45"/>
    <s v="Dry Grocery"/>
    <m/>
    <m/>
    <m/>
    <m/>
    <m/>
    <x v="0"/>
  </r>
  <r>
    <x v="15"/>
    <s v="Onion-Erulli-kg-kg-1.0000"/>
    <n v="14"/>
    <n v="2"/>
    <x v="1"/>
    <s v="Ravi"/>
    <n v="28"/>
    <s v="Vegetable"/>
    <m/>
    <m/>
    <m/>
    <m/>
    <m/>
    <x v="0"/>
  </r>
  <r>
    <x v="15"/>
    <s v="Garlic-Belulli-kg-kg-1.0000"/>
    <n v="28"/>
    <n v="0.15"/>
    <x v="1"/>
    <s v="Ravi"/>
    <n v="4.2"/>
    <s v="Vegetable"/>
    <m/>
    <m/>
    <m/>
    <m/>
    <m/>
    <x v="0"/>
  </r>
  <r>
    <x v="15"/>
    <s v="Wheat-Godhi-kg-kg-1.0000"/>
    <n v="34"/>
    <n v="0.75"/>
    <x v="1"/>
    <s v="Ravi"/>
    <n v="25.5"/>
    <s v="Dry Grocery"/>
    <m/>
    <m/>
    <m/>
    <m/>
    <m/>
    <x v="0"/>
  </r>
  <r>
    <x v="15"/>
    <s v="Toordal-Thogaribele-kg-kg-1.0000"/>
    <n v="64.069999999999993"/>
    <n v="0.5"/>
    <x v="1"/>
    <s v="Ravi"/>
    <n v="32.034999999999997"/>
    <s v="Dry Grocery"/>
    <m/>
    <m/>
    <m/>
    <m/>
    <m/>
    <x v="0"/>
  </r>
  <r>
    <x v="15"/>
    <s v="Tamarind-hunsehannu-kg-kg-1.0000"/>
    <n v="170"/>
    <n v="0.1"/>
    <x v="1"/>
    <s v="Ravi"/>
    <n v="17"/>
    <s v="Dry Grocery"/>
    <m/>
    <m/>
    <m/>
    <m/>
    <m/>
    <x v="0"/>
  </r>
  <r>
    <x v="15"/>
    <s v="Guntur -guntur-kg-kg-1.0000"/>
    <n v="138"/>
    <n v="0.03"/>
    <x v="1"/>
    <s v="Ravi"/>
    <n v="4.1399999999999997"/>
    <s v="Dry Grocery"/>
    <m/>
    <m/>
    <m/>
    <m/>
    <m/>
    <x v="0"/>
  </r>
  <r>
    <x v="15"/>
    <s v="Byadagi chilly-Byadagi chilly-kg-kg-1.0000"/>
    <n v="280"/>
    <n v="0.03"/>
    <x v="1"/>
    <s v="Ravi"/>
    <n v="8.4"/>
    <s v="Dry Grocery"/>
    <m/>
    <m/>
    <m/>
    <m/>
    <m/>
    <x v="0"/>
  </r>
  <r>
    <x v="15"/>
    <s v="Green chilly-hasinmenshinkayi-kg-kg-1.0000"/>
    <n v="30"/>
    <n v="0.2"/>
    <x v="1"/>
    <s v="Ravi"/>
    <n v="6"/>
    <s v="Vegetable"/>
    <m/>
    <m/>
    <m/>
    <m/>
    <m/>
    <x v="0"/>
  </r>
  <r>
    <x v="15"/>
    <s v="Fenugreek Seeds-menthya beeja-kg-kg-1.0000"/>
    <n v="125"/>
    <n v="2.5000000000000001E-2"/>
    <x v="1"/>
    <s v="Ravi"/>
    <n v="3.125"/>
    <s v="Dry Grocery"/>
    <m/>
    <m/>
    <m/>
    <m/>
    <m/>
    <x v="0"/>
  </r>
  <r>
    <x v="15"/>
    <s v="Urad Dal-Uddina bele-kg-kg-1.0000"/>
    <n v="76"/>
    <n v="4.4999999999999998E-2"/>
    <x v="1"/>
    <s v="Ravi"/>
    <n v="3.42"/>
    <s v="Dry Grocery"/>
    <m/>
    <m/>
    <m/>
    <m/>
    <m/>
    <x v="0"/>
  </r>
  <r>
    <x v="15"/>
    <s v="Pudina-Pudina-kg-kg-1.0000"/>
    <n v="125"/>
    <n v="0.06"/>
    <x v="1"/>
    <s v="Ravi"/>
    <n v="7.5"/>
    <s v="Vegetable"/>
    <m/>
    <m/>
    <m/>
    <m/>
    <m/>
    <x v="0"/>
  </r>
  <r>
    <x v="15"/>
    <s v="Coriander leaves-Kothamiri Soppu-kg-kg-1.0000"/>
    <n v="25"/>
    <n v="0.02"/>
    <x v="1"/>
    <s v="Ravi"/>
    <n v="0.5"/>
    <s v="Vegetable"/>
    <m/>
    <m/>
    <m/>
    <m/>
    <m/>
    <x v="0"/>
  </r>
  <r>
    <x v="15"/>
    <s v="curry leaves-karbensoppu-kg-kg-1.0000"/>
    <n v="312.14"/>
    <n v="0.04"/>
    <x v="1"/>
    <s v="Ravi"/>
    <n v="12.4856"/>
    <s v="Vegetable"/>
    <m/>
    <m/>
    <m/>
    <m/>
    <m/>
    <x v="0"/>
  </r>
  <r>
    <x v="15"/>
    <s v="South Papad (500 gram)-South Papad (500 gram)-pkt-kg-0.5000"/>
    <n v="62.03"/>
    <n v="0.08"/>
    <x v="1"/>
    <s v="Ravi"/>
    <n v="4.9624000000000006"/>
    <s v="Dry Grocery"/>
    <m/>
    <m/>
    <m/>
    <m/>
    <m/>
    <x v="0"/>
  </r>
  <r>
    <x v="15"/>
    <s v="North Papad (1 kg)-North Papad (1 kg)-kg-kg-1.0000"/>
    <n v="160"/>
    <n v="0.06"/>
    <x v="1"/>
    <s v="Ravi"/>
    <n v="9.6"/>
    <s v="Dry Grocery"/>
    <m/>
    <m/>
    <m/>
    <m/>
    <m/>
    <x v="0"/>
  </r>
  <r>
    <x v="15"/>
    <s v="Ginger-shunti-kg-kg-1.0000"/>
    <n v="40"/>
    <n v="0.1"/>
    <x v="1"/>
    <s v="Ravi"/>
    <n v="4"/>
    <s v="Vegetable"/>
    <m/>
    <m/>
    <m/>
    <m/>
    <m/>
    <x v="0"/>
  </r>
  <r>
    <x v="15"/>
    <s v="Elaichi-yelakki-kg-kg-1.0000"/>
    <n v="1450"/>
    <n v="0.03"/>
    <x v="1"/>
    <s v="Ravi"/>
    <n v="43.5"/>
    <s v="Spice"/>
    <m/>
    <m/>
    <m/>
    <m/>
    <m/>
    <x v="0"/>
  </r>
  <r>
    <x v="15"/>
    <s v="Cashew-Godambi-kg-kg-1.0000"/>
    <n v="840"/>
    <n v="2.5000000000000001E-2"/>
    <x v="1"/>
    <s v="Ravi"/>
    <n v="21"/>
    <s v="Dry Grocery"/>
    <m/>
    <m/>
    <m/>
    <m/>
    <m/>
    <x v="0"/>
  </r>
  <r>
    <x v="15"/>
    <s v="Raisin-drakshi-kg-kg-1.0000"/>
    <n v="240"/>
    <n v="2.5000000000000001E-2"/>
    <x v="1"/>
    <s v="Ravi"/>
    <n v="6"/>
    <s v="Dry Grocery"/>
    <m/>
    <m/>
    <m/>
    <m/>
    <m/>
    <x v="0"/>
  </r>
  <r>
    <x v="15"/>
    <s v="Moong Dal-Hesaru bele-kg-kg-1.0000"/>
    <n v="75"/>
    <n v="0.3"/>
    <x v="1"/>
    <s v="Ravi"/>
    <n v="22.5"/>
    <s v="Dry Grocery"/>
    <m/>
    <m/>
    <m/>
    <m/>
    <m/>
    <x v="0"/>
  </r>
  <r>
    <x v="15"/>
    <s v="mixed vegetables-mixed tharkari-kg-kg-1.0000"/>
    <n v="35"/>
    <n v="1"/>
    <x v="1"/>
    <s v="Ravi"/>
    <n v="35"/>
    <s v="Vegetable"/>
    <m/>
    <m/>
    <m/>
    <m/>
    <m/>
    <x v="0"/>
  </r>
  <r>
    <x v="15"/>
    <s v="Copri-copri-kg-kg-1.0000"/>
    <n v="110"/>
    <n v="0.13"/>
    <x v="1"/>
    <s v="Ravi"/>
    <n v="14.3"/>
    <s v="Vegetable"/>
    <m/>
    <m/>
    <m/>
    <m/>
    <m/>
    <x v="0"/>
  </r>
  <r>
    <x v="15"/>
    <s v="Pickle-Uppinkayi-kg-kg-1.0000"/>
    <n v="40"/>
    <n v="0.1"/>
    <x v="1"/>
    <s v="Ravi"/>
    <n v="4"/>
    <s v="Processed Food"/>
    <m/>
    <m/>
    <m/>
    <m/>
    <m/>
    <x v="0"/>
  </r>
  <r>
    <x v="15"/>
    <s v="Onion-Erulli-kg-kg-1.0000"/>
    <n v="14"/>
    <n v="0.64"/>
    <x v="2"/>
    <s v="Ravi"/>
    <n v="8.9600000000000009"/>
    <s v="Vegetable"/>
    <m/>
    <m/>
    <m/>
    <m/>
    <m/>
    <x v="0"/>
  </r>
  <r>
    <x v="15"/>
    <s v="Tomato (Jam)-tomatojam-kg-kg-1.0000"/>
    <n v="14.75"/>
    <n v="0.42"/>
    <x v="2"/>
    <s v="Ravi"/>
    <n v="6.1949999999999994"/>
    <s v="Vegetable"/>
    <m/>
    <m/>
    <m/>
    <m/>
    <m/>
    <x v="0"/>
  </r>
  <r>
    <x v="15"/>
    <s v="Milk-Haalu-lts-kg-1.0300"/>
    <n v="36"/>
    <n v="2"/>
    <x v="2"/>
    <s v="Ravi"/>
    <n v="72"/>
    <s v="Dairy"/>
    <m/>
    <m/>
    <m/>
    <m/>
    <m/>
    <x v="0"/>
  </r>
  <r>
    <x v="15"/>
    <s v="Curd-Mosaru-lts-kg-1.0300"/>
    <n v="42"/>
    <n v="2"/>
    <x v="2"/>
    <s v="Ravi"/>
    <n v="84"/>
    <s v="Dairy"/>
    <m/>
    <m/>
    <m/>
    <m/>
    <m/>
    <x v="0"/>
  </r>
  <r>
    <x v="15"/>
    <s v="Carrot-carrot-kg-kg-1.0000"/>
    <n v="27.97"/>
    <n v="0.31"/>
    <x v="2"/>
    <s v="Ravi"/>
    <n v="8.6707000000000001"/>
    <s v="Vegetable"/>
    <m/>
    <m/>
    <m/>
    <m/>
    <m/>
    <x v="0"/>
  </r>
  <r>
    <x v="15"/>
    <s v="Coriander leaves-Kothamiri Soppu-kg-kg-1.0000"/>
    <n v="25"/>
    <n v="0.06"/>
    <x v="2"/>
    <s v="Ravi"/>
    <n v="1.5"/>
    <s v="Vegetable"/>
    <m/>
    <m/>
    <m/>
    <m/>
    <m/>
    <x v="0"/>
  </r>
  <r>
    <x v="15"/>
    <s v="Lemon-Nimbehannu-count-count-1.0000"/>
    <n v="3"/>
    <n v="35"/>
    <x v="5"/>
    <s v="Ravi"/>
    <n v="105"/>
    <s v="Vegetable"/>
    <m/>
    <m/>
    <m/>
    <m/>
    <m/>
    <x v="0"/>
  </r>
  <r>
    <x v="15"/>
    <s v="Pineapple-ANNANAS-kg-kg-1.0000"/>
    <n v="30"/>
    <n v="0.7"/>
    <x v="5"/>
    <s v="Ravi"/>
    <n v="21"/>
    <s v="Fruits"/>
    <m/>
    <m/>
    <m/>
    <m/>
    <m/>
    <x v="0"/>
  </r>
  <r>
    <x v="15"/>
    <s v="Mango-Mavinhannu-kg-kg-1.0000"/>
    <n v="150"/>
    <n v="1.7"/>
    <x v="5"/>
    <s v="Ravi"/>
    <n v="255"/>
    <s v="Fruits"/>
    <m/>
    <m/>
    <m/>
    <m/>
    <m/>
    <x v="0"/>
  </r>
  <r>
    <x v="15"/>
    <s v="Watermelon-Watermelon-kg-kg-1.0000"/>
    <n v="20"/>
    <n v="1.26"/>
    <x v="5"/>
    <s v="Ravi"/>
    <n v="25.2"/>
    <s v="Fruits"/>
    <m/>
    <m/>
    <m/>
    <m/>
    <m/>
    <x v="0"/>
  </r>
  <r>
    <x v="15"/>
    <s v="Green chilly-hasinmenshinkayi-kg-kg-1.0000"/>
    <n v="30"/>
    <n v="0.45"/>
    <x v="2"/>
    <s v="Ravi"/>
    <n v="13.5"/>
    <s v="Vegetable"/>
    <m/>
    <m/>
    <m/>
    <s v="Green Chutney"/>
    <m/>
    <x v="0"/>
  </r>
  <r>
    <x v="15"/>
    <s v="Pudina-Pudina-kg-kg-1.0000"/>
    <n v="125"/>
    <n v="0.3"/>
    <x v="2"/>
    <s v="Ravi"/>
    <n v="37.5"/>
    <s v="Vegetable"/>
    <m/>
    <m/>
    <m/>
    <s v="Green Chutney"/>
    <m/>
    <x v="0"/>
  </r>
  <r>
    <x v="15"/>
    <s v="Coriander leaves-Kothamiri Soppu-kg-kg-1.0000"/>
    <n v="25"/>
    <n v="0.2"/>
    <x v="2"/>
    <s v="Ravi"/>
    <n v="5"/>
    <s v="Vegetable"/>
    <m/>
    <m/>
    <m/>
    <s v="Green Chutney"/>
    <m/>
    <x v="0"/>
  </r>
  <r>
    <x v="15"/>
    <s v="Jeera Seeds-Jeerge-kg-kg-1.0000"/>
    <n v="230"/>
    <n v="0.05"/>
    <x v="2"/>
    <s v="Ravi"/>
    <n v="11.5"/>
    <s v="Dry Grocery"/>
    <m/>
    <m/>
    <m/>
    <s v="Green Chutney"/>
    <m/>
    <x v="0"/>
  </r>
  <r>
    <x v="15"/>
    <s v="Ginger-shunti-kg-kg-1.0000"/>
    <n v="40"/>
    <n v="0.05"/>
    <x v="2"/>
    <s v="Ravi"/>
    <n v="2"/>
    <s v="Vegetable"/>
    <m/>
    <m/>
    <m/>
    <s v="Green Chutney"/>
    <m/>
    <x v="0"/>
  </r>
  <r>
    <x v="15"/>
    <s v="Salt Powder-Uppu-kg-kg-1.0000"/>
    <n v="17"/>
    <n v="0.04"/>
    <x v="2"/>
    <s v="Ravi"/>
    <n v="0.68"/>
    <s v="Dry Grocery"/>
    <m/>
    <m/>
    <m/>
    <s v="Green Chutney"/>
    <m/>
    <x v="0"/>
  </r>
  <r>
    <x v="15"/>
    <s v="Garlic-Belulli-kg-kg-1.0000"/>
    <n v="28"/>
    <n v="0.3"/>
    <x v="2"/>
    <s v="Ravi"/>
    <n v="8.4"/>
    <s v="Vegetable"/>
    <m/>
    <m/>
    <m/>
    <s v="Red Chutney"/>
    <m/>
    <x v="0"/>
  </r>
  <r>
    <x v="15"/>
    <s v="Ginger-shunti-kg-kg-1.0000"/>
    <n v="40"/>
    <n v="0.15"/>
    <x v="2"/>
    <s v="Ravi"/>
    <n v="6"/>
    <s v="Vegetable"/>
    <m/>
    <m/>
    <m/>
    <s v="Red Chutney"/>
    <m/>
    <x v="0"/>
  </r>
  <r>
    <x v="15"/>
    <s v="Byadagi chilly-Byadagi chilly-kg-kg-1.0000"/>
    <n v="280"/>
    <n v="0.3"/>
    <x v="2"/>
    <s v="Ravi"/>
    <n v="84"/>
    <s v="Dry Grocery"/>
    <m/>
    <m/>
    <m/>
    <s v="Red Chutney"/>
    <m/>
    <x v="0"/>
  </r>
  <r>
    <x v="15"/>
    <s v="Elaichi-yelakki-kg-kg-1.0000"/>
    <n v="1450"/>
    <n v="0.01"/>
    <x v="2"/>
    <s v="Ravi"/>
    <n v="14.5"/>
    <s v="Spice"/>
    <m/>
    <m/>
    <m/>
    <s v="Red Chutney"/>
    <m/>
    <x v="0"/>
  </r>
  <r>
    <x v="15"/>
    <s v="Cloves-lavanga-kg-kg-1.0000"/>
    <n v="740"/>
    <n v="5.0000000000000001E-3"/>
    <x v="2"/>
    <s v="Ravi"/>
    <n v="3.7"/>
    <s v="Spice"/>
    <m/>
    <m/>
    <m/>
    <s v="Red Chutney"/>
    <m/>
    <x v="0"/>
  </r>
  <r>
    <x v="15"/>
    <s v="Cinnamon-Chekke-kg-kg-1.0000"/>
    <n v="220"/>
    <n v="5.0000000000000001E-3"/>
    <x v="2"/>
    <s v="Ravi"/>
    <n v="1.1000000000000001"/>
    <s v="Spice"/>
    <m/>
    <m/>
    <m/>
    <s v="Red Chutney"/>
    <m/>
    <x v="0"/>
  </r>
  <r>
    <x v="15"/>
    <s v="Fried Gram-Hurgadle-kg-kg-1.0000"/>
    <n v="60"/>
    <n v="0.15"/>
    <x v="2"/>
    <s v="Ravi"/>
    <n v="9"/>
    <s v="Dry Grocery"/>
    <m/>
    <m/>
    <m/>
    <s v="Red Chutney"/>
    <m/>
    <x v="0"/>
  </r>
  <r>
    <x v="15"/>
    <s v="Crystal Salt-Kalluppu-kg-kg-1.0000"/>
    <n v="7"/>
    <n v="0.06"/>
    <x v="2"/>
    <s v="Ravi"/>
    <n v="0.42"/>
    <s v="Dry Grocery"/>
    <m/>
    <m/>
    <m/>
    <s v="Red Chutney"/>
    <m/>
    <x v="0"/>
  </r>
  <r>
    <x v="15"/>
    <s v="Copri-copri-kg-kg-1.0000"/>
    <n v="110"/>
    <n v="0.23"/>
    <x v="2"/>
    <s v="Ravi"/>
    <n v="25.3"/>
    <s v="Vegetable"/>
    <m/>
    <m/>
    <m/>
    <s v="Red Chutney"/>
    <m/>
    <x v="0"/>
  </r>
  <r>
    <x v="15"/>
    <s v="Peas-batani-kg-kg-1.0000"/>
    <n v="48"/>
    <n v="0.4"/>
    <x v="2"/>
    <s v="Ravi"/>
    <n v="19.200000000000003"/>
    <s v="Dry Grocery"/>
    <m/>
    <m/>
    <m/>
    <s v="Red Chutney"/>
    <m/>
    <x v="0"/>
  </r>
  <r>
    <x v="15"/>
    <s v="Lemon-Nimbehannu-count-count-1.0000"/>
    <n v="3"/>
    <n v="12"/>
    <x v="6"/>
    <s v="Jaggu"/>
    <n v="36"/>
    <s v="Vegetable"/>
    <m/>
    <m/>
    <m/>
    <m/>
    <m/>
    <x v="0"/>
  </r>
  <r>
    <x v="15"/>
    <s v="Onion-Erulli-kg-kg-1.0000"/>
    <n v="14"/>
    <n v="0.5"/>
    <x v="6"/>
    <s v="Jaggu"/>
    <n v="7"/>
    <s v="Vegetable"/>
    <m/>
    <m/>
    <m/>
    <m/>
    <m/>
    <x v="0"/>
  </r>
  <r>
    <x v="15"/>
    <s v="Gas-Gas-kg-kg-1.0000"/>
    <n v="78.95"/>
    <n v="2"/>
    <x v="1"/>
    <s v="Ravi"/>
    <n v="157.9"/>
    <s v="Gas"/>
    <m/>
    <m/>
    <m/>
    <m/>
    <m/>
    <x v="0"/>
  </r>
  <r>
    <x v="15"/>
    <s v="Gas-Gas-kg-kg-1.0000"/>
    <n v="78.95"/>
    <n v="17"/>
    <x v="0"/>
    <s v="Murthy"/>
    <n v="1342.15"/>
    <s v="Gas"/>
    <m/>
    <m/>
    <m/>
    <m/>
    <m/>
    <x v="0"/>
  </r>
  <r>
    <x v="16"/>
    <s v="Onion-Erulli-kg-kg-1.0000"/>
    <n v="14"/>
    <n v="6"/>
    <x v="0"/>
    <s v="Murthy"/>
    <n v="84"/>
    <s v="Vegetable"/>
    <m/>
    <m/>
    <m/>
    <m/>
    <m/>
    <x v="0"/>
  </r>
  <r>
    <x v="16"/>
    <s v="Charcoal-Charcoal-kg-kg-1.0000"/>
    <n v="26"/>
    <n v="9.9"/>
    <x v="0"/>
    <s v="Murthy"/>
    <n v="257.40000000000003"/>
    <s v="Heating"/>
    <m/>
    <m/>
    <m/>
    <m/>
    <m/>
    <x v="0"/>
  </r>
  <r>
    <x v="16"/>
    <s v="Green chilly-hasinmenshinkayi-kg-kg-1.0000"/>
    <n v="30"/>
    <n v="0.5"/>
    <x v="0"/>
    <s v="Murthy"/>
    <n v="15"/>
    <s v="Vegetable"/>
    <m/>
    <m/>
    <m/>
    <m/>
    <m/>
    <x v="0"/>
  </r>
  <r>
    <x v="16"/>
    <s v="Coriander leaves-Kothamiri Soppu-kg-kg-1.0000"/>
    <n v="25"/>
    <n v="0.55000000000000004"/>
    <x v="0"/>
    <s v="Murthy"/>
    <n v="13.750000000000002"/>
    <s v="Vegetable"/>
    <m/>
    <m/>
    <m/>
    <m/>
    <m/>
    <x v="0"/>
  </r>
  <r>
    <x v="16"/>
    <s v="Bullet Rice-Bullet Rice-kg-kg-1.0000"/>
    <n v="64"/>
    <n v="2"/>
    <x v="0"/>
    <s v="Murthy"/>
    <n v="128"/>
    <s v="Dry Grocery"/>
    <m/>
    <m/>
    <m/>
    <m/>
    <m/>
    <x v="0"/>
  </r>
  <r>
    <x v="16"/>
    <s v="Carrot-carrot-kg-kg-1.0000"/>
    <n v="27.97"/>
    <n v="1.2"/>
    <x v="0"/>
    <s v="Murthy"/>
    <n v="33.564"/>
    <s v="Vegetable"/>
    <m/>
    <m/>
    <m/>
    <m/>
    <m/>
    <x v="0"/>
  </r>
  <r>
    <x v="16"/>
    <s v="Ginger-shunti-kg-kg-1.0000"/>
    <n v="40"/>
    <n v="0.17"/>
    <x v="0"/>
    <s v="Murthy"/>
    <n v="6.8000000000000007"/>
    <s v="Vegetable"/>
    <m/>
    <m/>
    <m/>
    <m/>
    <m/>
    <x v="0"/>
  </r>
  <r>
    <x v="16"/>
    <s v="Oil-Yenne-lts-kg-0.9150"/>
    <n v="82"/>
    <n v="4"/>
    <x v="0"/>
    <s v="Murthy"/>
    <n v="328"/>
    <s v="Oil"/>
    <m/>
    <m/>
    <m/>
    <m/>
    <m/>
    <x v="0"/>
  </r>
  <r>
    <x v="16"/>
    <s v="Maida-Maida-kg-kg-1.0000"/>
    <n v="29.51"/>
    <n v="0.55000000000000004"/>
    <x v="0"/>
    <s v="Murthy"/>
    <n v="16.230500000000003"/>
    <s v="Dry Grocery"/>
    <m/>
    <m/>
    <m/>
    <m/>
    <m/>
    <x v="0"/>
  </r>
  <r>
    <x v="16"/>
    <s v="Butter-Butter-kg-kg-1.0000"/>
    <n v="140"/>
    <n v="0.75"/>
    <x v="0"/>
    <s v="Murthy"/>
    <n v="105"/>
    <s v="Dairy"/>
    <m/>
    <m/>
    <m/>
    <m/>
    <m/>
    <x v="0"/>
  </r>
  <r>
    <x v="16"/>
    <s v="Moong Dal-Hesaru bele-kg-kg-1.0000"/>
    <n v="75"/>
    <n v="1"/>
    <x v="0"/>
    <s v="Murthy"/>
    <n v="75"/>
    <s v="Dry Grocery"/>
    <m/>
    <m/>
    <m/>
    <m/>
    <m/>
    <x v="0"/>
  </r>
  <r>
    <x v="16"/>
    <s v="Palak leaves-Palak soppu-kg-kg-1.0000"/>
    <n v="38"/>
    <n v="1.3"/>
    <x v="0"/>
    <s v="Murthy"/>
    <n v="49.4"/>
    <s v="Vegetable"/>
    <m/>
    <m/>
    <m/>
    <m/>
    <m/>
    <x v="0"/>
  </r>
  <r>
    <x v="16"/>
    <s v="Beans-Beans-kg-kg-1.0000"/>
    <n v="43.06"/>
    <n v="0.25"/>
    <x v="0"/>
    <s v="Murthy"/>
    <n v="10.765000000000001"/>
    <s v="Vegetable"/>
    <m/>
    <m/>
    <m/>
    <m/>
    <m/>
    <x v="0"/>
  </r>
  <r>
    <x v="16"/>
    <s v="Basumathi Rice-Basumathi Rice-kg-kg-1.0000"/>
    <n v="62"/>
    <n v="1"/>
    <x v="0"/>
    <s v="Murthy"/>
    <n v="62"/>
    <s v="Dry Grocery"/>
    <m/>
    <m/>
    <m/>
    <m/>
    <m/>
    <x v="0"/>
  </r>
  <r>
    <x v="16"/>
    <s v="Cinnamon-Chekke-kg-kg-1.0000"/>
    <n v="220"/>
    <n v="4.0000000000000001E-3"/>
    <x v="0"/>
    <s v="Murthy"/>
    <n v="0.88"/>
    <s v="Spice"/>
    <m/>
    <m/>
    <m/>
    <m/>
    <m/>
    <x v="0"/>
  </r>
  <r>
    <x v="16"/>
    <s v="Cloves-lavanga-kg-kg-1.0000"/>
    <n v="740"/>
    <n v="4.0000000000000001E-3"/>
    <x v="0"/>
    <s v="Murthy"/>
    <n v="2.96"/>
    <s v="Spice"/>
    <m/>
    <m/>
    <m/>
    <m/>
    <m/>
    <x v="0"/>
  </r>
  <r>
    <x v="16"/>
    <s v="Elaichi-yelakki-kg-kg-1.0000"/>
    <n v="1450"/>
    <n v="4.0000000000000001E-3"/>
    <x v="0"/>
    <s v="Murthy"/>
    <n v="5.8"/>
    <s v="Spice"/>
    <m/>
    <m/>
    <m/>
    <m/>
    <m/>
    <x v="0"/>
  </r>
  <r>
    <x v="16"/>
    <s v="Maratimoggu-Maratimoggu-kg-kg-1.0000"/>
    <n v="750"/>
    <n v="4.0000000000000001E-3"/>
    <x v="0"/>
    <s v="Murthy"/>
    <n v="3"/>
    <s v="Spice"/>
    <m/>
    <m/>
    <m/>
    <m/>
    <m/>
    <x v="0"/>
  </r>
  <r>
    <x v="16"/>
    <s v="Tomato (Jam)-tomatojam-kg-kg-1.0000"/>
    <n v="14.75"/>
    <n v="1.6"/>
    <x v="0"/>
    <s v="Murthy"/>
    <n v="23.6"/>
    <s v="Vegetable"/>
    <m/>
    <m/>
    <m/>
    <m/>
    <m/>
    <x v="0"/>
  </r>
  <r>
    <x v="16"/>
    <s v="Roti Wheat-Roti atta-kg-kg-1.0000"/>
    <n v="27"/>
    <n v="2.5"/>
    <x v="0"/>
    <s v="Murthy"/>
    <n v="67.5"/>
    <s v="Dry Grocery"/>
    <m/>
    <m/>
    <m/>
    <m/>
    <m/>
    <x v="0"/>
  </r>
  <r>
    <x v="16"/>
    <s v="Lemon-Nimbehannu-count-count-1.0000"/>
    <n v="3"/>
    <n v="5"/>
    <x v="0"/>
    <s v="Murthy"/>
    <n v="15"/>
    <s v="Vegetable"/>
    <m/>
    <m/>
    <m/>
    <m/>
    <m/>
    <x v="0"/>
  </r>
  <r>
    <x v="16"/>
    <s v="Chilly Powder-Chilly Powder-kg-kg-1.0000"/>
    <n v="280"/>
    <n v="0.08"/>
    <x v="0"/>
    <s v="Murthy"/>
    <n v="22.400000000000002"/>
    <s v="Dry Grocery"/>
    <m/>
    <m/>
    <m/>
    <m/>
    <m/>
    <x v="0"/>
  </r>
  <r>
    <x v="16"/>
    <s v="Garam Masala (100 gram)-garam masala-pkt-kg-0.1000"/>
    <n v="57.5"/>
    <n v="0.06"/>
    <x v="0"/>
    <s v="Murthy"/>
    <n v="3.4499999999999997"/>
    <s v="Dry Grocery"/>
    <m/>
    <m/>
    <m/>
    <m/>
    <m/>
    <x v="0"/>
  </r>
  <r>
    <x v="16"/>
    <s v="Turmeric Powder-Arishina pudi-kg-kg-1.0000"/>
    <n v="187.41"/>
    <n v="2.5000000000000001E-2"/>
    <x v="0"/>
    <s v="Murthy"/>
    <n v="4.6852499999999999"/>
    <s v="Dry Grocery"/>
    <m/>
    <m/>
    <m/>
    <m/>
    <m/>
    <x v="0"/>
  </r>
  <r>
    <x v="16"/>
    <s v="Chat Masala (100 gram)-chat masala-pkt-kg-0.1000"/>
    <n v="48"/>
    <n v="0.01"/>
    <x v="0"/>
    <s v="Murthy"/>
    <n v="0.48"/>
    <s v="Dry Grocery"/>
    <m/>
    <m/>
    <m/>
    <m/>
    <m/>
    <x v="0"/>
  </r>
  <r>
    <x v="16"/>
    <s v="Salt Powder-Uppu-kg-kg-1.0000"/>
    <n v="17"/>
    <n v="0.4"/>
    <x v="0"/>
    <s v="Murthy"/>
    <n v="6.8000000000000007"/>
    <s v="Dry Grocery"/>
    <m/>
    <m/>
    <m/>
    <m/>
    <m/>
    <x v="0"/>
  </r>
  <r>
    <x v="16"/>
    <s v="Black Pepper Powder-Kaal menasu-kg-kg-1.0000"/>
    <n v="380"/>
    <n v="0.01"/>
    <x v="0"/>
    <s v="Murthy"/>
    <n v="3.8000000000000003"/>
    <s v="Dry Grocery"/>
    <m/>
    <m/>
    <m/>
    <m/>
    <m/>
    <x v="0"/>
  </r>
  <r>
    <x v="16"/>
    <s v="White Pepper Powder (500 gram)-Billi menasu pudi-kg-kg-1.0000"/>
    <n v="180"/>
    <n v="0.16"/>
    <x v="0"/>
    <s v="Murthy"/>
    <n v="28.8"/>
    <s v="Dry Grocery"/>
    <m/>
    <m/>
    <m/>
    <m/>
    <m/>
    <x v="0"/>
  </r>
  <r>
    <x v="16"/>
    <s v="Tasting Powder (500 kg)-tasting powder-kg-kg-1.0000"/>
    <n v="148"/>
    <n v="0.15"/>
    <x v="0"/>
    <s v="Murthy"/>
    <n v="22.2"/>
    <s v="Dry Grocery"/>
    <m/>
    <m/>
    <m/>
    <m/>
    <m/>
    <x v="0"/>
  </r>
  <r>
    <x v="16"/>
    <s v="Vinegar-Vinegar-bottle-kg-0.8600"/>
    <n v="24"/>
    <n v="0.1"/>
    <x v="0"/>
    <s v="Murthy"/>
    <n v="2.4000000000000004"/>
    <s v="Dry Grocery"/>
    <m/>
    <m/>
    <m/>
    <m/>
    <m/>
    <x v="0"/>
  </r>
  <r>
    <x v="16"/>
    <s v="Dark soya souce-Dark soya souce-bottle-kg-0.8150"/>
    <n v="33"/>
    <n v="0.1"/>
    <x v="0"/>
    <s v="Murthy"/>
    <n v="3.3000000000000003"/>
    <s v="Sauce"/>
    <m/>
    <m/>
    <m/>
    <m/>
    <m/>
    <x v="0"/>
  </r>
  <r>
    <x v="16"/>
    <s v="Mustard oil-Sasive yenne-lts-kg-0.9100"/>
    <n v="135"/>
    <n v="0.01"/>
    <x v="0"/>
    <s v="Murthy"/>
    <n v="1.35"/>
    <s v="Oil"/>
    <m/>
    <m/>
    <m/>
    <m/>
    <m/>
    <x v="0"/>
  </r>
  <r>
    <x v="16"/>
    <s v="Ketchup(1.2 kg)-ketchup-bottle-kg-1.2000"/>
    <n v="75"/>
    <n v="0.35"/>
    <x v="0"/>
    <s v="Murthy"/>
    <n v="26.25"/>
    <s v="Sauce"/>
    <m/>
    <m/>
    <m/>
    <m/>
    <m/>
    <x v="0"/>
  </r>
  <r>
    <x v="16"/>
    <s v="Coriander Powder (500 gram)-Dhanya Powder (500 gram)-kg-kg-1.0000"/>
    <n v="120"/>
    <n v="0.04"/>
    <x v="0"/>
    <s v="Murthy"/>
    <n v="4.8"/>
    <s v="Dry Grocery"/>
    <m/>
    <m/>
    <m/>
    <m/>
    <m/>
    <x v="0"/>
  </r>
  <r>
    <x v="16"/>
    <s v="Yellow Gravy"/>
    <n v="0"/>
    <n v="0.9"/>
    <x v="0"/>
    <s v="Murthy"/>
    <n v="0"/>
    <s v="SemiFinished_Prod"/>
    <m/>
    <m/>
    <m/>
    <m/>
    <m/>
    <x v="0"/>
  </r>
  <r>
    <x v="16"/>
    <s v="Dalda-dalda-lts-kg-0.9050"/>
    <n v="96"/>
    <n v="0.15"/>
    <x v="0"/>
    <s v="Murthy"/>
    <n v="14.399999999999999"/>
    <s v="Oil"/>
    <m/>
    <m/>
    <m/>
    <m/>
    <m/>
    <x v="0"/>
  </r>
  <r>
    <x v="16"/>
    <s v="Burjji Masala"/>
    <n v="0"/>
    <n v="0.9"/>
    <x v="0"/>
    <s v="Murthy"/>
    <n v="0"/>
    <s v="SemiFinished_Prod"/>
    <m/>
    <m/>
    <m/>
    <m/>
    <m/>
    <x v="0"/>
  </r>
  <r>
    <x v="16"/>
    <s v="Kitchen king (100 gram)-Kitchen king (100 gram)-pkt-kg-0.1000"/>
    <n v="51"/>
    <n v="8.5000000000000006E-2"/>
    <x v="0"/>
    <s v="Murthy"/>
    <n v="4.335"/>
    <s v="Dry Grocery"/>
    <m/>
    <m/>
    <m/>
    <m/>
    <m/>
    <x v="0"/>
  </r>
  <r>
    <x v="16"/>
    <s v="Green peas-green peas-kg-kg-1.0000"/>
    <n v="100"/>
    <n v="0.25"/>
    <x v="0"/>
    <s v="Murthy"/>
    <n v="25"/>
    <s v="Processed Food"/>
    <m/>
    <m/>
    <m/>
    <m/>
    <m/>
    <x v="0"/>
  </r>
  <r>
    <x v="16"/>
    <s v="Babycorn-Babycorn-kg-kg-1.0000"/>
    <n v="60"/>
    <n v="0.2"/>
    <x v="0"/>
    <s v="Murthy"/>
    <n v="12"/>
    <s v="Vegetable"/>
    <m/>
    <m/>
    <m/>
    <m/>
    <m/>
    <x v="0"/>
  </r>
  <r>
    <x v="16"/>
    <s v="Sweetcorn-Sweetcorn-tin-kg-0.4000"/>
    <n v="33"/>
    <n v="0.1"/>
    <x v="0"/>
    <s v="Murthy"/>
    <n v="3.3000000000000003"/>
    <s v="Canned Food"/>
    <m/>
    <m/>
    <m/>
    <m/>
    <m/>
    <x v="0"/>
  </r>
  <r>
    <x v="16"/>
    <s v="Paneer-Paneer-kg-kg-1.0000"/>
    <n v="175"/>
    <n v="1"/>
    <x v="0"/>
    <s v="Murthy"/>
    <n v="175"/>
    <s v="Dairy"/>
    <m/>
    <m/>
    <m/>
    <m/>
    <m/>
    <x v="0"/>
  </r>
  <r>
    <x v="16"/>
    <s v="Mushroom-Mushroom-pkt-pkt-1.0000"/>
    <n v="32"/>
    <n v="4"/>
    <x v="0"/>
    <s v="Murthy"/>
    <n v="128"/>
    <s v="Vegetable"/>
    <m/>
    <m/>
    <m/>
    <m/>
    <m/>
    <x v="0"/>
  </r>
  <r>
    <x v="16"/>
    <s v="Pudina-Pudina-kg-kg-1.0000"/>
    <n v="125"/>
    <n v="0.12"/>
    <x v="0"/>
    <s v="Murthy"/>
    <n v="15"/>
    <s v="Vegetable"/>
    <m/>
    <m/>
    <m/>
    <m/>
    <m/>
    <x v="0"/>
  </r>
  <r>
    <x v="16"/>
    <s v="Curd-Mosaru-lts-kg-1.0300"/>
    <n v="42"/>
    <n v="0.5"/>
    <x v="0"/>
    <s v="Murthy"/>
    <n v="21"/>
    <s v="Dairy"/>
    <m/>
    <m/>
    <m/>
    <m/>
    <m/>
    <x v="0"/>
  </r>
  <r>
    <x v="16"/>
    <s v="Gas-Gas-kg-kg-1.0000"/>
    <n v="78.95"/>
    <n v="2"/>
    <x v="1"/>
    <s v="Ravi"/>
    <n v="157.9"/>
    <s v="Gas"/>
    <m/>
    <m/>
    <m/>
    <m/>
    <m/>
    <x v="0"/>
  </r>
  <r>
    <x v="16"/>
    <s v="Gas-Gas-kg-kg-1.0000"/>
    <n v="78.95"/>
    <n v="17"/>
    <x v="0"/>
    <s v="Murthy"/>
    <n v="1342.15"/>
    <s v="Gas"/>
    <m/>
    <m/>
    <m/>
    <m/>
    <m/>
    <x v="0"/>
  </r>
  <r>
    <x v="16"/>
    <s v="Milk-Haalu-lts-kg-1.0300"/>
    <n v="36"/>
    <n v="5.5"/>
    <x v="4"/>
    <s v="Vicky"/>
    <n v="198"/>
    <s v="Dairy"/>
    <m/>
    <m/>
    <m/>
    <m/>
    <m/>
    <x v="0"/>
  </r>
  <r>
    <x v="16"/>
    <s v="Sugar-Sakkre-kg-kg-1.0000"/>
    <n v="37"/>
    <n v="0.6"/>
    <x v="4"/>
    <s v="Vicky"/>
    <n v="22.2"/>
    <s v="Dry Grocery"/>
    <m/>
    <m/>
    <m/>
    <m/>
    <m/>
    <x v="0"/>
  </r>
  <r>
    <x v="16"/>
    <s v="Curd-Mosaru-lts-kg-1.0300"/>
    <n v="42"/>
    <n v="1.5"/>
    <x v="0"/>
    <s v="Murthy"/>
    <n v="63"/>
    <s v="Dairy"/>
    <m/>
    <m/>
    <m/>
    <s v="Raitha"/>
    <m/>
    <x v="0"/>
  </r>
  <r>
    <x v="16"/>
    <s v="Milk-Haalu-lts-kg-1.0300"/>
    <n v="36"/>
    <n v="0.5"/>
    <x v="0"/>
    <s v="Murthy"/>
    <n v="18"/>
    <s v="Dairy"/>
    <m/>
    <m/>
    <m/>
    <s v="Curd Rice"/>
    <m/>
    <x v="0"/>
  </r>
  <r>
    <x v="16"/>
    <s v="Muskmelon-THARBUJA-kg-kg-1.0000"/>
    <n v="20"/>
    <n v="0.56999999999999995"/>
    <x v="5"/>
    <s v="Ravi"/>
    <n v="11.399999999999999"/>
    <s v="Fruits"/>
    <m/>
    <m/>
    <m/>
    <m/>
    <m/>
    <x v="0"/>
  </r>
  <r>
    <x v="16"/>
    <s v="POMOGRANATE-THALIMBE-kg-kg-1.0000"/>
    <n v="0"/>
    <n v="1"/>
    <x v="5"/>
    <s v="Ravi"/>
    <n v="0"/>
    <s v="Fruits"/>
    <m/>
    <m/>
    <m/>
    <m/>
    <m/>
    <x v="0"/>
  </r>
  <r>
    <x v="16"/>
    <s v="BUTTERFRUIT-BUTTERFRUIT-kg-kg-1.0000"/>
    <n v="130"/>
    <n v="1"/>
    <x v="5"/>
    <s v="Ravi"/>
    <n v="130"/>
    <s v="Fruits"/>
    <m/>
    <m/>
    <m/>
    <m/>
    <m/>
    <x v="0"/>
  </r>
  <r>
    <x v="16"/>
    <s v="Chickoo-Sapota-kg-kg-1.0000"/>
    <n v="40"/>
    <n v="2"/>
    <x v="5"/>
    <s v="Ravi"/>
    <n v="80"/>
    <s v="Fruits"/>
    <m/>
    <m/>
    <m/>
    <m/>
    <m/>
    <x v="0"/>
  </r>
  <r>
    <x v="16"/>
    <s v="Mango-Mavinhannu-kg-kg-1.0000"/>
    <n v="150"/>
    <n v="2"/>
    <x v="5"/>
    <s v="Ravi"/>
    <n v="300"/>
    <s v="Fruits"/>
    <m/>
    <m/>
    <m/>
    <m/>
    <m/>
    <x v="0"/>
  </r>
  <r>
    <x v="16"/>
    <s v="Curd-Mosaru-lts-kg-1.0300"/>
    <n v="42"/>
    <n v="1.5"/>
    <x v="5"/>
    <s v="Ravi"/>
    <n v="63"/>
    <s v="Dairy"/>
    <m/>
    <m/>
    <m/>
    <m/>
    <m/>
    <x v="0"/>
  </r>
  <r>
    <x v="16"/>
    <s v="Milk-Haalu-lts-kg-1.0300"/>
    <n v="36"/>
    <n v="2.5"/>
    <x v="5"/>
    <s v="Ravi"/>
    <n v="90"/>
    <s v="Dairy"/>
    <m/>
    <m/>
    <m/>
    <m/>
    <m/>
    <x v="0"/>
  </r>
  <r>
    <x v="16"/>
    <s v="Pineapple-ANNANAS-kg-kg-1.0000"/>
    <n v="30"/>
    <n v="0.35"/>
    <x v="5"/>
    <s v="Ravi"/>
    <n v="10.5"/>
    <s v="Fruits"/>
    <m/>
    <m/>
    <m/>
    <m/>
    <m/>
    <x v="0"/>
  </r>
  <r>
    <x v="16"/>
    <s v="Onion-Erulli-kg-kg-1.0000"/>
    <n v="14"/>
    <n v="0.6"/>
    <x v="2"/>
    <s v="Ravi"/>
    <n v="8.4"/>
    <s v="Vegetable"/>
    <m/>
    <m/>
    <m/>
    <m/>
    <m/>
    <x v="0"/>
  </r>
  <r>
    <x v="16"/>
    <s v="Tomato (Jam)-tomatojam-kg-kg-1.0000"/>
    <n v="14.75"/>
    <n v="0.43"/>
    <x v="2"/>
    <s v="Ravi"/>
    <n v="6.3425000000000002"/>
    <s v="Vegetable"/>
    <m/>
    <m/>
    <m/>
    <m/>
    <m/>
    <x v="0"/>
  </r>
  <r>
    <x v="16"/>
    <s v="Carrot-carrot-kg-kg-1.0000"/>
    <n v="27.97"/>
    <n v="0.30499999999999999"/>
    <x v="2"/>
    <s v="Ravi"/>
    <n v="8.5308499999999992"/>
    <s v="Vegetable"/>
    <m/>
    <m/>
    <m/>
    <m/>
    <m/>
    <x v="0"/>
  </r>
  <r>
    <x v="16"/>
    <s v="Coriander leaves-Kothamiri Soppu-kg-kg-1.0000"/>
    <n v="25"/>
    <n v="0.08"/>
    <x v="2"/>
    <s v="Ravi"/>
    <n v="2"/>
    <s v="Vegetable"/>
    <m/>
    <m/>
    <m/>
    <m/>
    <m/>
    <x v="0"/>
  </r>
  <r>
    <x v="16"/>
    <s v="Peas-batani-kg-kg-1.0000"/>
    <n v="48"/>
    <n v="0.4"/>
    <x v="2"/>
    <s v="Ravi"/>
    <n v="19.200000000000003"/>
    <s v="Dry Grocery"/>
    <m/>
    <m/>
    <m/>
    <m/>
    <m/>
    <x v="0"/>
  </r>
  <r>
    <x v="16"/>
    <s v="Chiroti Semolina-Chiroti rava-kg-kg-1.0000"/>
    <n v="34"/>
    <n v="0.5"/>
    <x v="1"/>
    <s v="Ravi"/>
    <n v="17"/>
    <s v="Dry Grocery"/>
    <m/>
    <m/>
    <m/>
    <m/>
    <m/>
    <x v="0"/>
  </r>
  <r>
    <x v="16"/>
    <s v="Curd-Mosaru-lts-kg-1.0300"/>
    <n v="42"/>
    <n v="1.5"/>
    <x v="1"/>
    <s v="Ravi"/>
    <n v="63"/>
    <s v="Dairy"/>
    <m/>
    <m/>
    <m/>
    <m/>
    <m/>
    <x v="0"/>
  </r>
  <r>
    <x v="16"/>
    <s v="Coconut-Theginkai-count-count-1.0000"/>
    <n v="28"/>
    <n v="3"/>
    <x v="1"/>
    <s v="Ravi"/>
    <n v="84"/>
    <s v="Vegetable"/>
    <m/>
    <m/>
    <m/>
    <m/>
    <m/>
    <x v="0"/>
  </r>
  <r>
    <x v="16"/>
    <s v="South Rice-South Hakki-kg-kg-1.0000"/>
    <n v="52"/>
    <n v="4"/>
    <x v="1"/>
    <s v="Ravi"/>
    <n v="208"/>
    <s v="Dry Grocery"/>
    <m/>
    <m/>
    <m/>
    <m/>
    <m/>
    <x v="0"/>
  </r>
  <r>
    <x v="16"/>
    <s v="Sugar-Sakkre-kg-kg-1.0000"/>
    <n v="37"/>
    <n v="0.9"/>
    <x v="1"/>
    <s v="Ravi"/>
    <n v="33.300000000000004"/>
    <s v="Dry Grocery"/>
    <m/>
    <m/>
    <m/>
    <m/>
    <m/>
    <x v="0"/>
  </r>
  <r>
    <x v="16"/>
    <s v="Chilly Powder-Chilly Powder-kg-kg-1.0000"/>
    <n v="280"/>
    <n v="0.04"/>
    <x v="1"/>
    <s v="Ravi"/>
    <n v="11.200000000000001"/>
    <s v="Dry Grocery"/>
    <m/>
    <m/>
    <m/>
    <m/>
    <m/>
    <x v="0"/>
  </r>
  <r>
    <x v="16"/>
    <s v="Coriander Powder (500 gram)-Dhanya Powder (500 gram)-kg-kg-1.0000"/>
    <n v="120"/>
    <n v="0.03"/>
    <x v="1"/>
    <s v="Ravi"/>
    <n v="3.5999999999999996"/>
    <s v="Dry Grocery"/>
    <m/>
    <m/>
    <m/>
    <m/>
    <m/>
    <x v="0"/>
  </r>
  <r>
    <x v="16"/>
    <s v="Sambar powder-Sambar powder-kg-kg-1.0000"/>
    <n v="500"/>
    <n v="0.1"/>
    <x v="1"/>
    <s v="Ravi"/>
    <n v="50"/>
    <s v="Dry Grocery"/>
    <m/>
    <m/>
    <m/>
    <m/>
    <m/>
    <x v="0"/>
  </r>
  <r>
    <x v="16"/>
    <s v="Crystal Salt-Kalluppu-kg-kg-1.0000"/>
    <n v="7"/>
    <n v="0.13"/>
    <x v="1"/>
    <s v="Ravi"/>
    <n v="0.91"/>
    <s v="Dry Grocery"/>
    <m/>
    <m/>
    <m/>
    <m/>
    <m/>
    <x v="0"/>
  </r>
  <r>
    <x v="16"/>
    <s v="Turmeric Powder-Arishina pudi-kg-kg-1.0000"/>
    <n v="187.41"/>
    <n v="0.04"/>
    <x v="1"/>
    <s v="Ravi"/>
    <n v="7.4964000000000004"/>
    <s v="Dry Grocery"/>
    <m/>
    <m/>
    <m/>
    <m/>
    <m/>
    <x v="0"/>
  </r>
  <r>
    <x v="16"/>
    <s v="Dalda-dalda-lts-kg-0.9050"/>
    <n v="96"/>
    <n v="0.22"/>
    <x v="1"/>
    <s v="Ravi"/>
    <n v="21.12"/>
    <s v="Oil"/>
    <m/>
    <m/>
    <m/>
    <m/>
    <m/>
    <x v="0"/>
  </r>
  <r>
    <x v="16"/>
    <s v="Oil-Yenne-lts-kg-0.9150"/>
    <n v="82"/>
    <n v="1"/>
    <x v="1"/>
    <s v="Ravi"/>
    <n v="82"/>
    <s v="Oil"/>
    <m/>
    <m/>
    <m/>
    <m/>
    <m/>
    <x v="0"/>
  </r>
  <r>
    <x v="16"/>
    <s v="Jeera Seeds-Jeerge-kg-kg-1.0000"/>
    <n v="230"/>
    <n v="0.09"/>
    <x v="1"/>
    <s v="Ravi"/>
    <n v="20.7"/>
    <s v="Dry Grocery"/>
    <m/>
    <m/>
    <m/>
    <m/>
    <m/>
    <x v="0"/>
  </r>
  <r>
    <x v="16"/>
    <s v="Mustard-Sasive-kg-kg-1.0000"/>
    <n v="70"/>
    <n v="0.06"/>
    <x v="1"/>
    <s v="Ravi"/>
    <n v="4.2"/>
    <s v="Dry Grocery"/>
    <m/>
    <m/>
    <m/>
    <m/>
    <m/>
    <x v="0"/>
  </r>
  <r>
    <x v="16"/>
    <s v="Onion-Erulli-kg-kg-1.0000"/>
    <n v="14"/>
    <n v="2.5"/>
    <x v="1"/>
    <s v="Ravi"/>
    <n v="35"/>
    <s v="Vegetable"/>
    <m/>
    <m/>
    <m/>
    <m/>
    <m/>
    <x v="0"/>
  </r>
  <r>
    <x v="16"/>
    <s v="Garlic-Belulli-kg-kg-1.0000"/>
    <n v="28"/>
    <n v="0.25"/>
    <x v="1"/>
    <s v="Ravi"/>
    <n v="7"/>
    <s v="Vegetable"/>
    <m/>
    <m/>
    <m/>
    <m/>
    <m/>
    <x v="0"/>
  </r>
  <r>
    <x v="16"/>
    <s v="Wheat-Godhi-kg-kg-1.0000"/>
    <n v="34"/>
    <n v="0.8"/>
    <x v="1"/>
    <s v="Ravi"/>
    <n v="27.200000000000003"/>
    <s v="Dry Grocery"/>
    <m/>
    <m/>
    <m/>
    <m/>
    <m/>
    <x v="0"/>
  </r>
  <r>
    <x v="16"/>
    <s v="Toordal-Thogaribele-kg-kg-1.0000"/>
    <n v="64.069999999999993"/>
    <n v="0.5"/>
    <x v="1"/>
    <s v="Ravi"/>
    <n v="32.034999999999997"/>
    <s v="Dry Grocery"/>
    <m/>
    <m/>
    <m/>
    <m/>
    <m/>
    <x v="0"/>
  </r>
  <r>
    <x v="16"/>
    <s v="Tamarind-hunsehannu-kg-kg-1.0000"/>
    <n v="170"/>
    <n v="0.1"/>
    <x v="1"/>
    <s v="Ravi"/>
    <n v="17"/>
    <s v="Dry Grocery"/>
    <m/>
    <m/>
    <m/>
    <m/>
    <m/>
    <x v="0"/>
  </r>
  <r>
    <x v="16"/>
    <s v="Guntur -guntur-kg-kg-1.0000"/>
    <n v="138"/>
    <n v="0.03"/>
    <x v="1"/>
    <s v="Ravi"/>
    <n v="4.1399999999999997"/>
    <s v="Dry Grocery"/>
    <m/>
    <m/>
    <m/>
    <m/>
    <m/>
    <x v="0"/>
  </r>
  <r>
    <x v="16"/>
    <s v="Byadagi chilly-Byadagi chilly-kg-kg-1.0000"/>
    <n v="280"/>
    <n v="0.03"/>
    <x v="1"/>
    <s v="Ravi"/>
    <n v="8.4"/>
    <s v="Dry Grocery"/>
    <m/>
    <m/>
    <m/>
    <m/>
    <m/>
    <x v="0"/>
  </r>
  <r>
    <x v="16"/>
    <s v="Green chilly-hasinmenshinkayi-kg-kg-1.0000"/>
    <n v="30"/>
    <n v="0.2"/>
    <x v="1"/>
    <s v="Ravi"/>
    <n v="6"/>
    <s v="Vegetable"/>
    <m/>
    <m/>
    <m/>
    <m/>
    <m/>
    <x v="0"/>
  </r>
  <r>
    <x v="16"/>
    <s v="Urad Dal-Uddina bele-kg-kg-1.0000"/>
    <n v="76"/>
    <n v="4.4999999999999998E-2"/>
    <x v="1"/>
    <s v="Ravi"/>
    <n v="3.42"/>
    <s v="Dry Grocery"/>
    <m/>
    <m/>
    <m/>
    <m/>
    <m/>
    <x v="0"/>
  </r>
  <r>
    <x v="16"/>
    <s v="Pudina-Pudina-kg-kg-1.0000"/>
    <n v="125"/>
    <n v="0.06"/>
    <x v="1"/>
    <s v="Ravi"/>
    <n v="7.5"/>
    <s v="Vegetable"/>
    <m/>
    <m/>
    <m/>
    <m/>
    <m/>
    <x v="0"/>
  </r>
  <r>
    <x v="16"/>
    <s v="curry leaves-karbensoppu-kg-kg-1.0000"/>
    <n v="312.14"/>
    <n v="0.04"/>
    <x v="1"/>
    <s v="Ravi"/>
    <n v="12.4856"/>
    <s v="Vegetable"/>
    <m/>
    <m/>
    <m/>
    <m/>
    <m/>
    <x v="0"/>
  </r>
  <r>
    <x v="16"/>
    <s v="Tomato (Jam)-tomatojam-kg-kg-1.0000"/>
    <n v="14.75"/>
    <n v="1.5"/>
    <x v="1"/>
    <s v="Ravi"/>
    <n v="22.125"/>
    <s v="Vegetable"/>
    <m/>
    <m/>
    <m/>
    <m/>
    <m/>
    <x v="0"/>
  </r>
  <r>
    <x v="16"/>
    <s v="Coriander leaves-Kothamiri Soppu-kg-kg-1.0000"/>
    <n v="25"/>
    <n v="0.25"/>
    <x v="1"/>
    <s v="Ravi"/>
    <n v="6.25"/>
    <s v="Vegetable"/>
    <m/>
    <m/>
    <m/>
    <m/>
    <m/>
    <x v="0"/>
  </r>
  <r>
    <x v="16"/>
    <s v="South Papad (500 gram)-South Papad (500 gram)-pkt-kg-0.5000"/>
    <n v="62.03"/>
    <n v="0.06"/>
    <x v="1"/>
    <s v="Ravi"/>
    <n v="3.7218"/>
    <s v="Dry Grocery"/>
    <m/>
    <m/>
    <m/>
    <m/>
    <m/>
    <x v="0"/>
  </r>
  <r>
    <x v="16"/>
    <s v="North Papad (1 kg)-North Papad (1 kg)-kg-kg-1.0000"/>
    <n v="160"/>
    <n v="7.0000000000000007E-2"/>
    <x v="1"/>
    <s v="Ravi"/>
    <n v="11.200000000000001"/>
    <s v="Dry Grocery"/>
    <m/>
    <m/>
    <m/>
    <m/>
    <m/>
    <x v="0"/>
  </r>
  <r>
    <x v="16"/>
    <s v="Pineapple-ANNANAS-kg-kg-1.0000"/>
    <n v="30"/>
    <n v="2.5"/>
    <x v="1"/>
    <s v="Ravi"/>
    <n v="75"/>
    <s v="Fruits"/>
    <m/>
    <m/>
    <m/>
    <m/>
    <m/>
    <x v="0"/>
  </r>
  <r>
    <x v="16"/>
    <s v="Ginger-shunti-kg-kg-1.0000"/>
    <n v="40"/>
    <n v="0.1"/>
    <x v="1"/>
    <s v="Ravi"/>
    <n v="4"/>
    <s v="Vegetable"/>
    <m/>
    <m/>
    <m/>
    <m/>
    <m/>
    <x v="0"/>
  </r>
  <r>
    <x v="16"/>
    <s v="Elaichi-yelakki-kg-kg-1.0000"/>
    <n v="1450"/>
    <n v="0.01"/>
    <x v="1"/>
    <s v="Ravi"/>
    <n v="14.5"/>
    <s v="Spice"/>
    <m/>
    <m/>
    <m/>
    <m/>
    <m/>
    <x v="0"/>
  </r>
  <r>
    <x v="16"/>
    <s v="Cashew-Godambi-kg-kg-1.0000"/>
    <n v="840"/>
    <n v="2.5000000000000001E-2"/>
    <x v="1"/>
    <s v="Ravi"/>
    <n v="21"/>
    <s v="Dry Grocery"/>
    <m/>
    <m/>
    <m/>
    <m/>
    <m/>
    <x v="0"/>
  </r>
  <r>
    <x v="16"/>
    <s v="Raisin-drakshi-kg-kg-1.0000"/>
    <n v="240"/>
    <n v="2.5000000000000001E-2"/>
    <x v="1"/>
    <s v="Ravi"/>
    <n v="6"/>
    <s v="Dry Grocery"/>
    <m/>
    <m/>
    <m/>
    <m/>
    <m/>
    <x v="0"/>
  </r>
  <r>
    <x v="16"/>
    <s v="Cabbage-geddekosu-kg-kg-1.0000"/>
    <n v="3"/>
    <n v="1.5"/>
    <x v="1"/>
    <s v="Ravi"/>
    <n v="4.5"/>
    <s v="Vegetable"/>
    <m/>
    <m/>
    <m/>
    <m/>
    <m/>
    <x v="0"/>
  </r>
  <r>
    <x v="16"/>
    <s v="Pickle-Uppinkayi-kg-kg-1.0000"/>
    <n v="40"/>
    <n v="0.2"/>
    <x v="1"/>
    <s v="Ravi"/>
    <n v="8"/>
    <s v="Processed Food"/>
    <m/>
    <m/>
    <m/>
    <m/>
    <m/>
    <x v="0"/>
  </r>
  <r>
    <x v="16"/>
    <s v="Potato-Aloogedde-kg-kg-1.0000"/>
    <n v="20"/>
    <n v="1"/>
    <x v="1"/>
    <s v="Ravi"/>
    <n v="20"/>
    <s v="Vegetable"/>
    <m/>
    <m/>
    <m/>
    <m/>
    <m/>
    <x v="0"/>
  </r>
  <r>
    <x v="16"/>
    <s v="Curd-Mosaru-lts-kg-1.0300"/>
    <n v="42"/>
    <m/>
    <x v="3"/>
    <s v="Common"/>
    <n v="0"/>
    <s v="Dairy"/>
    <n v="1"/>
    <m/>
    <m/>
    <m/>
    <m/>
    <x v="0"/>
  </r>
  <r>
    <x v="16"/>
    <s v="Paneer-Paneer-kg-kg-1.0000"/>
    <n v="175"/>
    <m/>
    <x v="0"/>
    <s v="Murthy"/>
    <n v="0"/>
    <s v="Dairy"/>
    <n v="1.2"/>
    <m/>
    <m/>
    <m/>
    <m/>
    <x v="0"/>
  </r>
  <r>
    <x v="16"/>
    <s v="Cream-Cream-lts-kg-1.0000"/>
    <n v="190"/>
    <m/>
    <x v="0"/>
    <s v="Murthy"/>
    <n v="0"/>
    <s v="Dairy"/>
    <n v="0.43"/>
    <m/>
    <m/>
    <m/>
    <m/>
    <x v="0"/>
  </r>
  <r>
    <x v="16"/>
    <s v="Sweetcorn-Sweetcorn-tin-kg-0.4000"/>
    <n v="33"/>
    <m/>
    <x v="0"/>
    <s v="Murthy"/>
    <n v="0"/>
    <s v="Canned Food"/>
    <n v="0.31"/>
    <m/>
    <m/>
    <m/>
    <m/>
    <x v="0"/>
  </r>
  <r>
    <x v="16"/>
    <s v="Butter-Butter-kg-kg-1.0000"/>
    <n v="140"/>
    <m/>
    <x v="0"/>
    <s v="Murthy"/>
    <n v="0"/>
    <s v="Dairy"/>
    <n v="1.25"/>
    <m/>
    <m/>
    <m/>
    <m/>
    <x v="0"/>
  </r>
  <r>
    <x v="16"/>
    <s v="Mushroom-Mushroom-pkt-pkt-1.0000"/>
    <n v="32"/>
    <m/>
    <x v="0"/>
    <s v="Murthy"/>
    <n v="0"/>
    <s v="Vegetable"/>
    <n v="5"/>
    <m/>
    <m/>
    <m/>
    <m/>
    <x v="0"/>
  </r>
  <r>
    <x v="16"/>
    <s v="Green peas-green peas-kg-kg-1.0000"/>
    <n v="100"/>
    <m/>
    <x v="0"/>
    <s v="Murthy"/>
    <n v="0"/>
    <s v="Processed Food"/>
    <n v="1"/>
    <m/>
    <m/>
    <m/>
    <m/>
    <x v="0"/>
  </r>
  <r>
    <x v="16"/>
    <s v="Watermelon-Watermelon-kg-kg-1.0000"/>
    <n v="20"/>
    <m/>
    <x v="5"/>
    <s v="Ravi"/>
    <n v="0"/>
    <s v="Fruits"/>
    <n v="0.5"/>
    <m/>
    <m/>
    <m/>
    <m/>
    <x v="0"/>
  </r>
  <r>
    <x v="16"/>
    <s v="Papaya-PRANGIHANNU-kg-kg-1.0000"/>
    <n v="20"/>
    <m/>
    <x v="5"/>
    <s v="Ravi"/>
    <n v="0"/>
    <s v="Fruits"/>
    <n v="0.3"/>
    <m/>
    <m/>
    <m/>
    <m/>
    <x v="0"/>
  </r>
  <r>
    <x v="16"/>
    <s v="Pineapple-ANNANAS-kg-kg-1.0000"/>
    <n v="30"/>
    <m/>
    <x v="5"/>
    <s v="Ravi"/>
    <n v="0"/>
    <s v="Fruits"/>
    <n v="0.18"/>
    <m/>
    <m/>
    <m/>
    <m/>
    <x v="0"/>
  </r>
  <r>
    <x v="16"/>
    <s v="Chickoo-Sapota-kg-kg-1.0000"/>
    <n v="40"/>
    <m/>
    <x v="5"/>
    <s v="Ravi"/>
    <n v="0"/>
    <s v="Fruits"/>
    <n v="0.8"/>
    <m/>
    <m/>
    <m/>
    <m/>
    <x v="0"/>
  </r>
  <r>
    <x v="16"/>
    <s v="Apple-SEBU-kg-kg-1.0000"/>
    <n v="120"/>
    <m/>
    <x v="5"/>
    <s v="Ravi"/>
    <n v="0"/>
    <s v="Fruits"/>
    <n v="0.19"/>
    <m/>
    <m/>
    <m/>
    <m/>
    <x v="0"/>
  </r>
  <r>
    <x v="16"/>
    <s v="Moosambi-MOOSAMBI-kg-kg-1.0000"/>
    <n v="50"/>
    <m/>
    <x v="5"/>
    <s v="Ravi"/>
    <n v="0"/>
    <s v="Fruits"/>
    <n v="1.32"/>
    <m/>
    <m/>
    <m/>
    <m/>
    <x v="0"/>
  </r>
  <r>
    <x v="16"/>
    <s v="Lemon-Nimbehannu-count-count-1.0000"/>
    <n v="3"/>
    <m/>
    <x v="5"/>
    <s v="Ravi"/>
    <n v="0"/>
    <s v="Vegetable"/>
    <n v="22"/>
    <m/>
    <m/>
    <m/>
    <m/>
    <x v="0"/>
  </r>
  <r>
    <x v="16"/>
    <s v="Mango-Mavinhannu-kg-kg-1.0000"/>
    <n v="150"/>
    <m/>
    <x v="5"/>
    <s v="Ravi"/>
    <n v="0"/>
    <s v="Fruits"/>
    <n v="1.64"/>
    <m/>
    <m/>
    <m/>
    <m/>
    <x v="0"/>
  </r>
  <r>
    <x v="16"/>
    <s v="BUTTERFRUIT-BUTTERFRUIT-kg-kg-1.0000"/>
    <n v="130"/>
    <m/>
    <x v="5"/>
    <s v="Ravi"/>
    <n v="0"/>
    <s v="Fruits"/>
    <n v="1.5"/>
    <m/>
    <m/>
    <m/>
    <m/>
    <x v="0"/>
  </r>
  <r>
    <x v="16"/>
    <s v="Onion-Erulli-kg-kg-1.0000"/>
    <n v="14"/>
    <n v="0.3"/>
    <x v="6"/>
    <s v="Jaggu"/>
    <n v="4.2"/>
    <s v="Vegetable"/>
    <m/>
    <m/>
    <m/>
    <m/>
    <m/>
    <x v="0"/>
  </r>
  <r>
    <x v="16"/>
    <s v="Lemon-Nimbehannu-count-count-1.0000"/>
    <n v="3"/>
    <n v="6"/>
    <x v="6"/>
    <s v="Jaggu"/>
    <n v="18"/>
    <s v="Vegetable"/>
    <m/>
    <m/>
    <m/>
    <m/>
    <m/>
    <x v="0"/>
  </r>
  <r>
    <x v="16"/>
    <s v="Milk-Haalu-lts-kg-1.0300"/>
    <n v="36"/>
    <m/>
    <x v="7"/>
    <m/>
    <n v="0"/>
    <s v="Dairy"/>
    <m/>
    <n v="8"/>
    <m/>
    <m/>
    <m/>
    <x v="0"/>
  </r>
  <r>
    <x v="16"/>
    <s v="Curd-Mosaru-lts-kg-1.0300"/>
    <n v="42"/>
    <m/>
    <x v="7"/>
    <m/>
    <n v="0"/>
    <s v="Dairy"/>
    <m/>
    <n v="6"/>
    <m/>
    <m/>
    <m/>
    <x v="0"/>
  </r>
  <r>
    <x v="16"/>
    <s v="Beans-Beans-kg-kg-1.0000"/>
    <n v="43.06"/>
    <m/>
    <x v="7"/>
    <m/>
    <n v="0"/>
    <s v="Vegetable"/>
    <m/>
    <n v="2"/>
    <m/>
    <m/>
    <m/>
    <x v="0"/>
  </r>
  <r>
    <x v="16"/>
    <s v="Green chilly-hasinmenshinkayi-kg-kg-1.0000"/>
    <n v="30"/>
    <m/>
    <x v="7"/>
    <m/>
    <n v="0"/>
    <s v="Vegetable"/>
    <m/>
    <n v="2"/>
    <m/>
    <m/>
    <m/>
    <x v="0"/>
  </r>
  <r>
    <x v="16"/>
    <s v="Ginger-shunti-kg-kg-1.0000"/>
    <n v="40"/>
    <m/>
    <x v="7"/>
    <m/>
    <n v="0"/>
    <s v="Vegetable"/>
    <m/>
    <n v="1"/>
    <m/>
    <m/>
    <m/>
    <x v="0"/>
  </r>
  <r>
    <x v="16"/>
    <s v="Carrot-carrot-kg-kg-1.0000"/>
    <n v="27.97"/>
    <m/>
    <x v="7"/>
    <m/>
    <n v="0"/>
    <s v="Vegetable"/>
    <m/>
    <n v="2"/>
    <m/>
    <m/>
    <m/>
    <x v="0"/>
  </r>
  <r>
    <x v="16"/>
    <s v="Coriander leaves-Kothamiri Soppu-kg-kg-1.0000"/>
    <n v="25"/>
    <m/>
    <x v="7"/>
    <m/>
    <n v="0"/>
    <s v="Vegetable"/>
    <m/>
    <n v="1.65"/>
    <m/>
    <m/>
    <m/>
    <x v="0"/>
  </r>
  <r>
    <x v="16"/>
    <s v="Tomato (Jam)-tomatojam-kg-kg-1.0000"/>
    <n v="14.75"/>
    <m/>
    <x v="7"/>
    <m/>
    <n v="0"/>
    <s v="Vegetable"/>
    <m/>
    <n v="1.8"/>
    <m/>
    <m/>
    <m/>
    <x v="0"/>
  </r>
  <r>
    <x v="16"/>
    <s v="Tomato (Huli)-tomatohuli-kg-kg-1.0000"/>
    <n v="15"/>
    <m/>
    <x v="7"/>
    <m/>
    <n v="0"/>
    <s v="Vegetable"/>
    <m/>
    <n v="1.5"/>
    <m/>
    <m/>
    <m/>
    <x v="0"/>
  </r>
  <r>
    <x v="16"/>
    <s v="Capsicum-Capsicum-kg-kg-1.0000"/>
    <n v="30"/>
    <m/>
    <x v="7"/>
    <m/>
    <n v="0"/>
    <s v="Vegetable"/>
    <m/>
    <n v="2"/>
    <m/>
    <m/>
    <m/>
    <x v="0"/>
  </r>
  <r>
    <x v="16"/>
    <s v="Pudina-Pudina-kg-kg-1.0000"/>
    <n v="125"/>
    <m/>
    <x v="7"/>
    <m/>
    <n v="0"/>
    <s v="Vegetable"/>
    <m/>
    <n v="0.3"/>
    <m/>
    <m/>
    <m/>
    <x v="0"/>
  </r>
  <r>
    <x v="16"/>
    <s v="curry leaves-karbensoppu-kg-kg-1.0000"/>
    <n v="312.14"/>
    <m/>
    <x v="7"/>
    <m/>
    <n v="0"/>
    <s v="Vegetable"/>
    <m/>
    <n v="0.1"/>
    <m/>
    <m/>
    <m/>
    <x v="0"/>
  </r>
  <r>
    <x v="16"/>
    <s v="Apple-SEBU-kg-kg-1.0000"/>
    <n v="120"/>
    <m/>
    <x v="7"/>
    <m/>
    <n v="0"/>
    <s v="Fruits"/>
    <m/>
    <n v="2"/>
    <m/>
    <m/>
    <m/>
    <x v="0"/>
  </r>
  <r>
    <x v="16"/>
    <s v="BUTTERFRUIT-BUTTERFRUIT-kg-kg-1.0000"/>
    <n v="130"/>
    <m/>
    <x v="7"/>
    <m/>
    <n v="0"/>
    <s v="Fruits"/>
    <m/>
    <n v="1"/>
    <m/>
    <m/>
    <m/>
    <x v="0"/>
  </r>
  <r>
    <x v="16"/>
    <s v="Papaya-PRANGIHANNU-kg-kg-1.0000"/>
    <n v="20"/>
    <m/>
    <x v="7"/>
    <m/>
    <n v="0"/>
    <s v="Fruits"/>
    <m/>
    <n v="1.3"/>
    <m/>
    <m/>
    <m/>
    <x v="0"/>
  </r>
  <r>
    <x v="16"/>
    <s v="Watermelon-Watermelon-kg-kg-1.0000"/>
    <n v="20"/>
    <m/>
    <x v="7"/>
    <m/>
    <n v="0"/>
    <s v="Fruits"/>
    <m/>
    <n v="12.75"/>
    <m/>
    <m/>
    <m/>
    <x v="0"/>
  </r>
  <r>
    <x v="16"/>
    <s v="Chickoo-Sapota-kg-kg-1.0000"/>
    <n v="40"/>
    <m/>
    <x v="7"/>
    <m/>
    <n v="0"/>
    <s v="Fruits"/>
    <m/>
    <n v="2"/>
    <m/>
    <m/>
    <m/>
    <x v="0"/>
  </r>
  <r>
    <x v="16"/>
    <s v="POMOGRANATE-THALIMBE-kg-kg-1.0000"/>
    <n v="0"/>
    <m/>
    <x v="7"/>
    <m/>
    <n v="0"/>
    <s v="Fruits"/>
    <m/>
    <n v="1"/>
    <m/>
    <m/>
    <m/>
    <x v="0"/>
  </r>
  <r>
    <x v="16"/>
    <s v="Paneer-Paneer-kg-kg-1.0000"/>
    <n v="175"/>
    <m/>
    <x v="7"/>
    <m/>
    <n v="0"/>
    <s v="Dairy"/>
    <m/>
    <n v="1"/>
    <m/>
    <m/>
    <m/>
    <x v="0"/>
  </r>
  <r>
    <x v="16"/>
    <s v="Mushroom-Mushroom-pkt-pkt-1.0000"/>
    <n v="32"/>
    <m/>
    <x v="7"/>
    <m/>
    <n v="0"/>
    <s v="Vegetable"/>
    <m/>
    <n v="5"/>
    <m/>
    <m/>
    <m/>
    <x v="0"/>
  </r>
  <r>
    <x v="16"/>
    <s v="Cream-Cream-lts-kg-1.0000"/>
    <n v="190"/>
    <m/>
    <x v="7"/>
    <m/>
    <n v="0"/>
    <s v="Dairy"/>
    <m/>
    <n v="1"/>
    <m/>
    <m/>
    <m/>
    <x v="0"/>
  </r>
  <r>
    <x v="16"/>
    <s v="Babycorn-Babycorn-kg-kg-1.0000"/>
    <n v="60"/>
    <m/>
    <x v="7"/>
    <m/>
    <n v="0"/>
    <s v="Vegetable"/>
    <m/>
    <n v="1"/>
    <m/>
    <m/>
    <m/>
    <x v="0"/>
  </r>
  <r>
    <x v="16"/>
    <s v="Muskmelon-THARBUJA-kg-kg-1.0000"/>
    <n v="20"/>
    <m/>
    <x v="7"/>
    <m/>
    <n v="0"/>
    <s v="Fruits"/>
    <m/>
    <n v="5"/>
    <m/>
    <m/>
    <m/>
    <x v="0"/>
  </r>
  <r>
    <x v="17"/>
    <s v="Onion-Erulli-kg-kg-1.0000"/>
    <n v="14"/>
    <n v="3"/>
    <x v="0"/>
    <s v="Murthy"/>
    <n v="42"/>
    <s v="Vegetable"/>
    <m/>
    <m/>
    <m/>
    <m/>
    <m/>
    <x v="0"/>
  </r>
  <r>
    <x v="17"/>
    <s v="Capsicum-Capsicum-kg-kg-1.0000"/>
    <n v="30"/>
    <n v="1.3"/>
    <x v="0"/>
    <s v="Murthy"/>
    <n v="39"/>
    <s v="Vegetable"/>
    <m/>
    <m/>
    <m/>
    <m/>
    <m/>
    <x v="0"/>
  </r>
  <r>
    <x v="17"/>
    <s v="Coriander leaves-Kothamiri Soppu-kg-kg-1.0000"/>
    <n v="25"/>
    <n v="0.3"/>
    <x v="0"/>
    <s v="Murthy"/>
    <n v="7.5"/>
    <s v="Vegetable"/>
    <m/>
    <m/>
    <m/>
    <m/>
    <m/>
    <x v="0"/>
  </r>
  <r>
    <x v="17"/>
    <s v="Green chilly-hasinmenshinkayi-kg-kg-1.0000"/>
    <n v="30"/>
    <n v="0.3"/>
    <x v="0"/>
    <s v="Murthy"/>
    <n v="9"/>
    <s v="Vegetable"/>
    <m/>
    <m/>
    <m/>
    <m/>
    <m/>
    <x v="0"/>
  </r>
  <r>
    <x v="17"/>
    <s v="Charcoal-Charcoal-kg-kg-1.0000"/>
    <n v="26"/>
    <n v="13"/>
    <x v="0"/>
    <s v="Murthy"/>
    <n v="338"/>
    <s v="Heating"/>
    <m/>
    <m/>
    <m/>
    <m/>
    <m/>
    <x v="0"/>
  </r>
  <r>
    <x v="17"/>
    <s v="Oil-Yenne-lts-kg-0.9150"/>
    <n v="82"/>
    <n v="4"/>
    <x v="0"/>
    <s v="Murthy"/>
    <n v="328"/>
    <s v="Oil"/>
    <m/>
    <m/>
    <m/>
    <m/>
    <m/>
    <x v="0"/>
  </r>
  <r>
    <x v="17"/>
    <s v="Lemon-Nimbehannu-count-count-1.0000"/>
    <n v="3"/>
    <n v="5"/>
    <x v="0"/>
    <s v="Murthy"/>
    <n v="15"/>
    <s v="Vegetable"/>
    <m/>
    <m/>
    <m/>
    <m/>
    <m/>
    <x v="0"/>
  </r>
  <r>
    <x v="17"/>
    <s v="Carrot-carrot-kg-kg-1.0000"/>
    <n v="27.97"/>
    <n v="825"/>
    <x v="0"/>
    <s v="Murthy"/>
    <n v="23075.25"/>
    <s v="Vegetable"/>
    <m/>
    <m/>
    <m/>
    <m/>
    <m/>
    <x v="0"/>
  </r>
  <r>
    <x v="17"/>
    <s v="Cauliflower-hookosu-kg-kg-1.0000"/>
    <n v="23.33"/>
    <n v="1.3"/>
    <x v="0"/>
    <s v="Murthy"/>
    <n v="30.328999999999997"/>
    <s v="Vegetable"/>
    <m/>
    <m/>
    <m/>
    <m/>
    <m/>
    <x v="0"/>
  </r>
  <r>
    <x v="17"/>
    <s v="Pudina-Pudina-kg-kg-1.0000"/>
    <n v="125"/>
    <n v="0.12"/>
    <x v="0"/>
    <s v="Murthy"/>
    <n v="15"/>
    <s v="Vegetable"/>
    <m/>
    <m/>
    <m/>
    <m/>
    <m/>
    <x v="0"/>
  </r>
  <r>
    <x v="17"/>
    <s v="Potato-Aloogedde-kg-kg-1.0000"/>
    <n v="20"/>
    <n v="1"/>
    <x v="0"/>
    <s v="Murthy"/>
    <n v="20"/>
    <s v="Vegetable"/>
    <m/>
    <m/>
    <m/>
    <m/>
    <m/>
    <x v="0"/>
  </r>
  <r>
    <x v="17"/>
    <s v="Cabbage-geddekosu-kg-kg-1.0000"/>
    <n v="3"/>
    <n v="1.2"/>
    <x v="0"/>
    <s v="Murthy"/>
    <n v="3.5999999999999996"/>
    <s v="Vegetable"/>
    <m/>
    <m/>
    <m/>
    <m/>
    <m/>
    <x v="0"/>
  </r>
  <r>
    <x v="17"/>
    <s v="Hakka Noodles-Hakka Noodles-pkt-kg-0.4000"/>
    <n v="40"/>
    <n v="1"/>
    <x v="0"/>
    <s v="Murthy"/>
    <n v="40"/>
    <s v="Dry Grocery"/>
    <m/>
    <m/>
    <m/>
    <m/>
    <m/>
    <x v="0"/>
  </r>
  <r>
    <x v="17"/>
    <s v="Beans-Beans-kg-kg-1.0000"/>
    <n v="43.06"/>
    <n v="0.4"/>
    <x v="0"/>
    <s v="Murthy"/>
    <n v="17.224"/>
    <s v="Vegetable"/>
    <m/>
    <m/>
    <m/>
    <m/>
    <m/>
    <x v="0"/>
  </r>
  <r>
    <x v="17"/>
    <s v="Maida-Maida-kg-kg-1.0000"/>
    <n v="29.51"/>
    <n v="2"/>
    <x v="0"/>
    <s v="Murthy"/>
    <n v="59.02"/>
    <s v="Dry Grocery"/>
    <m/>
    <m/>
    <m/>
    <m/>
    <m/>
    <x v="0"/>
  </r>
  <r>
    <x v="17"/>
    <s v="Bullet Rice-Bullet Rice-kg-kg-1.0000"/>
    <n v="64"/>
    <n v="1.5"/>
    <x v="0"/>
    <s v="Murthy"/>
    <n v="96"/>
    <s v="Dry Grocery"/>
    <m/>
    <m/>
    <m/>
    <m/>
    <m/>
    <x v="0"/>
  </r>
  <r>
    <x v="17"/>
    <s v="Roti Wheat-Roti atta-kg-kg-1.0000"/>
    <n v="27"/>
    <n v="3.5"/>
    <x v="0"/>
    <s v="Murthy"/>
    <n v="94.5"/>
    <s v="Dry Grocery"/>
    <m/>
    <m/>
    <m/>
    <m/>
    <m/>
    <x v="0"/>
  </r>
  <r>
    <x v="17"/>
    <s v="Maida-Maida-kg-kg-1.0000"/>
    <n v="29.51"/>
    <n v="0.46"/>
    <x v="0"/>
    <s v="Murthy"/>
    <n v="13.574600000000002"/>
    <s v="Dry Grocery"/>
    <m/>
    <m/>
    <m/>
    <m/>
    <m/>
    <x v="0"/>
  </r>
  <r>
    <x v="17"/>
    <s v="Red bush-Red bush-tin-tin-1.0000"/>
    <n v="48"/>
    <n v="1"/>
    <x v="0"/>
    <s v="Murthy"/>
    <n v="48"/>
    <s v="Food Color"/>
    <m/>
    <m/>
    <m/>
    <m/>
    <m/>
    <x v="0"/>
  </r>
  <r>
    <x v="17"/>
    <s v="Butter-Butter-kg-kg-1.0000"/>
    <n v="140"/>
    <n v="0.75"/>
    <x v="0"/>
    <s v="Murthy"/>
    <n v="105"/>
    <s v="Dairy"/>
    <m/>
    <m/>
    <m/>
    <m/>
    <m/>
    <x v="0"/>
  </r>
  <r>
    <x v="17"/>
    <s v="Babycorn-Babycorn-kg-kg-1.0000"/>
    <n v="60"/>
    <n v="0.16500000000000001"/>
    <x v="0"/>
    <s v="Murthy"/>
    <n v="9.9"/>
    <s v="Vegetable"/>
    <m/>
    <m/>
    <m/>
    <m/>
    <m/>
    <x v="0"/>
  </r>
  <r>
    <x v="17"/>
    <s v="Green peas-green peas-kg-kg-1.0000"/>
    <n v="100"/>
    <n v="0.57499999999999996"/>
    <x v="0"/>
    <s v="Murthy"/>
    <n v="57.499999999999993"/>
    <s v="Processed Food"/>
    <m/>
    <m/>
    <m/>
    <m/>
    <m/>
    <x v="0"/>
  </r>
  <r>
    <x v="17"/>
    <s v="Sweetcorn-Sweetcorn-tin-kg-0.4000"/>
    <n v="33"/>
    <n v="0.3"/>
    <x v="0"/>
    <s v="Murthy"/>
    <n v="9.9"/>
    <s v="Canned Food"/>
    <m/>
    <m/>
    <m/>
    <m/>
    <m/>
    <x v="0"/>
  </r>
  <r>
    <x v="17"/>
    <s v="Paneer-Paneer-kg-kg-1.0000"/>
    <n v="175"/>
    <n v="0"/>
    <x v="0"/>
    <s v="Murthy"/>
    <n v="0"/>
    <s v="Dairy"/>
    <m/>
    <m/>
    <m/>
    <m/>
    <m/>
    <x v="0"/>
  </r>
  <r>
    <x v="17"/>
    <s v="Chilly Powder-Chilly Powder-kg-kg-1.0000"/>
    <n v="280"/>
    <n v="0.1"/>
    <x v="0"/>
    <s v="Murthy"/>
    <n v="28"/>
    <s v="Dry Grocery"/>
    <m/>
    <m/>
    <m/>
    <m/>
    <m/>
    <x v="0"/>
  </r>
  <r>
    <x v="17"/>
    <s v="Garam Masala (100 gram)-garam masala-pkt-kg-0.1000"/>
    <n v="57.5"/>
    <n v="0.03"/>
    <x v="0"/>
    <s v="Murthy"/>
    <n v="1.7249999999999999"/>
    <s v="Dry Grocery"/>
    <m/>
    <m/>
    <m/>
    <m/>
    <m/>
    <x v="0"/>
  </r>
  <r>
    <x v="17"/>
    <s v="Turmeric Powder-Arishina pudi-kg-kg-1.0000"/>
    <n v="187.41"/>
    <n v="0.03"/>
    <x v="0"/>
    <s v="Murthy"/>
    <n v="5.6223000000000001"/>
    <s v="Dry Grocery"/>
    <m/>
    <m/>
    <m/>
    <m/>
    <m/>
    <x v="0"/>
  </r>
  <r>
    <x v="17"/>
    <s v="Chat Masala (100 gram)-chat masala-pkt-kg-0.1000"/>
    <n v="48"/>
    <n v="2.5000000000000001E-2"/>
    <x v="0"/>
    <s v="Murthy"/>
    <n v="1.2000000000000002"/>
    <s v="Dry Grocery"/>
    <m/>
    <m/>
    <m/>
    <m/>
    <m/>
    <x v="0"/>
  </r>
  <r>
    <x v="17"/>
    <s v="Salt Powder-Uppu-kg-kg-1.0000"/>
    <n v="17"/>
    <n v="0.54500000000000004"/>
    <x v="0"/>
    <s v="Murthy"/>
    <n v="9.2650000000000006"/>
    <s v="Dry Grocery"/>
    <m/>
    <m/>
    <m/>
    <m/>
    <m/>
    <x v="0"/>
  </r>
  <r>
    <x v="17"/>
    <s v="Black Pepper Powder-Kaal menasu-kg-kg-1.0000"/>
    <n v="380"/>
    <n v="0.03"/>
    <x v="0"/>
    <s v="Murthy"/>
    <n v="11.4"/>
    <s v="Dry Grocery"/>
    <m/>
    <m/>
    <m/>
    <m/>
    <m/>
    <x v="0"/>
  </r>
  <r>
    <x v="17"/>
    <s v="Tasting Powder (500 kg)-tasting powder-kg-kg-1.0000"/>
    <n v="148"/>
    <n v="0.877"/>
    <x v="0"/>
    <s v="Murthy"/>
    <n v="129.79599999999999"/>
    <s v="Dry Grocery"/>
    <m/>
    <m/>
    <m/>
    <m/>
    <m/>
    <x v="0"/>
  </r>
  <r>
    <x v="17"/>
    <s v="Vinegar-Vinegar-bottle-kg-0.8600"/>
    <n v="24"/>
    <n v="0.01"/>
    <x v="0"/>
    <s v="Murthy"/>
    <n v="0.24"/>
    <s v="Dry Grocery"/>
    <m/>
    <m/>
    <m/>
    <m/>
    <m/>
    <x v="0"/>
  </r>
  <r>
    <x v="17"/>
    <s v="Ketchup(1.2 kg)-ketchup-bottle-kg-1.2000"/>
    <n v="75"/>
    <n v="0.37"/>
    <x v="0"/>
    <s v="Murthy"/>
    <n v="27.75"/>
    <s v="Sauce"/>
    <m/>
    <m/>
    <m/>
    <m/>
    <m/>
    <x v="0"/>
  </r>
  <r>
    <x v="17"/>
    <s v="Milk-Haalu-lts-kg-1.0300"/>
    <n v="36"/>
    <n v="0.5"/>
    <x v="0"/>
    <s v="Murthy"/>
    <n v="18"/>
    <s v="Dairy"/>
    <m/>
    <m/>
    <m/>
    <m/>
    <m/>
    <x v="0"/>
  </r>
  <r>
    <x v="17"/>
    <s v="Coriander Powder (500 gram)-Dhanya Powder (500 gram)-kg-kg-1.0000"/>
    <n v="120"/>
    <n v="0.05"/>
    <x v="0"/>
    <s v="Murthy"/>
    <n v="6"/>
    <s v="Dry Grocery"/>
    <m/>
    <m/>
    <m/>
    <m/>
    <m/>
    <x v="0"/>
  </r>
  <r>
    <x v="17"/>
    <s v="Ginger Powder-shunti pudi-pkt-kg-0.1000"/>
    <n v="0"/>
    <n v="0.1"/>
    <x v="0"/>
    <s v="Murthy"/>
    <n v="0"/>
    <s v="Dry Grocery"/>
    <m/>
    <m/>
    <m/>
    <m/>
    <m/>
    <x v="0"/>
  </r>
  <r>
    <x v="17"/>
    <s v="Yellow Gravy"/>
    <n v="0"/>
    <n v="0.77500000000000002"/>
    <x v="0"/>
    <s v="Murthy"/>
    <n v="0"/>
    <s v="SemiFinished_Prod"/>
    <m/>
    <m/>
    <m/>
    <m/>
    <m/>
    <x v="0"/>
  </r>
  <r>
    <x v="17"/>
    <s v="Burjji Masala"/>
    <n v="0"/>
    <n v="1.6"/>
    <x v="0"/>
    <s v="Murthy"/>
    <n v="0"/>
    <s v="SemiFinished_Prod"/>
    <m/>
    <m/>
    <m/>
    <m/>
    <m/>
    <x v="0"/>
  </r>
  <r>
    <x v="17"/>
    <s v="Kitchen king (100 gram)-Kitchen king (100 gram)-pkt-kg-0.1000"/>
    <n v="51"/>
    <n v="7.4999999999999997E-2"/>
    <x v="0"/>
    <s v="Murthy"/>
    <n v="3.8249999999999997"/>
    <s v="Dry Grocery"/>
    <m/>
    <m/>
    <m/>
    <m/>
    <m/>
    <x v="0"/>
  </r>
  <r>
    <x v="17"/>
    <s v="Dalda-dalda-lts-kg-0.9050"/>
    <n v="96"/>
    <n v="0.11600000000000001"/>
    <x v="0"/>
    <s v="Murthy"/>
    <n v="11.136000000000001"/>
    <s v="Oil"/>
    <m/>
    <m/>
    <m/>
    <m/>
    <m/>
    <x v="0"/>
  </r>
  <r>
    <x v="17"/>
    <s v="Capcicum Sauce (60 gram)-Capcicum Sauce (60 gram)-kg-kg-1.0000"/>
    <n v="55"/>
    <n v="1.4999999999999999E-2"/>
    <x v="0"/>
    <s v="Murthy"/>
    <n v="0.82499999999999996"/>
    <s v="Sauce"/>
    <m/>
    <m/>
    <m/>
    <m/>
    <m/>
    <x v="0"/>
  </r>
  <r>
    <x v="17"/>
    <s v="Guntur -guntur-kg-kg-1.0000"/>
    <n v="138"/>
    <n v="0.04"/>
    <x v="0"/>
    <s v="Murthy"/>
    <n v="5.5200000000000005"/>
    <s v="Dry Grocery"/>
    <m/>
    <m/>
    <m/>
    <m/>
    <m/>
    <x v="0"/>
  </r>
  <r>
    <x v="17"/>
    <s v="Cashew-Godambi-kg-kg-1.0000"/>
    <n v="840"/>
    <n v="0.06"/>
    <x v="0"/>
    <s v="Murthy"/>
    <n v="50.4"/>
    <s v="Dry Grocery"/>
    <m/>
    <m/>
    <m/>
    <m/>
    <m/>
    <x v="0"/>
  </r>
  <r>
    <x v="17"/>
    <s v="Mushroom-Mushroom-pkt-pkt-1.0000"/>
    <n v="32"/>
    <n v="5"/>
    <x v="0"/>
    <s v="Murthy"/>
    <n v="160"/>
    <s v="Vegetable"/>
    <m/>
    <m/>
    <m/>
    <m/>
    <m/>
    <x v="0"/>
  </r>
  <r>
    <x v="17"/>
    <s v="Pudina-Pudina-kg-kg-1.0000"/>
    <n v="125"/>
    <n v="0.15"/>
    <x v="0"/>
    <s v="Murthy"/>
    <n v="18.75"/>
    <s v="Vegetable"/>
    <m/>
    <m/>
    <m/>
    <m/>
    <m/>
    <x v="0"/>
  </r>
  <r>
    <x v="17"/>
    <s v="French fries-french fries-kg-kg-1.0000"/>
    <n v="280"/>
    <n v="0.375"/>
    <x v="0"/>
    <s v="Murthy"/>
    <n v="105"/>
    <s v="Processed Food"/>
    <m/>
    <m/>
    <m/>
    <m/>
    <m/>
    <x v="0"/>
  </r>
  <r>
    <x v="17"/>
    <s v="Black pepper-kal menasu-kg-kg-1.0000"/>
    <n v="580"/>
    <n v="0.02"/>
    <x v="0"/>
    <s v="Murthy"/>
    <n v="11.6"/>
    <s v="Dry Grocery"/>
    <m/>
    <m/>
    <m/>
    <m/>
    <m/>
    <x v="0"/>
  </r>
  <r>
    <x v="17"/>
    <s v="Pickle-Uppinkayi-kg-kg-1.0000"/>
    <n v="40"/>
    <n v="0.2"/>
    <x v="1"/>
    <s v="Ravi"/>
    <n v="8"/>
    <s v="Processed Food"/>
    <m/>
    <m/>
    <m/>
    <m/>
    <m/>
    <x v="0"/>
  </r>
  <r>
    <x v="17"/>
    <s v="Milk-Haalu-lts-kg-1.0300"/>
    <n v="36"/>
    <n v="3"/>
    <x v="1"/>
    <s v="Ravi"/>
    <n v="108"/>
    <s v="Dairy"/>
    <m/>
    <m/>
    <m/>
    <m/>
    <m/>
    <x v="0"/>
  </r>
  <r>
    <x v="17"/>
    <s v="Curd-Mosaru-lts-kg-1.0300"/>
    <n v="42"/>
    <n v="1.5"/>
    <x v="1"/>
    <s v="Ravi"/>
    <n v="63"/>
    <s v="Dairy"/>
    <m/>
    <m/>
    <m/>
    <m/>
    <m/>
    <x v="0"/>
  </r>
  <r>
    <x v="17"/>
    <s v="Coconut-Theginkai-count-count-1.0000"/>
    <n v="28"/>
    <n v="4"/>
    <x v="1"/>
    <s v="Ravi"/>
    <n v="112"/>
    <s v="Vegetable"/>
    <m/>
    <m/>
    <m/>
    <m/>
    <m/>
    <x v="0"/>
  </r>
  <r>
    <x v="17"/>
    <s v="South Rice-South Hakki-kg-kg-1.0000"/>
    <n v="52"/>
    <n v="4.4000000000000004"/>
    <x v="1"/>
    <s v="Ravi"/>
    <n v="228.8"/>
    <s v="Dry Grocery"/>
    <m/>
    <m/>
    <m/>
    <m/>
    <m/>
    <x v="0"/>
  </r>
  <r>
    <x v="17"/>
    <s v="Sugar-Sakkre-kg-kg-1.0000"/>
    <n v="37"/>
    <n v="0.45"/>
    <x v="1"/>
    <s v="Ravi"/>
    <n v="16.650000000000002"/>
    <s v="Dry Grocery"/>
    <m/>
    <m/>
    <m/>
    <m/>
    <m/>
    <x v="0"/>
  </r>
  <r>
    <x v="17"/>
    <s v="Chilly Powder-Chilly Powder-kg-kg-1.0000"/>
    <n v="280"/>
    <n v="0.12"/>
    <x v="1"/>
    <s v="Ravi"/>
    <n v="33.6"/>
    <s v="Dry Grocery"/>
    <m/>
    <m/>
    <m/>
    <m/>
    <m/>
    <x v="0"/>
  </r>
  <r>
    <x v="17"/>
    <s v="Coriander Powder (500 gram)-Dhanya Powder (500 gram)-kg-kg-1.0000"/>
    <n v="120"/>
    <n v="3.5000000000000003E-2"/>
    <x v="1"/>
    <s v="Ravi"/>
    <n v="4.2"/>
    <s v="Dry Grocery"/>
    <m/>
    <m/>
    <m/>
    <m/>
    <m/>
    <x v="0"/>
  </r>
  <r>
    <x v="17"/>
    <s v="Rasam powder-Rasam powder-kg-kg-1.0000"/>
    <n v="340"/>
    <n v="0"/>
    <x v="1"/>
    <s v="Ravi"/>
    <n v="0"/>
    <s v="Dry Grocery"/>
    <m/>
    <m/>
    <m/>
    <m/>
    <m/>
    <x v="0"/>
  </r>
  <r>
    <x v="17"/>
    <s v="Sambar powder-Sambar powder-kg-kg-1.0000"/>
    <n v="500"/>
    <n v="0.11"/>
    <x v="1"/>
    <s v="Ravi"/>
    <n v="55"/>
    <s v="Dry Grocery"/>
    <m/>
    <m/>
    <m/>
    <m/>
    <m/>
    <x v="0"/>
  </r>
  <r>
    <x v="17"/>
    <s v="Crystal Salt-Kalluppu-kg-kg-1.0000"/>
    <n v="7"/>
    <n v="0.6"/>
    <x v="1"/>
    <s v="Ravi"/>
    <n v="4.2"/>
    <s v="Dry Grocery"/>
    <m/>
    <m/>
    <m/>
    <m/>
    <m/>
    <x v="0"/>
  </r>
  <r>
    <x v="17"/>
    <s v="Turmeric Powder-Arishina pudi-kg-kg-1.0000"/>
    <n v="187.41"/>
    <n v="0.08"/>
    <x v="1"/>
    <s v="Ravi"/>
    <n v="14.992800000000001"/>
    <s v="Dry Grocery"/>
    <m/>
    <m/>
    <m/>
    <m/>
    <m/>
    <x v="0"/>
  </r>
  <r>
    <x v="17"/>
    <s v="Dalda-dalda-lts-kg-0.9050"/>
    <n v="96"/>
    <n v="0.44"/>
    <x v="1"/>
    <s v="Ravi"/>
    <n v="42.24"/>
    <s v="Oil"/>
    <m/>
    <m/>
    <m/>
    <m/>
    <m/>
    <x v="0"/>
  </r>
  <r>
    <x v="17"/>
    <s v="Oil-Yenne-lts-kg-0.9150"/>
    <n v="82"/>
    <n v="1"/>
    <x v="1"/>
    <s v="Ravi"/>
    <n v="82"/>
    <s v="Oil"/>
    <m/>
    <m/>
    <m/>
    <m/>
    <m/>
    <x v="0"/>
  </r>
  <r>
    <x v="17"/>
    <s v="Jeera Seeds-Jeerge-kg-kg-1.0000"/>
    <n v="230"/>
    <n v="7.0000000000000007E-2"/>
    <x v="1"/>
    <s v="Ravi"/>
    <n v="16.100000000000001"/>
    <s v="Dry Grocery"/>
    <m/>
    <m/>
    <m/>
    <m/>
    <m/>
    <x v="0"/>
  </r>
  <r>
    <x v="17"/>
    <s v="Mustard-Sasive-kg-kg-1.0000"/>
    <n v="70"/>
    <n v="0.03"/>
    <x v="1"/>
    <s v="Ravi"/>
    <n v="2.1"/>
    <s v="Dry Grocery"/>
    <m/>
    <m/>
    <m/>
    <m/>
    <m/>
    <x v="0"/>
  </r>
  <r>
    <x v="17"/>
    <s v="channadal(split)-Kadlebele-kg-kg-1.0000"/>
    <n v="55"/>
    <n v="0.1"/>
    <x v="1"/>
    <s v="Ravi"/>
    <n v="5.5"/>
    <s v="Dry Grocery"/>
    <m/>
    <m/>
    <m/>
    <m/>
    <m/>
    <x v="0"/>
  </r>
  <r>
    <x v="17"/>
    <s v="Onion-Erulli-kg-kg-1.0000"/>
    <n v="14"/>
    <n v="3"/>
    <x v="1"/>
    <s v="Ravi"/>
    <n v="42"/>
    <s v="Vegetable"/>
    <m/>
    <m/>
    <m/>
    <m/>
    <m/>
    <x v="0"/>
  </r>
  <r>
    <x v="17"/>
    <s v="Garlic-Belulli-kg-kg-1.0000"/>
    <n v="28"/>
    <n v="0.3"/>
    <x v="1"/>
    <s v="Ravi"/>
    <n v="8.4"/>
    <s v="Vegetable"/>
    <m/>
    <m/>
    <m/>
    <m/>
    <m/>
    <x v="0"/>
  </r>
  <r>
    <x v="17"/>
    <s v="Wheat-Godhi-kg-kg-1.0000"/>
    <n v="34"/>
    <n v="0.75"/>
    <x v="1"/>
    <s v="Ravi"/>
    <n v="25.5"/>
    <s v="Dry Grocery"/>
    <m/>
    <m/>
    <m/>
    <m/>
    <m/>
    <x v="0"/>
  </r>
  <r>
    <x v="17"/>
    <s v="Toordal-Thogaribele-kg-kg-1.0000"/>
    <n v="64.069999999999993"/>
    <n v="0.6"/>
    <x v="1"/>
    <s v="Ravi"/>
    <n v="38.441999999999993"/>
    <s v="Dry Grocery"/>
    <m/>
    <m/>
    <m/>
    <m/>
    <m/>
    <x v="0"/>
  </r>
  <r>
    <x v="17"/>
    <s v="Tamarind-hunsehannu-kg-kg-1.0000"/>
    <n v="170"/>
    <n v="0.16"/>
    <x v="1"/>
    <s v="Ravi"/>
    <n v="27.2"/>
    <s v="Dry Grocery"/>
    <m/>
    <m/>
    <m/>
    <m/>
    <m/>
    <x v="0"/>
  </r>
  <r>
    <x v="17"/>
    <s v="Fried Gram-Hurgadle-kg-kg-1.0000"/>
    <n v="60"/>
    <n v="0.15"/>
    <x v="1"/>
    <s v="Ravi"/>
    <n v="9"/>
    <s v="Dry Grocery"/>
    <m/>
    <m/>
    <m/>
    <m/>
    <m/>
    <x v="0"/>
  </r>
  <r>
    <x v="17"/>
    <s v="vermicelli-Shavige-kg-kg-1.0000"/>
    <n v="61.08"/>
    <n v="0.4"/>
    <x v="1"/>
    <s v="Ravi"/>
    <n v="24.432000000000002"/>
    <s v="Dry Grocery"/>
    <m/>
    <m/>
    <m/>
    <m/>
    <m/>
    <x v="0"/>
  </r>
  <r>
    <x v="17"/>
    <s v="Guntur -guntur-kg-kg-1.0000"/>
    <n v="138"/>
    <n v="0.03"/>
    <x v="1"/>
    <s v="Ravi"/>
    <n v="4.1399999999999997"/>
    <s v="Dry Grocery"/>
    <m/>
    <m/>
    <m/>
    <m/>
    <m/>
    <x v="0"/>
  </r>
  <r>
    <x v="17"/>
    <s v="Green chilly-hasinmenshinkayi-kg-kg-1.0000"/>
    <n v="30"/>
    <n v="0.2"/>
    <x v="1"/>
    <s v="Ravi"/>
    <n v="6"/>
    <s v="Vegetable"/>
    <m/>
    <m/>
    <m/>
    <m/>
    <m/>
    <x v="0"/>
  </r>
  <r>
    <x v="17"/>
    <s v="Fenugreek Seeds-menthya beeja-kg-kg-1.0000"/>
    <n v="125"/>
    <n v="0.01"/>
    <x v="1"/>
    <s v="Ravi"/>
    <n v="1.25"/>
    <s v="Dry Grocery"/>
    <m/>
    <m/>
    <m/>
    <m/>
    <m/>
    <x v="0"/>
  </r>
  <r>
    <x v="17"/>
    <s v="Urad Dal-Uddina bele-kg-kg-1.0000"/>
    <n v="76"/>
    <n v="0.115"/>
    <x v="1"/>
    <s v="Ravi"/>
    <n v="8.74"/>
    <s v="Dry Grocery"/>
    <m/>
    <m/>
    <m/>
    <m/>
    <m/>
    <x v="0"/>
  </r>
  <r>
    <x v="17"/>
    <s v="Beans-Beans-kg-kg-1.0000"/>
    <n v="43.06"/>
    <n v="1.25"/>
    <x v="1"/>
    <s v="Ravi"/>
    <n v="53.825000000000003"/>
    <s v="Vegetable"/>
    <m/>
    <m/>
    <m/>
    <m/>
    <m/>
    <x v="0"/>
  </r>
  <r>
    <x v="17"/>
    <s v="Carrot-carrot-kg-kg-1.0000"/>
    <n v="27.97"/>
    <n v="0.25"/>
    <x v="1"/>
    <s v="Ravi"/>
    <n v="6.9924999999999997"/>
    <s v="Vegetable"/>
    <m/>
    <m/>
    <m/>
    <m/>
    <m/>
    <x v="0"/>
  </r>
  <r>
    <x v="17"/>
    <s v="Pudina-Pudina-kg-kg-1.0000"/>
    <n v="125"/>
    <n v="0.2"/>
    <x v="1"/>
    <s v="Ravi"/>
    <n v="25"/>
    <s v="Vegetable"/>
    <m/>
    <m/>
    <m/>
    <m/>
    <m/>
    <x v="0"/>
  </r>
  <r>
    <x v="17"/>
    <s v="Coriander leaves-Kothamiri Soppu-kg-kg-1.0000"/>
    <n v="25"/>
    <n v="0.3"/>
    <x v="1"/>
    <s v="Ravi"/>
    <n v="7.5"/>
    <s v="Vegetable"/>
    <m/>
    <m/>
    <m/>
    <m/>
    <m/>
    <x v="0"/>
  </r>
  <r>
    <x v="17"/>
    <s v="curry leaves-karbensoppu-kg-kg-1.0000"/>
    <n v="312.14"/>
    <n v="0.06"/>
    <x v="1"/>
    <s v="Ravi"/>
    <n v="18.728399999999997"/>
    <s v="Vegetable"/>
    <m/>
    <m/>
    <m/>
    <m/>
    <m/>
    <x v="0"/>
  </r>
  <r>
    <x v="17"/>
    <s v="Tomato (Jam)-tomatojam-kg-kg-1.0000"/>
    <n v="14.75"/>
    <n v="1.5"/>
    <x v="1"/>
    <s v="Ravi"/>
    <n v="22.125"/>
    <s v="Vegetable"/>
    <m/>
    <m/>
    <m/>
    <m/>
    <m/>
    <x v="0"/>
  </r>
  <r>
    <x v="17"/>
    <s v="South Papad (500 gram)-South Papad (500 gram)-pkt-kg-0.5000"/>
    <n v="62.03"/>
    <n v="0.08"/>
    <x v="1"/>
    <s v="Ravi"/>
    <n v="4.9624000000000006"/>
    <s v="Dry Grocery"/>
    <m/>
    <m/>
    <m/>
    <m/>
    <m/>
    <x v="0"/>
  </r>
  <r>
    <x v="17"/>
    <s v="North Papad (1 kg)-North Papad (1 kg)-kg-kg-1.0000"/>
    <n v="160"/>
    <n v="0.05"/>
    <x v="1"/>
    <s v="Ravi"/>
    <n v="8"/>
    <s v="Dry Grocery"/>
    <m/>
    <m/>
    <m/>
    <m/>
    <m/>
    <x v="0"/>
  </r>
  <r>
    <x v="17"/>
    <s v="Ginger-shunti-kg-kg-1.0000"/>
    <n v="40"/>
    <n v="0.15"/>
    <x v="1"/>
    <s v="Ravi"/>
    <n v="6"/>
    <s v="Vegetable"/>
    <m/>
    <m/>
    <m/>
    <m/>
    <m/>
    <x v="0"/>
  </r>
  <r>
    <x v="17"/>
    <s v="Elaichi-yelakki-kg-kg-1.0000"/>
    <n v="1450"/>
    <n v="2.5000000000000001E-2"/>
    <x v="1"/>
    <s v="Ravi"/>
    <n v="36.25"/>
    <s v="Spice"/>
    <m/>
    <m/>
    <m/>
    <m/>
    <m/>
    <x v="0"/>
  </r>
  <r>
    <x v="17"/>
    <s v="Cashew-Godambi-kg-kg-1.0000"/>
    <n v="840"/>
    <n v="2.5000000000000001E-2"/>
    <x v="1"/>
    <s v="Ravi"/>
    <n v="21"/>
    <s v="Dry Grocery"/>
    <m/>
    <m/>
    <m/>
    <m/>
    <m/>
    <x v="0"/>
  </r>
  <r>
    <x v="17"/>
    <s v="Raisin-drakshi-kg-kg-1.0000"/>
    <n v="240"/>
    <n v="2.5000000000000001E-2"/>
    <x v="1"/>
    <s v="Ravi"/>
    <n v="6"/>
    <s v="Dry Grocery"/>
    <m/>
    <m/>
    <m/>
    <m/>
    <m/>
    <x v="0"/>
  </r>
  <r>
    <x v="17"/>
    <s v="mixed vegetables-mixed tharkari-kg-kg-1.0000"/>
    <n v="35"/>
    <n v="2"/>
    <x v="1"/>
    <s v="Ravi"/>
    <n v="70"/>
    <s v="Vegetable"/>
    <m/>
    <m/>
    <m/>
    <m/>
    <m/>
    <x v="0"/>
  </r>
  <r>
    <x v="17"/>
    <s v="Cauliflower-hookosu-kg-kg-1.0000"/>
    <n v="23.33"/>
    <n v="0.09"/>
    <x v="1"/>
    <s v="Ravi"/>
    <n v="2.0996999999999999"/>
    <s v="Vegetable"/>
    <m/>
    <m/>
    <m/>
    <m/>
    <m/>
    <x v="0"/>
  </r>
  <r>
    <x v="17"/>
    <s v="Coriander seeds-Dhanya Beeja-kg-kg-1.0000"/>
    <n v="90"/>
    <n v="0.09"/>
    <x v="1"/>
    <s v="Ravi"/>
    <n v="8.1"/>
    <m/>
    <m/>
    <m/>
    <m/>
    <m/>
    <m/>
    <x v="0"/>
  </r>
  <r>
    <x v="17"/>
    <s v="Watermelon-Watermelon-kg-kg-1.0000"/>
    <n v="20"/>
    <n v="1"/>
    <x v="5"/>
    <s v="Ravi"/>
    <n v="20"/>
    <m/>
    <m/>
    <m/>
    <m/>
    <m/>
    <m/>
    <x v="0"/>
  </r>
  <r>
    <x v="17"/>
    <s v="Muskmelon-THARBUJA-kg-kg-1.0000"/>
    <n v="20"/>
    <n v="1.25"/>
    <x v="5"/>
    <s v="Ravi"/>
    <n v="25"/>
    <m/>
    <m/>
    <m/>
    <m/>
    <m/>
    <m/>
    <x v="0"/>
  </r>
  <r>
    <x v="17"/>
    <s v="Milk-Haalu-lts-kg-1.0300"/>
    <n v="36"/>
    <n v="2.5"/>
    <x v="5"/>
    <s v="Ravi"/>
    <n v="90"/>
    <m/>
    <m/>
    <m/>
    <m/>
    <m/>
    <m/>
    <x v="0"/>
  </r>
  <r>
    <x v="17"/>
    <s v="Curd-Mosaru-lts-kg-1.0300"/>
    <n v="42"/>
    <n v="1"/>
    <x v="5"/>
    <s v="Ravi"/>
    <n v="42"/>
    <m/>
    <m/>
    <m/>
    <m/>
    <m/>
    <m/>
    <x v="0"/>
  </r>
  <r>
    <x v="17"/>
    <s v="Watermelon-Watermelon-kg-kg-1.0000"/>
    <n v="20"/>
    <n v="1.3"/>
    <x v="5"/>
    <s v="Ravi"/>
    <n v="26"/>
    <m/>
    <m/>
    <m/>
    <m/>
    <m/>
    <m/>
    <x v="0"/>
  </r>
  <r>
    <x v="17"/>
    <s v="Moosambi-MOOSAMBI-kg-kg-1.0000"/>
    <n v="50"/>
    <n v="1.1000000000000001"/>
    <x v="5"/>
    <s v="Ravi"/>
    <n v="55.000000000000007"/>
    <m/>
    <m/>
    <m/>
    <m/>
    <m/>
    <m/>
    <x v="0"/>
  </r>
  <r>
    <x v="17"/>
    <s v="FILTER COFFEE POWDER-FILTER COFFEE POWDER-kg-kg-1.0000"/>
    <n v="220"/>
    <n v="0.5"/>
    <x v="5"/>
    <s v="Ravi"/>
    <n v="110"/>
    <m/>
    <m/>
    <m/>
    <m/>
    <m/>
    <m/>
    <x v="0"/>
  </r>
  <r>
    <x v="17"/>
    <s v="Pineapple-ANNANAS-kg-kg-1.0000"/>
    <n v="30"/>
    <n v="0.8"/>
    <x v="5"/>
    <s v="Ravi"/>
    <n v="24"/>
    <m/>
    <m/>
    <m/>
    <m/>
    <m/>
    <m/>
    <x v="0"/>
  </r>
  <r>
    <x v="17"/>
    <s v="Milk-Haalu-lts-kg-1.0300"/>
    <n v="36"/>
    <n v="1"/>
    <x v="5"/>
    <s v="Ravi"/>
    <n v="36"/>
    <m/>
    <m/>
    <m/>
    <m/>
    <m/>
    <m/>
    <x v="0"/>
  </r>
  <r>
    <x v="17"/>
    <s v="Garlic-Belulli-kg-kg-1.0000"/>
    <n v="28"/>
    <n v="0.185"/>
    <x v="2"/>
    <s v="Ravi"/>
    <n v="5.18"/>
    <m/>
    <m/>
    <m/>
    <m/>
    <m/>
    <m/>
    <x v="0"/>
  </r>
  <r>
    <x v="17"/>
    <s v="Ginger-shunti-kg-kg-1.0000"/>
    <n v="40"/>
    <n v="7.4999999999999997E-2"/>
    <x v="2"/>
    <s v="Ravi"/>
    <n v="3"/>
    <m/>
    <m/>
    <m/>
    <m/>
    <m/>
    <m/>
    <x v="0"/>
  </r>
  <r>
    <x v="17"/>
    <s v="Coriander leaves-Kothamiri Soppu-kg-kg-1.0000"/>
    <n v="25"/>
    <n v="0.09"/>
    <x v="2"/>
    <s v="Ravi"/>
    <n v="2.25"/>
    <m/>
    <m/>
    <m/>
    <m/>
    <m/>
    <m/>
    <x v="0"/>
  </r>
  <r>
    <x v="17"/>
    <s v="Coconut-Theginkai-count-count-1.0000"/>
    <n v="28"/>
    <n v="1"/>
    <x v="2"/>
    <s v="Ravi"/>
    <n v="28"/>
    <m/>
    <m/>
    <m/>
    <m/>
    <m/>
    <m/>
    <x v="0"/>
  </r>
  <r>
    <x v="17"/>
    <s v="Onion-Erulli-kg-kg-1.0000"/>
    <n v="14"/>
    <n v="0.71"/>
    <x v="2"/>
    <s v="Ravi"/>
    <n v="9.94"/>
    <m/>
    <m/>
    <m/>
    <m/>
    <m/>
    <m/>
    <x v="0"/>
  </r>
  <r>
    <x v="17"/>
    <s v="Carrot-carrot-kg-kg-1.0000"/>
    <n v="27.97"/>
    <n v="0.255"/>
    <x v="2"/>
    <s v="Ravi"/>
    <n v="7.1323499999999997"/>
    <m/>
    <m/>
    <m/>
    <m/>
    <m/>
    <m/>
    <x v="0"/>
  </r>
  <r>
    <x v="17"/>
    <s v="Tomato (Jam)-tomatojam-kg-kg-1.0000"/>
    <n v="14.75"/>
    <n v="0.45"/>
    <x v="2"/>
    <s v="Ravi"/>
    <n v="6.6375000000000002"/>
    <m/>
    <m/>
    <m/>
    <m/>
    <m/>
    <m/>
    <x v="0"/>
  </r>
  <r>
    <x v="17"/>
    <s v="Chat Masala (100 gram)-chat masala-pkt-kg-0.1000"/>
    <n v="48"/>
    <n v="0.01"/>
    <x v="2"/>
    <s v="Ravi"/>
    <n v="0.48"/>
    <m/>
    <m/>
    <m/>
    <m/>
    <m/>
    <m/>
    <x v="0"/>
  </r>
  <r>
    <x v="17"/>
    <s v="Pav Baji Masala (100 gram)-pav baji masala-pkt-kg-0.1000"/>
    <n v="46.4"/>
    <n v="0.01"/>
    <x v="2"/>
    <s v="Ravi"/>
    <n v="0.46399999999999997"/>
    <m/>
    <m/>
    <m/>
    <m/>
    <m/>
    <m/>
    <x v="0"/>
  </r>
  <r>
    <x v="17"/>
    <s v="Curd-Mosaru-lts-kg-1.0300"/>
    <n v="42"/>
    <n v="0.5"/>
    <x v="2"/>
    <s v="Ravi"/>
    <n v="21"/>
    <m/>
    <m/>
    <m/>
    <m/>
    <m/>
    <m/>
    <x v="0"/>
  </r>
  <r>
    <x v="17"/>
    <s v="Lemon-Nimbehannu-count-count-1.0000"/>
    <n v="3"/>
    <n v="4"/>
    <x v="6"/>
    <s v="Jaggu"/>
    <n v="12"/>
    <m/>
    <m/>
    <m/>
    <m/>
    <m/>
    <m/>
    <x v="0"/>
  </r>
  <r>
    <x v="17"/>
    <s v="Onion-Erulli-kg-kg-1.0000"/>
    <n v="14"/>
    <n v="0.25"/>
    <x v="6"/>
    <s v="Jaggu"/>
    <n v="3.5"/>
    <m/>
    <m/>
    <m/>
    <m/>
    <m/>
    <m/>
    <x v="0"/>
  </r>
  <r>
    <x v="17"/>
    <s v="Sugar-Sakkre-kg-kg-1.0000"/>
    <n v="37"/>
    <n v="0.6"/>
    <x v="4"/>
    <s v="Jaggu"/>
    <n v="22.2"/>
    <m/>
    <m/>
    <m/>
    <m/>
    <m/>
    <m/>
    <x v="0"/>
  </r>
  <r>
    <x v="17"/>
    <s v="Milk-Haalu-lts-kg-1.0300"/>
    <n v="36"/>
    <n v="3.5"/>
    <x v="4"/>
    <s v="Jaggu"/>
    <n v="126"/>
    <m/>
    <m/>
    <m/>
    <m/>
    <m/>
    <m/>
    <x v="0"/>
  </r>
  <r>
    <x v="17"/>
    <s v="Curd-Mosaru-lts-kg-1.0300"/>
    <n v="42"/>
    <n v="2"/>
    <x v="0"/>
    <s v="Murthy"/>
    <n v="84"/>
    <m/>
    <m/>
    <m/>
    <m/>
    <s v="Raitha"/>
    <m/>
    <x v="0"/>
  </r>
  <r>
    <x v="17"/>
    <s v="Milk-Haalu-lts-kg-1.0300"/>
    <n v="36"/>
    <n v="0.5"/>
    <x v="0"/>
    <s v="Murthy"/>
    <n v="18"/>
    <m/>
    <m/>
    <m/>
    <m/>
    <s v="Curd Rice"/>
    <m/>
    <x v="0"/>
  </r>
  <r>
    <x v="17"/>
    <s v="Tea powder-Tea powder-kg-kg-1.0000"/>
    <n v="390"/>
    <m/>
    <x v="4"/>
    <s v="Jaggu"/>
    <n v="0"/>
    <m/>
    <m/>
    <m/>
    <m/>
    <m/>
    <m/>
    <x v="0"/>
  </r>
  <r>
    <x v="17"/>
    <s v="Milk-Haalu-lts-kg-1.0300"/>
    <n v="36"/>
    <m/>
    <x v="4"/>
    <s v="Jaggu"/>
    <n v="0"/>
    <m/>
    <m/>
    <m/>
    <m/>
    <m/>
    <m/>
    <x v="0"/>
  </r>
  <r>
    <x v="18"/>
    <s v="Gas-Gas-kg-kg-1.0000"/>
    <n v="78.95"/>
    <n v="15"/>
    <x v="3"/>
    <s v="Common"/>
    <n v="1184.25"/>
    <m/>
    <m/>
    <m/>
    <m/>
    <m/>
    <m/>
    <x v="0"/>
  </r>
  <r>
    <x v="18"/>
    <s v="Charcoal-Charcoal-kg-kg-1.0000"/>
    <n v="26"/>
    <n v="7"/>
    <x v="0"/>
    <s v="Murthy"/>
    <n v="182"/>
    <m/>
    <m/>
    <m/>
    <m/>
    <m/>
    <m/>
    <x v="0"/>
  </r>
  <r>
    <x v="18"/>
    <s v="Capsicum-Capsicum-kg-kg-1.0000"/>
    <n v="30"/>
    <n v="1"/>
    <x v="0"/>
    <s v="Murthy"/>
    <n v="30"/>
    <m/>
    <m/>
    <m/>
    <m/>
    <m/>
    <m/>
    <x v="0"/>
  </r>
  <r>
    <x v="18"/>
    <s v="Onion-Erulli-kg-kg-1.0000"/>
    <n v="14"/>
    <n v="3"/>
    <x v="0"/>
    <s v="Murthy"/>
    <n v="42"/>
    <m/>
    <m/>
    <m/>
    <m/>
    <m/>
    <m/>
    <x v="0"/>
  </r>
  <r>
    <x v="18"/>
    <s v="Green chilly-hasinmenshinkayi-kg-kg-1.0000"/>
    <n v="30"/>
    <n v="0.5"/>
    <x v="0"/>
    <s v="Murthy"/>
    <n v="15"/>
    <m/>
    <m/>
    <m/>
    <m/>
    <m/>
    <m/>
    <x v="0"/>
  </r>
  <r>
    <x v="18"/>
    <s v="Basumathi Rice-Basumathi Rice-kg-kg-1.0000"/>
    <n v="62"/>
    <n v="2"/>
    <x v="0"/>
    <s v="Murthy"/>
    <n v="124"/>
    <m/>
    <m/>
    <m/>
    <m/>
    <m/>
    <m/>
    <x v="0"/>
  </r>
  <r>
    <x v="18"/>
    <s v="Coriander leaves-Kothamiri Soppu-kg-kg-1.0000"/>
    <n v="25"/>
    <n v="0.81"/>
    <x v="0"/>
    <s v="Murthy"/>
    <n v="20.25"/>
    <m/>
    <m/>
    <m/>
    <m/>
    <m/>
    <m/>
    <x v="0"/>
  </r>
  <r>
    <x v="18"/>
    <s v="Garlic-Belulli-kg-kg-1.0000"/>
    <n v="28"/>
    <n v="0.3"/>
    <x v="0"/>
    <s v="Murthy"/>
    <n v="8.4"/>
    <m/>
    <m/>
    <m/>
    <m/>
    <m/>
    <m/>
    <x v="0"/>
  </r>
  <r>
    <x v="18"/>
    <s v="Oil-Yenne-lts-kg-0.9150"/>
    <n v="82"/>
    <n v="4"/>
    <x v="0"/>
    <s v="Murthy"/>
    <n v="328"/>
    <m/>
    <m/>
    <m/>
    <m/>
    <m/>
    <m/>
    <x v="0"/>
  </r>
  <r>
    <x v="18"/>
    <s v="Cinnamon-Chekke-kg-kg-1.0000"/>
    <n v="220"/>
    <n v="5.0000000000000001E-3"/>
    <x v="0"/>
    <s v="Murthy"/>
    <n v="1.1000000000000001"/>
    <m/>
    <m/>
    <m/>
    <m/>
    <m/>
    <m/>
    <x v="0"/>
  </r>
  <r>
    <x v="18"/>
    <s v="Cloves-lavanga-kg-kg-1.0000"/>
    <n v="740"/>
    <n v="5.0000000000000001E-3"/>
    <x v="0"/>
    <s v="Murthy"/>
    <n v="3.7"/>
    <m/>
    <m/>
    <m/>
    <m/>
    <m/>
    <m/>
    <x v="0"/>
  </r>
  <r>
    <x v="18"/>
    <s v="Elaichi-yelakki-kg-kg-1.0000"/>
    <n v="1450"/>
    <n v="5.0000000000000001E-3"/>
    <x v="0"/>
    <s v="Murthy"/>
    <n v="7.25"/>
    <m/>
    <m/>
    <m/>
    <m/>
    <m/>
    <m/>
    <x v="0"/>
  </r>
  <r>
    <x v="18"/>
    <s v="Maratimoggu-Maratimoggu-kg-kg-1.0000"/>
    <n v="750"/>
    <n v="5.0000000000000001E-3"/>
    <x v="0"/>
    <s v="Murthy"/>
    <n v="3.75"/>
    <m/>
    <m/>
    <m/>
    <m/>
    <m/>
    <m/>
    <x v="0"/>
  </r>
  <r>
    <x v="18"/>
    <s v="Mace-japathre-kg-kg-1.0000"/>
    <n v="1480"/>
    <n v="5.0000000000000001E-3"/>
    <x v="0"/>
    <s v="Murthy"/>
    <n v="7.4"/>
    <m/>
    <m/>
    <m/>
    <m/>
    <m/>
    <m/>
    <x v="0"/>
  </r>
  <r>
    <x v="18"/>
    <s v="Ginger-shunti-kg-kg-1.0000"/>
    <n v="40"/>
    <n v="0.3"/>
    <x v="0"/>
    <s v="Murthy"/>
    <n v="12"/>
    <m/>
    <m/>
    <m/>
    <m/>
    <m/>
    <m/>
    <x v="0"/>
  </r>
  <r>
    <x v="18"/>
    <s v="Guntur -guntur-kg-kg-1.0000"/>
    <n v="138"/>
    <n v="0.02"/>
    <x v="0"/>
    <s v="Murthy"/>
    <n v="2.7600000000000002"/>
    <m/>
    <m/>
    <m/>
    <m/>
    <m/>
    <m/>
    <x v="0"/>
  </r>
  <r>
    <x v="18"/>
    <s v="Hakka Noodles-Hakka Noodles-pkt-kg-0.4000"/>
    <n v="40"/>
    <n v="1"/>
    <x v="0"/>
    <s v="Murthy"/>
    <n v="40"/>
    <m/>
    <m/>
    <m/>
    <m/>
    <m/>
    <m/>
    <x v="0"/>
  </r>
  <r>
    <x v="18"/>
    <s v="Palak leaves-Palak soppu-kg-kg-1.0000"/>
    <n v="38"/>
    <n v="1.7"/>
    <x v="0"/>
    <s v="Murthy"/>
    <n v="64.599999999999994"/>
    <m/>
    <m/>
    <m/>
    <m/>
    <m/>
    <m/>
    <x v="0"/>
  </r>
  <r>
    <x v="18"/>
    <s v="Maida-Maida-kg-kg-1.0000"/>
    <n v="29.51"/>
    <n v="0.56000000000000005"/>
    <x v="0"/>
    <s v="Murthy"/>
    <n v="16.525600000000001"/>
    <m/>
    <m/>
    <m/>
    <m/>
    <m/>
    <m/>
    <x v="0"/>
  </r>
  <r>
    <x v="18"/>
    <s v="Beans-Beans-kg-kg-1.0000"/>
    <n v="43.06"/>
    <n v="0.8"/>
    <x v="0"/>
    <s v="Murthy"/>
    <n v="34.448"/>
    <m/>
    <m/>
    <m/>
    <m/>
    <m/>
    <m/>
    <x v="0"/>
  </r>
  <r>
    <x v="18"/>
    <s v="Carrot-carrot-kg-kg-1.0000"/>
    <n v="27.97"/>
    <n v="1.05"/>
    <x v="0"/>
    <s v="Murthy"/>
    <n v="29.368500000000001"/>
    <m/>
    <m/>
    <m/>
    <m/>
    <m/>
    <m/>
    <x v="0"/>
  </r>
  <r>
    <x v="18"/>
    <s v="Gram Flour-Kadle Ittu-kg-kg-1.0000"/>
    <n v="72"/>
    <n v="0.11"/>
    <x v="0"/>
    <s v="Murthy"/>
    <n v="7.92"/>
    <m/>
    <m/>
    <m/>
    <m/>
    <m/>
    <m/>
    <x v="0"/>
  </r>
  <r>
    <x v="18"/>
    <s v="Corn flour-Corn flour-kg-kg-1.0000"/>
    <n v="45"/>
    <n v="1"/>
    <x v="0"/>
    <s v="Murthy"/>
    <n v="45"/>
    <m/>
    <m/>
    <m/>
    <m/>
    <m/>
    <m/>
    <x v="0"/>
  </r>
  <r>
    <x v="18"/>
    <s v="Garlic-Belulli-kg-kg-1.0000"/>
    <n v="28"/>
    <n v="0.25"/>
    <x v="0"/>
    <s v="Murthy"/>
    <n v="7"/>
    <m/>
    <m/>
    <m/>
    <m/>
    <m/>
    <m/>
    <x v="0"/>
  </r>
  <r>
    <x v="18"/>
    <s v="Chilly Powder-Chilly Powder-kg-kg-1.0000"/>
    <n v="280"/>
    <n v="0.14000000000000001"/>
    <x v="0"/>
    <s v="Murthy"/>
    <n v="39.200000000000003"/>
    <m/>
    <m/>
    <m/>
    <m/>
    <m/>
    <m/>
    <x v="0"/>
  </r>
  <r>
    <x v="18"/>
    <s v="Garam Masala (100 gram)-garam masala-pkt-kg-0.1000"/>
    <n v="57.5"/>
    <n v="0.02"/>
    <x v="0"/>
    <s v="Murthy"/>
    <n v="1.1500000000000001"/>
    <m/>
    <m/>
    <m/>
    <m/>
    <m/>
    <m/>
    <x v="0"/>
  </r>
  <r>
    <x v="18"/>
    <s v="Turmeric Powder-Arishina pudi-kg-kg-1.0000"/>
    <n v="187.41"/>
    <n v="0.03"/>
    <x v="0"/>
    <s v="Murthy"/>
    <n v="5.6223000000000001"/>
    <m/>
    <m/>
    <m/>
    <m/>
    <m/>
    <m/>
    <x v="0"/>
  </r>
  <r>
    <x v="18"/>
    <s v="Chat Masala (100 gram)-chat masala-pkt-kg-0.1000"/>
    <n v="48"/>
    <n v="0.01"/>
    <x v="0"/>
    <s v="Murthy"/>
    <n v="0.48"/>
    <m/>
    <m/>
    <m/>
    <m/>
    <m/>
    <m/>
    <x v="0"/>
  </r>
  <r>
    <x v="18"/>
    <s v="Salt Powder-Uppu-kg-kg-1.0000"/>
    <n v="17"/>
    <n v="0.59499999999999997"/>
    <x v="0"/>
    <s v="Murthy"/>
    <n v="10.115"/>
    <m/>
    <m/>
    <m/>
    <m/>
    <m/>
    <m/>
    <x v="0"/>
  </r>
  <r>
    <x v="18"/>
    <s v="Black Pepper Powder-Kaal menasu-kg-kg-1.0000"/>
    <n v="380"/>
    <n v="0.03"/>
    <x v="0"/>
    <s v="Murthy"/>
    <n v="11.4"/>
    <m/>
    <m/>
    <m/>
    <m/>
    <m/>
    <m/>
    <x v="0"/>
  </r>
  <r>
    <x v="18"/>
    <s v="White Pepper Powder (500 gram)-Billi menasu pudi-kg-kg-1.0000"/>
    <n v="180"/>
    <n v="0.27500000000000002"/>
    <x v="0"/>
    <s v="Murthy"/>
    <n v="49.500000000000007"/>
    <m/>
    <m/>
    <m/>
    <m/>
    <m/>
    <m/>
    <x v="0"/>
  </r>
  <r>
    <x v="18"/>
    <s v="Tasting Powder (500 kg)-tasting powder-kg-kg-1.0000"/>
    <n v="148"/>
    <n v="0.17499999999999999"/>
    <x v="0"/>
    <s v="Murthy"/>
    <n v="25.9"/>
    <m/>
    <m/>
    <m/>
    <m/>
    <m/>
    <m/>
    <x v="0"/>
  </r>
  <r>
    <x v="18"/>
    <s v="Vinegar-Vinegar-bottle-kg-0.8600"/>
    <n v="24"/>
    <n v="7.4999999999999997E-2"/>
    <x v="0"/>
    <s v="Murthy"/>
    <n v="1.7999999999999998"/>
    <m/>
    <m/>
    <m/>
    <m/>
    <m/>
    <m/>
    <x v="0"/>
  </r>
  <r>
    <x v="18"/>
    <s v="Dark soya souce-Dark soya souce-bottle-kg-0.8150"/>
    <n v="33"/>
    <n v="0.15"/>
    <x v="0"/>
    <s v="Murthy"/>
    <n v="4.95"/>
    <m/>
    <m/>
    <m/>
    <m/>
    <m/>
    <m/>
    <x v="0"/>
  </r>
  <r>
    <x v="18"/>
    <s v="Ketchup(1.2 kg)-ketchup-bottle-kg-1.2000"/>
    <n v="75"/>
    <n v="0.51"/>
    <x v="0"/>
    <s v="Murthy"/>
    <n v="38.25"/>
    <m/>
    <m/>
    <m/>
    <m/>
    <m/>
    <m/>
    <x v="0"/>
  </r>
  <r>
    <x v="18"/>
    <s v="Coriander Powder (500 gram)-Dhanya Powder (500 gram)-kg-kg-1.0000"/>
    <n v="120"/>
    <n v="0.02"/>
    <x v="0"/>
    <s v="Murthy"/>
    <n v="2.4"/>
    <m/>
    <m/>
    <m/>
    <m/>
    <m/>
    <m/>
    <x v="0"/>
  </r>
  <r>
    <x v="18"/>
    <s v="Yellow Gravy"/>
    <n v="0"/>
    <n v="0.9"/>
    <x v="0"/>
    <s v="Murthy"/>
    <n v="0"/>
    <m/>
    <m/>
    <m/>
    <m/>
    <m/>
    <m/>
    <x v="0"/>
  </r>
  <r>
    <x v="18"/>
    <s v="Burjji Masala"/>
    <n v="0"/>
    <n v="1"/>
    <x v="0"/>
    <s v="Murthy"/>
    <n v="0"/>
    <m/>
    <m/>
    <m/>
    <m/>
    <m/>
    <m/>
    <x v="0"/>
  </r>
  <r>
    <x v="18"/>
    <s v="Kitchen king (100 gram)-Kitchen king (100 gram)-pkt-kg-0.1000"/>
    <n v="51"/>
    <n v="1"/>
    <x v="0"/>
    <s v="Murthy"/>
    <n v="51"/>
    <m/>
    <m/>
    <m/>
    <m/>
    <m/>
    <m/>
    <x v="0"/>
  </r>
  <r>
    <x v="18"/>
    <s v="Dalda-dalda-lts-kg-0.9050"/>
    <n v="96"/>
    <n v="9.5000000000000001E-2"/>
    <x v="0"/>
    <s v="Murthy"/>
    <n v="9.120000000000001"/>
    <m/>
    <m/>
    <m/>
    <m/>
    <m/>
    <m/>
    <x v="0"/>
  </r>
  <r>
    <x v="18"/>
    <s v="Cream-Cream-lts-kg-1.0000"/>
    <n v="190"/>
    <n v="0.19"/>
    <x v="0"/>
    <s v="Murthy"/>
    <n v="36.1"/>
    <m/>
    <m/>
    <m/>
    <m/>
    <m/>
    <m/>
    <x v="0"/>
  </r>
  <r>
    <x v="18"/>
    <s v="Ghee-Thuppa-lts-kg-0.9300"/>
    <n v="430"/>
    <n v="0.22"/>
    <x v="0"/>
    <s v="Murthy"/>
    <n v="94.6"/>
    <m/>
    <m/>
    <m/>
    <m/>
    <m/>
    <m/>
    <x v="0"/>
  </r>
  <r>
    <x v="18"/>
    <s v="Butter-Butter-kg-kg-1.0000"/>
    <n v="140"/>
    <n v="0.5"/>
    <x v="0"/>
    <s v="Murthy"/>
    <n v="70"/>
    <m/>
    <m/>
    <m/>
    <m/>
    <m/>
    <m/>
    <x v="0"/>
  </r>
  <r>
    <x v="18"/>
    <s v="Babycorn-Babycorn-kg-kg-1.0000"/>
    <n v="60"/>
    <n v="0.435"/>
    <x v="0"/>
    <s v="Murthy"/>
    <n v="26.1"/>
    <m/>
    <m/>
    <m/>
    <m/>
    <m/>
    <m/>
    <x v="0"/>
  </r>
  <r>
    <x v="18"/>
    <s v="Paneer-Paneer-kg-kg-1.0000"/>
    <n v="175"/>
    <n v="1.33"/>
    <x v="0"/>
    <s v="Murthy"/>
    <n v="232.75"/>
    <m/>
    <m/>
    <m/>
    <m/>
    <m/>
    <m/>
    <x v="0"/>
  </r>
  <r>
    <x v="18"/>
    <s v="Mushroom-Mushroom-pkt-pkt-1.0000"/>
    <n v="32"/>
    <n v="5"/>
    <x v="0"/>
    <s v="Murthy"/>
    <n v="160"/>
    <m/>
    <m/>
    <m/>
    <m/>
    <m/>
    <m/>
    <x v="0"/>
  </r>
  <r>
    <x v="18"/>
    <s v="French fries-french fries-kg-kg-1.0000"/>
    <n v="280"/>
    <n v="0.625"/>
    <x v="0"/>
    <s v="Murthy"/>
    <n v="175"/>
    <m/>
    <m/>
    <m/>
    <m/>
    <m/>
    <m/>
    <x v="0"/>
  </r>
  <r>
    <x v="18"/>
    <s v="Pineapple-ANNANAS-kg-kg-1.0000"/>
    <n v="30"/>
    <n v="1.1399999999999999"/>
    <x v="5"/>
    <s v="Ravi"/>
    <n v="34.199999999999996"/>
    <m/>
    <m/>
    <m/>
    <m/>
    <m/>
    <m/>
    <x v="0"/>
  </r>
  <r>
    <x v="18"/>
    <s v="Milk-Haalu-lts-kg-1.0300"/>
    <n v="36"/>
    <n v="2"/>
    <x v="5"/>
    <s v="Ravi"/>
    <n v="72"/>
    <m/>
    <m/>
    <m/>
    <m/>
    <m/>
    <m/>
    <x v="0"/>
  </r>
  <r>
    <x v="18"/>
    <s v="Muskmelon-THARBUJA-kg-kg-1.0000"/>
    <n v="20"/>
    <n v="1.8"/>
    <x v="5"/>
    <s v="Ravi"/>
    <n v="36"/>
    <m/>
    <m/>
    <m/>
    <m/>
    <m/>
    <m/>
    <x v="0"/>
  </r>
  <r>
    <x v="18"/>
    <s v="Moosambi-MOOSAMBI-kg-kg-1.0000"/>
    <n v="50"/>
    <n v="2"/>
    <x v="5"/>
    <s v="Ravi"/>
    <n v="100"/>
    <m/>
    <m/>
    <m/>
    <m/>
    <m/>
    <m/>
    <x v="0"/>
  </r>
  <r>
    <x v="18"/>
    <s v="Lemon-Nimbehannu-count-count-1.0000"/>
    <n v="3"/>
    <n v="40"/>
    <x v="5"/>
    <s v="Ravi"/>
    <n v="120"/>
    <m/>
    <m/>
    <m/>
    <m/>
    <m/>
    <m/>
    <x v="0"/>
  </r>
  <r>
    <x v="18"/>
    <s v="Watermelon-Watermelon-kg-kg-1.0000"/>
    <n v="20"/>
    <n v="2.6850000000000001"/>
    <x v="5"/>
    <s v="Ravi"/>
    <n v="53.7"/>
    <m/>
    <m/>
    <m/>
    <m/>
    <m/>
    <m/>
    <x v="0"/>
  </r>
  <r>
    <x v="18"/>
    <s v="Sugar-Sakkre-kg-kg-1.0000"/>
    <n v="37"/>
    <n v="4.8"/>
    <x v="5"/>
    <s v="Ravi"/>
    <n v="177.6"/>
    <m/>
    <m/>
    <m/>
    <m/>
    <m/>
    <m/>
    <x v="0"/>
  </r>
  <r>
    <x v="18"/>
    <s v="Watermelon-Watermelon-kg-kg-1.0000"/>
    <n v="20"/>
    <n v="1.76"/>
    <x v="5"/>
    <s v="Ravi"/>
    <n v="35.200000000000003"/>
    <m/>
    <m/>
    <m/>
    <m/>
    <m/>
    <m/>
    <x v="0"/>
  </r>
  <r>
    <x v="18"/>
    <s v="Curd-Mosaru-lts-kg-1.0300"/>
    <n v="42"/>
    <n v="1.5"/>
    <x v="5"/>
    <s v="Ravi"/>
    <n v="63"/>
    <m/>
    <m/>
    <m/>
    <m/>
    <m/>
    <m/>
    <x v="0"/>
  </r>
  <r>
    <x v="18"/>
    <s v="Ketchup(1.2 kg)-ketchup-bottle-kg-1.2000"/>
    <n v="75"/>
    <n v="0.76"/>
    <x v="8"/>
    <s v="Manju"/>
    <n v="57"/>
    <m/>
    <m/>
    <m/>
    <m/>
    <m/>
    <m/>
    <x v="0"/>
  </r>
  <r>
    <x v="18"/>
    <s v="chillysauce-chillysauce-kg-kg-1.0000"/>
    <n v="33"/>
    <n v="0.36"/>
    <x v="8"/>
    <s v="Manju"/>
    <n v="11.879999999999999"/>
    <m/>
    <m/>
    <m/>
    <m/>
    <m/>
    <m/>
    <x v="0"/>
  </r>
  <r>
    <x v="18"/>
    <s v="Napkin-napkin-pkt-pkt-1.0000"/>
    <n v="14"/>
    <n v="3"/>
    <x v="8"/>
    <s v="Manju"/>
    <n v="42"/>
    <m/>
    <m/>
    <m/>
    <m/>
    <m/>
    <m/>
    <x v="0"/>
  </r>
  <r>
    <x v="18"/>
    <s v="Onion-Erulli-kg-kg-1.0000"/>
    <n v="14"/>
    <n v="0.3"/>
    <x v="6"/>
    <s v="Jaggu"/>
    <n v="4.2"/>
    <m/>
    <m/>
    <m/>
    <m/>
    <m/>
    <m/>
    <x v="0"/>
  </r>
  <r>
    <x v="18"/>
    <s v="Milk-Haalu-lts-kg-1.0300"/>
    <n v="36"/>
    <n v="5.5"/>
    <x v="4"/>
    <s v="Vicky"/>
    <n v="198"/>
    <m/>
    <m/>
    <m/>
    <m/>
    <m/>
    <m/>
    <x v="0"/>
  </r>
  <r>
    <x v="18"/>
    <s v="Tea powder-Tea powder-kg-kg-1.0000"/>
    <n v="390"/>
    <n v="0.22"/>
    <x v="4"/>
    <s v="Vicky"/>
    <n v="85.8"/>
    <m/>
    <m/>
    <m/>
    <m/>
    <m/>
    <m/>
    <x v="0"/>
  </r>
  <r>
    <x v="18"/>
    <s v="Sugar-Sakkre-kg-kg-1.0000"/>
    <n v="37"/>
    <n v="1.24"/>
    <x v="4"/>
    <s v="Vicky"/>
    <n v="45.88"/>
    <m/>
    <m/>
    <m/>
    <m/>
    <m/>
    <m/>
    <x v="0"/>
  </r>
  <r>
    <x v="18"/>
    <s v="Curd-Mosaru-lts-kg-1.0300"/>
    <n v="42"/>
    <n v="2.5"/>
    <x v="4"/>
    <s v="Vicky"/>
    <n v="105"/>
    <m/>
    <m/>
    <m/>
    <m/>
    <s v="Raitha"/>
    <m/>
    <x v="0"/>
  </r>
  <r>
    <x v="18"/>
    <s v="Milk-Haalu-lts-kg-1.0300"/>
    <n v="36"/>
    <n v="3.5"/>
    <x v="1"/>
    <s v="Ravi"/>
    <n v="126"/>
    <m/>
    <m/>
    <m/>
    <m/>
    <m/>
    <m/>
    <x v="0"/>
  </r>
  <r>
    <x v="18"/>
    <s v="Curd-Mosaru-lts-kg-1.0300"/>
    <n v="42"/>
    <n v="3"/>
    <x v="1"/>
    <s v="Ravi"/>
    <n v="126"/>
    <m/>
    <m/>
    <m/>
    <m/>
    <m/>
    <m/>
    <x v="0"/>
  </r>
  <r>
    <x v="18"/>
    <s v="South Rice-South Hakki-kg-kg-1.0000"/>
    <n v="52"/>
    <n v="4.5"/>
    <x v="1"/>
    <s v="Ravi"/>
    <n v="234"/>
    <m/>
    <m/>
    <m/>
    <m/>
    <m/>
    <m/>
    <x v="0"/>
  </r>
  <r>
    <x v="18"/>
    <s v="Pickle-Uppinkayi-kg-kg-1.0000"/>
    <n v="40"/>
    <n v="0.2"/>
    <x v="1"/>
    <s v="Ravi"/>
    <n v="8"/>
    <m/>
    <m/>
    <m/>
    <m/>
    <m/>
    <m/>
    <x v="0"/>
  </r>
  <r>
    <x v="18"/>
    <s v="Coconut-Theginkai-count-count-1.0000"/>
    <n v="28"/>
    <n v="4"/>
    <x v="1"/>
    <s v="Ravi"/>
    <n v="112"/>
    <m/>
    <m/>
    <m/>
    <m/>
    <m/>
    <m/>
    <x v="0"/>
  </r>
  <r>
    <x v="18"/>
    <s v="Sugar-Sakkre-kg-kg-1.0000"/>
    <n v="37"/>
    <n v="0.45"/>
    <x v="1"/>
    <s v="Ravi"/>
    <n v="16.650000000000002"/>
    <m/>
    <m/>
    <m/>
    <m/>
    <m/>
    <m/>
    <x v="0"/>
  </r>
  <r>
    <x v="18"/>
    <s v="Chilly Powder-Chilly Powder-kg-kg-1.0000"/>
    <n v="280"/>
    <n v="0.04"/>
    <x v="1"/>
    <s v="Ravi"/>
    <n v="11.200000000000001"/>
    <m/>
    <m/>
    <m/>
    <m/>
    <m/>
    <m/>
    <x v="0"/>
  </r>
  <r>
    <x v="18"/>
    <s v="Coriander Powder (500 gram)-Dhanya Powder (500 gram)-kg-kg-1.0000"/>
    <n v="120"/>
    <n v="0.04"/>
    <x v="1"/>
    <s v="Ravi"/>
    <n v="4.8"/>
    <m/>
    <m/>
    <m/>
    <m/>
    <m/>
    <m/>
    <x v="0"/>
  </r>
  <r>
    <x v="18"/>
    <s v="Sambar powder-Sambar powder-kg-kg-1.0000"/>
    <n v="500"/>
    <n v="0.09"/>
    <x v="1"/>
    <s v="Ravi"/>
    <n v="45"/>
    <m/>
    <m/>
    <m/>
    <m/>
    <m/>
    <m/>
    <x v="0"/>
  </r>
  <r>
    <x v="18"/>
    <s v="Crystal Salt-Kalluppu-kg-kg-1.0000"/>
    <n v="7"/>
    <n v="0.62"/>
    <x v="1"/>
    <s v="Ravi"/>
    <n v="4.34"/>
    <m/>
    <m/>
    <m/>
    <m/>
    <m/>
    <m/>
    <x v="0"/>
  </r>
  <r>
    <x v="18"/>
    <s v="Turmeric Powder-Arishina pudi-kg-kg-1.0000"/>
    <n v="187.41"/>
    <n v="0.01"/>
    <x v="1"/>
    <s v="Ravi"/>
    <n v="1.8741000000000001"/>
    <m/>
    <m/>
    <m/>
    <m/>
    <m/>
    <m/>
    <x v="0"/>
  </r>
  <r>
    <x v="18"/>
    <s v="Dalda-dalda-lts-kg-0.9050"/>
    <n v="96"/>
    <n v="0.4"/>
    <x v="1"/>
    <s v="Ravi"/>
    <n v="38.400000000000006"/>
    <m/>
    <m/>
    <m/>
    <m/>
    <m/>
    <m/>
    <x v="0"/>
  </r>
  <r>
    <x v="18"/>
    <s v="Oil-Yenne-lts-kg-0.9150"/>
    <n v="82"/>
    <n v="2"/>
    <x v="1"/>
    <s v="Ravi"/>
    <n v="164"/>
    <m/>
    <m/>
    <m/>
    <m/>
    <m/>
    <m/>
    <x v="0"/>
  </r>
  <r>
    <x v="18"/>
    <s v="Jeera Seeds-Jeerge-kg-kg-1.0000"/>
    <n v="230"/>
    <n v="0.09"/>
    <x v="1"/>
    <s v="Ravi"/>
    <n v="20.7"/>
    <m/>
    <m/>
    <m/>
    <m/>
    <m/>
    <m/>
    <x v="0"/>
  </r>
  <r>
    <x v="18"/>
    <s v="Mustard-Sasive-kg-kg-1.0000"/>
    <n v="70"/>
    <n v="7.0000000000000007E-2"/>
    <x v="1"/>
    <s v="Ravi"/>
    <n v="4.9000000000000004"/>
    <m/>
    <m/>
    <m/>
    <m/>
    <m/>
    <m/>
    <x v="0"/>
  </r>
  <r>
    <x v="18"/>
    <s v="channadal(split)-Kadlebele-kg-kg-1.0000"/>
    <n v="55"/>
    <n v="0.185"/>
    <x v="1"/>
    <s v="Ravi"/>
    <n v="10.175000000000001"/>
    <m/>
    <m/>
    <m/>
    <m/>
    <m/>
    <m/>
    <x v="0"/>
  </r>
  <r>
    <x v="18"/>
    <s v="Onion-Erulli-kg-kg-1.0000"/>
    <n v="14"/>
    <n v="3"/>
    <x v="1"/>
    <s v="Ravi"/>
    <n v="42"/>
    <m/>
    <m/>
    <m/>
    <m/>
    <m/>
    <m/>
    <x v="0"/>
  </r>
  <r>
    <x v="18"/>
    <s v="Garlic-Belulli-kg-kg-1.0000"/>
    <n v="28"/>
    <n v="0.3"/>
    <x v="1"/>
    <s v="Ravi"/>
    <n v="8.4"/>
    <m/>
    <m/>
    <m/>
    <m/>
    <m/>
    <m/>
    <x v="0"/>
  </r>
  <r>
    <x v="18"/>
    <s v="Wheat-Godhi-kg-kg-1.0000"/>
    <n v="34"/>
    <n v="0.75"/>
    <x v="1"/>
    <s v="Ravi"/>
    <n v="25.5"/>
    <m/>
    <m/>
    <m/>
    <m/>
    <m/>
    <m/>
    <x v="0"/>
  </r>
  <r>
    <x v="18"/>
    <s v="Tamarind-hunsehannu-kg-kg-1.0000"/>
    <n v="170"/>
    <n v="0.15"/>
    <x v="1"/>
    <s v="Ravi"/>
    <n v="25.5"/>
    <m/>
    <m/>
    <m/>
    <m/>
    <m/>
    <m/>
    <x v="0"/>
  </r>
  <r>
    <x v="18"/>
    <s v="Fried Gram-Hurgadle-kg-kg-1.0000"/>
    <n v="60"/>
    <n v="0.15"/>
    <x v="1"/>
    <s v="Ravi"/>
    <n v="9"/>
    <m/>
    <m/>
    <m/>
    <m/>
    <m/>
    <m/>
    <x v="0"/>
  </r>
  <r>
    <x v="18"/>
    <s v="Sabbudana-sago sabakki-kg-kg-1.0000"/>
    <n v="86"/>
    <n v="0.35"/>
    <x v="1"/>
    <s v="Ravi"/>
    <n v="30.099999999999998"/>
    <m/>
    <m/>
    <m/>
    <m/>
    <m/>
    <m/>
    <x v="0"/>
  </r>
  <r>
    <x v="18"/>
    <s v="Guntur -guntur-kg-kg-1.0000"/>
    <n v="138"/>
    <n v="0.03"/>
    <x v="1"/>
    <s v="Ravi"/>
    <n v="4.1399999999999997"/>
    <m/>
    <m/>
    <m/>
    <m/>
    <m/>
    <m/>
    <x v="0"/>
  </r>
  <r>
    <x v="18"/>
    <s v="Green chilly-hasinmenshinkayi-kg-kg-1.0000"/>
    <n v="30"/>
    <n v="0.2"/>
    <x v="1"/>
    <s v="Ravi"/>
    <n v="6"/>
    <m/>
    <m/>
    <m/>
    <m/>
    <m/>
    <m/>
    <x v="0"/>
  </r>
  <r>
    <x v="18"/>
    <s v="Groundnut Seeds-Kadlekayi Beeja-kg-kg-1.0000"/>
    <n v="108"/>
    <n v="0.2"/>
    <x v="1"/>
    <s v="Ravi"/>
    <n v="21.6"/>
    <m/>
    <m/>
    <m/>
    <m/>
    <m/>
    <m/>
    <x v="0"/>
  </r>
  <r>
    <x v="18"/>
    <s v="Beans-Beans-kg-kg-1.0000"/>
    <n v="43.06"/>
    <n v="0.75"/>
    <x v="1"/>
    <s v="Ravi"/>
    <n v="32.295000000000002"/>
    <m/>
    <m/>
    <m/>
    <m/>
    <m/>
    <m/>
    <x v="0"/>
  </r>
  <r>
    <x v="18"/>
    <s v="Carrot-carrot-kg-kg-1.0000"/>
    <n v="27.97"/>
    <n v="1.25"/>
    <x v="1"/>
    <s v="Ravi"/>
    <n v="34.962499999999999"/>
    <m/>
    <m/>
    <m/>
    <m/>
    <m/>
    <m/>
    <x v="0"/>
  </r>
  <r>
    <x v="18"/>
    <s v="curry leaves-karbensoppu-kg-kg-1.0000"/>
    <n v="312.14"/>
    <n v="0.06"/>
    <x v="1"/>
    <s v="Ravi"/>
    <n v="18.728399999999997"/>
    <m/>
    <m/>
    <m/>
    <m/>
    <m/>
    <m/>
    <x v="0"/>
  </r>
  <r>
    <x v="18"/>
    <s v="Pudina-Pudina-kg-kg-1.0000"/>
    <n v="125"/>
    <n v="0.06"/>
    <x v="1"/>
    <s v="Ravi"/>
    <n v="7.5"/>
    <m/>
    <m/>
    <m/>
    <m/>
    <m/>
    <m/>
    <x v="0"/>
  </r>
  <r>
    <x v="18"/>
    <s v="Coriander leaves-Kothamiri Soppu-kg-kg-1.0000"/>
    <n v="25"/>
    <n v="0.25"/>
    <x v="1"/>
    <s v="Ravi"/>
    <n v="6.25"/>
    <m/>
    <m/>
    <m/>
    <m/>
    <m/>
    <m/>
    <x v="0"/>
  </r>
  <r>
    <x v="18"/>
    <s v="Tomato (Huli)-tomatohuli-kg-kg-1.0000"/>
    <n v="15"/>
    <n v="1.5"/>
    <x v="1"/>
    <s v="Ravi"/>
    <n v="22.5"/>
    <m/>
    <m/>
    <m/>
    <m/>
    <m/>
    <m/>
    <x v="0"/>
  </r>
  <r>
    <x v="18"/>
    <s v="South Papad (500 gram)-South Papad (500 gram)-pkt-kg-0.5000"/>
    <n v="62.03"/>
    <n v="0.08"/>
    <x v="1"/>
    <s v="Ravi"/>
    <n v="4.9624000000000006"/>
    <m/>
    <m/>
    <m/>
    <m/>
    <m/>
    <m/>
    <x v="0"/>
  </r>
  <r>
    <x v="18"/>
    <s v="North Papad (1 kg)-North Papad (1 kg)-kg-kg-1.0000"/>
    <n v="160"/>
    <n v="0.04"/>
    <x v="1"/>
    <s v="Ravi"/>
    <n v="6.4"/>
    <m/>
    <m/>
    <m/>
    <m/>
    <m/>
    <m/>
    <x v="0"/>
  </r>
  <r>
    <x v="18"/>
    <s v="Ginger-shunti-kg-kg-1.0000"/>
    <n v="40"/>
    <n v="0.15"/>
    <x v="1"/>
    <s v="Ravi"/>
    <n v="6"/>
    <m/>
    <m/>
    <m/>
    <m/>
    <m/>
    <m/>
    <x v="0"/>
  </r>
  <r>
    <x v="18"/>
    <s v="Capsicum-Capsicum-kg-kg-1.0000"/>
    <n v="30"/>
    <n v="0.25"/>
    <x v="1"/>
    <s v="Ravi"/>
    <n v="7.5"/>
    <m/>
    <m/>
    <m/>
    <m/>
    <m/>
    <m/>
    <x v="0"/>
  </r>
  <r>
    <x v="18"/>
    <s v="Elaichi-yelakki-kg-kg-1.0000"/>
    <n v="1450"/>
    <n v="0.01"/>
    <x v="1"/>
    <s v="Ravi"/>
    <n v="14.5"/>
    <m/>
    <m/>
    <m/>
    <m/>
    <m/>
    <m/>
    <x v="0"/>
  </r>
  <r>
    <x v="18"/>
    <s v="Cashew-Godambi-kg-kg-1.0000"/>
    <n v="840"/>
    <n v="2.5000000000000001E-2"/>
    <x v="1"/>
    <s v="Ravi"/>
    <n v="21"/>
    <m/>
    <m/>
    <m/>
    <m/>
    <m/>
    <m/>
    <x v="0"/>
  </r>
  <r>
    <x v="18"/>
    <s v="Raisin-drakshi-kg-kg-1.0000"/>
    <n v="240"/>
    <n v="2.5000000000000001E-2"/>
    <x v="1"/>
    <s v="Ravi"/>
    <n v="6"/>
    <m/>
    <m/>
    <m/>
    <m/>
    <m/>
    <m/>
    <x v="0"/>
  </r>
  <r>
    <x v="18"/>
    <s v="mixed vegetables-mixed tharkari-kg-kg-1.0000"/>
    <n v="35"/>
    <n v="1.5"/>
    <x v="1"/>
    <s v="Ravi"/>
    <n v="52.5"/>
    <m/>
    <m/>
    <m/>
    <m/>
    <m/>
    <m/>
    <x v="0"/>
  </r>
  <r>
    <x v="18"/>
    <s v="Cauliflower-hookosu-kg-kg-1.0000"/>
    <n v="23.33"/>
    <n v="0.09"/>
    <x v="1"/>
    <s v="Ravi"/>
    <n v="2.0996999999999999"/>
    <m/>
    <m/>
    <m/>
    <m/>
    <m/>
    <m/>
    <x v="0"/>
  </r>
  <r>
    <x v="18"/>
    <s v="Mace-japathre-kg-kg-1.0000"/>
    <n v="1480"/>
    <n v="0.01"/>
    <x v="1"/>
    <s v="Ravi"/>
    <n v="14.8"/>
    <m/>
    <m/>
    <m/>
    <m/>
    <m/>
    <m/>
    <x v="0"/>
  </r>
  <r>
    <x v="18"/>
    <s v="Maratimoggu-Maratimoggu-kg-kg-1.0000"/>
    <n v="750"/>
    <n v="0.01"/>
    <x v="1"/>
    <s v="Ravi"/>
    <n v="7.5"/>
    <m/>
    <m/>
    <m/>
    <m/>
    <m/>
    <m/>
    <x v="0"/>
  </r>
  <r>
    <x v="18"/>
    <s v="Elaichi-yelakki-kg-kg-1.0000"/>
    <n v="1450"/>
    <n v="5.0000000000000001E-3"/>
    <x v="1"/>
    <s v="Ravi"/>
    <n v="7.25"/>
    <m/>
    <m/>
    <m/>
    <m/>
    <m/>
    <m/>
    <x v="0"/>
  </r>
  <r>
    <x v="18"/>
    <s v="Cinnamon-Chekke-kg-kg-1.0000"/>
    <n v="220"/>
    <n v="5.0000000000000001E-3"/>
    <x v="1"/>
    <s v="Ravi"/>
    <n v="1.1000000000000001"/>
    <m/>
    <m/>
    <m/>
    <m/>
    <m/>
    <m/>
    <x v="0"/>
  </r>
  <r>
    <x v="18"/>
    <s v="Cloves-lavanga-kg-kg-1.0000"/>
    <n v="740"/>
    <n v="5.0000000000000001E-3"/>
    <x v="1"/>
    <s v="Ravi"/>
    <n v="3.7"/>
    <m/>
    <m/>
    <m/>
    <m/>
    <m/>
    <m/>
    <x v="0"/>
  </r>
  <r>
    <x v="18"/>
    <s v="Coriander seeds-Dhanya Beeja-kg-kg-1.0000"/>
    <n v="90"/>
    <n v="0.09"/>
    <x v="1"/>
    <s v="Ravi"/>
    <n v="8.1"/>
    <m/>
    <m/>
    <m/>
    <m/>
    <m/>
    <m/>
    <x v="0"/>
  </r>
  <r>
    <x v="18"/>
    <s v="South Rice-South Hakki-kg-kg-1.0000"/>
    <n v="52"/>
    <n v="2"/>
    <x v="1"/>
    <s v="Ravi"/>
    <n v="104"/>
    <m/>
    <m/>
    <m/>
    <m/>
    <m/>
    <m/>
    <x v="0"/>
  </r>
  <r>
    <x v="18"/>
    <s v="Potato-Aloogedde-kg-kg-1.0000"/>
    <n v="20"/>
    <n v="0.6"/>
    <x v="1"/>
    <s v="Ravi"/>
    <n v="12"/>
    <m/>
    <m/>
    <m/>
    <m/>
    <m/>
    <m/>
    <x v="0"/>
  </r>
  <r>
    <x v="18"/>
    <s v="Capsicum-Capsicum-kg-kg-1.0000"/>
    <n v="30"/>
    <n v="0.34"/>
    <x v="1"/>
    <s v="Ravi"/>
    <n v="10.200000000000001"/>
    <m/>
    <m/>
    <m/>
    <m/>
    <m/>
    <m/>
    <x v="0"/>
  </r>
  <r>
    <x v="18"/>
    <s v="Lemon-Nimbehannu-count-count-1.0000"/>
    <n v="3"/>
    <n v="2"/>
    <x v="1"/>
    <s v="Ravi"/>
    <n v="6"/>
    <m/>
    <m/>
    <m/>
    <m/>
    <m/>
    <m/>
    <x v="0"/>
  </r>
  <r>
    <x v="18"/>
    <s v="Peas-batani-kg-kg-1.0000"/>
    <n v="48"/>
    <n v="0.4"/>
    <x v="2"/>
    <s v="Ravi"/>
    <n v="19.200000000000003"/>
    <m/>
    <m/>
    <m/>
    <m/>
    <m/>
    <m/>
    <x v="0"/>
  </r>
  <r>
    <x v="18"/>
    <s v="Green chilly-hasinmenshinkayi-kg-kg-1.0000"/>
    <n v="30"/>
    <n v="0.28499999999999998"/>
    <x v="2"/>
    <s v="Ravi"/>
    <n v="8.5499999999999989"/>
    <m/>
    <m/>
    <m/>
    <m/>
    <m/>
    <m/>
    <x v="0"/>
  </r>
  <r>
    <x v="18"/>
    <s v="Onion-Erulli-kg-kg-1.0000"/>
    <n v="14"/>
    <n v="0.64"/>
    <x v="2"/>
    <s v="Ravi"/>
    <n v="8.9600000000000009"/>
    <m/>
    <m/>
    <m/>
    <m/>
    <m/>
    <m/>
    <x v="0"/>
  </r>
  <r>
    <x v="18"/>
    <s v="Carrot-carrot-kg-kg-1.0000"/>
    <n v="27.97"/>
    <n v="0.21"/>
    <x v="2"/>
    <s v="Ravi"/>
    <n v="5.8736999999999995"/>
    <m/>
    <m/>
    <m/>
    <m/>
    <m/>
    <m/>
    <x v="0"/>
  </r>
  <r>
    <x v="18"/>
    <s v="Tomato (Jam)-tomatojam-kg-kg-1.0000"/>
    <n v="14.75"/>
    <n v="0.42499999999999999"/>
    <x v="2"/>
    <s v="Ravi"/>
    <n v="6.2687499999999998"/>
    <m/>
    <m/>
    <m/>
    <m/>
    <m/>
    <m/>
    <x v="0"/>
  </r>
  <r>
    <x v="18"/>
    <s v="Coriander leaves-Kothamiri Soppu-kg-kg-1.0000"/>
    <n v="25"/>
    <n v="0.125"/>
    <x v="2"/>
    <s v="Ravi"/>
    <n v="3.125"/>
    <m/>
    <m/>
    <m/>
    <m/>
    <m/>
    <m/>
    <x v="0"/>
  </r>
  <r>
    <x v="18"/>
    <s v="Milk-Haalu-lts-kg-1.0300"/>
    <n v="36"/>
    <n v="2"/>
    <x v="9"/>
    <s v="Staff"/>
    <n v="72"/>
    <m/>
    <m/>
    <m/>
    <m/>
    <m/>
    <m/>
    <x v="0"/>
  </r>
  <r>
    <x v="19"/>
    <s v="Sugar-Sakkre-kg-kg-1.0000"/>
    <n v="37"/>
    <n v="1.2450000000000001"/>
    <x v="4"/>
    <s v="Vicky"/>
    <n v="46.065000000000005"/>
    <m/>
    <m/>
    <m/>
    <m/>
    <m/>
    <m/>
    <x v="0"/>
  </r>
  <r>
    <x v="19"/>
    <s v="Milk-Haalu-lts-kg-1.0300"/>
    <n v="36"/>
    <n v="6.5"/>
    <x v="4"/>
    <s v="Vicky"/>
    <n v="234"/>
    <m/>
    <m/>
    <m/>
    <m/>
    <m/>
    <m/>
    <x v="0"/>
  </r>
  <r>
    <x v="19"/>
    <s v="Tea powder-Tea powder-kg-kg-1.0000"/>
    <n v="390"/>
    <n v="0.2"/>
    <x v="4"/>
    <s v="Vicky"/>
    <n v="78"/>
    <m/>
    <m/>
    <m/>
    <m/>
    <m/>
    <m/>
    <x v="0"/>
  </r>
  <r>
    <x v="19"/>
    <s v="Curd-Mosaru-lts-kg-1.0300"/>
    <n v="42"/>
    <n v="2"/>
    <x v="4"/>
    <s v="Vicky"/>
    <n v="84"/>
    <m/>
    <m/>
    <m/>
    <m/>
    <s v="Raitha"/>
    <m/>
    <x v="0"/>
  </r>
  <r>
    <x v="19"/>
    <s v="Capsicum-Capsicum-kg-kg-1.0000"/>
    <n v="30"/>
    <n v="1"/>
    <x v="0"/>
    <s v="Murthy"/>
    <n v="30"/>
    <m/>
    <m/>
    <m/>
    <m/>
    <m/>
    <m/>
    <x v="0"/>
  </r>
  <r>
    <x v="19"/>
    <s v="Onion-Erulli-kg-kg-1.0000"/>
    <n v="14"/>
    <n v="6.3"/>
    <x v="0"/>
    <s v="Murthy"/>
    <n v="88.2"/>
    <m/>
    <m/>
    <m/>
    <m/>
    <m/>
    <m/>
    <x v="0"/>
  </r>
  <r>
    <x v="19"/>
    <s v="Green chilly-hasinmenshinkayi-kg-kg-1.0000"/>
    <n v="30"/>
    <n v="0.5"/>
    <x v="0"/>
    <s v="Murthy"/>
    <n v="15"/>
    <m/>
    <m/>
    <m/>
    <m/>
    <m/>
    <m/>
    <x v="0"/>
  </r>
  <r>
    <x v="19"/>
    <s v="Carrot-carrot-kg-kg-1.0000"/>
    <n v="27.97"/>
    <n v="0.6"/>
    <x v="0"/>
    <s v="Murthy"/>
    <n v="16.782"/>
    <m/>
    <m/>
    <m/>
    <m/>
    <m/>
    <m/>
    <x v="0"/>
  </r>
  <r>
    <x v="19"/>
    <s v="Tomato (Jam)-tomatojam-kg-kg-1.0000"/>
    <n v="14.75"/>
    <n v="0.8"/>
    <x v="0"/>
    <s v="Murthy"/>
    <n v="11.8"/>
    <m/>
    <m/>
    <m/>
    <m/>
    <m/>
    <m/>
    <x v="0"/>
  </r>
  <r>
    <x v="19"/>
    <s v="Charcoal-Charcoal-kg-kg-1.0000"/>
    <n v="26"/>
    <n v="11.9"/>
    <x v="0"/>
    <s v="Murthy"/>
    <n v="309.40000000000003"/>
    <m/>
    <m/>
    <m/>
    <m/>
    <m/>
    <m/>
    <x v="0"/>
  </r>
  <r>
    <x v="19"/>
    <s v="Moong Dal-Hesaru bele-kg-kg-1.0000"/>
    <n v="75"/>
    <n v="1"/>
    <x v="0"/>
    <s v="Murthy"/>
    <n v="75"/>
    <m/>
    <m/>
    <m/>
    <m/>
    <m/>
    <m/>
    <x v="0"/>
  </r>
  <r>
    <x v="19"/>
    <s v="Coriander leaves-Kothamiri Soppu-kg-kg-1.0000"/>
    <n v="25"/>
    <n v="0.28000000000000003"/>
    <x v="0"/>
    <s v="Murthy"/>
    <n v="7.0000000000000009"/>
    <m/>
    <m/>
    <m/>
    <m/>
    <m/>
    <m/>
    <x v="0"/>
  </r>
  <r>
    <x v="19"/>
    <s v="Pudina-Pudina-kg-kg-1.0000"/>
    <n v="125"/>
    <n v="0.12"/>
    <x v="0"/>
    <s v="Murthy"/>
    <n v="15"/>
    <m/>
    <m/>
    <m/>
    <m/>
    <m/>
    <m/>
    <x v="0"/>
  </r>
  <r>
    <x v="19"/>
    <s v="Beans-Beans-kg-kg-1.0000"/>
    <n v="43.06"/>
    <n v="0.5"/>
    <x v="0"/>
    <s v="Murthy"/>
    <n v="21.53"/>
    <m/>
    <m/>
    <m/>
    <m/>
    <m/>
    <m/>
    <x v="0"/>
  </r>
  <r>
    <x v="19"/>
    <s v="Oil-Yenne-lts-kg-0.9150"/>
    <n v="82"/>
    <n v="3"/>
    <x v="0"/>
    <s v="Murthy"/>
    <n v="246"/>
    <m/>
    <m/>
    <m/>
    <m/>
    <m/>
    <m/>
    <x v="0"/>
  </r>
  <r>
    <x v="19"/>
    <s v="Byadagi chilly-Byadagi chilly-kg-kg-1.0000"/>
    <n v="280"/>
    <n v="0.2"/>
    <x v="0"/>
    <s v="Murthy"/>
    <n v="56"/>
    <m/>
    <m/>
    <m/>
    <m/>
    <m/>
    <m/>
    <x v="0"/>
  </r>
  <r>
    <x v="19"/>
    <s v="Guntur -guntur-kg-kg-1.0000"/>
    <n v="138"/>
    <n v="0.3"/>
    <x v="0"/>
    <s v="Murthy"/>
    <n v="41.4"/>
    <m/>
    <m/>
    <m/>
    <m/>
    <m/>
    <m/>
    <x v="0"/>
  </r>
  <r>
    <x v="19"/>
    <s v="Roti Wheat-Roti atta-kg-kg-1.0000"/>
    <n v="27"/>
    <n v="2.64"/>
    <x v="0"/>
    <s v="Murthy"/>
    <n v="71.28"/>
    <m/>
    <m/>
    <m/>
    <m/>
    <m/>
    <m/>
    <x v="0"/>
  </r>
  <r>
    <x v="19"/>
    <s v="Garlic-Belulli-kg-kg-1.0000"/>
    <n v="28"/>
    <n v="0.7"/>
    <x v="0"/>
    <s v="Murthy"/>
    <n v="19.599999999999998"/>
    <m/>
    <m/>
    <m/>
    <m/>
    <m/>
    <m/>
    <x v="0"/>
  </r>
  <r>
    <x v="19"/>
    <s v="Maida-Maida-kg-kg-1.0000"/>
    <n v="29.51"/>
    <n v="2.6"/>
    <x v="0"/>
    <s v="Murthy"/>
    <n v="76.726000000000013"/>
    <m/>
    <m/>
    <m/>
    <m/>
    <m/>
    <m/>
    <x v="0"/>
  </r>
  <r>
    <x v="19"/>
    <s v="Ginger-shunti-kg-kg-1.0000"/>
    <n v="40"/>
    <n v="0.15"/>
    <x v="0"/>
    <s v="Murthy"/>
    <n v="6"/>
    <m/>
    <m/>
    <m/>
    <m/>
    <m/>
    <m/>
    <x v="0"/>
  </r>
  <r>
    <x v="19"/>
    <s v="Cauliflower-hookosu-kg-kg-1.0000"/>
    <n v="23.33"/>
    <n v="3"/>
    <x v="0"/>
    <s v="Murthy"/>
    <n v="69.989999999999995"/>
    <m/>
    <m/>
    <m/>
    <m/>
    <m/>
    <m/>
    <x v="0"/>
  </r>
  <r>
    <x v="19"/>
    <s v="Basumathi Rice-Basumathi Rice-kg-kg-1.0000"/>
    <n v="62"/>
    <n v="1.5"/>
    <x v="0"/>
    <s v="Murthy"/>
    <n v="93"/>
    <m/>
    <m/>
    <m/>
    <m/>
    <m/>
    <m/>
    <x v="0"/>
  </r>
  <r>
    <x v="19"/>
    <s v="Curd-Mosaru-lts-kg-1.0300"/>
    <n v="42"/>
    <n v="0.5"/>
    <x v="0"/>
    <s v="Murthy"/>
    <n v="21"/>
    <m/>
    <m/>
    <m/>
    <m/>
    <m/>
    <m/>
    <x v="0"/>
  </r>
  <r>
    <x v="19"/>
    <s v="Milk-Haalu-lts-kg-1.0300"/>
    <n v="36"/>
    <n v="0.5"/>
    <x v="0"/>
    <s v="Murthy"/>
    <n v="18"/>
    <m/>
    <m/>
    <m/>
    <m/>
    <m/>
    <m/>
    <x v="0"/>
  </r>
  <r>
    <x v="19"/>
    <s v="Cinnamon-Chekke-kg-kg-1.0000"/>
    <n v="220"/>
    <n v="5.0000000000000001E-3"/>
    <x v="0"/>
    <s v="Murthy"/>
    <n v="1.1000000000000001"/>
    <m/>
    <m/>
    <m/>
    <m/>
    <m/>
    <m/>
    <x v="0"/>
  </r>
  <r>
    <x v="19"/>
    <s v="Mace-japathre-kg-kg-1.0000"/>
    <n v="1480"/>
    <n v="5.0000000000000001E-3"/>
    <x v="0"/>
    <s v="Murthy"/>
    <n v="7.4"/>
    <m/>
    <m/>
    <m/>
    <m/>
    <m/>
    <m/>
    <x v="0"/>
  </r>
  <r>
    <x v="19"/>
    <s v="Cloves-lavanga-kg-kg-1.0000"/>
    <n v="740"/>
    <n v="5.0000000000000001E-3"/>
    <x v="0"/>
    <s v="Murthy"/>
    <n v="3.7"/>
    <m/>
    <m/>
    <m/>
    <m/>
    <m/>
    <m/>
    <x v="0"/>
  </r>
  <r>
    <x v="19"/>
    <s v="Maratimoggu-Maratimoggu-kg-kg-1.0000"/>
    <n v="750"/>
    <n v="5.0000000000000001E-3"/>
    <x v="0"/>
    <s v="Murthy"/>
    <n v="3.75"/>
    <m/>
    <m/>
    <m/>
    <m/>
    <m/>
    <m/>
    <x v="0"/>
  </r>
  <r>
    <x v="19"/>
    <s v="Elaichi-yelakki-kg-kg-1.0000"/>
    <n v="1450"/>
    <n v="5.0000000000000001E-3"/>
    <x v="0"/>
    <s v="Murthy"/>
    <n v="7.25"/>
    <m/>
    <m/>
    <m/>
    <m/>
    <m/>
    <m/>
    <x v="0"/>
  </r>
  <r>
    <x v="19"/>
    <s v="Tomato (Jam)-tomatojam-kg-kg-1.0000"/>
    <n v="14.75"/>
    <n v="2"/>
    <x v="0"/>
    <s v="Murthy"/>
    <n v="29.5"/>
    <m/>
    <m/>
    <m/>
    <m/>
    <m/>
    <m/>
    <x v="0"/>
  </r>
  <r>
    <x v="19"/>
    <s v="Cucumber-sothekayi-kg-kg-1.0000"/>
    <n v="43.98"/>
    <n v="0.25"/>
    <x v="0"/>
    <s v="Murthy"/>
    <n v="10.994999999999999"/>
    <m/>
    <m/>
    <m/>
    <m/>
    <m/>
    <m/>
    <x v="0"/>
  </r>
  <r>
    <x v="19"/>
    <s v="Chilly Powder-Chilly Powder-kg-kg-1.0000"/>
    <n v="280"/>
    <n v="0.14000000000000001"/>
    <x v="0"/>
    <s v="Murthy"/>
    <n v="39.200000000000003"/>
    <m/>
    <m/>
    <m/>
    <m/>
    <m/>
    <m/>
    <x v="0"/>
  </r>
  <r>
    <x v="19"/>
    <s v="Garam Masala (100 gram)-garam masala-pkt-kg-0.1000"/>
    <n v="57.5"/>
    <n v="0.03"/>
    <x v="0"/>
    <s v="Murthy"/>
    <n v="1.7249999999999999"/>
    <m/>
    <m/>
    <m/>
    <m/>
    <m/>
    <m/>
    <x v="0"/>
  </r>
  <r>
    <x v="19"/>
    <s v="Mango-Mavinhannu-kg-kg-1.0000"/>
    <n v="150"/>
    <n v="1"/>
    <x v="5"/>
    <s v="Ravi"/>
    <n v="150"/>
    <m/>
    <m/>
    <m/>
    <m/>
    <m/>
    <m/>
    <x v="0"/>
  </r>
  <r>
    <x v="19"/>
    <s v="Milk-Haalu-lts-kg-1.0300"/>
    <n v="36"/>
    <n v="2"/>
    <x v="5"/>
    <s v="Ravi"/>
    <n v="72"/>
    <m/>
    <m/>
    <m/>
    <m/>
    <m/>
    <m/>
    <x v="0"/>
  </r>
  <r>
    <x v="19"/>
    <s v="Curd-Mosaru-lts-kg-1.0300"/>
    <n v="42"/>
    <n v="1"/>
    <x v="5"/>
    <s v="Ravi"/>
    <n v="42"/>
    <m/>
    <m/>
    <m/>
    <m/>
    <m/>
    <m/>
    <x v="0"/>
  </r>
  <r>
    <x v="19"/>
    <s v="Watermelon-Watermelon-kg-kg-1.0000"/>
    <n v="20"/>
    <n v="1.2"/>
    <x v="5"/>
    <s v="Ravi"/>
    <n v="24"/>
    <m/>
    <m/>
    <m/>
    <m/>
    <m/>
    <m/>
    <x v="0"/>
  </r>
  <r>
    <x v="19"/>
    <s v="Muskmelon-THARBUJA-kg-kg-1.0000"/>
    <n v="20"/>
    <n v="2.8499999999999996"/>
    <x v="5"/>
    <s v="Ravi"/>
    <n v="56.999999999999993"/>
    <m/>
    <m/>
    <m/>
    <m/>
    <m/>
    <m/>
    <x v="0"/>
  </r>
  <r>
    <x v="19"/>
    <s v="Garlic-Belulli-kg-kg-1.0000"/>
    <n v="28"/>
    <n v="0.21"/>
    <x v="2"/>
    <s v="Ravi"/>
    <n v="5.88"/>
    <m/>
    <m/>
    <m/>
    <m/>
    <m/>
    <m/>
    <x v="0"/>
  </r>
  <r>
    <x v="19"/>
    <s v="Ginger-shunti-kg-kg-1.0000"/>
    <n v="40"/>
    <n v="5.5E-2"/>
    <x v="2"/>
    <s v="Ravi"/>
    <n v="2.2000000000000002"/>
    <m/>
    <m/>
    <m/>
    <m/>
    <m/>
    <m/>
    <x v="0"/>
  </r>
  <r>
    <x v="19"/>
    <s v="Tomato (Jam)-tomatojam-kg-kg-1.0000"/>
    <n v="14.75"/>
    <n v="0.11"/>
    <x v="2"/>
    <s v="Ravi"/>
    <n v="1.6225000000000001"/>
    <m/>
    <m/>
    <m/>
    <m/>
    <m/>
    <m/>
    <x v="0"/>
  </r>
  <r>
    <x v="19"/>
    <s v="Coriander leaves-Kothamiri Soppu-kg-kg-1.0000"/>
    <n v="25"/>
    <n v="0.09"/>
    <x v="2"/>
    <s v="Ravi"/>
    <n v="2.25"/>
    <m/>
    <m/>
    <m/>
    <m/>
    <m/>
    <m/>
    <x v="0"/>
  </r>
  <r>
    <x v="19"/>
    <s v="Coconut-Theginkai-count-count-1.0000"/>
    <n v="28"/>
    <n v="1"/>
    <x v="2"/>
    <s v="Ravi"/>
    <n v="28"/>
    <m/>
    <m/>
    <m/>
    <m/>
    <m/>
    <m/>
    <x v="0"/>
  </r>
  <r>
    <x v="19"/>
    <s v="Potato-Aloogedde-kg-kg-1.0000"/>
    <n v="20"/>
    <n v="0.3"/>
    <x v="2"/>
    <s v="Ravi"/>
    <n v="6"/>
    <m/>
    <m/>
    <m/>
    <m/>
    <m/>
    <m/>
    <x v="0"/>
  </r>
  <r>
    <x v="19"/>
    <s v="Fried Gram-Hurgadle-kg-kg-1.0000"/>
    <n v="60"/>
    <n v="0.05"/>
    <x v="2"/>
    <s v="Ravi"/>
    <n v="3"/>
    <m/>
    <m/>
    <m/>
    <m/>
    <m/>
    <m/>
    <x v="0"/>
  </r>
  <r>
    <x v="19"/>
    <s v="Cinnamon-Chekke-kg-kg-1.0000"/>
    <n v="220"/>
    <n v="0.01"/>
    <x v="2"/>
    <s v="Ravi"/>
    <n v="2.2000000000000002"/>
    <m/>
    <m/>
    <m/>
    <m/>
    <m/>
    <m/>
    <x v="0"/>
  </r>
  <r>
    <x v="19"/>
    <s v="Cloves-lavanga-kg-kg-1.0000"/>
    <n v="740"/>
    <n v="0.01"/>
    <x v="2"/>
    <s v="Ravi"/>
    <n v="7.4"/>
    <m/>
    <m/>
    <m/>
    <m/>
    <m/>
    <m/>
    <x v="0"/>
  </r>
  <r>
    <x v="19"/>
    <s v="Meat Masala Powder (100 gram)-meat masala-pkt-kg-0.1000"/>
    <n v="49.5"/>
    <n v="0.4"/>
    <x v="2"/>
    <s v="Ravi"/>
    <n v="19.8"/>
    <m/>
    <m/>
    <m/>
    <m/>
    <m/>
    <m/>
    <x v="0"/>
  </r>
  <r>
    <x v="19"/>
    <s v="Onion-Erulli-kg-kg-1.0000"/>
    <n v="14"/>
    <n v="0.61499999999999999"/>
    <x v="2"/>
    <s v="Ravi"/>
    <n v="8.61"/>
    <m/>
    <m/>
    <m/>
    <m/>
    <m/>
    <m/>
    <x v="0"/>
  </r>
  <r>
    <x v="19"/>
    <s v="Kasoori Methi-Kasoori Methi-kg-kg-1.0000"/>
    <n v="450"/>
    <n v="5.0000000000000001E-3"/>
    <x v="2"/>
    <s v="Ravi"/>
    <n v="2.25"/>
    <m/>
    <m/>
    <m/>
    <m/>
    <m/>
    <m/>
    <x v="0"/>
  </r>
  <r>
    <x v="19"/>
    <s v="Tomato (Jam)-tomatojam-kg-kg-1.0000"/>
    <n v="14.75"/>
    <n v="0.35"/>
    <x v="2"/>
    <s v="Ravi"/>
    <n v="5.1624999999999996"/>
    <m/>
    <m/>
    <m/>
    <m/>
    <m/>
    <m/>
    <x v="0"/>
  </r>
  <r>
    <x v="19"/>
    <s v="Carrot-carrot-kg-kg-1.0000"/>
    <n v="27.97"/>
    <n v="0.3"/>
    <x v="2"/>
    <s v="Ravi"/>
    <n v="8.391"/>
    <m/>
    <m/>
    <m/>
    <m/>
    <m/>
    <m/>
    <x v="0"/>
  </r>
  <r>
    <x v="19"/>
    <s v="Coriander leaves-Kothamiri Soppu-kg-kg-1.0000"/>
    <n v="25"/>
    <n v="0.08"/>
    <x v="2"/>
    <s v="Ravi"/>
    <n v="2"/>
    <m/>
    <m/>
    <m/>
    <m/>
    <m/>
    <m/>
    <x v="0"/>
  </r>
  <r>
    <x v="19"/>
    <s v="Onion-Erulli-kg-kg-1.0000"/>
    <n v="14"/>
    <n v="0.37"/>
    <x v="6"/>
    <s v="Jaggu"/>
    <n v="5.18"/>
    <m/>
    <m/>
    <m/>
    <m/>
    <m/>
    <m/>
    <x v="0"/>
  </r>
  <r>
    <x v="19"/>
    <s v="Lemon-Nimbehannu-count-count-1.0000"/>
    <n v="3"/>
    <n v="4"/>
    <x v="6"/>
    <s v="Jaggu"/>
    <n v="12"/>
    <m/>
    <m/>
    <m/>
    <m/>
    <m/>
    <m/>
    <x v="0"/>
  </r>
  <r>
    <x v="19"/>
    <s v="Napkin-napkin-pkt-pkt-1.0000"/>
    <n v="14"/>
    <n v="3"/>
    <x v="8"/>
    <s v="Manju"/>
    <n v="42"/>
    <m/>
    <m/>
    <m/>
    <m/>
    <m/>
    <m/>
    <x v="0"/>
  </r>
  <r>
    <x v="19"/>
    <s v="Sugar-Sakkre-kg-kg-1.0000"/>
    <n v="37"/>
    <n v="0.31"/>
    <x v="8"/>
    <s v="Manju"/>
    <n v="11.47"/>
    <m/>
    <m/>
    <m/>
    <m/>
    <m/>
    <m/>
    <x v="0"/>
  </r>
  <r>
    <x v="19"/>
    <s v="Turmeric Powder-Arishina pudi-kg-kg-1.0000"/>
    <n v="187.41"/>
    <n v="0.45"/>
    <x v="0"/>
    <s v="Murthy"/>
    <n v="84.334500000000006"/>
    <m/>
    <m/>
    <m/>
    <m/>
    <m/>
    <m/>
    <x v="0"/>
  </r>
  <r>
    <x v="19"/>
    <s v="Chat Masala (100 gram)-chat masala-pkt-kg-0.1000"/>
    <n v="48"/>
    <n v="0.2"/>
    <x v="0"/>
    <s v="Murthy"/>
    <n v="9.6000000000000014"/>
    <m/>
    <m/>
    <m/>
    <m/>
    <m/>
    <m/>
    <x v="0"/>
  </r>
  <r>
    <x v="19"/>
    <s v="amchurpowder-amchurpudi-pkt-kg-0.1000"/>
    <n v="45"/>
    <n v="0.1"/>
    <x v="0"/>
    <s v="Murthy"/>
    <n v="4.5"/>
    <m/>
    <m/>
    <m/>
    <m/>
    <m/>
    <m/>
    <x v="0"/>
  </r>
  <r>
    <x v="19"/>
    <s v="Salt Powder-Uppu-kg-kg-1.0000"/>
    <n v="17"/>
    <n v="0.54"/>
    <x v="0"/>
    <s v="Murthy"/>
    <n v="9.18"/>
    <m/>
    <m/>
    <m/>
    <m/>
    <m/>
    <m/>
    <x v="0"/>
  </r>
  <r>
    <x v="19"/>
    <s v="Black Pepper Powder-Kaal menasu-kg-kg-1.0000"/>
    <n v="380"/>
    <n v="1.4999999999999999E-2"/>
    <x v="0"/>
    <s v="Murthy"/>
    <n v="5.7"/>
    <m/>
    <m/>
    <m/>
    <m/>
    <m/>
    <m/>
    <x v="0"/>
  </r>
  <r>
    <x v="19"/>
    <s v="White Pepper Powder (500 gram)-Billi menasu pudi-kg-kg-1.0000"/>
    <n v="180"/>
    <n v="0.19"/>
    <x v="0"/>
    <s v="Murthy"/>
    <n v="34.200000000000003"/>
    <m/>
    <m/>
    <m/>
    <m/>
    <m/>
    <m/>
    <x v="0"/>
  </r>
  <r>
    <x v="19"/>
    <s v="Tasting Powder (500 kg)-tasting powder-kg-kg-1.0000"/>
    <n v="148"/>
    <n v="0.11"/>
    <x v="0"/>
    <s v="Murthy"/>
    <n v="16.28"/>
    <m/>
    <m/>
    <m/>
    <m/>
    <m/>
    <m/>
    <x v="0"/>
  </r>
  <r>
    <x v="19"/>
    <s v="Vinegar-Vinegar-bottle-kg-0.8600"/>
    <n v="24"/>
    <n v="7.0000000000000007E-2"/>
    <x v="0"/>
    <s v="Murthy"/>
    <n v="1.6800000000000002"/>
    <m/>
    <m/>
    <m/>
    <m/>
    <m/>
    <m/>
    <x v="0"/>
  </r>
  <r>
    <x v="19"/>
    <s v="Dark soya souce-Dark soya souce-bottle-kg-0.8150"/>
    <n v="33"/>
    <n v="0.05"/>
    <x v="0"/>
    <s v="Murthy"/>
    <n v="1.6500000000000001"/>
    <m/>
    <m/>
    <m/>
    <m/>
    <m/>
    <m/>
    <x v="0"/>
  </r>
  <r>
    <x v="19"/>
    <s v="Ketchup(1.2 kg)-ketchup-bottle-kg-1.2000"/>
    <n v="75"/>
    <n v="0.34"/>
    <x v="0"/>
    <s v="Murthy"/>
    <n v="25.500000000000004"/>
    <m/>
    <m/>
    <m/>
    <m/>
    <m/>
    <m/>
    <x v="0"/>
  </r>
  <r>
    <x v="19"/>
    <s v="Coriander Powder (500 gram)-Dhanya Powder (500 gram)-kg-kg-1.0000"/>
    <n v="120"/>
    <n v="0.02"/>
    <x v="0"/>
    <s v="Murthy"/>
    <n v="2.4"/>
    <m/>
    <m/>
    <m/>
    <m/>
    <m/>
    <m/>
    <x v="0"/>
  </r>
  <r>
    <x v="19"/>
    <s v="Yellow Gravy"/>
    <n v="0"/>
    <n v="2.1"/>
    <x v="0"/>
    <s v="Murthy"/>
    <n v="0"/>
    <m/>
    <m/>
    <m/>
    <m/>
    <m/>
    <m/>
    <x v="0"/>
  </r>
  <r>
    <x v="19"/>
    <s v="Burjji Masala"/>
    <n v="0"/>
    <n v="0.32"/>
    <x v="0"/>
    <s v="Murthy"/>
    <n v="0"/>
    <m/>
    <m/>
    <m/>
    <m/>
    <m/>
    <m/>
    <x v="0"/>
  </r>
  <r>
    <x v="19"/>
    <s v="Kitchen king (100 gram)-Kitchen king (100 gram)-pkt-kg-0.1000"/>
    <n v="51"/>
    <n v="0.9"/>
    <x v="0"/>
    <s v="Murthy"/>
    <n v="45.9"/>
    <m/>
    <m/>
    <m/>
    <m/>
    <m/>
    <m/>
    <x v="0"/>
  </r>
  <r>
    <x v="19"/>
    <s v="Cream-Cream-lts-kg-1.0000"/>
    <n v="190"/>
    <n v="0.04"/>
    <x v="0"/>
    <s v="Murthy"/>
    <n v="7.6000000000000005"/>
    <m/>
    <m/>
    <m/>
    <m/>
    <m/>
    <m/>
    <x v="0"/>
  </r>
  <r>
    <x v="19"/>
    <s v="Ghee-Thuppa-lts-kg-0.9300"/>
    <n v="430"/>
    <n v="0.05"/>
    <x v="0"/>
    <s v="Murthy"/>
    <n v="21.5"/>
    <m/>
    <m/>
    <m/>
    <m/>
    <m/>
    <m/>
    <x v="0"/>
  </r>
  <r>
    <x v="19"/>
    <s v="Mushroom-Mushroom-pkt-pkt-1.0000"/>
    <n v="32"/>
    <n v="5"/>
    <x v="0"/>
    <s v="Murthy"/>
    <n v="160"/>
    <m/>
    <m/>
    <m/>
    <m/>
    <m/>
    <m/>
    <x v="0"/>
  </r>
  <r>
    <x v="19"/>
    <s v="Butter-Butter-kg-kg-1.0000"/>
    <n v="140"/>
    <n v="0.4"/>
    <x v="0"/>
    <s v="Murthy"/>
    <n v="56"/>
    <m/>
    <m/>
    <m/>
    <m/>
    <m/>
    <m/>
    <x v="0"/>
  </r>
  <r>
    <x v="19"/>
    <s v="Paneer-Paneer-kg-kg-1.0000"/>
    <n v="175"/>
    <n v="0.35"/>
    <x v="0"/>
    <s v="Murthy"/>
    <n v="61.249999999999993"/>
    <m/>
    <m/>
    <m/>
    <m/>
    <m/>
    <m/>
    <x v="0"/>
  </r>
  <r>
    <x v="19"/>
    <s v="Babycorn-Babycorn-kg-kg-1.0000"/>
    <n v="60"/>
    <n v="0.2"/>
    <x v="0"/>
    <s v="Murthy"/>
    <n v="12"/>
    <m/>
    <m/>
    <m/>
    <m/>
    <m/>
    <m/>
    <x v="0"/>
  </r>
  <r>
    <x v="19"/>
    <s v="Green peas-green peas-kg-kg-1.0000"/>
    <n v="100"/>
    <n v="0.7"/>
    <x v="0"/>
    <s v="Murthy"/>
    <n v="70"/>
    <m/>
    <m/>
    <m/>
    <m/>
    <m/>
    <m/>
    <x v="0"/>
  </r>
  <r>
    <x v="19"/>
    <s v="French fries-french fries-kg-kg-1.0000"/>
    <n v="280"/>
    <n v="0.75"/>
    <x v="0"/>
    <s v="Murthy"/>
    <n v="210"/>
    <m/>
    <m/>
    <m/>
    <m/>
    <m/>
    <m/>
    <x v="0"/>
  </r>
  <r>
    <x v="19"/>
    <s v="Pickle-Uppinkayi-kg-kg-1.0000"/>
    <n v="40"/>
    <n v="0.3"/>
    <x v="1"/>
    <s v="Ravi"/>
    <n v="12"/>
    <m/>
    <m/>
    <m/>
    <m/>
    <m/>
    <m/>
    <x v="0"/>
  </r>
  <r>
    <x v="19"/>
    <s v="Potato-Aloogedde-kg-kg-1.0000"/>
    <n v="20"/>
    <n v="1.4"/>
    <x v="1"/>
    <s v="Ravi"/>
    <n v="28"/>
    <m/>
    <m/>
    <m/>
    <m/>
    <m/>
    <m/>
    <x v="0"/>
  </r>
  <r>
    <x v="19"/>
    <s v="Chiroti Semolina-Chiroti rava-kg-kg-1.0000"/>
    <n v="34"/>
    <n v="0.45"/>
    <x v="1"/>
    <s v="Ravi"/>
    <n v="15.3"/>
    <m/>
    <m/>
    <m/>
    <m/>
    <m/>
    <m/>
    <x v="0"/>
  </r>
  <r>
    <x v="19"/>
    <s v="Milk-Haalu-lts-kg-1.0300"/>
    <n v="36"/>
    <n v="0.5"/>
    <x v="1"/>
    <s v="Ravi"/>
    <n v="18"/>
    <m/>
    <m/>
    <m/>
    <m/>
    <m/>
    <m/>
    <x v="0"/>
  </r>
  <r>
    <x v="19"/>
    <s v="Curd-Mosaru-lts-kg-1.0300"/>
    <n v="42"/>
    <n v="1.5"/>
    <x v="1"/>
    <s v="Ravi"/>
    <n v="63"/>
    <m/>
    <m/>
    <m/>
    <m/>
    <m/>
    <m/>
    <x v="0"/>
  </r>
  <r>
    <x v="19"/>
    <s v="Coconut-Theginkai-count-count-1.0000"/>
    <n v="28"/>
    <n v="3"/>
    <x v="1"/>
    <s v="Ravi"/>
    <n v="84"/>
    <m/>
    <m/>
    <m/>
    <m/>
    <m/>
    <m/>
    <x v="0"/>
  </r>
  <r>
    <x v="19"/>
    <s v="South Rice-South Hakki-kg-kg-1.0000"/>
    <n v="52"/>
    <n v="5"/>
    <x v="1"/>
    <s v="Ravi"/>
    <n v="260"/>
    <m/>
    <m/>
    <m/>
    <m/>
    <m/>
    <m/>
    <x v="0"/>
  </r>
  <r>
    <x v="19"/>
    <s v="Sugar-Sakkre-kg-kg-1.0000"/>
    <n v="37"/>
    <n v="0.9"/>
    <x v="1"/>
    <s v="Ravi"/>
    <n v="33.300000000000004"/>
    <m/>
    <m/>
    <m/>
    <m/>
    <m/>
    <m/>
    <x v="0"/>
  </r>
  <r>
    <x v="19"/>
    <s v="Chilly Powder-Chilly Powder-kg-kg-1.0000"/>
    <n v="280"/>
    <n v="8.5000000000000006E-2"/>
    <x v="1"/>
    <s v="Ravi"/>
    <n v="23.8"/>
    <m/>
    <m/>
    <m/>
    <m/>
    <m/>
    <m/>
    <x v="0"/>
  </r>
  <r>
    <x v="19"/>
    <s v="Coriander Powder (500 gram)-Dhanya Powder (500 gram)-kg-kg-1.0000"/>
    <n v="120"/>
    <n v="2.5000000000000001E-2"/>
    <x v="1"/>
    <s v="Ravi"/>
    <n v="3"/>
    <m/>
    <m/>
    <m/>
    <m/>
    <m/>
    <m/>
    <x v="0"/>
  </r>
  <r>
    <x v="19"/>
    <s v="Coriander seeds-Dhanya Beeja-kg-kg-1.0000"/>
    <n v="90"/>
    <n v="0.19"/>
    <x v="1"/>
    <s v="Ravi"/>
    <n v="17.100000000000001"/>
    <m/>
    <m/>
    <m/>
    <m/>
    <m/>
    <m/>
    <x v="0"/>
  </r>
  <r>
    <x v="19"/>
    <s v="Crystal Salt-Kalluppu-kg-kg-1.0000"/>
    <n v="7"/>
    <n v="0.48"/>
    <x v="1"/>
    <s v="Ravi"/>
    <n v="3.36"/>
    <m/>
    <m/>
    <m/>
    <m/>
    <m/>
    <m/>
    <x v="0"/>
  </r>
  <r>
    <x v="19"/>
    <s v="Turmeric Powder-Arishina pudi-kg-kg-1.0000"/>
    <n v="187.41"/>
    <n v="5.5E-2"/>
    <x v="1"/>
    <s v="Ravi"/>
    <n v="10.307549999999999"/>
    <m/>
    <m/>
    <m/>
    <m/>
    <m/>
    <m/>
    <x v="0"/>
  </r>
  <r>
    <x v="19"/>
    <s v="Guntur -guntur-kg-kg-1.0000"/>
    <n v="138"/>
    <n v="0.02"/>
    <x v="1"/>
    <s v="Ravi"/>
    <n v="2.7600000000000002"/>
    <m/>
    <m/>
    <m/>
    <m/>
    <m/>
    <m/>
    <x v="0"/>
  </r>
  <r>
    <x v="19"/>
    <s v="Oil-Yenne-lts-kg-0.9150"/>
    <n v="82"/>
    <n v="1"/>
    <x v="1"/>
    <s v="Ravi"/>
    <n v="82"/>
    <m/>
    <m/>
    <m/>
    <m/>
    <m/>
    <m/>
    <x v="0"/>
  </r>
  <r>
    <x v="19"/>
    <s v="Jeera Seeds-Jeerge-kg-kg-1.0000"/>
    <n v="230"/>
    <n v="8.5000000000000006E-2"/>
    <x v="1"/>
    <s v="Ravi"/>
    <n v="19.55"/>
    <m/>
    <m/>
    <m/>
    <m/>
    <m/>
    <m/>
    <x v="0"/>
  </r>
  <r>
    <x v="19"/>
    <s v="Mustard-Sasive-kg-kg-1.0000"/>
    <n v="70"/>
    <n v="0.05"/>
    <x v="1"/>
    <s v="Ravi"/>
    <n v="3.5"/>
    <m/>
    <m/>
    <m/>
    <m/>
    <m/>
    <m/>
    <x v="0"/>
  </r>
  <r>
    <x v="19"/>
    <s v="channadal(split)-Kadlebele-kg-kg-1.0000"/>
    <n v="55"/>
    <n v="0.19"/>
    <x v="1"/>
    <s v="Ravi"/>
    <n v="10.45"/>
    <m/>
    <m/>
    <m/>
    <m/>
    <m/>
    <m/>
    <x v="0"/>
  </r>
  <r>
    <x v="19"/>
    <s v="Onion-Erulli-kg-kg-1.0000"/>
    <n v="14"/>
    <n v="3"/>
    <x v="1"/>
    <s v="Ravi"/>
    <n v="42"/>
    <m/>
    <m/>
    <m/>
    <m/>
    <m/>
    <m/>
    <x v="0"/>
  </r>
  <r>
    <x v="19"/>
    <s v="Garlic-Belulli-kg-kg-1.0000"/>
    <n v="28"/>
    <n v="0.25"/>
    <x v="1"/>
    <s v="Ravi"/>
    <n v="7"/>
    <m/>
    <m/>
    <m/>
    <m/>
    <m/>
    <m/>
    <x v="0"/>
  </r>
  <r>
    <x v="19"/>
    <s v="Wheat-Godhi-kg-kg-1.0000"/>
    <n v="34"/>
    <n v="0.75"/>
    <x v="1"/>
    <s v="Ravi"/>
    <n v="25.5"/>
    <m/>
    <m/>
    <m/>
    <m/>
    <m/>
    <m/>
    <x v="0"/>
  </r>
  <r>
    <x v="19"/>
    <s v="Toordal-Thogaribele-kg-kg-1.0000"/>
    <n v="64.069999999999993"/>
    <n v="0.6"/>
    <x v="1"/>
    <s v="Ravi"/>
    <n v="38.441999999999993"/>
    <m/>
    <m/>
    <m/>
    <m/>
    <m/>
    <m/>
    <x v="0"/>
  </r>
  <r>
    <x v="19"/>
    <s v="Tamarind-hunsehannu-kg-kg-1.0000"/>
    <n v="170"/>
    <n v="0.18"/>
    <x v="1"/>
    <s v="Ravi"/>
    <n v="30.599999999999998"/>
    <m/>
    <m/>
    <m/>
    <m/>
    <m/>
    <m/>
    <x v="0"/>
  </r>
  <r>
    <x v="19"/>
    <s v="Fried Gram-Hurgadle-kg-kg-1.0000"/>
    <n v="60"/>
    <n v="0.1"/>
    <x v="1"/>
    <s v="Ravi"/>
    <n v="6"/>
    <m/>
    <m/>
    <m/>
    <m/>
    <m/>
    <m/>
    <x v="0"/>
  </r>
  <r>
    <x v="19"/>
    <s v="Guntur -guntur-kg-kg-1.0000"/>
    <n v="138"/>
    <n v="0.03"/>
    <x v="1"/>
    <s v="Ravi"/>
    <n v="4.1399999999999997"/>
    <m/>
    <m/>
    <m/>
    <m/>
    <m/>
    <m/>
    <x v="0"/>
  </r>
  <r>
    <x v="19"/>
    <s v="Green chilly-hasinmenshinkayi-kg-kg-1.0000"/>
    <n v="30"/>
    <n v="0.25"/>
    <x v="1"/>
    <s v="Ravi"/>
    <n v="7.5"/>
    <m/>
    <m/>
    <m/>
    <m/>
    <m/>
    <m/>
    <x v="0"/>
  </r>
  <r>
    <x v="19"/>
    <s v="Groundnut Seeds-Kadlekayi Beeja-kg-kg-1.0000"/>
    <n v="108"/>
    <n v="0.2"/>
    <x v="1"/>
    <s v="Ravi"/>
    <n v="21.6"/>
    <m/>
    <m/>
    <m/>
    <m/>
    <m/>
    <m/>
    <x v="0"/>
  </r>
  <r>
    <x v="19"/>
    <s v="Fenugreek Seeds-menthya beeja-kg-kg-1.0000"/>
    <n v="125"/>
    <n v="0.08"/>
    <x v="1"/>
    <s v="Ravi"/>
    <n v="10"/>
    <m/>
    <m/>
    <m/>
    <m/>
    <m/>
    <m/>
    <x v="0"/>
  </r>
  <r>
    <x v="19"/>
    <s v="Urad Dal-Uddina bele-kg-kg-1.0000"/>
    <n v="76"/>
    <n v="0.19500000000000001"/>
    <x v="1"/>
    <s v="Ravi"/>
    <n v="14.82"/>
    <m/>
    <m/>
    <m/>
    <m/>
    <m/>
    <m/>
    <x v="0"/>
  </r>
  <r>
    <x v="19"/>
    <s v="Beans-Beans-kg-kg-1.0000"/>
    <n v="43.06"/>
    <n v="0.5"/>
    <x v="1"/>
    <s v="Ravi"/>
    <n v="21.53"/>
    <m/>
    <m/>
    <m/>
    <m/>
    <m/>
    <m/>
    <x v="0"/>
  </r>
  <r>
    <x v="19"/>
    <s v="Carrot-carrot-kg-kg-1.0000"/>
    <n v="27.97"/>
    <n v="0.6"/>
    <x v="1"/>
    <s v="Ravi"/>
    <n v="16.782"/>
    <m/>
    <m/>
    <m/>
    <m/>
    <m/>
    <m/>
    <x v="0"/>
  </r>
  <r>
    <x v="19"/>
    <s v="Pudina-Pudina-kg-kg-1.0000"/>
    <n v="125"/>
    <n v="0.12"/>
    <x v="1"/>
    <s v="Ravi"/>
    <n v="15"/>
    <m/>
    <m/>
    <m/>
    <m/>
    <m/>
    <m/>
    <x v="0"/>
  </r>
  <r>
    <x v="19"/>
    <s v="curry leaves-karbensoppu-kg-kg-1.0000"/>
    <n v="312.14"/>
    <n v="0.06"/>
    <x v="1"/>
    <s v="Ravi"/>
    <n v="18.728399999999997"/>
    <m/>
    <m/>
    <m/>
    <m/>
    <m/>
    <m/>
    <x v="0"/>
  </r>
  <r>
    <x v="19"/>
    <s v="Tomato (Huli)-tomatohuli-kg-kg-1.0000"/>
    <n v="15"/>
    <n v="1.5"/>
    <x v="1"/>
    <s v="Ravi"/>
    <n v="22.5"/>
    <m/>
    <m/>
    <m/>
    <m/>
    <m/>
    <m/>
    <x v="0"/>
  </r>
  <r>
    <x v="19"/>
    <s v="Beaten Rice-avalakki-kg-kg-1.0000"/>
    <n v="44"/>
    <n v="1.3"/>
    <x v="1"/>
    <s v="Ravi"/>
    <n v="57.2"/>
    <m/>
    <m/>
    <m/>
    <m/>
    <m/>
    <m/>
    <x v="0"/>
  </r>
  <r>
    <x v="19"/>
    <s v="South Papad (500 gram)-South Papad (500 gram)-pkt-kg-0.5000"/>
    <n v="62.03"/>
    <n v="7.0000000000000007E-2"/>
    <x v="1"/>
    <s v="Ravi"/>
    <n v="4.3421000000000003"/>
    <m/>
    <m/>
    <m/>
    <m/>
    <m/>
    <m/>
    <x v="0"/>
  </r>
  <r>
    <x v="19"/>
    <s v="North Papad (1 kg)-North Papad (1 kg)-kg-kg-1.0000"/>
    <n v="160"/>
    <n v="0.06"/>
    <x v="1"/>
    <s v="Ravi"/>
    <n v="9.6"/>
    <m/>
    <m/>
    <m/>
    <m/>
    <m/>
    <m/>
    <x v="0"/>
  </r>
  <r>
    <x v="19"/>
    <s v="Apple-SEBU-kg-kg-1.0000"/>
    <n v="120"/>
    <n v="0.15"/>
    <x v="1"/>
    <s v="Ravi"/>
    <n v="18"/>
    <m/>
    <m/>
    <m/>
    <m/>
    <m/>
    <m/>
    <x v="0"/>
  </r>
  <r>
    <x v="19"/>
    <s v="Ginger-shunti-kg-kg-1.0000"/>
    <n v="40"/>
    <n v="0.2"/>
    <x v="1"/>
    <s v="Ravi"/>
    <n v="8"/>
    <m/>
    <m/>
    <m/>
    <m/>
    <m/>
    <m/>
    <x v="0"/>
  </r>
  <r>
    <x v="19"/>
    <s v="Capsicum-Capsicum-kg-kg-1.0000"/>
    <n v="30"/>
    <n v="0.01"/>
    <x v="1"/>
    <s v="Ravi"/>
    <n v="0.3"/>
    <m/>
    <m/>
    <m/>
    <m/>
    <m/>
    <m/>
    <x v="0"/>
  </r>
  <r>
    <x v="19"/>
    <s v="Elaichi-yelakki-kg-kg-1.0000"/>
    <n v="1450"/>
    <n v="0.05"/>
    <x v="1"/>
    <s v="Ravi"/>
    <n v="72.5"/>
    <m/>
    <m/>
    <m/>
    <m/>
    <m/>
    <m/>
    <x v="0"/>
  </r>
  <r>
    <x v="19"/>
    <s v="Cashew-Godambi-kg-kg-1.0000"/>
    <n v="840"/>
    <n v="2.5000000000000001E-2"/>
    <x v="1"/>
    <s v="Ravi"/>
    <n v="21"/>
    <m/>
    <m/>
    <m/>
    <m/>
    <m/>
    <m/>
    <x v="0"/>
  </r>
  <r>
    <x v="19"/>
    <s v="Raisin-drakshi-kg-kg-1.0000"/>
    <n v="240"/>
    <n v="2.5000000000000001E-2"/>
    <x v="1"/>
    <s v="Ravi"/>
    <n v="6"/>
    <m/>
    <m/>
    <m/>
    <m/>
    <m/>
    <m/>
    <x v="0"/>
  </r>
  <r>
    <x v="19"/>
    <s v="Byadagi chilly-Byadagi chilly-kg-kg-1.0000"/>
    <n v="280"/>
    <n v="0.03"/>
    <x v="1"/>
    <s v="Ravi"/>
    <n v="8.4"/>
    <m/>
    <m/>
    <m/>
    <m/>
    <m/>
    <m/>
    <x v="0"/>
  </r>
  <r>
    <x v="19"/>
    <s v="mixed vegetables-mixed tharkari-kg-kg-1.0000"/>
    <n v="35"/>
    <n v="2.5"/>
    <x v="1"/>
    <s v="Ravi"/>
    <n v="87.5"/>
    <m/>
    <m/>
    <m/>
    <m/>
    <m/>
    <m/>
    <x v="0"/>
  </r>
  <r>
    <x v="19"/>
    <s v="Cauliflower-hookosu-kg-kg-1.0000"/>
    <n v="23.33"/>
    <n v="0.11"/>
    <x v="1"/>
    <s v="Ravi"/>
    <n v="2.5663"/>
    <m/>
    <m/>
    <m/>
    <m/>
    <m/>
    <m/>
    <x v="0"/>
  </r>
  <r>
    <x v="19"/>
    <s v="Coriander leaves-Kothamiri Soppu-kg-kg-1.0000"/>
    <n v="25"/>
    <n v="0.26"/>
    <x v="1"/>
    <s v="Ravi"/>
    <n v="6.5"/>
    <m/>
    <m/>
    <m/>
    <m/>
    <m/>
    <m/>
    <x v="0"/>
  </r>
  <r>
    <x v="19"/>
    <s v="Potato-Aloogedde-kg-kg-1.0000"/>
    <n v="20"/>
    <n v="1.4"/>
    <x v="1"/>
    <s v="Ravi"/>
    <n v="28"/>
    <m/>
    <m/>
    <m/>
    <m/>
    <m/>
    <m/>
    <x v="0"/>
  </r>
  <r>
    <x v="19"/>
    <s v="Gas-Gas-kg-kg-1.0000"/>
    <n v="78.95"/>
    <n v="15"/>
    <x v="3"/>
    <s v="Common"/>
    <n v="1184.25"/>
    <m/>
    <m/>
    <m/>
    <m/>
    <m/>
    <m/>
    <x v="0"/>
  </r>
  <r>
    <x v="20"/>
    <s v="Milk-Haalu-lts-kg-1.0300"/>
    <n v="36"/>
    <n v="2.5"/>
    <x v="1"/>
    <s v="Ravi"/>
    <n v="90"/>
    <m/>
    <m/>
    <m/>
    <m/>
    <s v="Sweet"/>
    <m/>
    <x v="0"/>
  </r>
  <r>
    <x v="20"/>
    <s v="Curd-Mosaru-lts-kg-1.0300"/>
    <n v="42"/>
    <n v="1.5"/>
    <x v="1"/>
    <s v="Ravi"/>
    <n v="63"/>
    <m/>
    <m/>
    <m/>
    <m/>
    <m/>
    <m/>
    <x v="0"/>
  </r>
  <r>
    <x v="20"/>
    <s v="Coconut-Theginkai-count-count-1.0000"/>
    <n v="28"/>
    <n v="4"/>
    <x v="1"/>
    <s v="Ravi"/>
    <n v="112"/>
    <m/>
    <m/>
    <m/>
    <m/>
    <m/>
    <m/>
    <x v="0"/>
  </r>
  <r>
    <x v="20"/>
    <s v="South Rice-South Hakki-kg-kg-1.0000"/>
    <n v="52"/>
    <n v="4.5"/>
    <x v="1"/>
    <s v="Ravi"/>
    <n v="234"/>
    <m/>
    <m/>
    <m/>
    <m/>
    <m/>
    <m/>
    <x v="0"/>
  </r>
  <r>
    <x v="20"/>
    <s v="Sugar-Sakkre-kg-kg-1.0000"/>
    <n v="37"/>
    <n v="0.45"/>
    <x v="1"/>
    <s v="Ravi"/>
    <n v="16.650000000000002"/>
    <m/>
    <m/>
    <m/>
    <m/>
    <m/>
    <m/>
    <x v="0"/>
  </r>
  <r>
    <x v="20"/>
    <s v="Chilly Powder-Chilly Powder-kg-kg-1.0000"/>
    <n v="280"/>
    <n v="0.1"/>
    <x v="1"/>
    <s v="Ravi"/>
    <n v="28"/>
    <m/>
    <m/>
    <m/>
    <m/>
    <m/>
    <m/>
    <x v="0"/>
  </r>
  <r>
    <x v="20"/>
    <s v="Coriander Powder (500 gram)-Dhanya Powder (500 gram)-kg-kg-1.0000"/>
    <n v="120"/>
    <n v="7.0000000000000007E-2"/>
    <x v="1"/>
    <s v="Ravi"/>
    <n v="8.4"/>
    <m/>
    <m/>
    <m/>
    <m/>
    <m/>
    <m/>
    <x v="0"/>
  </r>
  <r>
    <x v="20"/>
    <s v="Crystal Salt-Kalluppu-kg-kg-1.0000"/>
    <n v="7"/>
    <n v="0.8"/>
    <x v="1"/>
    <s v="Ravi"/>
    <n v="5.6000000000000005"/>
    <m/>
    <m/>
    <m/>
    <m/>
    <m/>
    <m/>
    <x v="0"/>
  </r>
  <r>
    <x v="20"/>
    <s v="Turmeric Powder-Arishina pudi-kg-kg-1.0000"/>
    <n v="187.41"/>
    <n v="4.4999999999999998E-2"/>
    <x v="1"/>
    <s v="Ravi"/>
    <n v="8.4334499999999988"/>
    <m/>
    <m/>
    <m/>
    <m/>
    <m/>
    <m/>
    <x v="0"/>
  </r>
  <r>
    <x v="20"/>
    <s v="Oil-Yenne-lts-kg-0.9150"/>
    <n v="82"/>
    <n v="1"/>
    <x v="1"/>
    <s v="Ravi"/>
    <n v="82"/>
    <m/>
    <m/>
    <m/>
    <m/>
    <m/>
    <m/>
    <x v="0"/>
  </r>
  <r>
    <x v="20"/>
    <s v="Jeera Seeds-Jeerge-kg-kg-1.0000"/>
    <n v="230"/>
    <n v="0.115"/>
    <x v="1"/>
    <s v="Ravi"/>
    <n v="26.450000000000003"/>
    <m/>
    <m/>
    <m/>
    <m/>
    <m/>
    <m/>
    <x v="0"/>
  </r>
  <r>
    <x v="20"/>
    <s v="Mustard-Sasive-kg-kg-1.0000"/>
    <n v="70"/>
    <n v="0.05"/>
    <x v="1"/>
    <s v="Ravi"/>
    <n v="3.5"/>
    <m/>
    <m/>
    <m/>
    <m/>
    <m/>
    <m/>
    <x v="0"/>
  </r>
  <r>
    <x v="20"/>
    <s v="channadal(split)-Kadlebele-kg-kg-1.0000"/>
    <n v="55"/>
    <n v="0.22"/>
    <x v="1"/>
    <s v="Ravi"/>
    <n v="12.1"/>
    <m/>
    <m/>
    <m/>
    <m/>
    <m/>
    <m/>
    <x v="0"/>
  </r>
  <r>
    <x v="20"/>
    <s v="Onion-Erulli-kg-kg-1.0000"/>
    <n v="14"/>
    <n v="3"/>
    <x v="1"/>
    <s v="Ravi"/>
    <n v="42"/>
    <m/>
    <m/>
    <m/>
    <m/>
    <m/>
    <m/>
    <x v="0"/>
  </r>
  <r>
    <x v="20"/>
    <s v="Garlic-Belulli-kg-kg-1.0000"/>
    <n v="28"/>
    <n v="0.3"/>
    <x v="1"/>
    <s v="Ravi"/>
    <n v="8.4"/>
    <m/>
    <m/>
    <m/>
    <m/>
    <m/>
    <m/>
    <x v="0"/>
  </r>
  <r>
    <x v="20"/>
    <s v="Ginger-shunti-kg-kg-1.0000"/>
    <n v="40"/>
    <n v="0.15"/>
    <x v="1"/>
    <s v="Ravi"/>
    <n v="6"/>
    <m/>
    <m/>
    <m/>
    <m/>
    <m/>
    <m/>
    <x v="0"/>
  </r>
  <r>
    <x v="20"/>
    <s v="Wheat-Godhi-kg-kg-1.0000"/>
    <n v="34"/>
    <n v="0.75"/>
    <x v="1"/>
    <s v="Ravi"/>
    <n v="25.5"/>
    <m/>
    <m/>
    <m/>
    <m/>
    <m/>
    <m/>
    <x v="0"/>
  </r>
  <r>
    <x v="20"/>
    <s v="Fried Gram-Hurgadle-kg-kg-1.0000"/>
    <n v="60"/>
    <n v="0.12"/>
    <x v="1"/>
    <s v="Ravi"/>
    <n v="7.1999999999999993"/>
    <m/>
    <m/>
    <m/>
    <m/>
    <m/>
    <m/>
    <x v="0"/>
  </r>
  <r>
    <x v="20"/>
    <s v="vermicelli-Shavige-kg-kg-1.0000"/>
    <n v="61.08"/>
    <n v="0.45"/>
    <x v="1"/>
    <s v="Ravi"/>
    <n v="27.486000000000001"/>
    <m/>
    <m/>
    <m/>
    <m/>
    <m/>
    <m/>
    <x v="0"/>
  </r>
  <r>
    <x v="20"/>
    <s v="Guntur -guntur-kg-kg-1.0000"/>
    <n v="138"/>
    <n v="0.03"/>
    <x v="1"/>
    <s v="Ravi"/>
    <n v="4.1399999999999997"/>
    <m/>
    <m/>
    <m/>
    <m/>
    <m/>
    <m/>
    <x v="0"/>
  </r>
  <r>
    <x v="20"/>
    <s v="Byadagi chilly-Byadagi chilly-kg-kg-1.0000"/>
    <n v="280"/>
    <n v="0.03"/>
    <x v="1"/>
    <s v="Ravi"/>
    <n v="8.4"/>
    <m/>
    <m/>
    <m/>
    <m/>
    <m/>
    <m/>
    <x v="0"/>
  </r>
  <r>
    <x v="20"/>
    <s v="Green chilly-hasinmenshinkayi-kg-kg-1.0000"/>
    <n v="30"/>
    <n v="0.3"/>
    <x v="1"/>
    <s v="Ravi"/>
    <n v="9"/>
    <m/>
    <m/>
    <m/>
    <m/>
    <m/>
    <m/>
    <x v="0"/>
  </r>
  <r>
    <x v="20"/>
    <s v="Fenugreek Seeds-menthya beeja-kg-kg-1.0000"/>
    <n v="125"/>
    <n v="3.5000000000000003E-2"/>
    <x v="1"/>
    <s v="Ravi"/>
    <n v="4.375"/>
    <m/>
    <m/>
    <m/>
    <m/>
    <m/>
    <m/>
    <x v="0"/>
  </r>
  <r>
    <x v="20"/>
    <s v="Urad Dal-Uddina bele-kg-kg-1.0000"/>
    <n v="76"/>
    <n v="0.115"/>
    <x v="1"/>
    <s v="Ravi"/>
    <n v="8.74"/>
    <m/>
    <m/>
    <m/>
    <m/>
    <m/>
    <m/>
    <x v="0"/>
  </r>
  <r>
    <x v="20"/>
    <s v="Beans-Beans-kg-kg-1.0000"/>
    <n v="43.06"/>
    <n v="0.5"/>
    <x v="1"/>
    <s v="Ravi"/>
    <n v="21.53"/>
    <m/>
    <m/>
    <m/>
    <m/>
    <m/>
    <m/>
    <x v="0"/>
  </r>
  <r>
    <x v="20"/>
    <s v="Carrot-carrot-kg-kg-1.0000"/>
    <n v="27.97"/>
    <n v="0.4"/>
    <x v="1"/>
    <s v="Ravi"/>
    <n v="11.188000000000001"/>
    <m/>
    <m/>
    <m/>
    <m/>
    <m/>
    <m/>
    <x v="0"/>
  </r>
  <r>
    <x v="20"/>
    <s v="Cauliflower-hookosu-kg-kg-1.0000"/>
    <n v="23.33"/>
    <n v="0.12"/>
    <x v="1"/>
    <s v="Ravi"/>
    <n v="2.7995999999999999"/>
    <m/>
    <m/>
    <m/>
    <m/>
    <m/>
    <m/>
    <x v="0"/>
  </r>
  <r>
    <x v="20"/>
    <s v="Pudina-Pudina-kg-kg-1.0000"/>
    <n v="125"/>
    <n v="0.06"/>
    <x v="1"/>
    <s v="Ravi"/>
    <n v="7.5"/>
    <m/>
    <m/>
    <m/>
    <m/>
    <m/>
    <m/>
    <x v="0"/>
  </r>
  <r>
    <x v="20"/>
    <s v="curry leaves-karbensoppu-kg-kg-1.0000"/>
    <n v="312.14"/>
    <n v="0.06"/>
    <x v="1"/>
    <s v="Ravi"/>
    <n v="18.728399999999997"/>
    <m/>
    <m/>
    <m/>
    <m/>
    <m/>
    <m/>
    <x v="0"/>
  </r>
  <r>
    <x v="20"/>
    <s v="Coriander leaves-Kothamiri Soppu-kg-kg-1.0000"/>
    <n v="25"/>
    <n v="0.25"/>
    <x v="1"/>
    <s v="Ravi"/>
    <n v="6.25"/>
    <m/>
    <m/>
    <m/>
    <m/>
    <m/>
    <m/>
    <x v="0"/>
  </r>
  <r>
    <x v="20"/>
    <s v="Tomato (Huli)-tomatohuli-kg-kg-1.0000"/>
    <n v="15"/>
    <n v="1.5"/>
    <x v="1"/>
    <s v="Ravi"/>
    <n v="22.5"/>
    <m/>
    <m/>
    <m/>
    <m/>
    <m/>
    <m/>
    <x v="0"/>
  </r>
  <r>
    <x v="20"/>
    <s v="mixed vegetables-mixed tharkari-kg-kg-1.0000"/>
    <n v="35"/>
    <n v="1"/>
    <x v="1"/>
    <s v="Ravi"/>
    <n v="35"/>
    <m/>
    <m/>
    <m/>
    <m/>
    <m/>
    <m/>
    <x v="0"/>
  </r>
  <r>
    <x v="20"/>
    <s v="South Papad (500 gram)-South Papad (500 gram)-pkt-kg-0.5000"/>
    <n v="62.03"/>
    <n v="0.11"/>
    <x v="1"/>
    <s v="Ravi"/>
    <n v="6.8233000000000006"/>
    <m/>
    <m/>
    <m/>
    <m/>
    <m/>
    <m/>
    <x v="0"/>
  </r>
  <r>
    <x v="20"/>
    <s v="North Papad (1 kg)-North Papad (1 kg)-kg-kg-1.0000"/>
    <n v="160"/>
    <n v="0.08"/>
    <x v="1"/>
    <s v="Ravi"/>
    <n v="12.8"/>
    <m/>
    <m/>
    <m/>
    <m/>
    <m/>
    <m/>
    <x v="0"/>
  </r>
  <r>
    <x v="20"/>
    <s v="mixed vegetables-mixed tharkari-kg-kg-1.0000"/>
    <n v="35"/>
    <n v="1.7"/>
    <x v="1"/>
    <s v="Ravi"/>
    <n v="59.5"/>
    <m/>
    <m/>
    <m/>
    <m/>
    <m/>
    <m/>
    <x v="0"/>
  </r>
  <r>
    <x v="20"/>
    <s v="Capsicum-Capsicum-kg-kg-1.0000"/>
    <n v="30"/>
    <n v="0.35"/>
    <x v="1"/>
    <s v="Ravi"/>
    <n v="10.5"/>
    <m/>
    <m/>
    <m/>
    <m/>
    <m/>
    <m/>
    <x v="0"/>
  </r>
  <r>
    <x v="20"/>
    <s v="Elaichi-yelakki-kg-kg-1.0000"/>
    <n v="1450"/>
    <n v="0.01"/>
    <x v="1"/>
    <s v="Ravi"/>
    <n v="14.5"/>
    <m/>
    <m/>
    <m/>
    <m/>
    <m/>
    <m/>
    <x v="0"/>
  </r>
  <r>
    <x v="20"/>
    <s v="mixed vegetables-mixed tharkari-kg-kg-1.0000"/>
    <n v="35"/>
    <n v="1"/>
    <x v="1"/>
    <s v="Ravi"/>
    <n v="35"/>
    <m/>
    <m/>
    <m/>
    <m/>
    <m/>
    <m/>
    <x v="0"/>
  </r>
  <r>
    <x v="20"/>
    <s v="Pickle-Uppinkayi-kg-kg-1.0000"/>
    <n v="40"/>
    <n v="0.3"/>
    <x v="1"/>
    <s v="Ravi"/>
    <n v="12"/>
    <m/>
    <m/>
    <m/>
    <m/>
    <m/>
    <m/>
    <x v="0"/>
  </r>
  <r>
    <x v="19"/>
    <s v="Toordal-Thogaribele-kg-kg-1.0000"/>
    <n v="64.069999999999993"/>
    <n v="0.5"/>
    <x v="1"/>
    <s v="Ravi"/>
    <n v="32.034999999999997"/>
    <m/>
    <m/>
    <m/>
    <m/>
    <m/>
    <m/>
    <x v="0"/>
  </r>
  <r>
    <x v="20"/>
    <s v="Toordal-Thogaribele-kg-kg-1.0000"/>
    <n v="64.069999999999993"/>
    <n v="0.5"/>
    <x v="1"/>
    <s v="Ravi"/>
    <n v="32.034999999999997"/>
    <m/>
    <m/>
    <m/>
    <m/>
    <m/>
    <m/>
    <x v="0"/>
  </r>
  <r>
    <x v="20"/>
    <s v="Milk-Haalu-lts-kg-1.0300"/>
    <n v="36"/>
    <n v="0.5"/>
    <x v="1"/>
    <s v="Ravi"/>
    <n v="18"/>
    <m/>
    <m/>
    <m/>
    <m/>
    <s v="Curd Rice"/>
    <m/>
    <x v="0"/>
  </r>
  <r>
    <x v="20"/>
    <s v="Cashew-Godambi-kg-kg-1.0000"/>
    <n v="840"/>
    <n v="2.5000000000000001E-2"/>
    <x v="1"/>
    <s v="Ravi"/>
    <n v="21"/>
    <m/>
    <m/>
    <m/>
    <m/>
    <m/>
    <m/>
    <x v="0"/>
  </r>
  <r>
    <x v="20"/>
    <s v="Raisin-drakshi-kg-kg-1.0000"/>
    <n v="240"/>
    <n v="2.5000000000000001E-2"/>
    <x v="1"/>
    <s v="Ravi"/>
    <n v="6"/>
    <m/>
    <m/>
    <m/>
    <m/>
    <m/>
    <m/>
    <x v="0"/>
  </r>
  <r>
    <x v="20"/>
    <s v="Gas-Gas-kg-kg-1.0000"/>
    <n v="78.95"/>
    <n v="4.3"/>
    <x v="1"/>
    <s v="Ravi"/>
    <n v="339.48500000000001"/>
    <m/>
    <m/>
    <m/>
    <m/>
    <m/>
    <m/>
    <x v="0"/>
  </r>
  <r>
    <x v="20"/>
    <s v="Gas-Gas-kg-kg-1.0000"/>
    <n v="78.95"/>
    <n v="0.4"/>
    <x v="2"/>
    <s v="Ravi"/>
    <n v="31.580000000000002"/>
    <m/>
    <m/>
    <m/>
    <m/>
    <m/>
    <m/>
    <x v="0"/>
  </r>
  <r>
    <x v="20"/>
    <s v="Gas-Gas-kg-kg-1.0000"/>
    <n v="78.95"/>
    <n v="11.2"/>
    <x v="0"/>
    <s v="Murthy"/>
    <n v="884.24"/>
    <m/>
    <m/>
    <m/>
    <m/>
    <m/>
    <m/>
    <x v="0"/>
  </r>
  <r>
    <x v="20"/>
    <s v="Milk-Haalu-lts-kg-1.0300"/>
    <n v="36"/>
    <n v="2.5"/>
    <x v="5"/>
    <s v="Ravi"/>
    <n v="90"/>
    <m/>
    <m/>
    <m/>
    <m/>
    <m/>
    <m/>
    <x v="0"/>
  </r>
  <r>
    <x v="20"/>
    <s v="Pineapple-ANNANAS-kg-kg-1.0000"/>
    <n v="30"/>
    <n v="0.56000000000000005"/>
    <x v="5"/>
    <s v="Ravi"/>
    <n v="16.8"/>
    <m/>
    <m/>
    <m/>
    <m/>
    <m/>
    <m/>
    <x v="0"/>
  </r>
  <r>
    <x v="20"/>
    <s v="Watermelon-Watermelon-kg-kg-1.0000"/>
    <n v="20"/>
    <n v="3.15"/>
    <x v="5"/>
    <s v="Ravi"/>
    <n v="63"/>
    <m/>
    <m/>
    <m/>
    <m/>
    <m/>
    <m/>
    <x v="0"/>
  </r>
  <r>
    <x v="20"/>
    <s v="Mango-Mavinhannu-kg-kg-1.0000"/>
    <n v="150"/>
    <n v="2"/>
    <x v="5"/>
    <s v="Ravi"/>
    <n v="300"/>
    <m/>
    <m/>
    <m/>
    <m/>
    <m/>
    <m/>
    <x v="0"/>
  </r>
  <r>
    <x v="20"/>
    <s v="Pineapple-ANNANAS-kg-kg-1.0000"/>
    <n v="30"/>
    <n v="1.05"/>
    <x v="5"/>
    <s v="Ravi"/>
    <n v="31.5"/>
    <m/>
    <m/>
    <m/>
    <m/>
    <m/>
    <m/>
    <x v="0"/>
  </r>
  <r>
    <x v="20"/>
    <s v="Muskmelon-THARBUJA-kg-kg-1.0000"/>
    <n v="20"/>
    <n v="0.9"/>
    <x v="5"/>
    <s v="Ravi"/>
    <n v="18"/>
    <m/>
    <m/>
    <m/>
    <m/>
    <m/>
    <m/>
    <x v="0"/>
  </r>
  <r>
    <x v="20"/>
    <s v="Watermelon-Watermelon-kg-kg-1.0000"/>
    <n v="20"/>
    <n v="2.835"/>
    <x v="5"/>
    <s v="Ravi"/>
    <n v="56.7"/>
    <m/>
    <m/>
    <m/>
    <m/>
    <m/>
    <m/>
    <x v="0"/>
  </r>
  <r>
    <x v="20"/>
    <s v="Papaya-PRANGIHANNU-kg-kg-1.0000"/>
    <n v="20"/>
    <n v="1.7"/>
    <x v="5"/>
    <s v="Ravi"/>
    <n v="34"/>
    <m/>
    <m/>
    <m/>
    <m/>
    <m/>
    <m/>
    <x v="0"/>
  </r>
  <r>
    <x v="20"/>
    <s v="Peas-batani-kg-kg-1.0000"/>
    <n v="48"/>
    <n v="0.4"/>
    <x v="2"/>
    <s v="Ravi"/>
    <n v="19.200000000000003"/>
    <m/>
    <m/>
    <m/>
    <m/>
    <m/>
    <m/>
    <x v="0"/>
  </r>
  <r>
    <x v="20"/>
    <s v="Tomato (Jam)-tomatojam-kg-kg-1.0000"/>
    <n v="14.75"/>
    <n v="0.4"/>
    <x v="2"/>
    <s v="Ravi"/>
    <n v="5.9"/>
    <m/>
    <m/>
    <m/>
    <m/>
    <m/>
    <m/>
    <x v="0"/>
  </r>
  <r>
    <x v="20"/>
    <s v="Onion-Erulli-kg-kg-1.0000"/>
    <n v="14"/>
    <n v="0.5"/>
    <x v="2"/>
    <s v="Ravi"/>
    <n v="7"/>
    <m/>
    <m/>
    <m/>
    <m/>
    <m/>
    <m/>
    <x v="0"/>
  </r>
  <r>
    <x v="20"/>
    <s v="Carrot-carrot-kg-kg-1.0000"/>
    <n v="27.97"/>
    <n v="0.28000000000000003"/>
    <x v="2"/>
    <s v="Ravi"/>
    <n v="7.8316000000000008"/>
    <m/>
    <m/>
    <m/>
    <m/>
    <m/>
    <m/>
    <x v="0"/>
  </r>
  <r>
    <x v="20"/>
    <s v="Coriander leaves-Kothamiri Soppu-kg-kg-1.0000"/>
    <n v="25"/>
    <n v="0.04"/>
    <x v="2"/>
    <s v="Ravi"/>
    <n v="1"/>
    <m/>
    <m/>
    <m/>
    <m/>
    <m/>
    <m/>
    <x v="0"/>
  </r>
  <r>
    <x v="20"/>
    <s v="Meat Masala Powder (100 gram)-meat masala-pkt-kg-0.1000"/>
    <n v="49.5"/>
    <n v="0.4"/>
    <x v="2"/>
    <s v="Ravi"/>
    <n v="19.8"/>
    <m/>
    <m/>
    <m/>
    <m/>
    <m/>
    <m/>
    <x v="0"/>
  </r>
  <r>
    <x v="20"/>
    <s v="Onion-Erulli-kg-kg-1.0000"/>
    <n v="14"/>
    <n v="0.2"/>
    <x v="6"/>
    <s v="Jaggu"/>
    <n v="2.8000000000000003"/>
    <m/>
    <m/>
    <m/>
    <m/>
    <m/>
    <m/>
    <x v="0"/>
  </r>
  <r>
    <x v="20"/>
    <s v="Lemon-Nimbehannu-count-count-1.0000"/>
    <n v="3"/>
    <n v="8"/>
    <x v="6"/>
    <s v="Jaggu"/>
    <n v="24"/>
    <m/>
    <m/>
    <m/>
    <m/>
    <m/>
    <m/>
    <x v="0"/>
  </r>
  <r>
    <x v="20"/>
    <s v="Napkin-napkin-pkt-pkt-1.0000"/>
    <n v="14"/>
    <n v="3"/>
    <x v="8"/>
    <s v="Manju"/>
    <n v="42"/>
    <m/>
    <m/>
    <m/>
    <m/>
    <m/>
    <m/>
    <x v="0"/>
  </r>
  <r>
    <x v="20"/>
    <s v="Sugar-Sakkre-kg-kg-1.0000"/>
    <n v="37"/>
    <n v="1"/>
    <x v="4"/>
    <s v="Vicky"/>
    <n v="37"/>
    <m/>
    <m/>
    <m/>
    <m/>
    <m/>
    <m/>
    <x v="0"/>
  </r>
  <r>
    <x v="20"/>
    <s v="Milk-Haalu-lts-kg-1.0300"/>
    <n v="36"/>
    <n v="4.5"/>
    <x v="4"/>
    <s v="Vicky"/>
    <n v="162"/>
    <m/>
    <m/>
    <m/>
    <m/>
    <m/>
    <m/>
    <x v="0"/>
  </r>
  <r>
    <x v="20"/>
    <s v="Curd-Mosaru-lts-kg-1.0300"/>
    <n v="42"/>
    <n v="0.5"/>
    <x v="2"/>
    <s v="Ravi"/>
    <n v="21"/>
    <m/>
    <m/>
    <m/>
    <m/>
    <m/>
    <m/>
    <x v="0"/>
  </r>
  <r>
    <x v="20"/>
    <s v="Tea powder-Tea powder-kg-kg-1.0000"/>
    <n v="390"/>
    <n v="0.3"/>
    <x v="4"/>
    <s v="Vicky"/>
    <n v="117"/>
    <m/>
    <m/>
    <m/>
    <m/>
    <m/>
    <m/>
    <x v="0"/>
  </r>
  <r>
    <x v="20"/>
    <s v="Curd-Mosaru-lts-kg-1.0300"/>
    <n v="42"/>
    <n v="1"/>
    <x v="0"/>
    <s v="Murthy"/>
    <n v="42"/>
    <m/>
    <m/>
    <m/>
    <m/>
    <s v="Raitha"/>
    <m/>
    <x v="0"/>
  </r>
  <r>
    <x v="20"/>
    <s v="Capsicum-Capsicum-kg-kg-1.0000"/>
    <n v="30"/>
    <n v="1.1000000000000001"/>
    <x v="0"/>
    <s v="Murthy"/>
    <n v="33"/>
    <m/>
    <m/>
    <m/>
    <m/>
    <m/>
    <m/>
    <x v="0"/>
  </r>
  <r>
    <x v="20"/>
    <s v="Onion-Erulli-kg-kg-1.0000"/>
    <n v="14"/>
    <n v="4.5"/>
    <x v="0"/>
    <s v="Murthy"/>
    <n v="63"/>
    <m/>
    <m/>
    <m/>
    <m/>
    <m/>
    <m/>
    <x v="0"/>
  </r>
  <r>
    <x v="20"/>
    <s v="Green chilly-hasinmenshinkayi-kg-kg-1.0000"/>
    <n v="30"/>
    <n v="0.6"/>
    <x v="0"/>
    <s v="Murthy"/>
    <n v="18"/>
    <m/>
    <m/>
    <m/>
    <m/>
    <m/>
    <m/>
    <x v="0"/>
  </r>
  <r>
    <x v="20"/>
    <s v="Moong Dal-Hesaru bele-kg-kg-1.0000"/>
    <n v="75"/>
    <n v="1"/>
    <x v="0"/>
    <s v="Murthy"/>
    <n v="75"/>
    <m/>
    <m/>
    <m/>
    <m/>
    <m/>
    <m/>
    <x v="0"/>
  </r>
  <r>
    <x v="20"/>
    <s v="Beans-Beans-kg-kg-1.0000"/>
    <n v="43.06"/>
    <n v="1.2"/>
    <x v="0"/>
    <s v="Murthy"/>
    <n v="51.672000000000004"/>
    <m/>
    <m/>
    <m/>
    <m/>
    <m/>
    <m/>
    <x v="0"/>
  </r>
  <r>
    <x v="20"/>
    <s v="Coriander leaves-Kothamiri Soppu-kg-kg-1.0000"/>
    <n v="25"/>
    <n v="0.5"/>
    <x v="0"/>
    <s v="Murthy"/>
    <n v="12.5"/>
    <m/>
    <m/>
    <m/>
    <m/>
    <m/>
    <m/>
    <x v="0"/>
  </r>
  <r>
    <x v="20"/>
    <s v="Bullet Rice-Bullet Rice-kg-kg-1.0000"/>
    <n v="64"/>
    <n v="3.5"/>
    <x v="0"/>
    <s v="Murthy"/>
    <n v="224"/>
    <m/>
    <m/>
    <m/>
    <m/>
    <m/>
    <m/>
    <x v="0"/>
  </r>
  <r>
    <x v="20"/>
    <s v="Roti Wheat-Roti atta-kg-kg-1.0000"/>
    <n v="27"/>
    <n v="3.1"/>
    <x v="0"/>
    <s v="Murthy"/>
    <n v="83.7"/>
    <m/>
    <m/>
    <m/>
    <m/>
    <m/>
    <m/>
    <x v="0"/>
  </r>
  <r>
    <x v="20"/>
    <s v="Oil-Yenne-lts-kg-0.9150"/>
    <n v="82"/>
    <n v="6"/>
    <x v="0"/>
    <s v="Murthy"/>
    <n v="492"/>
    <m/>
    <m/>
    <m/>
    <m/>
    <m/>
    <m/>
    <x v="0"/>
  </r>
  <r>
    <x v="20"/>
    <s v="Palak leaves-Palak soppu-kg-kg-1.0000"/>
    <n v="38"/>
    <n v="2.4"/>
    <x v="0"/>
    <s v="Murthy"/>
    <n v="91.2"/>
    <m/>
    <m/>
    <m/>
    <m/>
    <m/>
    <m/>
    <x v="0"/>
  </r>
  <r>
    <x v="20"/>
    <s v="Pudina-Pudina-kg-kg-1.0000"/>
    <n v="125"/>
    <n v="0.12"/>
    <x v="0"/>
    <s v="Murthy"/>
    <n v="15"/>
    <m/>
    <m/>
    <m/>
    <m/>
    <m/>
    <m/>
    <x v="0"/>
  </r>
  <r>
    <x v="20"/>
    <s v="Carrot-carrot-kg-kg-1.0000"/>
    <n v="27.97"/>
    <n v="1.2"/>
    <x v="0"/>
    <s v="Murthy"/>
    <n v="33.564"/>
    <m/>
    <m/>
    <m/>
    <m/>
    <m/>
    <m/>
    <x v="0"/>
  </r>
  <r>
    <x v="20"/>
    <s v="Jeera Seeds-Jeerge-kg-kg-1.0000"/>
    <n v="230"/>
    <n v="0.05"/>
    <x v="0"/>
    <s v="Murthy"/>
    <n v="11.5"/>
    <m/>
    <m/>
    <m/>
    <m/>
    <m/>
    <m/>
    <x v="0"/>
  </r>
  <r>
    <x v="20"/>
    <s v="Maida-Maida-kg-kg-1.0000"/>
    <n v="29.51"/>
    <n v="2.42"/>
    <x v="0"/>
    <s v="Murthy"/>
    <n v="71.414200000000008"/>
    <m/>
    <m/>
    <m/>
    <m/>
    <m/>
    <m/>
    <x v="0"/>
  </r>
  <r>
    <x v="20"/>
    <s v="Basumathi Rice-Basumathi Rice-kg-kg-1.0000"/>
    <n v="62"/>
    <n v="1.5"/>
    <x v="0"/>
    <s v="Murthy"/>
    <n v="93"/>
    <m/>
    <m/>
    <m/>
    <m/>
    <m/>
    <m/>
    <x v="0"/>
  </r>
  <r>
    <x v="20"/>
    <s v="Cinnamon-Chekke-kg-kg-1.0000"/>
    <n v="220"/>
    <n v="5.0000000000000001E-3"/>
    <x v="0"/>
    <s v="Murthy"/>
    <n v="1.1000000000000001"/>
    <m/>
    <m/>
    <m/>
    <m/>
    <m/>
    <m/>
    <x v="0"/>
  </r>
  <r>
    <x v="20"/>
    <s v="Cloves-lavanga-kg-kg-1.0000"/>
    <n v="740"/>
    <n v="5.0000000000000001E-3"/>
    <x v="0"/>
    <s v="Murthy"/>
    <n v="3.7"/>
    <m/>
    <m/>
    <m/>
    <m/>
    <m/>
    <m/>
    <x v="0"/>
  </r>
  <r>
    <x v="20"/>
    <s v="Elaichi-yelakki-kg-kg-1.0000"/>
    <n v="1450"/>
    <n v="5.0000000000000001E-3"/>
    <x v="0"/>
    <s v="Murthy"/>
    <n v="7.25"/>
    <m/>
    <m/>
    <m/>
    <m/>
    <m/>
    <m/>
    <x v="0"/>
  </r>
  <r>
    <x v="20"/>
    <s v="Maratimoggu-Maratimoggu-kg-kg-1.0000"/>
    <n v="750"/>
    <n v="5.0000000000000001E-3"/>
    <x v="0"/>
    <s v="Murthy"/>
    <n v="3.75"/>
    <m/>
    <m/>
    <m/>
    <m/>
    <m/>
    <m/>
    <x v="0"/>
  </r>
  <r>
    <x v="20"/>
    <s v="Mace-japathre-kg-kg-1.0000"/>
    <n v="1480"/>
    <n v="5.0000000000000001E-3"/>
    <x v="0"/>
    <s v="Murthy"/>
    <n v="7.4"/>
    <m/>
    <m/>
    <m/>
    <m/>
    <m/>
    <m/>
    <x v="0"/>
  </r>
  <r>
    <x v="20"/>
    <s v="Coriander leaves-Kothamiri Soppu-kg-kg-1.0000"/>
    <n v="25"/>
    <n v="0.25"/>
    <x v="0"/>
    <s v="Murthy"/>
    <n v="6.25"/>
    <m/>
    <m/>
    <m/>
    <m/>
    <m/>
    <m/>
    <x v="0"/>
  </r>
  <r>
    <x v="20"/>
    <s v="Charcoal-Charcoal-kg-kg-1.0000"/>
    <n v="26"/>
    <n v="10"/>
    <x v="0"/>
    <s v="Murthy"/>
    <n v="260"/>
    <m/>
    <m/>
    <m/>
    <m/>
    <m/>
    <m/>
    <x v="0"/>
  </r>
  <r>
    <x v="20"/>
    <s v="Cabbage-geddekosu-kg-kg-1.0000"/>
    <n v="3"/>
    <n v="0.5"/>
    <x v="0"/>
    <s v="Murthy"/>
    <n v="1.5"/>
    <m/>
    <m/>
    <m/>
    <m/>
    <m/>
    <m/>
    <x v="0"/>
  </r>
  <r>
    <x v="20"/>
    <s v="Chilly Powder-Chilly Powder-kg-kg-1.0000"/>
    <n v="280"/>
    <n v="0.18"/>
    <x v="0"/>
    <s v="Murthy"/>
    <n v="50.4"/>
    <m/>
    <m/>
    <m/>
    <m/>
    <m/>
    <m/>
    <x v="0"/>
  </r>
  <r>
    <x v="20"/>
    <s v="Garam Masala (100 gram)-garam masala-pkt-kg-0.1000"/>
    <n v="57.5"/>
    <n v="0.01"/>
    <x v="0"/>
    <s v="Murthy"/>
    <n v="0.57500000000000007"/>
    <m/>
    <m/>
    <m/>
    <m/>
    <m/>
    <m/>
    <x v="0"/>
  </r>
  <r>
    <x v="20"/>
    <s v="Turmeric Powder-Arishina pudi-kg-kg-1.0000"/>
    <n v="187.41"/>
    <n v="0.02"/>
    <x v="0"/>
    <s v="Murthy"/>
    <n v="3.7482000000000002"/>
    <m/>
    <m/>
    <m/>
    <m/>
    <m/>
    <m/>
    <x v="0"/>
  </r>
  <r>
    <x v="20"/>
    <s v="Chat Masala (100 gram)-chat masala-pkt-kg-0.1000"/>
    <n v="48"/>
    <n v="0.08"/>
    <x v="0"/>
    <s v="Murthy"/>
    <n v="3.84"/>
    <m/>
    <m/>
    <m/>
    <m/>
    <m/>
    <m/>
    <x v="0"/>
  </r>
  <r>
    <x v="20"/>
    <s v="Salt Powder-Uppu-kg-kg-1.0000"/>
    <n v="17"/>
    <n v="0.41"/>
    <x v="0"/>
    <s v="Murthy"/>
    <n v="6.97"/>
    <m/>
    <m/>
    <m/>
    <m/>
    <m/>
    <m/>
    <x v="0"/>
  </r>
  <r>
    <x v="20"/>
    <s v="Black Pepper Powder-Kaal menasu-kg-kg-1.0000"/>
    <n v="380"/>
    <n v="2.5000000000000001E-2"/>
    <x v="0"/>
    <s v="Murthy"/>
    <n v="9.5"/>
    <m/>
    <m/>
    <m/>
    <m/>
    <m/>
    <m/>
    <x v="0"/>
  </r>
  <r>
    <x v="20"/>
    <s v="White Pepper Powder (500 gram)-Billi menasu pudi-kg-kg-1.0000"/>
    <n v="180"/>
    <n v="0.27"/>
    <x v="0"/>
    <s v="Murthy"/>
    <n v="48.6"/>
    <m/>
    <m/>
    <m/>
    <m/>
    <m/>
    <m/>
    <x v="0"/>
  </r>
  <r>
    <x v="20"/>
    <s v="Tasting Powder (500 kg)-tasting powder-kg-kg-1.0000"/>
    <n v="148"/>
    <n v="0.28000000000000003"/>
    <x v="0"/>
    <s v="Murthy"/>
    <n v="41.440000000000005"/>
    <m/>
    <m/>
    <m/>
    <m/>
    <m/>
    <m/>
    <x v="0"/>
  </r>
  <r>
    <x v="20"/>
    <s v="Vinegar-Vinegar-bottle-kg-0.8600"/>
    <n v="24"/>
    <n v="0.17499999999999999"/>
    <x v="0"/>
    <s v="Murthy"/>
    <n v="4.1999999999999993"/>
    <m/>
    <m/>
    <m/>
    <m/>
    <m/>
    <m/>
    <x v="0"/>
  </r>
  <r>
    <x v="20"/>
    <s v="Dark soya souce-Dark soya souce-bottle-kg-0.8150"/>
    <n v="33"/>
    <n v="0.16"/>
    <x v="0"/>
    <s v="Murthy"/>
    <n v="5.28"/>
    <m/>
    <m/>
    <m/>
    <m/>
    <m/>
    <m/>
    <x v="0"/>
  </r>
  <r>
    <x v="20"/>
    <s v="Ketchup(1.2 kg)-ketchup-bottle-kg-1.2000"/>
    <n v="75"/>
    <n v="0.77"/>
    <x v="0"/>
    <s v="Murthy"/>
    <n v="57.75"/>
    <m/>
    <m/>
    <m/>
    <m/>
    <m/>
    <m/>
    <x v="0"/>
  </r>
  <r>
    <x v="20"/>
    <s v="Coriander Powder (500 gram)-Dhanya Powder (500 gram)-kg-kg-1.0000"/>
    <n v="120"/>
    <n v="0.125"/>
    <x v="0"/>
    <s v="Murthy"/>
    <n v="15"/>
    <m/>
    <m/>
    <m/>
    <m/>
    <m/>
    <m/>
    <x v="0"/>
  </r>
  <r>
    <x v="20"/>
    <s v="Capcicum Sauce (60 gram)-Capcicum Sauce (60 gram)-kg-kg-1.0000"/>
    <n v="55"/>
    <n v="5.0000000000000001E-3"/>
    <x v="0"/>
    <s v="Murthy"/>
    <n v="0.27500000000000002"/>
    <m/>
    <m/>
    <m/>
    <m/>
    <m/>
    <m/>
    <x v="0"/>
  </r>
  <r>
    <x v="20"/>
    <s v="Kitchen king (100 gram)-Kitchen king (100 gram)-pkt-kg-0.1000"/>
    <n v="51"/>
    <n v="6.5000000000000002E-2"/>
    <x v="0"/>
    <s v="Murthy"/>
    <n v="3.3149999999999999"/>
    <m/>
    <m/>
    <m/>
    <m/>
    <m/>
    <m/>
    <x v="0"/>
  </r>
  <r>
    <x v="20"/>
    <s v="Cream-Cream-lts-kg-1.0000"/>
    <n v="190"/>
    <n v="0.25"/>
    <x v="0"/>
    <s v="Murthy"/>
    <n v="47.5"/>
    <m/>
    <m/>
    <m/>
    <m/>
    <m/>
    <m/>
    <x v="0"/>
  </r>
  <r>
    <x v="20"/>
    <s v="Ghee-Thuppa-lts-kg-0.9300"/>
    <n v="430"/>
    <n v="0.22"/>
    <x v="0"/>
    <s v="Murthy"/>
    <n v="94.6"/>
    <m/>
    <m/>
    <m/>
    <m/>
    <m/>
    <m/>
    <x v="0"/>
  </r>
  <r>
    <x v="20"/>
    <s v="Babycorn-Babycorn-kg-kg-1.0000"/>
    <n v="60"/>
    <n v="0.8"/>
    <x v="0"/>
    <s v="Murthy"/>
    <n v="48"/>
    <m/>
    <m/>
    <m/>
    <m/>
    <m/>
    <m/>
    <x v="0"/>
  </r>
  <r>
    <x v="20"/>
    <s v="Butter-Butter-kg-kg-1.0000"/>
    <n v="140"/>
    <n v="0.9"/>
    <x v="0"/>
    <s v="Murthy"/>
    <n v="126"/>
    <m/>
    <m/>
    <m/>
    <m/>
    <m/>
    <m/>
    <x v="0"/>
  </r>
  <r>
    <x v="20"/>
    <s v="Mushroom-Mushroom-pkt-pkt-1.0000"/>
    <n v="32"/>
    <n v="6"/>
    <x v="0"/>
    <s v="Murthy"/>
    <n v="192"/>
    <m/>
    <m/>
    <m/>
    <m/>
    <m/>
    <m/>
    <x v="0"/>
  </r>
  <r>
    <x v="20"/>
    <s v="French fries-french fries-kg-kg-1.0000"/>
    <n v="280"/>
    <n v="0.3"/>
    <x v="0"/>
    <s v="Murthy"/>
    <n v="84"/>
    <m/>
    <m/>
    <m/>
    <m/>
    <m/>
    <m/>
    <x v="0"/>
  </r>
  <r>
    <x v="20"/>
    <s v="Sweetcorn-Sweetcorn-tin-kg-0.4000"/>
    <n v="33"/>
    <n v="0.2"/>
    <x v="0"/>
    <s v="Murthy"/>
    <n v="6.6000000000000005"/>
    <m/>
    <m/>
    <m/>
    <m/>
    <m/>
    <m/>
    <x v="0"/>
  </r>
  <r>
    <x v="20"/>
    <s v="Green peas-green peas-kg-kg-1.0000"/>
    <n v="100"/>
    <n v="0.48"/>
    <x v="0"/>
    <s v="Murthy"/>
    <n v="48"/>
    <m/>
    <m/>
    <m/>
    <m/>
    <m/>
    <m/>
    <x v="0"/>
  </r>
  <r>
    <x v="20"/>
    <s v="Burjji Masala"/>
    <n v="0"/>
    <n v="1.47"/>
    <x v="0"/>
    <s v="Murthy"/>
    <n v="0"/>
    <m/>
    <m/>
    <m/>
    <m/>
    <m/>
    <m/>
    <x v="0"/>
  </r>
  <r>
    <x v="20"/>
    <s v="Yellow Gravy"/>
    <n v="0"/>
    <n v="2.12"/>
    <x v="0"/>
    <s v="Murthy"/>
    <n v="0"/>
    <m/>
    <m/>
    <m/>
    <m/>
    <m/>
    <m/>
    <x v="0"/>
  </r>
  <r>
    <x v="20"/>
    <s v="Milk-Haalu-lts-kg-1.0300"/>
    <n v="36"/>
    <n v="0.5"/>
    <x v="0"/>
    <s v="Murthy"/>
    <n v="18"/>
    <m/>
    <m/>
    <m/>
    <m/>
    <m/>
    <m/>
    <x v="0"/>
  </r>
  <r>
    <x v="20"/>
    <s v="Milk-Haalu-lts-kg-1.0300"/>
    <n v="36"/>
    <n v="2"/>
    <x v="9"/>
    <s v="Staff"/>
    <n v="72"/>
    <m/>
    <m/>
    <m/>
    <m/>
    <m/>
    <m/>
    <x v="0"/>
  </r>
  <r>
    <x v="21"/>
    <s v="Bullet Rice-Bullet Rice-kg-kg-1.0000"/>
    <n v="64"/>
    <n v="2.1"/>
    <x v="0"/>
    <s v="Murthy"/>
    <n v="134.4"/>
    <m/>
    <m/>
    <m/>
    <m/>
    <m/>
    <m/>
    <x v="0"/>
  </r>
  <r>
    <x v="21"/>
    <s v="Capsicum-Capsicum-kg-kg-1.0000"/>
    <n v="30"/>
    <n v="1.55"/>
    <x v="0"/>
    <s v="Murthy"/>
    <n v="46.5"/>
    <m/>
    <m/>
    <m/>
    <m/>
    <m/>
    <m/>
    <x v="0"/>
  </r>
  <r>
    <x v="21"/>
    <s v="Onion-Erulli-kg-kg-1.0000"/>
    <n v="14"/>
    <n v="9.1999999999999993"/>
    <x v="0"/>
    <s v="Murthy"/>
    <n v="128.79999999999998"/>
    <m/>
    <m/>
    <m/>
    <m/>
    <m/>
    <m/>
    <x v="0"/>
  </r>
  <r>
    <x v="21"/>
    <s v="Green chilly-hasinmenshinkayi-kg-kg-1.0000"/>
    <n v="30"/>
    <n v="0.6"/>
    <x v="0"/>
    <s v="Murthy"/>
    <n v="18"/>
    <m/>
    <m/>
    <m/>
    <m/>
    <m/>
    <m/>
    <x v="0"/>
  </r>
  <r>
    <x v="21"/>
    <s v="Roti Wheat-Roti atta-kg-kg-1.0000"/>
    <n v="27"/>
    <n v="3"/>
    <x v="0"/>
    <s v="Murthy"/>
    <n v="81"/>
    <m/>
    <m/>
    <m/>
    <m/>
    <m/>
    <m/>
    <x v="0"/>
  </r>
  <r>
    <x v="21"/>
    <s v="Coriander leaves-Kothamiri Soppu-kg-kg-1.0000"/>
    <n v="25"/>
    <n v="0.82000000000000006"/>
    <x v="0"/>
    <s v="Murthy"/>
    <n v="20.5"/>
    <m/>
    <m/>
    <m/>
    <m/>
    <m/>
    <m/>
    <x v="0"/>
  </r>
  <r>
    <x v="21"/>
    <s v="Cabbage-geddekosu-kg-kg-1.0000"/>
    <n v="3"/>
    <n v="2.5"/>
    <x v="0"/>
    <s v="Murthy"/>
    <n v="7.5"/>
    <m/>
    <m/>
    <m/>
    <m/>
    <m/>
    <m/>
    <x v="0"/>
  </r>
  <r>
    <x v="21"/>
    <s v="Carrot-carrot-kg-kg-1.0000"/>
    <n v="27.97"/>
    <n v="0.9"/>
    <x v="0"/>
    <s v="Murthy"/>
    <n v="25.172999999999998"/>
    <m/>
    <m/>
    <m/>
    <m/>
    <m/>
    <m/>
    <x v="0"/>
  </r>
  <r>
    <x v="21"/>
    <s v="Maida-Maida-kg-kg-1.0000"/>
    <n v="29.51"/>
    <n v="0.7"/>
    <x v="0"/>
    <s v="Murthy"/>
    <n v="20.657"/>
    <m/>
    <m/>
    <m/>
    <m/>
    <m/>
    <m/>
    <x v="0"/>
  </r>
  <r>
    <x v="21"/>
    <s v="Milk-Haalu-lts-kg-1.0300"/>
    <n v="36"/>
    <n v="0.5"/>
    <x v="0"/>
    <s v="Murthy"/>
    <n v="18"/>
    <m/>
    <m/>
    <m/>
    <m/>
    <m/>
    <m/>
    <x v="0"/>
  </r>
  <r>
    <x v="21"/>
    <s v="Garlic-Belulli-kg-kg-1.0000"/>
    <n v="28"/>
    <n v="0.5"/>
    <x v="0"/>
    <s v="Murthy"/>
    <n v="14"/>
    <m/>
    <m/>
    <m/>
    <m/>
    <m/>
    <m/>
    <x v="0"/>
  </r>
  <r>
    <x v="21"/>
    <s v="Ginger-shunti-kg-kg-1.0000"/>
    <n v="40"/>
    <n v="0.15"/>
    <x v="0"/>
    <s v="Murthy"/>
    <n v="6"/>
    <m/>
    <m/>
    <m/>
    <m/>
    <m/>
    <m/>
    <x v="0"/>
  </r>
  <r>
    <x v="21"/>
    <s v="Oil-Yenne-lts-kg-0.9150"/>
    <n v="82"/>
    <n v="5"/>
    <x v="0"/>
    <s v="Murthy"/>
    <n v="410"/>
    <m/>
    <m/>
    <m/>
    <m/>
    <m/>
    <m/>
    <x v="0"/>
  </r>
  <r>
    <x v="21"/>
    <s v="Maida-Maida-kg-kg-1.0000"/>
    <n v="29.51"/>
    <n v="2.4"/>
    <x v="0"/>
    <s v="Murthy"/>
    <n v="70.823999999999998"/>
    <m/>
    <m/>
    <m/>
    <m/>
    <m/>
    <m/>
    <x v="0"/>
  </r>
  <r>
    <x v="21"/>
    <s v="Basumathi Rice-Basumathi Rice-kg-kg-1.0000"/>
    <n v="62"/>
    <n v="1"/>
    <x v="0"/>
    <s v="Murthy"/>
    <n v="62"/>
    <m/>
    <m/>
    <m/>
    <m/>
    <m/>
    <m/>
    <x v="0"/>
  </r>
  <r>
    <x v="21"/>
    <s v="Lemon-Nimbehannu-count-count-1.0000"/>
    <n v="3"/>
    <n v="5"/>
    <x v="0"/>
    <s v="Murthy"/>
    <n v="15"/>
    <m/>
    <m/>
    <m/>
    <m/>
    <m/>
    <m/>
    <x v="0"/>
  </r>
  <r>
    <x v="21"/>
    <s v="Cinnamon-Chekke-kg-kg-1.0000"/>
    <n v="220"/>
    <n v="0.01"/>
    <x v="0"/>
    <s v="Murthy"/>
    <n v="2.2000000000000002"/>
    <m/>
    <m/>
    <m/>
    <m/>
    <m/>
    <m/>
    <x v="0"/>
  </r>
  <r>
    <x v="21"/>
    <s v="Cloves-lavanga-kg-kg-1.0000"/>
    <n v="740"/>
    <n v="0.01"/>
    <x v="0"/>
    <s v="Murthy"/>
    <n v="7.4"/>
    <m/>
    <m/>
    <m/>
    <m/>
    <m/>
    <m/>
    <x v="0"/>
  </r>
  <r>
    <x v="21"/>
    <s v="Elaichi-yelakki-kg-kg-1.0000"/>
    <n v="1450"/>
    <n v="0.01"/>
    <x v="0"/>
    <s v="Murthy"/>
    <n v="14.5"/>
    <m/>
    <m/>
    <m/>
    <m/>
    <m/>
    <m/>
    <x v="0"/>
  </r>
  <r>
    <x v="21"/>
    <s v="Maratimoggu-Maratimoggu-kg-kg-1.0000"/>
    <n v="750"/>
    <n v="0.01"/>
    <x v="0"/>
    <s v="Murthy"/>
    <n v="7.5"/>
    <m/>
    <m/>
    <m/>
    <m/>
    <m/>
    <m/>
    <x v="0"/>
  </r>
  <r>
    <x v="21"/>
    <s v="Bay leaf-palaav ele-kg-kg-1.0000"/>
    <n v="250"/>
    <n v="5.0000000000000001E-3"/>
    <x v="0"/>
    <s v="Murthy"/>
    <n v="1.25"/>
    <m/>
    <m/>
    <m/>
    <m/>
    <m/>
    <m/>
    <x v="0"/>
  </r>
  <r>
    <x v="21"/>
    <s v="Gram Flour-Kadle Ittu-kg-kg-1.0000"/>
    <n v="72"/>
    <n v="0.1"/>
    <x v="0"/>
    <s v="Murthy"/>
    <n v="7.2"/>
    <m/>
    <m/>
    <m/>
    <m/>
    <m/>
    <m/>
    <x v="0"/>
  </r>
  <r>
    <x v="21"/>
    <s v="Cauliflower-hookosu-kg-kg-1.0000"/>
    <n v="23.33"/>
    <n v="0.2"/>
    <x v="0"/>
    <s v="Murthy"/>
    <n v="4.6659999999999995"/>
    <m/>
    <m/>
    <m/>
    <m/>
    <m/>
    <m/>
    <x v="0"/>
  </r>
  <r>
    <x v="21"/>
    <s v="Moong Dal-Hesaru bele-kg-kg-1.0000"/>
    <n v="75"/>
    <n v="0.5"/>
    <x v="0"/>
    <s v="Murthy"/>
    <n v="37.5"/>
    <m/>
    <m/>
    <m/>
    <m/>
    <m/>
    <m/>
    <x v="0"/>
  </r>
  <r>
    <x v="21"/>
    <s v="Beans-Beans-kg-kg-1.0000"/>
    <n v="43.06"/>
    <n v="1"/>
    <x v="0"/>
    <s v="Murthy"/>
    <n v="43.06"/>
    <m/>
    <m/>
    <m/>
    <m/>
    <m/>
    <m/>
    <x v="0"/>
  </r>
  <r>
    <x v="21"/>
    <s v="Carrot-carrot-kg-kg-1.0000"/>
    <n v="27.97"/>
    <n v="1.1000000000000001"/>
    <x v="0"/>
    <s v="Murthy"/>
    <n v="30.766999999999999"/>
    <m/>
    <m/>
    <m/>
    <m/>
    <m/>
    <m/>
    <x v="0"/>
  </r>
  <r>
    <x v="21"/>
    <s v="Charcoal-Charcoal-kg-kg-1.0000"/>
    <n v="26"/>
    <n v="10"/>
    <x v="0"/>
    <s v="Murthy"/>
    <n v="260"/>
    <m/>
    <m/>
    <m/>
    <m/>
    <m/>
    <m/>
    <x v="0"/>
  </r>
  <r>
    <x v="21"/>
    <s v="Chilly Powder-Chilly Powder-kg-kg-1.0000"/>
    <n v="280"/>
    <n v="0.155"/>
    <x v="0"/>
    <s v="Murthy"/>
    <n v="43.4"/>
    <m/>
    <m/>
    <m/>
    <m/>
    <m/>
    <m/>
    <x v="0"/>
  </r>
  <r>
    <x v="21"/>
    <s v="Garam Masala (100 gram)-garam masala-pkt-kg-0.1000"/>
    <n v="57.5"/>
    <n v="0.1"/>
    <x v="0"/>
    <s v="Murthy"/>
    <n v="5.75"/>
    <m/>
    <m/>
    <m/>
    <m/>
    <m/>
    <m/>
    <x v="0"/>
  </r>
  <r>
    <x v="21"/>
    <s v="Turmeric Powder-Arishina pudi-kg-kg-1.0000"/>
    <n v="187.41"/>
    <n v="0.04"/>
    <x v="0"/>
    <s v="Murthy"/>
    <n v="7.4964000000000004"/>
    <m/>
    <m/>
    <m/>
    <m/>
    <m/>
    <m/>
    <x v="0"/>
  </r>
  <r>
    <x v="21"/>
    <s v="Chat Masala (100 gram)-chat masala-pkt-kg-0.1000"/>
    <n v="48"/>
    <n v="0.65"/>
    <x v="0"/>
    <s v="Murthy"/>
    <n v="31.200000000000003"/>
    <m/>
    <m/>
    <m/>
    <m/>
    <m/>
    <m/>
    <x v="0"/>
  </r>
  <r>
    <x v="21"/>
    <s v="Salt Powder-Uppu-kg-kg-1.0000"/>
    <n v="17"/>
    <n v="0.49"/>
    <x v="0"/>
    <s v="Murthy"/>
    <n v="8.33"/>
    <m/>
    <m/>
    <m/>
    <m/>
    <m/>
    <m/>
    <x v="0"/>
  </r>
  <r>
    <x v="21"/>
    <s v="Black Pepper Powder-Kaal menasu-kg-kg-1.0000"/>
    <n v="380"/>
    <n v="0.02"/>
    <x v="0"/>
    <s v="Murthy"/>
    <n v="7.6000000000000005"/>
    <m/>
    <m/>
    <m/>
    <m/>
    <m/>
    <m/>
    <x v="0"/>
  </r>
  <r>
    <x v="21"/>
    <s v="White Pepper Powder (500 gram)-Billi menasu pudi-kg-kg-1.0000"/>
    <n v="180"/>
    <n v="0.36"/>
    <x v="0"/>
    <s v="Murthy"/>
    <n v="64.8"/>
    <m/>
    <m/>
    <m/>
    <m/>
    <m/>
    <m/>
    <x v="0"/>
  </r>
  <r>
    <x v="21"/>
    <s v="Tasting Powder (500 kg)-tasting powder-kg-kg-1.0000"/>
    <n v="148"/>
    <n v="0.17499999999999999"/>
    <x v="0"/>
    <s v="Murthy"/>
    <n v="25.9"/>
    <m/>
    <m/>
    <m/>
    <m/>
    <m/>
    <m/>
    <x v="0"/>
  </r>
  <r>
    <x v="21"/>
    <s v="Dark soya souce-Dark soya souce-bottle-kg-0.8150"/>
    <n v="33"/>
    <n v="0.27500000000000002"/>
    <x v="0"/>
    <s v="Murthy"/>
    <n v="9.0750000000000011"/>
    <m/>
    <m/>
    <m/>
    <m/>
    <m/>
    <m/>
    <x v="0"/>
  </r>
  <r>
    <x v="21"/>
    <s v="Ketchup(1.2 kg)-ketchup-bottle-kg-1.2000"/>
    <n v="75"/>
    <n v="0.86"/>
    <x v="0"/>
    <s v="Murthy"/>
    <n v="64.5"/>
    <m/>
    <m/>
    <m/>
    <m/>
    <m/>
    <m/>
    <x v="0"/>
  </r>
  <r>
    <x v="21"/>
    <s v="Coriander Powder (500 gram)-Dhanya Powder (500 gram)-kg-kg-1.0000"/>
    <n v="120"/>
    <n v="5.5E-2"/>
    <x v="0"/>
    <s v="Murthy"/>
    <n v="6.6"/>
    <m/>
    <m/>
    <m/>
    <m/>
    <m/>
    <m/>
    <x v="0"/>
  </r>
  <r>
    <x v="21"/>
    <s v="Yellow Gravy"/>
    <n v="0"/>
    <n v="1.9"/>
    <x v="0"/>
    <s v="Murthy"/>
    <n v="0"/>
    <m/>
    <m/>
    <m/>
    <m/>
    <m/>
    <m/>
    <x v="0"/>
  </r>
  <r>
    <x v="21"/>
    <s v="Burjji Masala"/>
    <n v="0"/>
    <n v="0.91"/>
    <x v="0"/>
    <s v="Murthy"/>
    <n v="0"/>
    <m/>
    <m/>
    <m/>
    <m/>
    <m/>
    <m/>
    <x v="0"/>
  </r>
  <r>
    <x v="21"/>
    <s v="Butter-Butter-kg-kg-1.0000"/>
    <n v="140"/>
    <n v="0.9"/>
    <x v="0"/>
    <s v="Murthy"/>
    <n v="126"/>
    <m/>
    <m/>
    <m/>
    <m/>
    <m/>
    <m/>
    <x v="0"/>
  </r>
  <r>
    <x v="21"/>
    <s v="Sweetcorn-Sweetcorn-tin-kg-0.4000"/>
    <n v="33"/>
    <n v="0.15"/>
    <x v="0"/>
    <s v="Murthy"/>
    <n v="4.95"/>
    <m/>
    <m/>
    <m/>
    <m/>
    <m/>
    <m/>
    <x v="0"/>
  </r>
  <r>
    <x v="21"/>
    <s v="Paneer-Paneer-kg-kg-1.0000"/>
    <n v="175"/>
    <n v="0.4"/>
    <x v="0"/>
    <s v="Murthy"/>
    <n v="70"/>
    <m/>
    <m/>
    <m/>
    <m/>
    <m/>
    <m/>
    <x v="0"/>
  </r>
  <r>
    <x v="21"/>
    <s v="Mushroom-Mushroom-pkt-pkt-1.0000"/>
    <n v="32"/>
    <n v="4"/>
    <x v="0"/>
    <s v="Murthy"/>
    <n v="128"/>
    <m/>
    <m/>
    <m/>
    <m/>
    <m/>
    <m/>
    <x v="0"/>
  </r>
  <r>
    <x v="21"/>
    <s v="Babycorn-Babycorn-kg-kg-1.0000"/>
    <n v="60"/>
    <n v="0.25"/>
    <x v="0"/>
    <s v="Murthy"/>
    <n v="15"/>
    <m/>
    <m/>
    <m/>
    <m/>
    <m/>
    <m/>
    <x v="0"/>
  </r>
  <r>
    <x v="21"/>
    <s v="French fries-french fries-kg-kg-1.0000"/>
    <n v="280"/>
    <n v="0.1"/>
    <x v="0"/>
    <s v="Murthy"/>
    <n v="28"/>
    <m/>
    <m/>
    <m/>
    <m/>
    <m/>
    <m/>
    <x v="0"/>
  </r>
  <r>
    <x v="21"/>
    <s v="Green peas-green peas-kg-kg-1.0000"/>
    <n v="100"/>
    <n v="0.46500000000000002"/>
    <x v="0"/>
    <s v="Murthy"/>
    <n v="46.5"/>
    <m/>
    <m/>
    <m/>
    <m/>
    <m/>
    <m/>
    <x v="0"/>
  </r>
  <r>
    <x v="21"/>
    <s v="Gas-Gas-kg-kg-1.0000"/>
    <n v="78.95"/>
    <n v="4.3"/>
    <x v="1"/>
    <s v="Ravi"/>
    <n v="339.48500000000001"/>
    <m/>
    <m/>
    <m/>
    <m/>
    <m/>
    <m/>
    <x v="0"/>
  </r>
  <r>
    <x v="21"/>
    <s v="Gas-Gas-kg-kg-1.0000"/>
    <n v="78.95"/>
    <n v="0.4"/>
    <x v="2"/>
    <s v="Ravi"/>
    <n v="31.580000000000002"/>
    <m/>
    <m/>
    <m/>
    <m/>
    <m/>
    <m/>
    <x v="0"/>
  </r>
  <r>
    <x v="21"/>
    <s v="Gas-Gas-kg-kg-1.0000"/>
    <n v="78.95"/>
    <n v="11.2"/>
    <x v="0"/>
    <s v="Murthy"/>
    <n v="884.24"/>
    <m/>
    <m/>
    <m/>
    <m/>
    <m/>
    <m/>
    <x v="0"/>
  </r>
  <r>
    <x v="21"/>
    <s v="Ketchup(1.2 kg)-ketchup-bottle-kg-1.2000"/>
    <n v="75"/>
    <n v="1"/>
    <x v="8"/>
    <s v="Manju"/>
    <n v="75"/>
    <m/>
    <m/>
    <m/>
    <m/>
    <m/>
    <m/>
    <x v="0"/>
  </r>
  <r>
    <x v="21"/>
    <s v="Lemon-Nimbehannu-count-count-1.0000"/>
    <n v="3"/>
    <n v="8"/>
    <x v="6"/>
    <s v="Jaggu"/>
    <n v="24"/>
    <m/>
    <m/>
    <m/>
    <m/>
    <m/>
    <m/>
    <x v="0"/>
  </r>
  <r>
    <x v="21"/>
    <s v="Onion-Erulli-kg-kg-1.0000"/>
    <n v="14"/>
    <n v="0.5"/>
    <x v="6"/>
    <s v="Jaggu"/>
    <n v="7"/>
    <m/>
    <m/>
    <m/>
    <m/>
    <m/>
    <m/>
    <x v="0"/>
  </r>
  <r>
    <x v="21"/>
    <s v="Pickle-Uppinkayi-kg-kg-1.0000"/>
    <n v="40"/>
    <n v="0.3"/>
    <x v="1"/>
    <s v="Ravi"/>
    <n v="12"/>
    <m/>
    <m/>
    <m/>
    <m/>
    <m/>
    <m/>
    <x v="0"/>
  </r>
  <r>
    <x v="21"/>
    <s v="South Rice-South Hakki-kg-kg-1.0000"/>
    <n v="52"/>
    <n v="5.7"/>
    <x v="1"/>
    <s v="Ravi"/>
    <n v="296.40000000000003"/>
    <m/>
    <m/>
    <m/>
    <m/>
    <m/>
    <m/>
    <x v="0"/>
  </r>
  <r>
    <x v="21"/>
    <s v="Milk-Haalu-lts-kg-1.0300"/>
    <n v="36"/>
    <n v="3"/>
    <x v="1"/>
    <s v="Ravi"/>
    <n v="108"/>
    <m/>
    <m/>
    <m/>
    <m/>
    <m/>
    <m/>
    <x v="0"/>
  </r>
  <r>
    <x v="21"/>
    <s v="Curd-Mosaru-lts-kg-1.0300"/>
    <n v="42"/>
    <n v="1.5"/>
    <x v="1"/>
    <s v="Ravi"/>
    <n v="63"/>
    <m/>
    <m/>
    <m/>
    <m/>
    <m/>
    <m/>
    <x v="0"/>
  </r>
  <r>
    <x v="21"/>
    <s v="Coconut-Theginkai-count-count-1.0000"/>
    <n v="28"/>
    <n v="3"/>
    <x v="1"/>
    <s v="Ravi"/>
    <n v="84"/>
    <m/>
    <m/>
    <m/>
    <m/>
    <m/>
    <m/>
    <x v="0"/>
  </r>
  <r>
    <x v="21"/>
    <s v="South Rice-South Hakki-kg-kg-1.0000"/>
    <n v="52"/>
    <n v="5.6"/>
    <x v="1"/>
    <s v="Ravi"/>
    <n v="291.2"/>
    <m/>
    <m/>
    <m/>
    <m/>
    <m/>
    <m/>
    <x v="0"/>
  </r>
  <r>
    <x v="21"/>
    <s v="Sugar-Sakkre-kg-kg-1.0000"/>
    <n v="37"/>
    <n v="0.5"/>
    <x v="1"/>
    <s v="Ravi"/>
    <n v="18.5"/>
    <m/>
    <m/>
    <m/>
    <m/>
    <m/>
    <m/>
    <x v="0"/>
  </r>
  <r>
    <x v="21"/>
    <s v="Chilly Powder-Chilly Powder-kg-kg-1.0000"/>
    <n v="280"/>
    <n v="9.5000000000000001E-2"/>
    <x v="1"/>
    <s v="Ravi"/>
    <n v="26.6"/>
    <m/>
    <m/>
    <m/>
    <m/>
    <m/>
    <m/>
    <x v="0"/>
  </r>
  <r>
    <x v="21"/>
    <s v="Coriander Powder (500 gram)-Dhanya Powder (500 gram)-kg-kg-1.0000"/>
    <n v="120"/>
    <n v="0.06"/>
    <x v="1"/>
    <s v="Ravi"/>
    <n v="7.1999999999999993"/>
    <m/>
    <m/>
    <m/>
    <m/>
    <m/>
    <m/>
    <x v="0"/>
  </r>
  <r>
    <x v="21"/>
    <s v="Crystal Salt-Kalluppu-kg-kg-1.0000"/>
    <n v="7"/>
    <n v="0.79"/>
    <x v="1"/>
    <s v="Ravi"/>
    <n v="5.53"/>
    <m/>
    <m/>
    <m/>
    <m/>
    <m/>
    <m/>
    <x v="0"/>
  </r>
  <r>
    <x v="21"/>
    <s v="Turmeric Powder-Arishina pudi-kg-kg-1.0000"/>
    <n v="187.41"/>
    <n v="0.04"/>
    <x v="1"/>
    <s v="Ravi"/>
    <n v="7.4964000000000004"/>
    <m/>
    <m/>
    <m/>
    <m/>
    <m/>
    <m/>
    <x v="0"/>
  </r>
  <r>
    <x v="21"/>
    <s v="Oil-Yenne-lts-kg-0.9150"/>
    <n v="82"/>
    <n v="1"/>
    <x v="1"/>
    <s v="Ravi"/>
    <n v="82"/>
    <m/>
    <m/>
    <m/>
    <m/>
    <m/>
    <m/>
    <x v="0"/>
  </r>
  <r>
    <x v="21"/>
    <s v="Jeera Seeds-Jeerge-kg-kg-1.0000"/>
    <n v="230"/>
    <n v="9.5000000000000001E-2"/>
    <x v="1"/>
    <s v="Ravi"/>
    <n v="21.85"/>
    <m/>
    <m/>
    <m/>
    <m/>
    <m/>
    <m/>
    <x v="0"/>
  </r>
  <r>
    <x v="21"/>
    <s v="Mustard-Sasive-kg-kg-1.0000"/>
    <n v="70"/>
    <n v="0.06"/>
    <x v="1"/>
    <s v="Ravi"/>
    <n v="4.2"/>
    <m/>
    <m/>
    <m/>
    <m/>
    <m/>
    <m/>
    <x v="0"/>
  </r>
  <r>
    <x v="21"/>
    <s v="channadal(split)-Kadlebele-kg-kg-1.0000"/>
    <n v="55"/>
    <n v="0.18"/>
    <x v="1"/>
    <s v="Ravi"/>
    <n v="9.9"/>
    <m/>
    <m/>
    <m/>
    <m/>
    <m/>
    <m/>
    <x v="0"/>
  </r>
  <r>
    <x v="21"/>
    <s v="Onion-Erulli-kg-kg-1.0000"/>
    <n v="14"/>
    <n v="3"/>
    <x v="1"/>
    <s v="Ravi"/>
    <n v="42"/>
    <m/>
    <m/>
    <m/>
    <m/>
    <m/>
    <m/>
    <x v="0"/>
  </r>
  <r>
    <x v="21"/>
    <s v="Garlic-Belulli-kg-kg-1.0000"/>
    <n v="28"/>
    <n v="0.25"/>
    <x v="1"/>
    <s v="Ravi"/>
    <n v="7"/>
    <m/>
    <m/>
    <m/>
    <m/>
    <m/>
    <m/>
    <x v="0"/>
  </r>
  <r>
    <x v="21"/>
    <s v="Ginger-shunti-kg-kg-1.0000"/>
    <n v="40"/>
    <n v="0.15"/>
    <x v="1"/>
    <s v="Ravi"/>
    <n v="6"/>
    <m/>
    <m/>
    <m/>
    <m/>
    <m/>
    <m/>
    <x v="0"/>
  </r>
  <r>
    <x v="21"/>
    <s v="Wheat-Godhi-kg-kg-1.0000"/>
    <n v="34"/>
    <n v="0.75"/>
    <x v="1"/>
    <s v="Ravi"/>
    <n v="25.5"/>
    <m/>
    <m/>
    <m/>
    <m/>
    <m/>
    <m/>
    <x v="0"/>
  </r>
  <r>
    <x v="21"/>
    <s v="Tamarind-hunsehannu-kg-kg-1.0000"/>
    <n v="170"/>
    <n v="0.12"/>
    <x v="1"/>
    <s v="Ravi"/>
    <n v="20.399999999999999"/>
    <m/>
    <m/>
    <m/>
    <m/>
    <m/>
    <m/>
    <x v="0"/>
  </r>
  <r>
    <x v="21"/>
    <s v="Toordal-Thogaribele-kg-kg-1.0000"/>
    <n v="64.069999999999993"/>
    <n v="0.6"/>
    <x v="1"/>
    <s v="Ravi"/>
    <n v="38.441999999999993"/>
    <m/>
    <m/>
    <m/>
    <m/>
    <m/>
    <m/>
    <x v="0"/>
  </r>
  <r>
    <x v="21"/>
    <s v="vermicelli-Shavige-kg-kg-1.0000"/>
    <n v="61.08"/>
    <n v="0.45"/>
    <x v="1"/>
    <s v="Ravi"/>
    <n v="27.486000000000001"/>
    <m/>
    <m/>
    <m/>
    <m/>
    <m/>
    <m/>
    <x v="0"/>
  </r>
  <r>
    <x v="21"/>
    <s v="Guntur -guntur-kg-kg-1.0000"/>
    <n v="138"/>
    <n v="0.03"/>
    <x v="1"/>
    <s v="Ravi"/>
    <n v="4.1399999999999997"/>
    <m/>
    <m/>
    <m/>
    <m/>
    <m/>
    <m/>
    <x v="0"/>
  </r>
  <r>
    <x v="21"/>
    <s v="Byadagi chilly-Byadagi chilly-kg-kg-1.0000"/>
    <n v="280"/>
    <n v="0.03"/>
    <x v="1"/>
    <s v="Ravi"/>
    <n v="8.4"/>
    <m/>
    <m/>
    <m/>
    <m/>
    <m/>
    <m/>
    <x v="0"/>
  </r>
  <r>
    <x v="21"/>
    <s v="Green chilly-hasinmenshinkayi-kg-kg-1.0000"/>
    <n v="30"/>
    <n v="0.2"/>
    <x v="1"/>
    <s v="Ravi"/>
    <n v="6"/>
    <m/>
    <m/>
    <m/>
    <m/>
    <m/>
    <m/>
    <x v="0"/>
  </r>
  <r>
    <x v="21"/>
    <s v="Fenugreek Seeds-menthya beeja-kg-kg-1.0000"/>
    <n v="125"/>
    <n v="4.4999999999999998E-2"/>
    <x v="1"/>
    <s v="Ravi"/>
    <n v="5.625"/>
    <m/>
    <m/>
    <m/>
    <m/>
    <m/>
    <m/>
    <x v="0"/>
  </r>
  <r>
    <x v="21"/>
    <s v="Urad Dal-Uddina bele-kg-kg-1.0000"/>
    <n v="76"/>
    <n v="0.04"/>
    <x v="1"/>
    <s v="Ravi"/>
    <n v="3.04"/>
    <m/>
    <m/>
    <m/>
    <m/>
    <m/>
    <m/>
    <x v="0"/>
  </r>
  <r>
    <x v="21"/>
    <s v="Beans-Beans-kg-kg-1.0000"/>
    <n v="43.06"/>
    <n v="1.1000000000000001"/>
    <x v="1"/>
    <s v="Ravi"/>
    <n v="47.366000000000007"/>
    <m/>
    <m/>
    <m/>
    <m/>
    <m/>
    <m/>
    <x v="0"/>
  </r>
  <r>
    <x v="21"/>
    <s v="Carrot-carrot-kg-kg-1.0000"/>
    <n v="27.97"/>
    <n v="0.5"/>
    <x v="1"/>
    <s v="Ravi"/>
    <n v="13.984999999999999"/>
    <m/>
    <m/>
    <m/>
    <m/>
    <m/>
    <m/>
    <x v="0"/>
  </r>
  <r>
    <x v="21"/>
    <s v="Pudina-Pudina-kg-kg-1.0000"/>
    <n v="125"/>
    <n v="0.06"/>
    <x v="1"/>
    <s v="Ravi"/>
    <n v="7.5"/>
    <m/>
    <m/>
    <m/>
    <m/>
    <m/>
    <m/>
    <x v="0"/>
  </r>
  <r>
    <x v="21"/>
    <s v="curry leaves-karbensoppu-kg-kg-1.0000"/>
    <n v="312.14"/>
    <n v="7.0000000000000007E-2"/>
    <x v="1"/>
    <s v="Ravi"/>
    <n v="21.849800000000002"/>
    <m/>
    <m/>
    <m/>
    <m/>
    <m/>
    <m/>
    <x v="0"/>
  </r>
  <r>
    <x v="21"/>
    <s v="Coriander leaves-Kothamiri Soppu-kg-kg-1.0000"/>
    <n v="25"/>
    <n v="0.28000000000000003"/>
    <x v="1"/>
    <s v="Ravi"/>
    <n v="7.0000000000000009"/>
    <m/>
    <m/>
    <m/>
    <m/>
    <m/>
    <m/>
    <x v="0"/>
  </r>
  <r>
    <x v="21"/>
    <s v="Tomato (Huli)-tomatohuli-kg-kg-1.0000"/>
    <n v="15"/>
    <n v="1.5"/>
    <x v="1"/>
    <s v="Ravi"/>
    <n v="22.5"/>
    <m/>
    <m/>
    <m/>
    <m/>
    <m/>
    <m/>
    <x v="0"/>
  </r>
  <r>
    <x v="21"/>
    <s v="South Papad (500 gram)-South Papad (500 gram)-pkt-kg-0.5000"/>
    <n v="62.03"/>
    <n v="0.105"/>
    <x v="1"/>
    <s v="Ravi"/>
    <n v="6.5131499999999996"/>
    <m/>
    <m/>
    <m/>
    <m/>
    <m/>
    <m/>
    <x v="0"/>
  </r>
  <r>
    <x v="21"/>
    <s v="North Papad (1 kg)-North Papad (1 kg)-kg-kg-1.0000"/>
    <n v="160"/>
    <n v="0.09"/>
    <x v="1"/>
    <s v="Ravi"/>
    <n v="14.399999999999999"/>
    <m/>
    <m/>
    <m/>
    <m/>
    <m/>
    <m/>
    <x v="0"/>
  </r>
  <r>
    <x v="21"/>
    <s v="mixed vegetables-mixed tharkari-kg-kg-1.0000"/>
    <n v="35"/>
    <n v="2"/>
    <x v="1"/>
    <s v="Ravi"/>
    <n v="70"/>
    <m/>
    <m/>
    <m/>
    <m/>
    <m/>
    <m/>
    <x v="0"/>
  </r>
  <r>
    <x v="21"/>
    <s v="Cashew-Godambi-kg-kg-1.0000"/>
    <n v="840"/>
    <n v="2.5000000000000001E-2"/>
    <x v="1"/>
    <s v="Ravi"/>
    <n v="21"/>
    <m/>
    <m/>
    <m/>
    <m/>
    <m/>
    <m/>
    <x v="0"/>
  </r>
  <r>
    <x v="21"/>
    <s v="Raisin-drakshi-kg-kg-1.0000"/>
    <n v="240"/>
    <n v="2.5000000000000001E-2"/>
    <x v="1"/>
    <s v="Ravi"/>
    <n v="6"/>
    <m/>
    <m/>
    <m/>
    <m/>
    <m/>
    <m/>
    <x v="0"/>
  </r>
  <r>
    <x v="21"/>
    <s v="Coriander seeds-Dhanya Beeja-kg-kg-1.0000"/>
    <n v="90"/>
    <n v="0.09"/>
    <x v="1"/>
    <s v="Ravi"/>
    <n v="8.1"/>
    <m/>
    <m/>
    <m/>
    <m/>
    <m/>
    <m/>
    <x v="0"/>
  </r>
  <r>
    <x v="21"/>
    <s v="Watermelon-Watermelon-kg-kg-1.0000"/>
    <n v="20"/>
    <n v="3.5999999999999996"/>
    <x v="5"/>
    <s v="Ravi"/>
    <n v="72"/>
    <m/>
    <m/>
    <m/>
    <m/>
    <m/>
    <m/>
    <x v="0"/>
  </r>
  <r>
    <x v="21"/>
    <s v="Moosambi-MOOSAMBI-kg-kg-1.0000"/>
    <n v="50"/>
    <n v="2.1"/>
    <x v="5"/>
    <s v="Ravi"/>
    <n v="105"/>
    <m/>
    <m/>
    <m/>
    <m/>
    <m/>
    <m/>
    <x v="0"/>
  </r>
  <r>
    <x v="21"/>
    <s v="Papaya-PRANGIHANNU-kg-kg-1.0000"/>
    <n v="20"/>
    <n v="1.5"/>
    <x v="5"/>
    <s v="Ravi"/>
    <n v="30"/>
    <m/>
    <m/>
    <m/>
    <m/>
    <m/>
    <m/>
    <x v="0"/>
  </r>
  <r>
    <x v="21"/>
    <s v="Watermelon-Watermelon-kg-kg-1.0000"/>
    <n v="20"/>
    <n v="1.3"/>
    <x v="5"/>
    <s v="Ravi"/>
    <n v="26"/>
    <m/>
    <m/>
    <m/>
    <m/>
    <m/>
    <m/>
    <x v="0"/>
  </r>
  <r>
    <x v="21"/>
    <s v="Sugar-Sakkre-kg-kg-1.0000"/>
    <n v="37"/>
    <n v="3"/>
    <x v="5"/>
    <s v="Ravi"/>
    <n v="111"/>
    <m/>
    <m/>
    <m/>
    <m/>
    <m/>
    <m/>
    <x v="0"/>
  </r>
  <r>
    <x v="21"/>
    <s v="Milk-Haalu-lts-kg-1.0300"/>
    <n v="36"/>
    <n v="3"/>
    <x v="5"/>
    <s v="Ravi"/>
    <n v="108"/>
    <m/>
    <m/>
    <m/>
    <m/>
    <m/>
    <m/>
    <x v="0"/>
  </r>
  <r>
    <x v="21"/>
    <s v="Curd-Mosaru-lts-kg-1.0300"/>
    <n v="42"/>
    <n v="1"/>
    <x v="5"/>
    <s v="Ravi"/>
    <n v="42"/>
    <m/>
    <m/>
    <m/>
    <m/>
    <m/>
    <m/>
    <x v="0"/>
  </r>
  <r>
    <x v="21"/>
    <s v="Pineapple-ANNANAS-kg-kg-1.0000"/>
    <n v="30"/>
    <n v="2"/>
    <x v="5"/>
    <s v="Ravi"/>
    <n v="60"/>
    <m/>
    <m/>
    <m/>
    <m/>
    <m/>
    <m/>
    <x v="0"/>
  </r>
  <r>
    <x v="21"/>
    <s v="Muskmelon-THARBUJA-kg-kg-1.0000"/>
    <n v="20"/>
    <n v="3.8"/>
    <x v="5"/>
    <s v="Ravi"/>
    <n v="76"/>
    <m/>
    <m/>
    <m/>
    <m/>
    <m/>
    <m/>
    <x v="0"/>
  </r>
  <r>
    <x v="21"/>
    <s v="Orange -Kitlehannu-kg-kg-1.0000"/>
    <n v="50"/>
    <n v="2"/>
    <x v="5"/>
    <s v="Ravi"/>
    <n v="100"/>
    <m/>
    <m/>
    <m/>
    <m/>
    <m/>
    <m/>
    <x v="0"/>
  </r>
  <r>
    <x v="21"/>
    <s v="Chickoo-Sapota-kg-kg-1.0000"/>
    <n v="40"/>
    <n v="1"/>
    <x v="5"/>
    <s v="Ravi"/>
    <n v="40"/>
    <m/>
    <m/>
    <m/>
    <m/>
    <m/>
    <m/>
    <x v="0"/>
  </r>
  <r>
    <x v="21"/>
    <s v="Mango-Mavinhannu-kg-kg-1.0000"/>
    <n v="150"/>
    <n v="2"/>
    <x v="5"/>
    <s v="Ravi"/>
    <n v="300"/>
    <m/>
    <m/>
    <m/>
    <m/>
    <m/>
    <m/>
    <x v="0"/>
  </r>
  <r>
    <x v="21"/>
    <s v="Apple-SEBU-kg-kg-1.0000"/>
    <n v="120"/>
    <n v="1"/>
    <x v="5"/>
    <s v="Ravi"/>
    <n v="120"/>
    <m/>
    <m/>
    <m/>
    <m/>
    <m/>
    <m/>
    <x v="0"/>
  </r>
  <r>
    <x v="21"/>
    <s v="Onion-Erulli-kg-kg-1.0000"/>
    <n v="14"/>
    <n v="0.68500000000000005"/>
    <x v="2"/>
    <s v="Ravi"/>
    <n v="9.59"/>
    <m/>
    <m/>
    <m/>
    <m/>
    <m/>
    <m/>
    <x v="0"/>
  </r>
  <r>
    <x v="21"/>
    <s v="Tomato (Jam)-tomatojam-kg-kg-1.0000"/>
    <n v="14.75"/>
    <n v="0.48499999999999999"/>
    <x v="2"/>
    <s v="Ravi"/>
    <n v="7.1537499999999996"/>
    <m/>
    <m/>
    <m/>
    <m/>
    <m/>
    <m/>
    <x v="0"/>
  </r>
  <r>
    <x v="21"/>
    <s v="Carrot-carrot-kg-kg-1.0000"/>
    <n v="27.97"/>
    <n v="0.3"/>
    <x v="2"/>
    <s v="Ravi"/>
    <n v="8.391"/>
    <m/>
    <m/>
    <m/>
    <m/>
    <m/>
    <m/>
    <x v="0"/>
  </r>
  <r>
    <x v="21"/>
    <s v="Coriander leaves-Kothamiri Soppu-kg-kg-1.0000"/>
    <n v="25"/>
    <n v="9.5000000000000001E-2"/>
    <x v="2"/>
    <s v="Ravi"/>
    <n v="2.375"/>
    <m/>
    <m/>
    <m/>
    <m/>
    <m/>
    <m/>
    <x v="0"/>
  </r>
  <r>
    <x v="21"/>
    <s v="Milk-Haalu-lts-kg-1.0300"/>
    <n v="36"/>
    <n v="2"/>
    <x v="9"/>
    <s v="Staff"/>
    <n v="72"/>
    <m/>
    <m/>
    <m/>
    <m/>
    <m/>
    <m/>
    <x v="0"/>
  </r>
  <r>
    <x v="22"/>
    <s v="Onion-Erulli-kg-kg-1.0000"/>
    <n v="14"/>
    <n v="0.25"/>
    <x v="6"/>
    <s v="Jaggu"/>
    <n v="3.5"/>
    <m/>
    <m/>
    <m/>
    <m/>
    <m/>
    <m/>
    <x v="0"/>
  </r>
  <r>
    <x v="22"/>
    <s v="Lemon-Nimbehannu-count-count-1.0000"/>
    <n v="3"/>
    <n v="4"/>
    <x v="6"/>
    <s v="Jaggu"/>
    <n v="12"/>
    <m/>
    <m/>
    <m/>
    <m/>
    <m/>
    <m/>
    <x v="0"/>
  </r>
  <r>
    <x v="22"/>
    <s v="Napkin-napkin-pkt-pkt-1.0000"/>
    <n v="14"/>
    <n v="2"/>
    <x v="8"/>
    <s v="Manju"/>
    <n v="28"/>
    <m/>
    <m/>
    <m/>
    <m/>
    <m/>
    <m/>
    <x v="0"/>
  </r>
  <r>
    <x v="22"/>
    <s v="Charcoal-Charcoal-kg-kg-1.0000"/>
    <n v="26"/>
    <n v="10.6"/>
    <x v="0"/>
    <s v="Murthy"/>
    <n v="275.59999999999997"/>
    <m/>
    <m/>
    <m/>
    <m/>
    <m/>
    <m/>
    <x v="0"/>
  </r>
  <r>
    <x v="22"/>
    <s v="Green chilly-hasinmenshinkayi-kg-kg-1.0000"/>
    <n v="30"/>
    <n v="0.5"/>
    <x v="0"/>
    <s v="Murthy"/>
    <n v="15"/>
    <m/>
    <m/>
    <m/>
    <m/>
    <m/>
    <m/>
    <x v="0"/>
  </r>
  <r>
    <x v="22"/>
    <s v="Coriander leaves-Kothamiri Soppu-kg-kg-1.0000"/>
    <n v="25"/>
    <n v="0.32"/>
    <x v="0"/>
    <s v="Murthy"/>
    <n v="8"/>
    <m/>
    <m/>
    <m/>
    <m/>
    <m/>
    <m/>
    <x v="0"/>
  </r>
  <r>
    <x v="22"/>
    <s v="Tomato (Jam)-tomatojam-kg-kg-1.0000"/>
    <n v="14.75"/>
    <n v="0.5"/>
    <x v="0"/>
    <s v="Murthy"/>
    <n v="7.375"/>
    <m/>
    <m/>
    <m/>
    <m/>
    <m/>
    <m/>
    <x v="0"/>
  </r>
  <r>
    <x v="22"/>
    <s v="Capsicum-Capsicum-kg-kg-1.0000"/>
    <n v="30"/>
    <n v="1.1000000000000001"/>
    <x v="0"/>
    <s v="Murthy"/>
    <n v="33"/>
    <m/>
    <m/>
    <m/>
    <m/>
    <m/>
    <m/>
    <x v="0"/>
  </r>
  <r>
    <x v="22"/>
    <s v="Roti Wheat-Roti atta-kg-kg-1.0000"/>
    <n v="27"/>
    <n v="3"/>
    <x v="0"/>
    <s v="Murthy"/>
    <n v="81"/>
    <m/>
    <m/>
    <m/>
    <m/>
    <m/>
    <m/>
    <x v="0"/>
  </r>
  <r>
    <x v="22"/>
    <s v="Oil-Yenne-lts-kg-0.9150"/>
    <n v="82"/>
    <n v="4"/>
    <x v="0"/>
    <s v="Murthy"/>
    <n v="328"/>
    <m/>
    <m/>
    <m/>
    <m/>
    <m/>
    <m/>
    <x v="0"/>
  </r>
  <r>
    <x v="22"/>
    <s v="Maida-Maida-kg-kg-1.0000"/>
    <n v="29.51"/>
    <n v="0.67500000000000004"/>
    <x v="0"/>
    <s v="Murthy"/>
    <n v="19.919250000000002"/>
    <m/>
    <m/>
    <m/>
    <m/>
    <m/>
    <m/>
    <x v="0"/>
  </r>
  <r>
    <x v="22"/>
    <s v="Pudina-Pudina-kg-kg-1.0000"/>
    <n v="125"/>
    <n v="1.8"/>
    <x v="0"/>
    <s v="Murthy"/>
    <n v="225"/>
    <m/>
    <m/>
    <m/>
    <m/>
    <m/>
    <m/>
    <x v="0"/>
  </r>
  <r>
    <x v="22"/>
    <s v="curry leaves-karbensoppu-kg-kg-1.0000"/>
    <n v="312.14"/>
    <n v="0.02"/>
    <x v="0"/>
    <s v="Murthy"/>
    <n v="6.2427999999999999"/>
    <m/>
    <m/>
    <m/>
    <m/>
    <m/>
    <m/>
    <x v="0"/>
  </r>
  <r>
    <x v="22"/>
    <s v="Garlic-Belulli-kg-kg-1.0000"/>
    <n v="28"/>
    <n v="0.5"/>
    <x v="0"/>
    <s v="Murthy"/>
    <n v="14"/>
    <m/>
    <m/>
    <m/>
    <m/>
    <m/>
    <m/>
    <x v="0"/>
  </r>
  <r>
    <x v="22"/>
    <s v="Ginger-shunti-kg-kg-1.0000"/>
    <n v="40"/>
    <n v="0.2"/>
    <x v="0"/>
    <s v="Murthy"/>
    <n v="8"/>
    <m/>
    <m/>
    <m/>
    <m/>
    <m/>
    <m/>
    <x v="0"/>
  </r>
  <r>
    <x v="22"/>
    <s v="Hakka Noodles-Hakka Noodles-pkt-kg-0.4000"/>
    <n v="40"/>
    <n v="1"/>
    <x v="0"/>
    <s v="Murthy"/>
    <n v="40"/>
    <m/>
    <m/>
    <m/>
    <m/>
    <m/>
    <m/>
    <x v="0"/>
  </r>
  <r>
    <x v="22"/>
    <s v="Cauliflower-hookosu-kg-kg-1.0000"/>
    <n v="23.33"/>
    <n v="1"/>
    <x v="0"/>
    <s v="Murthy"/>
    <n v="23.33"/>
    <m/>
    <m/>
    <m/>
    <m/>
    <m/>
    <m/>
    <x v="0"/>
  </r>
  <r>
    <x v="22"/>
    <s v="Corn flour-Corn flour-kg-kg-1.0000"/>
    <n v="45"/>
    <n v="1"/>
    <x v="0"/>
    <s v="Murthy"/>
    <n v="45"/>
    <m/>
    <m/>
    <m/>
    <m/>
    <m/>
    <m/>
    <x v="0"/>
  </r>
  <r>
    <x v="22"/>
    <s v="Guntur -guntur-kg-kg-1.0000"/>
    <n v="138"/>
    <n v="0.2"/>
    <x v="0"/>
    <s v="Murthy"/>
    <n v="27.6"/>
    <m/>
    <m/>
    <m/>
    <m/>
    <m/>
    <m/>
    <x v="0"/>
  </r>
  <r>
    <x v="22"/>
    <s v="Byadagi chilly-Byadagi chilly-kg-kg-1.0000"/>
    <n v="280"/>
    <n v="0.2"/>
    <x v="0"/>
    <s v="Murthy"/>
    <n v="56"/>
    <m/>
    <m/>
    <m/>
    <m/>
    <m/>
    <m/>
    <x v="0"/>
  </r>
  <r>
    <x v="22"/>
    <s v="Beans-Beans-kg-kg-1.0000"/>
    <n v="43.06"/>
    <n v="0.26"/>
    <x v="0"/>
    <s v="Murthy"/>
    <n v="11.195600000000001"/>
    <m/>
    <m/>
    <m/>
    <m/>
    <m/>
    <m/>
    <x v="0"/>
  </r>
  <r>
    <x v="22"/>
    <s v="Carrot-carrot-kg-kg-1.0000"/>
    <n v="27.97"/>
    <n v="0.35"/>
    <x v="0"/>
    <s v="Murthy"/>
    <n v="9.7894999999999985"/>
    <m/>
    <m/>
    <m/>
    <m/>
    <m/>
    <m/>
    <x v="0"/>
  </r>
  <r>
    <x v="22"/>
    <s v="Coriander leaves-Kothamiri Soppu-kg-kg-1.0000"/>
    <n v="25"/>
    <n v="0.3"/>
    <x v="0"/>
    <s v="Murthy"/>
    <n v="7.5"/>
    <m/>
    <m/>
    <m/>
    <m/>
    <m/>
    <m/>
    <x v="0"/>
  </r>
  <r>
    <x v="22"/>
    <s v="Maida-Maida-kg-kg-1.0000"/>
    <n v="29.51"/>
    <n v="2"/>
    <x v="0"/>
    <s v="Murthy"/>
    <n v="59.02"/>
    <m/>
    <m/>
    <m/>
    <m/>
    <m/>
    <m/>
    <x v="0"/>
  </r>
  <r>
    <x v="22"/>
    <s v="Milk-Haalu-lts-kg-1.0300"/>
    <n v="36"/>
    <n v="0.5"/>
    <x v="0"/>
    <s v="Murthy"/>
    <n v="18"/>
    <m/>
    <m/>
    <m/>
    <m/>
    <m/>
    <m/>
    <x v="0"/>
  </r>
  <r>
    <x v="22"/>
    <s v="Moong Dal-Hesaru bele-kg-kg-1.0000"/>
    <n v="75"/>
    <n v="0.5"/>
    <x v="0"/>
    <s v="Murthy"/>
    <n v="37.5"/>
    <m/>
    <m/>
    <m/>
    <m/>
    <m/>
    <m/>
    <x v="0"/>
  </r>
  <r>
    <x v="22"/>
    <s v="Onion-Erulli-kg-kg-1.0000"/>
    <n v="14"/>
    <n v="3"/>
    <x v="0"/>
    <s v="Murthy"/>
    <n v="42"/>
    <m/>
    <m/>
    <m/>
    <m/>
    <s v="Burjji Masala"/>
    <n v="5"/>
    <x v="0"/>
  </r>
  <r>
    <x v="22"/>
    <s v="Tomato (Jam)-tomatojam-kg-kg-1.0000"/>
    <n v="14.75"/>
    <n v="2"/>
    <x v="0"/>
    <s v="Murthy"/>
    <n v="29.5"/>
    <m/>
    <m/>
    <m/>
    <m/>
    <s v="Burjji Masala"/>
    <m/>
    <x v="0"/>
  </r>
  <r>
    <x v="22"/>
    <s v="Oil-Yenne-lts-kg-0.9150"/>
    <n v="82"/>
    <n v="0.5"/>
    <x v="0"/>
    <s v="Murthy"/>
    <n v="41"/>
    <m/>
    <m/>
    <m/>
    <m/>
    <s v="Burjji Masala"/>
    <m/>
    <x v="0"/>
  </r>
  <r>
    <x v="22"/>
    <s v="Chilly Powder-Chilly Powder-kg-kg-1.0000"/>
    <n v="280"/>
    <n v="2.5000000000000001E-2"/>
    <x v="0"/>
    <s v="Murthy"/>
    <n v="7"/>
    <m/>
    <m/>
    <m/>
    <m/>
    <s v="Burjji Masala"/>
    <m/>
    <x v="0"/>
  </r>
  <r>
    <x v="22"/>
    <s v="Coriander Powder (500 gram)-Dhanya Powder (500 gram)-kg-kg-1.0000"/>
    <n v="120"/>
    <n v="2.5000000000000001E-2"/>
    <x v="0"/>
    <s v="Murthy"/>
    <n v="3"/>
    <m/>
    <m/>
    <m/>
    <m/>
    <s v="Burjji Masala"/>
    <m/>
    <x v="0"/>
  </r>
  <r>
    <x v="22"/>
    <s v="Turmeric Powder-Arishina pudi-kg-kg-1.0000"/>
    <n v="187.41"/>
    <n v="2.5000000000000001E-2"/>
    <x v="0"/>
    <s v="Murthy"/>
    <n v="4.6852499999999999"/>
    <m/>
    <m/>
    <m/>
    <m/>
    <s v="Burjji Masala"/>
    <m/>
    <x v="0"/>
  </r>
  <r>
    <x v="22"/>
    <s v="Salt Powder-Uppu-kg-kg-1.0000"/>
    <n v="17"/>
    <n v="0.05"/>
    <x v="0"/>
    <s v="Murthy"/>
    <n v="0.85000000000000009"/>
    <m/>
    <m/>
    <m/>
    <m/>
    <s v="Burjji Masala"/>
    <m/>
    <x v="0"/>
  </r>
  <r>
    <x v="22"/>
    <s v="Kasoori Methi-Kasoori Methi-kg-kg-1.0000"/>
    <n v="450"/>
    <n v="0.01"/>
    <x v="0"/>
    <s v="Murthy"/>
    <n v="4.5"/>
    <m/>
    <m/>
    <m/>
    <m/>
    <s v="Burjji Masala"/>
    <m/>
    <x v="0"/>
  </r>
  <r>
    <x v="22"/>
    <s v="Chilly Powder-Chilly Powder-kg-kg-1.0000"/>
    <n v="280"/>
    <n v="0.2"/>
    <x v="0"/>
    <s v="Murthy"/>
    <n v="56"/>
    <m/>
    <m/>
    <m/>
    <m/>
    <m/>
    <m/>
    <x v="0"/>
  </r>
  <r>
    <x v="22"/>
    <s v="Garam Masala (100 gram)-garam masala-pkt-kg-0.1000"/>
    <n v="57.5"/>
    <n v="0.4"/>
    <x v="0"/>
    <s v="Murthy"/>
    <n v="23"/>
    <m/>
    <m/>
    <m/>
    <m/>
    <m/>
    <m/>
    <x v="0"/>
  </r>
  <r>
    <x v="22"/>
    <s v="Turmeric Powder-Arishina pudi-kg-kg-1.0000"/>
    <n v="187.41"/>
    <n v="0.23"/>
    <x v="0"/>
    <s v="Murthy"/>
    <n v="43.104300000000002"/>
    <m/>
    <m/>
    <m/>
    <m/>
    <m/>
    <m/>
    <x v="0"/>
  </r>
  <r>
    <x v="22"/>
    <s v="Chat Masala (100 gram)-chat masala-pkt-kg-0.1000"/>
    <n v="48"/>
    <n v="0.3"/>
    <x v="0"/>
    <s v="Murthy"/>
    <n v="14.399999999999999"/>
    <m/>
    <m/>
    <m/>
    <m/>
    <m/>
    <m/>
    <x v="0"/>
  </r>
  <r>
    <x v="22"/>
    <s v="amchurpowder-amchurpudi-pkt-kg-0.1000"/>
    <n v="45"/>
    <n v="0.3"/>
    <x v="0"/>
    <s v="Murthy"/>
    <n v="13.5"/>
    <m/>
    <m/>
    <m/>
    <m/>
    <m/>
    <m/>
    <x v="0"/>
  </r>
  <r>
    <x v="22"/>
    <s v="Salt Powder-Uppu-kg-kg-1.0000"/>
    <n v="17"/>
    <n v="0.8"/>
    <x v="0"/>
    <s v="Murthy"/>
    <n v="13.600000000000001"/>
    <m/>
    <m/>
    <m/>
    <m/>
    <m/>
    <m/>
    <x v="0"/>
  </r>
  <r>
    <x v="22"/>
    <s v="Black Pepper Powder-Kaal menasu-kg-kg-1.0000"/>
    <n v="380"/>
    <n v="0.16"/>
    <x v="0"/>
    <s v="Murthy"/>
    <n v="60.800000000000004"/>
    <m/>
    <m/>
    <m/>
    <m/>
    <m/>
    <m/>
    <x v="0"/>
  </r>
  <r>
    <x v="22"/>
    <s v="White Pepper Powder (500 gram)-Billi menasu pudi-kg-kg-1.0000"/>
    <n v="180"/>
    <n v="0.3"/>
    <x v="0"/>
    <s v="Murthy"/>
    <n v="54"/>
    <m/>
    <m/>
    <m/>
    <m/>
    <m/>
    <m/>
    <x v="0"/>
  </r>
  <r>
    <x v="22"/>
    <s v="Tasting Powder (500 kg)-tasting powder-kg-kg-1.0000"/>
    <n v="148"/>
    <n v="0.9"/>
    <x v="0"/>
    <s v="Murthy"/>
    <n v="133.20000000000002"/>
    <m/>
    <m/>
    <m/>
    <m/>
    <m/>
    <m/>
    <x v="0"/>
  </r>
  <r>
    <x v="22"/>
    <s v="Vinegar-Vinegar-bottle-kg-0.8600"/>
    <n v="24"/>
    <n v="0.115"/>
    <x v="0"/>
    <s v="Murthy"/>
    <n v="2.7600000000000002"/>
    <m/>
    <m/>
    <m/>
    <m/>
    <m/>
    <m/>
    <x v="0"/>
  </r>
  <r>
    <x v="22"/>
    <s v="Dark soya souce-Dark soya souce-bottle-kg-0.8150"/>
    <n v="33"/>
    <n v="0.28499999999999998"/>
    <x v="0"/>
    <s v="Murthy"/>
    <n v="9.4049999999999994"/>
    <m/>
    <m/>
    <m/>
    <m/>
    <m/>
    <m/>
    <x v="0"/>
  </r>
  <r>
    <x v="22"/>
    <s v="Ketchup(1.2 kg)-ketchup-bottle-kg-1.2000"/>
    <n v="75"/>
    <n v="0.2"/>
    <x v="0"/>
    <s v="Murthy"/>
    <n v="15"/>
    <m/>
    <m/>
    <m/>
    <m/>
    <m/>
    <m/>
    <x v="0"/>
  </r>
  <r>
    <x v="22"/>
    <s v="Coriander Powder (500 gram)-Dhanya Powder (500 gram)-kg-kg-1.0000"/>
    <n v="120"/>
    <n v="0.115"/>
    <x v="0"/>
    <s v="Murthy"/>
    <n v="13.8"/>
    <m/>
    <m/>
    <m/>
    <m/>
    <m/>
    <m/>
    <x v="0"/>
  </r>
  <r>
    <x v="22"/>
    <s v="Yellow Gravy"/>
    <n v="0"/>
    <n v="1.8"/>
    <x v="0"/>
    <s v="Murthy"/>
    <n v="0"/>
    <m/>
    <m/>
    <m/>
    <m/>
    <m/>
    <m/>
    <x v="0"/>
  </r>
  <r>
    <x v="22"/>
    <s v="Burjji Masala"/>
    <n v="0"/>
    <n v="0.98"/>
    <x v="0"/>
    <s v="Murthy"/>
    <n v="0"/>
    <m/>
    <m/>
    <m/>
    <m/>
    <m/>
    <m/>
    <x v="0"/>
  </r>
  <r>
    <x v="22"/>
    <s v="Kitchen king (100 gram)-Kitchen king (100 gram)-pkt-kg-0.1000"/>
    <n v="51"/>
    <n v="0.95"/>
    <x v="0"/>
    <s v="Murthy"/>
    <n v="48.449999999999996"/>
    <m/>
    <m/>
    <m/>
    <m/>
    <m/>
    <m/>
    <x v="0"/>
  </r>
  <r>
    <x v="22"/>
    <s v="Ghee-Thuppa-lts-kg-0.9300"/>
    <n v="430"/>
    <n v="0.09"/>
    <x v="0"/>
    <s v="Murthy"/>
    <n v="38.699999999999996"/>
    <m/>
    <m/>
    <m/>
    <m/>
    <m/>
    <m/>
    <x v="0"/>
  </r>
  <r>
    <x v="22"/>
    <s v="Butter-Butter-kg-kg-1.0000"/>
    <n v="140"/>
    <n v="1.1499999999999999"/>
    <x v="0"/>
    <s v="Murthy"/>
    <n v="161"/>
    <m/>
    <m/>
    <m/>
    <m/>
    <m/>
    <m/>
    <x v="0"/>
  </r>
  <r>
    <x v="22"/>
    <s v="Paneer-Paneer-kg-kg-1.0000"/>
    <n v="175"/>
    <n v="1.4"/>
    <x v="0"/>
    <s v="Murthy"/>
    <n v="244.99999999999997"/>
    <m/>
    <m/>
    <m/>
    <m/>
    <m/>
    <m/>
    <x v="0"/>
  </r>
  <r>
    <x v="22"/>
    <s v="Babycorn-Babycorn-kg-kg-1.0000"/>
    <n v="60"/>
    <n v="0.45"/>
    <x v="0"/>
    <s v="Murthy"/>
    <n v="27"/>
    <m/>
    <m/>
    <m/>
    <m/>
    <m/>
    <m/>
    <x v="0"/>
  </r>
  <r>
    <x v="22"/>
    <s v="Mushroom-Mushroom-pkt-pkt-1.0000"/>
    <n v="32"/>
    <n v="3.35"/>
    <x v="0"/>
    <s v="Murthy"/>
    <n v="107.2"/>
    <m/>
    <m/>
    <m/>
    <m/>
    <m/>
    <m/>
    <x v="0"/>
  </r>
  <r>
    <x v="22"/>
    <s v="Green peas-green peas-kg-kg-1.0000"/>
    <n v="100"/>
    <n v="0.4"/>
    <x v="0"/>
    <s v="Murthy"/>
    <n v="40"/>
    <m/>
    <m/>
    <m/>
    <m/>
    <m/>
    <m/>
    <x v="0"/>
  </r>
  <r>
    <x v="22"/>
    <s v="Sweetcorn-Sweetcorn-tin-kg-0.4000"/>
    <n v="33"/>
    <n v="0"/>
    <x v="0"/>
    <s v="Murthy"/>
    <n v="0"/>
    <m/>
    <m/>
    <m/>
    <m/>
    <m/>
    <m/>
    <x v="0"/>
  </r>
  <r>
    <x v="22"/>
    <s v="Cream-Cream-lts-kg-1.0000"/>
    <n v="190"/>
    <n v="0.15"/>
    <x v="0"/>
    <s v="Murthy"/>
    <n v="28.5"/>
    <m/>
    <m/>
    <m/>
    <m/>
    <m/>
    <m/>
    <x v="0"/>
  </r>
  <r>
    <x v="22"/>
    <s v="Onion-Erulli-kg-kg-1.0000"/>
    <n v="14"/>
    <n v="15.3"/>
    <x v="0"/>
    <s v="Murthy"/>
    <n v="214.20000000000002"/>
    <m/>
    <m/>
    <m/>
    <m/>
    <s v="Yellow Gravy"/>
    <n v="22.8"/>
    <x v="0"/>
  </r>
  <r>
    <x v="22"/>
    <s v="Baby cashew-Baby godambi-kg-kg-1.0000"/>
    <n v="580"/>
    <n v="1"/>
    <x v="0"/>
    <s v="Murthy"/>
    <n v="580"/>
    <m/>
    <m/>
    <m/>
    <m/>
    <s v="Yellow Gravy"/>
    <m/>
    <x v="0"/>
  </r>
  <r>
    <x v="22"/>
    <s v="Watermelon seeds-Watermelon seeds-kg-kg-1.0000"/>
    <n v="184"/>
    <n v="0.5"/>
    <x v="0"/>
    <s v="Murthy"/>
    <n v="92"/>
    <m/>
    <m/>
    <m/>
    <m/>
    <s v="Yellow Gravy"/>
    <m/>
    <x v="0"/>
  </r>
  <r>
    <x v="22"/>
    <s v="Turmeric Powder-Arishina pudi-kg-kg-1.0000"/>
    <n v="187.41"/>
    <n v="0.04"/>
    <x v="0"/>
    <s v="Murthy"/>
    <n v="7.4964000000000004"/>
    <m/>
    <m/>
    <m/>
    <m/>
    <s v="Yellow Gravy"/>
    <m/>
    <x v="0"/>
  </r>
  <r>
    <x v="22"/>
    <s v="Tomato (Jam)-tomatojam-kg-kg-1.0000"/>
    <n v="14.75"/>
    <n v="5"/>
    <x v="0"/>
    <s v="Murthy"/>
    <n v="73.75"/>
    <m/>
    <m/>
    <m/>
    <m/>
    <s v="Yellow Gravy"/>
    <m/>
    <x v="0"/>
  </r>
  <r>
    <x v="22"/>
    <s v="Poppyseeds-ghasghase-kg-kg-1.0000"/>
    <n v="560"/>
    <n v="0.05"/>
    <x v="0"/>
    <s v="Murthy"/>
    <n v="28"/>
    <m/>
    <m/>
    <m/>
    <m/>
    <s v="Yellow Gravy"/>
    <m/>
    <x v="0"/>
  </r>
  <r>
    <x v="22"/>
    <s v="Oil-Yenne-lts-kg-0.9150"/>
    <n v="82"/>
    <n v="2"/>
    <x v="0"/>
    <s v="Murthy"/>
    <n v="164"/>
    <m/>
    <m/>
    <m/>
    <m/>
    <s v="Yellow Gravy"/>
    <m/>
    <x v="0"/>
  </r>
  <r>
    <x v="22"/>
    <s v="Cinnamon-Chekke-kg-kg-1.0000"/>
    <n v="220"/>
    <n v="1.4999999999999999E-2"/>
    <x v="0"/>
    <s v="Murthy"/>
    <n v="3.3"/>
    <m/>
    <m/>
    <m/>
    <m/>
    <s v="Yellow Gravy"/>
    <m/>
    <x v="0"/>
  </r>
  <r>
    <x v="22"/>
    <s v="Cloves-lavanga-kg-kg-1.0000"/>
    <n v="740"/>
    <n v="1.4999999999999999E-2"/>
    <x v="0"/>
    <s v="Murthy"/>
    <n v="11.1"/>
    <m/>
    <m/>
    <m/>
    <m/>
    <s v="Yellow Gravy"/>
    <m/>
    <x v="0"/>
  </r>
  <r>
    <x v="22"/>
    <s v="Elaichi-yelakki-kg-kg-1.0000"/>
    <n v="1450"/>
    <n v="1.4999999999999999E-2"/>
    <x v="0"/>
    <s v="Murthy"/>
    <n v="21.75"/>
    <m/>
    <m/>
    <m/>
    <m/>
    <s v="Yellow Gravy"/>
    <m/>
    <x v="0"/>
  </r>
  <r>
    <x v="22"/>
    <s v="Chilly Powder-Chilly Powder-kg-kg-1.0000"/>
    <n v="280"/>
    <n v="0.05"/>
    <x v="0"/>
    <s v="Murthy"/>
    <n v="14"/>
    <m/>
    <m/>
    <m/>
    <m/>
    <s v="Yellow Gravy"/>
    <m/>
    <x v="0"/>
  </r>
  <r>
    <x v="22"/>
    <s v="Coriander Powder (500 gram)-Dhanya Powder (500 gram)-kg-kg-1.0000"/>
    <n v="120"/>
    <n v="0.05"/>
    <x v="0"/>
    <s v="Murthy"/>
    <n v="6"/>
    <m/>
    <m/>
    <m/>
    <m/>
    <s v="Yellow Gravy"/>
    <m/>
    <x v="0"/>
  </r>
  <r>
    <x v="22"/>
    <s v="Kitchen king (100 gram)-Kitchen king (100 gram)-pkt-kg-0.1000"/>
    <n v="51"/>
    <n v="0.5"/>
    <x v="0"/>
    <s v="Murthy"/>
    <n v="25.5"/>
    <m/>
    <m/>
    <m/>
    <m/>
    <s v="Yellow Gravy"/>
    <m/>
    <x v="0"/>
  </r>
  <r>
    <x v="22"/>
    <s v="Salt Powder-Uppu-kg-kg-1.0000"/>
    <n v="17"/>
    <n v="0.1"/>
    <x v="0"/>
    <s v="Murthy"/>
    <n v="1.7000000000000002"/>
    <m/>
    <m/>
    <m/>
    <m/>
    <s v="Yellow Gravy"/>
    <m/>
    <x v="0"/>
  </r>
  <r>
    <x v="22"/>
    <s v="Ginger-shunti-kg-kg-1.0000"/>
    <n v="40"/>
    <n v="0.1"/>
    <x v="0"/>
    <s v="Murthy"/>
    <n v="4"/>
    <m/>
    <m/>
    <m/>
    <m/>
    <s v="Yellow Gravy"/>
    <m/>
    <x v="0"/>
  </r>
  <r>
    <x v="22"/>
    <s v="Garlic-Belulli-kg-kg-1.0000"/>
    <n v="28"/>
    <n v="0.1"/>
    <x v="0"/>
    <s v="Murthy"/>
    <n v="2.8000000000000003"/>
    <m/>
    <m/>
    <m/>
    <m/>
    <s v="Yellow Gravy"/>
    <m/>
    <x v="0"/>
  </r>
  <r>
    <x v="22"/>
    <s v="Lemon-Nimbehannu-count-count-1.0000"/>
    <n v="3"/>
    <n v="10"/>
    <x v="5"/>
    <s v="Ravi"/>
    <n v="30"/>
    <m/>
    <m/>
    <m/>
    <m/>
    <m/>
    <m/>
    <x v="0"/>
  </r>
  <r>
    <x v="22"/>
    <s v="Milk-Haalu-lts-kg-1.0300"/>
    <n v="36"/>
    <n v="3"/>
    <x v="5"/>
    <s v="Ravi"/>
    <n v="108"/>
    <m/>
    <m/>
    <m/>
    <m/>
    <m/>
    <m/>
    <x v="0"/>
  </r>
  <r>
    <x v="22"/>
    <s v="Curd-Mosaru-lts-kg-1.0300"/>
    <n v="42"/>
    <n v="1"/>
    <x v="5"/>
    <s v="Ravi"/>
    <n v="42"/>
    <m/>
    <m/>
    <m/>
    <m/>
    <m/>
    <m/>
    <x v="0"/>
  </r>
  <r>
    <x v="22"/>
    <s v="Pineapple-ANNANAS-kg-kg-1.0000"/>
    <n v="30"/>
    <n v="0.4"/>
    <x v="5"/>
    <s v="Ravi"/>
    <n v="12"/>
    <m/>
    <m/>
    <m/>
    <m/>
    <m/>
    <m/>
    <x v="0"/>
  </r>
  <r>
    <x v="22"/>
    <s v="BUTTERFRUIT-BUTTERFRUIT-kg-kg-1.0000"/>
    <n v="130"/>
    <n v="1"/>
    <x v="5"/>
    <s v="Ravi"/>
    <n v="130"/>
    <m/>
    <m/>
    <m/>
    <m/>
    <m/>
    <m/>
    <x v="0"/>
  </r>
  <r>
    <x v="22"/>
    <s v="Crystal Salt-Kalluppu-kg-kg-1.0000"/>
    <n v="7"/>
    <n v="0.06"/>
    <x v="2"/>
    <s v="Ravi"/>
    <n v="0.42"/>
    <m/>
    <m/>
    <m/>
    <m/>
    <m/>
    <m/>
    <x v="0"/>
  </r>
  <r>
    <x v="22"/>
    <s v="Garlic-Belulli-kg-kg-1.0000"/>
    <n v="28"/>
    <n v="0.19"/>
    <x v="2"/>
    <s v="Ravi"/>
    <n v="5.32"/>
    <m/>
    <m/>
    <m/>
    <m/>
    <m/>
    <m/>
    <x v="0"/>
  </r>
  <r>
    <x v="22"/>
    <s v="Ginger-shunti-kg-kg-1.0000"/>
    <n v="40"/>
    <n v="4.4999999999999998E-2"/>
    <x v="2"/>
    <s v="Ravi"/>
    <n v="1.7999999999999998"/>
    <m/>
    <m/>
    <m/>
    <m/>
    <m/>
    <m/>
    <x v="0"/>
  </r>
  <r>
    <x v="22"/>
    <s v="Fried Gram-Hurgadle-kg-kg-1.0000"/>
    <n v="60"/>
    <n v="7.0000000000000007E-2"/>
    <x v="2"/>
    <s v="Ravi"/>
    <n v="4.2"/>
    <m/>
    <m/>
    <m/>
    <m/>
    <m/>
    <m/>
    <x v="0"/>
  </r>
  <r>
    <x v="22"/>
    <s v="Cinnamon-Chekke-kg-kg-1.0000"/>
    <n v="220"/>
    <n v="5.0000000000000001E-3"/>
    <x v="2"/>
    <s v="Ravi"/>
    <n v="1.1000000000000001"/>
    <m/>
    <m/>
    <m/>
    <m/>
    <m/>
    <m/>
    <x v="0"/>
  </r>
  <r>
    <x v="22"/>
    <s v="Cinnamon-Chekke-kg-kg-1.0000"/>
    <n v="220"/>
    <n v="0"/>
    <x v="2"/>
    <s v="Ravi"/>
    <n v="0"/>
    <m/>
    <m/>
    <m/>
    <m/>
    <m/>
    <m/>
    <x v="0"/>
  </r>
  <r>
    <x v="22"/>
    <s v="Cloves-lavanga-kg-kg-1.0000"/>
    <n v="740"/>
    <n v="5.0000000000000001E-3"/>
    <x v="2"/>
    <s v="Ravi"/>
    <n v="3.7"/>
    <m/>
    <m/>
    <m/>
    <m/>
    <m/>
    <m/>
    <x v="0"/>
  </r>
  <r>
    <x v="22"/>
    <s v="Coconut-Theginkai-count-count-1.0000"/>
    <n v="28"/>
    <n v="1"/>
    <x v="2"/>
    <s v="Ravi"/>
    <n v="28"/>
    <m/>
    <m/>
    <m/>
    <m/>
    <m/>
    <m/>
    <x v="0"/>
  </r>
  <r>
    <x v="22"/>
    <s v="Green chilly-hasinmenshinkayi-kg-kg-1.0000"/>
    <n v="30"/>
    <n v="0.55000000000000004"/>
    <x v="2"/>
    <s v="Ravi"/>
    <n v="16.5"/>
    <m/>
    <m/>
    <m/>
    <m/>
    <m/>
    <m/>
    <x v="0"/>
  </r>
  <r>
    <x v="22"/>
    <s v="Coriander leaves-Kothamiri Soppu-kg-kg-1.0000"/>
    <n v="25"/>
    <n v="0.06"/>
    <x v="2"/>
    <s v="Ravi"/>
    <n v="1.5"/>
    <m/>
    <m/>
    <m/>
    <m/>
    <m/>
    <m/>
    <x v="0"/>
  </r>
  <r>
    <x v="22"/>
    <s v="Pudina-Pudina-kg-kg-1.0000"/>
    <n v="125"/>
    <n v="0.27"/>
    <x v="2"/>
    <s v="Ravi"/>
    <n v="33.75"/>
    <m/>
    <m/>
    <m/>
    <m/>
    <m/>
    <m/>
    <x v="0"/>
  </r>
  <r>
    <x v="22"/>
    <s v="Chat Masala (100 gram)-chat masala-pkt-kg-0.1000"/>
    <n v="48"/>
    <n v="0.05"/>
    <x v="2"/>
    <s v="Ravi"/>
    <n v="2.4000000000000004"/>
    <m/>
    <m/>
    <m/>
    <m/>
    <m/>
    <m/>
    <x v="0"/>
  </r>
  <r>
    <x v="22"/>
    <s v="Garam Masala (100 gram)-garam masala-pkt-kg-0.1000"/>
    <n v="57.5"/>
    <n v="4.4999999999999998E-2"/>
    <x v="2"/>
    <s v="Ravi"/>
    <n v="2.5874999999999999"/>
    <m/>
    <m/>
    <m/>
    <m/>
    <m/>
    <m/>
    <x v="0"/>
  </r>
  <r>
    <x v="22"/>
    <s v="Onion-Erulli-kg-kg-1.0000"/>
    <n v="14"/>
    <n v="0.53500000000000003"/>
    <x v="2"/>
    <s v="Ravi"/>
    <n v="7.49"/>
    <m/>
    <m/>
    <m/>
    <m/>
    <m/>
    <m/>
    <x v="0"/>
  </r>
  <r>
    <x v="22"/>
    <s v="Carrot-carrot-kg-kg-1.0000"/>
    <n v="27.97"/>
    <n v="0.34499999999999997"/>
    <x v="2"/>
    <s v="Ravi"/>
    <n v="9.6496499999999994"/>
    <m/>
    <m/>
    <m/>
    <m/>
    <m/>
    <m/>
    <x v="0"/>
  </r>
  <r>
    <x v="22"/>
    <s v="Tomato (Jam)-tomatojam-kg-kg-1.0000"/>
    <n v="14.75"/>
    <n v="0.41"/>
    <x v="2"/>
    <s v="Ravi"/>
    <n v="6.0474999999999994"/>
    <m/>
    <m/>
    <m/>
    <m/>
    <m/>
    <m/>
    <x v="0"/>
  </r>
  <r>
    <x v="22"/>
    <s v="Coriander leaves-Kothamiri Soppu-kg-kg-1.0000"/>
    <n v="25"/>
    <n v="0.08"/>
    <x v="2"/>
    <s v="Ravi"/>
    <n v="2"/>
    <m/>
    <m/>
    <m/>
    <m/>
    <m/>
    <m/>
    <x v="0"/>
  </r>
  <r>
    <x v="22"/>
    <s v="Peas-batani-kg-kg-1.0000"/>
    <n v="48"/>
    <n v="0.4"/>
    <x v="2"/>
    <s v="Ravi"/>
    <n v="19.200000000000003"/>
    <m/>
    <m/>
    <m/>
    <m/>
    <m/>
    <m/>
    <x v="0"/>
  </r>
  <r>
    <x v="22"/>
    <s v="Milk-Haalu-lts-kg-1.0300"/>
    <n v="36"/>
    <n v="6"/>
    <x v="4"/>
    <s v="Vicky"/>
    <n v="216"/>
    <m/>
    <m/>
    <m/>
    <m/>
    <m/>
    <m/>
    <x v="0"/>
  </r>
  <r>
    <x v="22"/>
    <s v="Curd-Mosaru-lts-kg-1.0300"/>
    <n v="42"/>
    <n v="0.5"/>
    <x v="0"/>
    <s v="Murthy"/>
    <n v="21"/>
    <m/>
    <m/>
    <m/>
    <m/>
    <s v="Raitha"/>
    <m/>
    <x v="0"/>
  </r>
  <r>
    <x v="22"/>
    <s v="Curd-Mosaru-lts-kg-1.0300"/>
    <n v="42"/>
    <n v="0.5"/>
    <x v="1"/>
    <s v="Ravi"/>
    <n v="21"/>
    <m/>
    <m/>
    <m/>
    <m/>
    <s v="Bowl"/>
    <m/>
    <x v="0"/>
  </r>
  <r>
    <x v="22"/>
    <s v="Sugar-Sakkre-kg-kg-1.0000"/>
    <n v="37"/>
    <n v="1.2"/>
    <x v="4"/>
    <s v="Vicky"/>
    <n v="44.4"/>
    <m/>
    <m/>
    <m/>
    <m/>
    <m/>
    <m/>
    <x v="0"/>
  </r>
  <r>
    <x v="22"/>
    <s v="Beaten Rice-avalakki-kg-kg-1.0000"/>
    <n v="44"/>
    <n v="0.55000000000000004"/>
    <x v="1"/>
    <s v="Ravi"/>
    <n v="24.200000000000003"/>
    <m/>
    <m/>
    <m/>
    <m/>
    <m/>
    <m/>
    <x v="1"/>
  </r>
  <r>
    <x v="22"/>
    <s v="Milk-Haalu-lts-kg-1.0300"/>
    <n v="36"/>
    <n v="3"/>
    <x v="1"/>
    <s v="Ravi"/>
    <n v="108"/>
    <m/>
    <m/>
    <m/>
    <m/>
    <m/>
    <m/>
    <x v="1"/>
  </r>
  <r>
    <x v="22"/>
    <s v="Curd-Mosaru-lts-kg-1.0300"/>
    <n v="42"/>
    <n v="1.5"/>
    <x v="1"/>
    <s v="Ravi"/>
    <n v="63"/>
    <m/>
    <m/>
    <m/>
    <m/>
    <m/>
    <m/>
    <x v="0"/>
  </r>
  <r>
    <x v="22"/>
    <s v="Sugar-Sakkre-kg-kg-1.0000"/>
    <n v="37"/>
    <n v="0.45"/>
    <x v="1"/>
    <s v="Ravi"/>
    <n v="16.650000000000002"/>
    <m/>
    <m/>
    <m/>
    <m/>
    <m/>
    <m/>
    <x v="1"/>
  </r>
  <r>
    <x v="22"/>
    <s v="Coconut-Theginkai-count-count-1.0000"/>
    <n v="28"/>
    <n v="4"/>
    <x v="1"/>
    <s v="Ravi"/>
    <n v="112"/>
    <m/>
    <m/>
    <m/>
    <m/>
    <m/>
    <m/>
    <x v="1"/>
  </r>
  <r>
    <x v="22"/>
    <s v="South Rice-South Hakki-kg-kg-1.0000"/>
    <n v="52"/>
    <n v="4.5"/>
    <x v="1"/>
    <s v="Ravi"/>
    <n v="234"/>
    <m/>
    <m/>
    <m/>
    <m/>
    <m/>
    <m/>
    <x v="0"/>
  </r>
  <r>
    <x v="22"/>
    <s v="Chilly Powder-Chilly Powder-kg-kg-1.0000"/>
    <n v="280"/>
    <n v="0.14499999999999999"/>
    <x v="1"/>
    <s v="Ravi"/>
    <n v="40.599999999999994"/>
    <m/>
    <m/>
    <m/>
    <m/>
    <m/>
    <m/>
    <x v="1"/>
  </r>
  <r>
    <x v="22"/>
    <s v="Coriander Powder (500 gram)-Dhanya Powder (500 gram)-kg-kg-1.0000"/>
    <n v="120"/>
    <n v="3.5000000000000003E-2"/>
    <x v="1"/>
    <s v="Ravi"/>
    <n v="4.2"/>
    <m/>
    <m/>
    <m/>
    <m/>
    <m/>
    <m/>
    <x v="1"/>
  </r>
  <r>
    <x v="22"/>
    <s v="Sambar powder-Sambar powder-kg-kg-1.0000"/>
    <n v="500"/>
    <n v="0.03"/>
    <x v="1"/>
    <s v="Ravi"/>
    <n v="15"/>
    <m/>
    <m/>
    <m/>
    <m/>
    <m/>
    <m/>
    <x v="1"/>
  </r>
  <r>
    <x v="22"/>
    <s v="Turmeric Powder-Arishina pudi-kg-kg-1.0000"/>
    <n v="187.41"/>
    <n v="3.5000000000000003E-2"/>
    <x v="1"/>
    <s v="Ravi"/>
    <n v="6.5593500000000002"/>
    <m/>
    <m/>
    <m/>
    <m/>
    <m/>
    <m/>
    <x v="1"/>
  </r>
  <r>
    <x v="22"/>
    <s v="Oil-Yenne-lts-kg-0.9150"/>
    <n v="82"/>
    <n v="1"/>
    <x v="1"/>
    <s v="Ravi"/>
    <n v="82"/>
    <m/>
    <m/>
    <m/>
    <m/>
    <m/>
    <m/>
    <x v="1"/>
  </r>
  <r>
    <x v="22"/>
    <s v="Jeera Seeds-Jeerge-kg-kg-1.0000"/>
    <n v="230"/>
    <n v="0.14499999999999999"/>
    <x v="1"/>
    <s v="Ravi"/>
    <n v="33.349999999999994"/>
    <m/>
    <m/>
    <m/>
    <m/>
    <m/>
    <m/>
    <x v="1"/>
  </r>
  <r>
    <x v="22"/>
    <s v="Mustard-Sasive-kg-kg-1.0000"/>
    <n v="70"/>
    <n v="0.13"/>
    <x v="1"/>
    <s v="Ravi"/>
    <n v="9.1"/>
    <m/>
    <m/>
    <m/>
    <m/>
    <m/>
    <m/>
    <x v="1"/>
  </r>
  <r>
    <x v="22"/>
    <s v="channadal(split)-Kadlebele-kg-kg-1.0000"/>
    <n v="55"/>
    <n v="0.19500000000000001"/>
    <x v="1"/>
    <s v="Ravi"/>
    <n v="10.725"/>
    <m/>
    <m/>
    <m/>
    <m/>
    <m/>
    <m/>
    <x v="1"/>
  </r>
  <r>
    <x v="22"/>
    <s v="Tamarind-hunsehannu-kg-kg-1.0000"/>
    <n v="170"/>
    <n v="0.12"/>
    <x v="1"/>
    <s v="Ravi"/>
    <n v="20.399999999999999"/>
    <m/>
    <m/>
    <m/>
    <m/>
    <m/>
    <m/>
    <x v="1"/>
  </r>
  <r>
    <x v="22"/>
    <s v="Fenugreek Seeds-menthya beeja-kg-kg-1.0000"/>
    <n v="125"/>
    <n v="6.5000000000000002E-2"/>
    <x v="1"/>
    <s v="Ravi"/>
    <n v="8.125"/>
    <m/>
    <m/>
    <m/>
    <m/>
    <m/>
    <m/>
    <x v="1"/>
  </r>
  <r>
    <x v="22"/>
    <s v="Urad Dal-Uddina bele-kg-kg-1.0000"/>
    <n v="76"/>
    <n v="0.12"/>
    <x v="1"/>
    <s v="Ravi"/>
    <n v="9.1199999999999992"/>
    <m/>
    <m/>
    <m/>
    <m/>
    <m/>
    <m/>
    <x v="1"/>
  </r>
  <r>
    <x v="22"/>
    <s v="Onion-Erulli-kg-kg-1.0000"/>
    <n v="14"/>
    <n v="3"/>
    <x v="1"/>
    <s v="Ravi"/>
    <n v="42"/>
    <m/>
    <m/>
    <m/>
    <m/>
    <m/>
    <m/>
    <x v="1"/>
  </r>
  <r>
    <x v="22"/>
    <s v="Garlic-Belulli-kg-kg-1.0000"/>
    <n v="28"/>
    <n v="0.2"/>
    <x v="1"/>
    <s v="Ravi"/>
    <n v="5.6000000000000005"/>
    <m/>
    <m/>
    <m/>
    <m/>
    <m/>
    <m/>
    <x v="1"/>
  </r>
  <r>
    <x v="22"/>
    <s v="Wheat-Godhi-kg-kg-1.0000"/>
    <n v="34"/>
    <n v="0.75"/>
    <x v="1"/>
    <s v="Ravi"/>
    <n v="25.5"/>
    <m/>
    <m/>
    <m/>
    <m/>
    <m/>
    <m/>
    <x v="0"/>
  </r>
  <r>
    <x v="22"/>
    <s v="Toordal-Thogaribele-kg-kg-1.0000"/>
    <n v="64.069999999999993"/>
    <n v="0.64"/>
    <x v="1"/>
    <s v="Ravi"/>
    <n v="41.004799999999996"/>
    <m/>
    <m/>
    <m/>
    <m/>
    <m/>
    <m/>
    <x v="1"/>
  </r>
  <r>
    <x v="22"/>
    <s v="Guntur -guntur-kg-kg-1.0000"/>
    <n v="138"/>
    <n v="0.03"/>
    <x v="1"/>
    <s v="Ravi"/>
    <n v="4.1399999999999997"/>
    <m/>
    <m/>
    <m/>
    <m/>
    <m/>
    <m/>
    <x v="1"/>
  </r>
  <r>
    <x v="22"/>
    <s v="Byadagi chilly-Byadagi chilly-kg-kg-1.0000"/>
    <n v="280"/>
    <n v="0.03"/>
    <x v="1"/>
    <s v="Ravi"/>
    <n v="8.4"/>
    <m/>
    <m/>
    <m/>
    <m/>
    <m/>
    <m/>
    <x v="1"/>
  </r>
  <r>
    <x v="22"/>
    <s v="Green chilly-hasinmenshinkayi-kg-kg-1.0000"/>
    <n v="30"/>
    <n v="0.25"/>
    <x v="1"/>
    <s v="Ravi"/>
    <n v="7.5"/>
    <m/>
    <m/>
    <m/>
    <m/>
    <m/>
    <m/>
    <x v="1"/>
  </r>
  <r>
    <x v="22"/>
    <s v="Beans-Beans-kg-kg-1.0000"/>
    <n v="43.06"/>
    <n v="0.3"/>
    <x v="1"/>
    <s v="Ravi"/>
    <n v="12.918000000000001"/>
    <m/>
    <m/>
    <m/>
    <m/>
    <m/>
    <m/>
    <x v="1"/>
  </r>
  <r>
    <x v="22"/>
    <s v="Carrot-carrot-kg-kg-1.0000"/>
    <n v="27.97"/>
    <n v="0.3"/>
    <x v="1"/>
    <s v="Ravi"/>
    <n v="8.391"/>
    <m/>
    <m/>
    <m/>
    <m/>
    <m/>
    <m/>
    <x v="1"/>
  </r>
  <r>
    <x v="22"/>
    <s v="Cabbage-geddekosu-kg-kg-1.0000"/>
    <n v="3"/>
    <n v="0.3"/>
    <x v="1"/>
    <s v="Ravi"/>
    <n v="0.89999999999999991"/>
    <m/>
    <m/>
    <m/>
    <m/>
    <m/>
    <m/>
    <x v="1"/>
  </r>
  <r>
    <x v="22"/>
    <s v="mixed vegetables-mixed tharkari-kg-kg-1.0000"/>
    <n v="35"/>
    <n v="0.3"/>
    <x v="1"/>
    <s v="Ravi"/>
    <n v="10.5"/>
    <m/>
    <m/>
    <m/>
    <m/>
    <m/>
    <m/>
    <x v="1"/>
  </r>
  <r>
    <x v="22"/>
    <s v="Pudina-Pudina-kg-kg-1.0000"/>
    <n v="125"/>
    <n v="0.06"/>
    <x v="1"/>
    <s v="Ravi"/>
    <n v="7.5"/>
    <m/>
    <m/>
    <m/>
    <m/>
    <m/>
    <m/>
    <x v="1"/>
  </r>
  <r>
    <x v="22"/>
    <s v="curry leaves-karbensoppu-kg-kg-1.0000"/>
    <n v="312.14"/>
    <n v="0.06"/>
    <x v="1"/>
    <s v="Ravi"/>
    <n v="18.728399999999997"/>
    <m/>
    <m/>
    <m/>
    <m/>
    <m/>
    <m/>
    <x v="1"/>
  </r>
  <r>
    <x v="22"/>
    <s v="Coriander leaves-Kothamiri Soppu-kg-kg-1.0000"/>
    <n v="25"/>
    <n v="0.26"/>
    <x v="1"/>
    <s v="Ravi"/>
    <n v="6.5"/>
    <m/>
    <m/>
    <m/>
    <m/>
    <m/>
    <m/>
    <x v="1"/>
  </r>
  <r>
    <x v="22"/>
    <s v="Tomato (Huli)-tomatohuli-kg-kg-1.0000"/>
    <n v="15"/>
    <n v="1.5"/>
    <x v="1"/>
    <s v="Ravi"/>
    <n v="22.5"/>
    <m/>
    <m/>
    <m/>
    <m/>
    <m/>
    <m/>
    <x v="1"/>
  </r>
  <r>
    <x v="22"/>
    <s v="Peas-batani-kg-kg-1.0000"/>
    <n v="48"/>
    <n v="0.5"/>
    <x v="1"/>
    <s v="Ravi"/>
    <n v="24"/>
    <m/>
    <m/>
    <m/>
    <m/>
    <m/>
    <m/>
    <x v="1"/>
  </r>
  <r>
    <x v="22"/>
    <s v="Potato-Aloogedde-kg-kg-1.0000"/>
    <n v="20"/>
    <n v="1.7350000000000001"/>
    <x v="1"/>
    <s v="Ravi"/>
    <n v="34.700000000000003"/>
    <m/>
    <m/>
    <m/>
    <m/>
    <m/>
    <m/>
    <x v="1"/>
  </r>
  <r>
    <x v="22"/>
    <s v="Cashew-Godambi-kg-kg-1.0000"/>
    <n v="840"/>
    <n v="2.5000000000000001E-2"/>
    <x v="1"/>
    <s v="Ravi"/>
    <n v="21"/>
    <m/>
    <m/>
    <m/>
    <m/>
    <m/>
    <m/>
    <x v="1"/>
  </r>
  <r>
    <x v="22"/>
    <s v="Raisin-drakshi-kg-kg-1.0000"/>
    <n v="240"/>
    <n v="2.5000000000000001E-2"/>
    <x v="1"/>
    <s v="Ravi"/>
    <n v="6"/>
    <m/>
    <m/>
    <m/>
    <m/>
    <m/>
    <m/>
    <x v="1"/>
  </r>
  <r>
    <x v="22"/>
    <s v="Green Gram-hesarukalu-kg-kg-1.0000"/>
    <n v="78"/>
    <n v="0.5"/>
    <x v="1"/>
    <s v="Ravi"/>
    <n v="39"/>
    <m/>
    <m/>
    <m/>
    <m/>
    <m/>
    <m/>
    <x v="1"/>
  </r>
  <r>
    <x v="22"/>
    <s v="Coriander seeds-Dhanya Beeja-kg-kg-1.0000"/>
    <n v="90"/>
    <n v="0.09"/>
    <x v="1"/>
    <s v="Ravi"/>
    <n v="8.1"/>
    <m/>
    <m/>
    <m/>
    <m/>
    <m/>
    <m/>
    <x v="1"/>
  </r>
  <r>
    <x v="22"/>
    <s v="North Papad (1 kg)-North Papad (1 kg)-kg-kg-1.0000"/>
    <n v="160"/>
    <n v="0.13"/>
    <x v="1"/>
    <s v="Ravi"/>
    <n v="20.8"/>
    <m/>
    <m/>
    <m/>
    <m/>
    <m/>
    <m/>
    <x v="0"/>
  </r>
  <r>
    <x v="22"/>
    <s v="South Papad (500 gram)-South Papad (500 gram)-pkt-kg-0.5000"/>
    <n v="62.03"/>
    <n v="0.12"/>
    <x v="1"/>
    <s v="Ravi"/>
    <n v="7.4436"/>
    <m/>
    <m/>
    <m/>
    <m/>
    <m/>
    <m/>
    <x v="0"/>
  </r>
  <r>
    <x v="22"/>
    <s v="Salt Powder-Uppu-kg-kg-1.0000"/>
    <n v="17"/>
    <n v="0.41"/>
    <x v="1"/>
    <s v="Ravi"/>
    <n v="6.97"/>
    <m/>
    <m/>
    <m/>
    <m/>
    <m/>
    <m/>
    <x v="1"/>
  </r>
  <r>
    <x v="22"/>
    <s v="Pickle-Uppinkayi-kg-kg-1.0000"/>
    <n v="40"/>
    <n v="0.27"/>
    <x v="1"/>
    <s v="Ravi"/>
    <n v="10.8"/>
    <m/>
    <m/>
    <m/>
    <m/>
    <m/>
    <m/>
    <x v="0"/>
  </r>
  <r>
    <x v="22"/>
    <s v="Ghee-Thuppa-lts-kg-0.9300"/>
    <n v="430"/>
    <n v="5.5E-2"/>
    <x v="1"/>
    <s v="Ravi"/>
    <n v="23.65"/>
    <m/>
    <m/>
    <m/>
    <m/>
    <m/>
    <m/>
    <x v="1"/>
  </r>
  <r>
    <x v="22"/>
    <s v="Gas-Gas-kg-kg-1.0000"/>
    <n v="78.95"/>
    <n v="4.3"/>
    <x v="1"/>
    <s v="Ravi"/>
    <n v="339.48500000000001"/>
    <m/>
    <m/>
    <m/>
    <m/>
    <m/>
    <m/>
    <x v="1"/>
  </r>
  <r>
    <x v="22"/>
    <s v="Gas-Gas-kg-kg-1.0000"/>
    <n v="78.95"/>
    <n v="0.4"/>
    <x v="2"/>
    <s v="Ravi"/>
    <n v="31.580000000000002"/>
    <m/>
    <m/>
    <m/>
    <m/>
    <m/>
    <m/>
    <x v="0"/>
  </r>
  <r>
    <x v="22"/>
    <s v="Gas-Gas-kg-kg-1.0000"/>
    <n v="78.95"/>
    <n v="11.2"/>
    <x v="0"/>
    <s v="Murthy"/>
    <n v="884.24"/>
    <m/>
    <m/>
    <m/>
    <m/>
    <m/>
    <m/>
    <x v="0"/>
  </r>
  <r>
    <x v="23"/>
    <s v="Gas-Gas-kg-kg-1.0000"/>
    <n v="78.95"/>
    <n v="4.0549999999999997"/>
    <x v="1"/>
    <s v="Ravi"/>
    <n v="320.14224999999999"/>
    <m/>
    <m/>
    <m/>
    <m/>
    <m/>
    <m/>
    <x v="1"/>
  </r>
  <r>
    <x v="23"/>
    <s v="Gas-Gas-kg-kg-1.0000"/>
    <n v="78.95"/>
    <n v="0.22"/>
    <x v="2"/>
    <s v="Ravi"/>
    <n v="17.369"/>
    <m/>
    <m/>
    <m/>
    <m/>
    <m/>
    <m/>
    <x v="0"/>
  </r>
  <r>
    <x v="23"/>
    <s v="Gas-Gas-kg-kg-1.0000"/>
    <n v="78.95"/>
    <n v="8.7550000000000008"/>
    <x v="0"/>
    <s v="Murthy"/>
    <n v="691.20725000000004"/>
    <m/>
    <m/>
    <m/>
    <m/>
    <m/>
    <m/>
    <x v="0"/>
  </r>
  <r>
    <x v="23"/>
    <s v="Capsicum-Capsicum-kg-kg-1.0000"/>
    <n v="30"/>
    <n v="1.2"/>
    <x v="0"/>
    <s v="Murthy"/>
    <n v="36"/>
    <m/>
    <m/>
    <m/>
    <m/>
    <m/>
    <m/>
    <x v="0"/>
  </r>
  <r>
    <x v="23"/>
    <s v="Charcoal-Charcoal-kg-kg-1.0000"/>
    <n v="26"/>
    <n v="10"/>
    <x v="0"/>
    <s v="Murthy"/>
    <n v="260"/>
    <m/>
    <m/>
    <m/>
    <m/>
    <m/>
    <m/>
    <x v="0"/>
  </r>
  <r>
    <x v="23"/>
    <s v="Coriander leaves-Kothamiri Soppu-kg-kg-1.0000"/>
    <n v="25"/>
    <n v="0.7"/>
    <x v="0"/>
    <s v="Murthy"/>
    <n v="17.5"/>
    <m/>
    <m/>
    <m/>
    <m/>
    <m/>
    <m/>
    <x v="0"/>
  </r>
  <r>
    <x v="23"/>
    <s v="Tomato (Jam)-tomatojam-kg-kg-1.0000"/>
    <n v="14.75"/>
    <n v="0.15"/>
    <x v="0"/>
    <s v="Murthy"/>
    <n v="2.2124999999999999"/>
    <m/>
    <m/>
    <m/>
    <m/>
    <m/>
    <m/>
    <x v="0"/>
  </r>
  <r>
    <x v="23"/>
    <s v="Green chilly-hasinmenshinkayi-kg-kg-1.0000"/>
    <n v="30"/>
    <n v="0.5"/>
    <x v="0"/>
    <s v="Murthy"/>
    <n v="15"/>
    <m/>
    <m/>
    <m/>
    <m/>
    <m/>
    <m/>
    <x v="0"/>
  </r>
  <r>
    <x v="23"/>
    <s v="Carrot-carrot-kg-kg-1.0000"/>
    <n v="27.97"/>
    <n v="0.8"/>
    <x v="0"/>
    <s v="Murthy"/>
    <n v="22.376000000000001"/>
    <m/>
    <m/>
    <m/>
    <m/>
    <m/>
    <m/>
    <x v="0"/>
  </r>
  <r>
    <x v="23"/>
    <s v="Oil-Yenne-lts-kg-0.9150"/>
    <n v="82"/>
    <n v="4"/>
    <x v="0"/>
    <s v="Murthy"/>
    <n v="328"/>
    <m/>
    <m/>
    <m/>
    <m/>
    <m/>
    <m/>
    <x v="0"/>
  </r>
  <r>
    <x v="23"/>
    <s v="Beans-Beans-kg-kg-1.0000"/>
    <n v="43.06"/>
    <n v="0.8"/>
    <x v="0"/>
    <s v="Murthy"/>
    <n v="34.448"/>
    <m/>
    <m/>
    <m/>
    <m/>
    <m/>
    <m/>
    <x v="0"/>
  </r>
  <r>
    <x v="23"/>
    <s v="Maida-Maida-kg-kg-1.0000"/>
    <n v="29.51"/>
    <n v="0.5"/>
    <x v="0"/>
    <s v="Murthy"/>
    <n v="14.755000000000001"/>
    <m/>
    <m/>
    <m/>
    <m/>
    <m/>
    <m/>
    <x v="0"/>
  </r>
  <r>
    <x v="23"/>
    <s v="Cabbage-geddekosu-kg-kg-1.0000"/>
    <n v="3"/>
    <n v="0.6"/>
    <x v="0"/>
    <s v="Murthy"/>
    <n v="1.7999999999999998"/>
    <m/>
    <m/>
    <m/>
    <m/>
    <m/>
    <m/>
    <x v="0"/>
  </r>
  <r>
    <x v="23"/>
    <s v="Gram Flour-Kadle Ittu-kg-kg-1.0000"/>
    <n v="72"/>
    <n v="7.0000000000000007E-2"/>
    <x v="0"/>
    <s v="Murthy"/>
    <n v="5.0400000000000009"/>
    <m/>
    <m/>
    <m/>
    <m/>
    <m/>
    <m/>
    <x v="0"/>
  </r>
  <r>
    <x v="23"/>
    <s v="Garlic-Belulli-kg-kg-1.0000"/>
    <n v="28"/>
    <n v="0.5"/>
    <x v="0"/>
    <s v="Murthy"/>
    <n v="14"/>
    <m/>
    <m/>
    <m/>
    <m/>
    <m/>
    <m/>
    <x v="0"/>
  </r>
  <r>
    <x v="23"/>
    <s v="Onion-Erulli-kg-kg-1.0000"/>
    <n v="14"/>
    <n v="1.5"/>
    <x v="0"/>
    <s v="Murthy"/>
    <n v="21"/>
    <m/>
    <m/>
    <m/>
    <m/>
    <m/>
    <m/>
    <x v="0"/>
  </r>
  <r>
    <x v="23"/>
    <s v="Basumathi Rice-Basumathi Rice-kg-kg-1.0000"/>
    <n v="62"/>
    <n v="1.5"/>
    <x v="0"/>
    <s v="Murthy"/>
    <n v="93"/>
    <m/>
    <m/>
    <m/>
    <m/>
    <m/>
    <m/>
    <x v="0"/>
  </r>
  <r>
    <x v="23"/>
    <s v="Bullet Rice-Bullet Rice-kg-kg-1.0000"/>
    <n v="64"/>
    <n v="2"/>
    <x v="0"/>
    <s v="Murthy"/>
    <n v="128"/>
    <m/>
    <m/>
    <m/>
    <m/>
    <m/>
    <m/>
    <x v="0"/>
  </r>
  <r>
    <x v="23"/>
    <s v="Pudina-Pudina-kg-kg-1.0000"/>
    <n v="125"/>
    <n v="0.12"/>
    <x v="0"/>
    <s v="Murthy"/>
    <n v="15"/>
    <m/>
    <m/>
    <m/>
    <m/>
    <m/>
    <m/>
    <x v="0"/>
  </r>
  <r>
    <x v="23"/>
    <s v="curry leaves-karbensoppu-kg-kg-1.0000"/>
    <n v="312.14"/>
    <n v="0.04"/>
    <x v="0"/>
    <s v="Murthy"/>
    <n v="12.4856"/>
    <m/>
    <m/>
    <m/>
    <m/>
    <m/>
    <m/>
    <x v="0"/>
  </r>
  <r>
    <x v="23"/>
    <s v="Roti Wheat-Roti atta-kg-kg-1.0000"/>
    <n v="27"/>
    <n v="3"/>
    <x v="0"/>
    <s v="Murthy"/>
    <n v="81"/>
    <m/>
    <m/>
    <m/>
    <m/>
    <m/>
    <m/>
    <x v="0"/>
  </r>
  <r>
    <x v="23"/>
    <s v="Cucumber-sothekayi-kg-kg-1.0000"/>
    <n v="43.98"/>
    <n v="0.25"/>
    <x v="0"/>
    <s v="Murthy"/>
    <n v="10.994999999999999"/>
    <m/>
    <m/>
    <m/>
    <m/>
    <m/>
    <m/>
    <x v="0"/>
  </r>
  <r>
    <x v="23"/>
    <s v="Chilly Powder-Chilly Powder-kg-kg-1.0000"/>
    <n v="280"/>
    <n v="0.13500000000000001"/>
    <x v="0"/>
    <s v="Murthy"/>
    <n v="37.800000000000004"/>
    <m/>
    <m/>
    <m/>
    <m/>
    <m/>
    <m/>
    <x v="0"/>
  </r>
  <r>
    <x v="23"/>
    <s v="Garam Masala (100 gram)-garam masala-pkt-kg-0.1000"/>
    <n v="57.5"/>
    <n v="0.15"/>
    <x v="0"/>
    <s v="Murthy"/>
    <n v="8.625"/>
    <m/>
    <m/>
    <m/>
    <m/>
    <m/>
    <m/>
    <x v="0"/>
  </r>
  <r>
    <x v="23"/>
    <s v="Turmeric Powder-Arishina pudi-kg-kg-1.0000"/>
    <n v="187.41"/>
    <n v="0.05"/>
    <x v="0"/>
    <s v="Murthy"/>
    <n v="9.3704999999999998"/>
    <m/>
    <m/>
    <m/>
    <m/>
    <m/>
    <m/>
    <x v="0"/>
  </r>
  <r>
    <x v="23"/>
    <s v="Chat Masala (100 gram)-chat masala-pkt-kg-0.1000"/>
    <n v="48"/>
    <n v="0.25"/>
    <x v="0"/>
    <s v="Murthy"/>
    <n v="12"/>
    <m/>
    <m/>
    <m/>
    <m/>
    <m/>
    <m/>
    <x v="0"/>
  </r>
  <r>
    <x v="23"/>
    <s v="Lemon-Nimbehannu-count-count-1.0000"/>
    <n v="3"/>
    <n v="4"/>
    <x v="0"/>
    <s v="Murthy"/>
    <n v="12"/>
    <m/>
    <m/>
    <m/>
    <m/>
    <m/>
    <m/>
    <x v="0"/>
  </r>
  <r>
    <x v="23"/>
    <s v="Salt Powder-Uppu-kg-kg-1.0000"/>
    <n v="17"/>
    <n v="0.52"/>
    <x v="0"/>
    <s v="Murthy"/>
    <n v="8.84"/>
    <m/>
    <m/>
    <m/>
    <m/>
    <m/>
    <m/>
    <x v="0"/>
  </r>
  <r>
    <x v="23"/>
    <s v="Black Pepper Powder-Kaal menasu-kg-kg-1.0000"/>
    <n v="380"/>
    <n v="0.01"/>
    <x v="0"/>
    <s v="Murthy"/>
    <n v="3.8000000000000003"/>
    <m/>
    <m/>
    <m/>
    <m/>
    <m/>
    <m/>
    <x v="0"/>
  </r>
  <r>
    <x v="23"/>
    <s v="Tasting Powder (500 kg)-tasting powder-kg-kg-1.0000"/>
    <n v="148"/>
    <n v="0.08"/>
    <x v="0"/>
    <s v="Murthy"/>
    <n v="11.84"/>
    <m/>
    <m/>
    <m/>
    <m/>
    <m/>
    <m/>
    <x v="0"/>
  </r>
  <r>
    <x v="23"/>
    <s v="Vinegar-Vinegar-bottle-kg-0.8600"/>
    <n v="24"/>
    <n v="0.28399999999999997"/>
    <x v="0"/>
    <s v="Murthy"/>
    <n v="6.8159999999999989"/>
    <m/>
    <m/>
    <m/>
    <m/>
    <m/>
    <m/>
    <x v="0"/>
  </r>
  <r>
    <x v="23"/>
    <s v="Dark soya souce-Dark soya souce-bottle-kg-0.8150"/>
    <n v="33"/>
    <n v="0.35599999999999998"/>
    <x v="0"/>
    <s v="Murthy"/>
    <n v="11.747999999999999"/>
    <m/>
    <m/>
    <m/>
    <m/>
    <m/>
    <m/>
    <x v="0"/>
  </r>
  <r>
    <x v="23"/>
    <s v="Ketchup(1.2 kg)-ketchup-bottle-kg-1.2000"/>
    <n v="75"/>
    <n v="0.37"/>
    <x v="0"/>
    <s v="Murthy"/>
    <n v="27.75"/>
    <m/>
    <m/>
    <m/>
    <m/>
    <m/>
    <m/>
    <x v="0"/>
  </r>
  <r>
    <x v="23"/>
    <s v="Coriander Powder (500 gram)-Dhanya Powder (500 gram)-kg-kg-1.0000"/>
    <n v="120"/>
    <n v="0.12"/>
    <x v="0"/>
    <s v="Murthy"/>
    <n v="14.399999999999999"/>
    <m/>
    <m/>
    <m/>
    <m/>
    <m/>
    <m/>
    <x v="0"/>
  </r>
  <r>
    <x v="23"/>
    <s v="Yellow Gravy"/>
    <n v="0"/>
    <n v="2.1"/>
    <x v="0"/>
    <s v="Murthy"/>
    <n v="0"/>
    <m/>
    <m/>
    <m/>
    <m/>
    <m/>
    <m/>
    <x v="0"/>
  </r>
  <r>
    <x v="23"/>
    <s v="Burjji Masala"/>
    <n v="0"/>
    <n v="1.9"/>
    <x v="0"/>
    <s v="Murthy"/>
    <n v="0"/>
    <m/>
    <m/>
    <m/>
    <m/>
    <m/>
    <m/>
    <x v="0"/>
  </r>
  <r>
    <x v="23"/>
    <s v="Kitchen king (100 gram)-Kitchen king (100 gram)-pkt-kg-0.1000"/>
    <n v="51"/>
    <n v="0.06"/>
    <x v="0"/>
    <s v="Murthy"/>
    <n v="3.06"/>
    <m/>
    <m/>
    <m/>
    <m/>
    <m/>
    <m/>
    <x v="0"/>
  </r>
  <r>
    <x v="23"/>
    <s v="Cream-Cream-lts-kg-1.0000"/>
    <n v="190"/>
    <n v="0.17"/>
    <x v="0"/>
    <s v="Murthy"/>
    <n v="32.300000000000004"/>
    <m/>
    <m/>
    <m/>
    <m/>
    <m/>
    <m/>
    <x v="0"/>
  </r>
  <r>
    <x v="23"/>
    <s v="Ghee-Thuppa-lts-kg-0.9300"/>
    <n v="430"/>
    <n v="0.13"/>
    <x v="0"/>
    <s v="Murthy"/>
    <n v="55.9"/>
    <m/>
    <m/>
    <m/>
    <m/>
    <m/>
    <m/>
    <x v="0"/>
  </r>
  <r>
    <x v="23"/>
    <s v="Sweetcorn-Sweetcorn-tin-kg-0.4000"/>
    <n v="33"/>
    <n v="0.125"/>
    <x v="0"/>
    <s v="Murthy"/>
    <n v="4.125"/>
    <m/>
    <m/>
    <m/>
    <m/>
    <m/>
    <m/>
    <x v="0"/>
  </r>
  <r>
    <x v="23"/>
    <s v="Paneer-Paneer-kg-kg-1.0000"/>
    <n v="175"/>
    <n v="1.2"/>
    <x v="0"/>
    <s v="Murthy"/>
    <n v="210"/>
    <m/>
    <m/>
    <m/>
    <m/>
    <m/>
    <m/>
    <x v="0"/>
  </r>
  <r>
    <x v="23"/>
    <s v="Babycorn-Babycorn-kg-kg-1.0000"/>
    <n v="60"/>
    <n v="0.21"/>
    <x v="0"/>
    <s v="Murthy"/>
    <n v="12.6"/>
    <m/>
    <m/>
    <m/>
    <m/>
    <m/>
    <m/>
    <x v="0"/>
  </r>
  <r>
    <x v="23"/>
    <s v="Mushroom-Mushroom-pkt-pkt-1.0000"/>
    <n v="32"/>
    <n v="5"/>
    <x v="0"/>
    <s v="Murthy"/>
    <n v="160"/>
    <m/>
    <m/>
    <m/>
    <m/>
    <m/>
    <m/>
    <x v="0"/>
  </r>
  <r>
    <x v="23"/>
    <s v="French fries-french fries-kg-kg-1.0000"/>
    <n v="280"/>
    <n v="0.38"/>
    <x v="0"/>
    <s v="Murthy"/>
    <n v="106.4"/>
    <m/>
    <m/>
    <m/>
    <m/>
    <m/>
    <m/>
    <x v="0"/>
  </r>
  <r>
    <x v="23"/>
    <s v="Green peas-green peas-kg-kg-1.0000"/>
    <n v="100"/>
    <n v="0.35"/>
    <x v="0"/>
    <s v="Murthy"/>
    <n v="35"/>
    <m/>
    <m/>
    <m/>
    <m/>
    <m/>
    <m/>
    <x v="0"/>
  </r>
  <r>
    <x v="23"/>
    <s v="Butter-Butter-kg-kg-1.0000"/>
    <n v="140"/>
    <n v="1"/>
    <x v="0"/>
    <s v="Murthy"/>
    <n v="140"/>
    <m/>
    <m/>
    <m/>
    <m/>
    <m/>
    <m/>
    <x v="0"/>
  </r>
  <r>
    <x v="23"/>
    <s v="Curd-Mosaru-lts-kg-1.0300"/>
    <n v="42"/>
    <n v="1.5"/>
    <x v="0"/>
    <s v="Murthy"/>
    <n v="63"/>
    <m/>
    <m/>
    <m/>
    <m/>
    <s v="Raitha"/>
    <m/>
    <x v="0"/>
  </r>
  <r>
    <x v="23"/>
    <s v="Curd-Mosaru-lts-kg-1.0300"/>
    <n v="42"/>
    <n v="0.5"/>
    <x v="1"/>
    <s v="Ravi"/>
    <n v="21"/>
    <m/>
    <m/>
    <m/>
    <m/>
    <s v="Thali Curd"/>
    <m/>
    <x v="0"/>
  </r>
  <r>
    <x v="23"/>
    <s v="Sugar-Sakkre-kg-kg-1.0000"/>
    <n v="37"/>
    <n v="0.5"/>
    <x v="4"/>
    <s v="Vicky"/>
    <n v="18.5"/>
    <m/>
    <m/>
    <m/>
    <m/>
    <m/>
    <m/>
    <x v="0"/>
  </r>
  <r>
    <x v="23"/>
    <s v="Tea powder-Tea powder-kg-kg-1.0000"/>
    <n v="390"/>
    <n v="0.28000000000000003"/>
    <x v="4"/>
    <s v="Vicky"/>
    <n v="109.20000000000002"/>
    <m/>
    <m/>
    <m/>
    <m/>
    <m/>
    <m/>
    <x v="0"/>
  </r>
  <r>
    <x v="23"/>
    <s v="Milk-Haalu-lts-kg-1.0300"/>
    <n v="36"/>
    <n v="7"/>
    <x v="4"/>
    <s v="Vicky"/>
    <n v="252"/>
    <m/>
    <m/>
    <m/>
    <m/>
    <m/>
    <m/>
    <x v="0"/>
  </r>
  <r>
    <x v="23"/>
    <s v="Onion-Erulli-kg-kg-1.0000"/>
    <n v="14"/>
    <n v="0.3"/>
    <x v="6"/>
    <s v="Jaggu"/>
    <n v="4.2"/>
    <m/>
    <m/>
    <m/>
    <m/>
    <m/>
    <m/>
    <x v="0"/>
  </r>
  <r>
    <x v="23"/>
    <s v="Lemon-Nimbehannu-count-count-1.0000"/>
    <n v="3"/>
    <n v="6"/>
    <x v="6"/>
    <s v="Jaggu"/>
    <n v="18"/>
    <m/>
    <m/>
    <m/>
    <m/>
    <m/>
    <m/>
    <x v="0"/>
  </r>
  <r>
    <x v="23"/>
    <s v="Napkin-napkin-pkt-pkt-1.0000"/>
    <n v="14"/>
    <n v="3"/>
    <x v="8"/>
    <s v="Manju"/>
    <n v="42"/>
    <m/>
    <m/>
    <m/>
    <m/>
    <m/>
    <m/>
    <x v="0"/>
  </r>
  <r>
    <x v="23"/>
    <s v="Green chilly sauce-Green chilly sauce-bottle-kg-0.7250"/>
    <n v="33"/>
    <n v="0.25"/>
    <x v="8"/>
    <s v="Manju"/>
    <n v="8.25"/>
    <m/>
    <m/>
    <m/>
    <m/>
    <m/>
    <m/>
    <x v="0"/>
  </r>
  <r>
    <x v="23"/>
    <s v="Moosambi-MOOSAMBI-kg-kg-1.0000"/>
    <n v="50"/>
    <n v="5"/>
    <x v="5"/>
    <s v="Ravi"/>
    <n v="250"/>
    <m/>
    <m/>
    <m/>
    <m/>
    <m/>
    <m/>
    <x v="0"/>
  </r>
  <r>
    <x v="23"/>
    <s v="Watermelon-Watermelon-kg-kg-1.0000"/>
    <n v="20"/>
    <n v="3.7"/>
    <x v="5"/>
    <s v="Ravi"/>
    <n v="74"/>
    <m/>
    <m/>
    <m/>
    <m/>
    <m/>
    <m/>
    <x v="0"/>
  </r>
  <r>
    <x v="23"/>
    <s v="Milk-Haalu-lts-kg-1.0300"/>
    <n v="36"/>
    <n v="2.5"/>
    <x v="5"/>
    <s v="Ravi"/>
    <n v="90"/>
    <m/>
    <m/>
    <m/>
    <m/>
    <m/>
    <m/>
    <x v="0"/>
  </r>
  <r>
    <x v="23"/>
    <s v="Curd-Mosaru-lts-kg-1.0300"/>
    <n v="42"/>
    <n v="2"/>
    <x v="5"/>
    <s v="Ravi"/>
    <n v="84"/>
    <m/>
    <m/>
    <m/>
    <m/>
    <m/>
    <m/>
    <x v="0"/>
  </r>
  <r>
    <x v="23"/>
    <s v="Pineapple-ANNANAS-kg-kg-1.0000"/>
    <n v="30"/>
    <n v="0.3"/>
    <x v="5"/>
    <s v="Ravi"/>
    <n v="9"/>
    <m/>
    <m/>
    <m/>
    <m/>
    <m/>
    <m/>
    <x v="0"/>
  </r>
  <r>
    <x v="23"/>
    <s v="Lemon-Nimbehannu-count-count-1.0000"/>
    <n v="3"/>
    <n v="25"/>
    <x v="5"/>
    <s v="Ravi"/>
    <n v="75"/>
    <m/>
    <m/>
    <m/>
    <m/>
    <m/>
    <m/>
    <x v="0"/>
  </r>
  <r>
    <x v="23"/>
    <s v="Sugar-Sakkre-kg-kg-1.0000"/>
    <n v="37"/>
    <n v="5"/>
    <x v="5"/>
    <s v="Ravi"/>
    <n v="185"/>
    <m/>
    <m/>
    <m/>
    <m/>
    <s v="Powdered Sugar"/>
    <m/>
    <x v="0"/>
  </r>
  <r>
    <x v="23"/>
    <s v="Sugar-Sakkre-kg-kg-1.0000"/>
    <n v="37"/>
    <n v="0.15"/>
    <x v="5"/>
    <s v="Ravi"/>
    <n v="5.55"/>
    <m/>
    <m/>
    <m/>
    <m/>
    <m/>
    <m/>
    <x v="0"/>
  </r>
  <r>
    <x v="23"/>
    <s v="Elaichi-yelakki-kg-kg-1.0000"/>
    <n v="1450"/>
    <n v="0.05"/>
    <x v="5"/>
    <s v="Ravi"/>
    <n v="72.5"/>
    <m/>
    <m/>
    <m/>
    <m/>
    <m/>
    <m/>
    <x v="0"/>
  </r>
  <r>
    <x v="23"/>
    <s v="BUTTERFRUIT-BUTTERFRUIT-kg-kg-1.0000"/>
    <n v="130"/>
    <n v="0.3"/>
    <x v="5"/>
    <s v="Ravi"/>
    <n v="39"/>
    <m/>
    <m/>
    <m/>
    <m/>
    <m/>
    <m/>
    <x v="0"/>
  </r>
  <r>
    <x v="23"/>
    <s v="Onion-Erulli-kg-kg-1.0000"/>
    <n v="14"/>
    <n v="0.52"/>
    <x v="2"/>
    <s v="Ravi"/>
    <n v="7.28"/>
    <m/>
    <m/>
    <m/>
    <m/>
    <m/>
    <m/>
    <x v="0"/>
  </r>
  <r>
    <x v="23"/>
    <s v="Tomato (Jam)-tomatojam-kg-kg-1.0000"/>
    <n v="14.75"/>
    <n v="0.42"/>
    <x v="2"/>
    <s v="Ravi"/>
    <n v="6.1949999999999994"/>
    <m/>
    <m/>
    <m/>
    <m/>
    <m/>
    <m/>
    <x v="0"/>
  </r>
  <r>
    <x v="23"/>
    <s v="Carrot-carrot-kg-kg-1.0000"/>
    <n v="27.97"/>
    <n v="0.35"/>
    <x v="2"/>
    <s v="Ravi"/>
    <n v="9.7894999999999985"/>
    <m/>
    <m/>
    <m/>
    <m/>
    <m/>
    <m/>
    <x v="0"/>
  </r>
  <r>
    <x v="23"/>
    <s v="Coriander leaves-Kothamiri Soppu-kg-kg-1.0000"/>
    <n v="25"/>
    <n v="0.05"/>
    <x v="2"/>
    <s v="Ravi"/>
    <n v="1.25"/>
    <m/>
    <m/>
    <m/>
    <m/>
    <m/>
    <m/>
    <x v="0"/>
  </r>
  <r>
    <x v="23"/>
    <s v="Milk-Haalu-lts-kg-1.0300"/>
    <n v="36"/>
    <n v="3"/>
    <x v="1"/>
    <s v="Ravi"/>
    <n v="108"/>
    <m/>
    <m/>
    <m/>
    <m/>
    <m/>
    <m/>
    <x v="1"/>
  </r>
  <r>
    <x v="23"/>
    <s v="Curd-Mosaru-lts-kg-1.0300"/>
    <n v="42"/>
    <n v="1.5"/>
    <x v="1"/>
    <s v="Ravi"/>
    <n v="63"/>
    <m/>
    <m/>
    <m/>
    <m/>
    <m/>
    <m/>
    <x v="0"/>
  </r>
  <r>
    <x v="23"/>
    <s v="Sabbudana-sago sabakki-kg-kg-1.0000"/>
    <n v="86"/>
    <n v="0.57999999999999996"/>
    <x v="1"/>
    <s v="Ravi"/>
    <n v="49.879999999999995"/>
    <m/>
    <m/>
    <m/>
    <m/>
    <m/>
    <m/>
    <x v="1"/>
  </r>
  <r>
    <x v="23"/>
    <s v="Sugar-Sakkre-kg-kg-1.0000"/>
    <n v="37"/>
    <n v="0.45"/>
    <x v="1"/>
    <s v="Ravi"/>
    <n v="16.650000000000002"/>
    <m/>
    <m/>
    <m/>
    <m/>
    <m/>
    <m/>
    <x v="1"/>
  </r>
  <r>
    <x v="23"/>
    <s v="Coconut-Theginkai-count-count-1.0000"/>
    <n v="28"/>
    <n v="3"/>
    <x v="1"/>
    <s v="Ravi"/>
    <n v="84"/>
    <m/>
    <m/>
    <m/>
    <m/>
    <m/>
    <m/>
    <x v="1"/>
  </r>
  <r>
    <x v="23"/>
    <s v="South Rice-South Hakki-kg-kg-1.0000"/>
    <n v="52"/>
    <n v="4.5"/>
    <x v="1"/>
    <s v="Ravi"/>
    <n v="234"/>
    <m/>
    <m/>
    <m/>
    <m/>
    <m/>
    <m/>
    <x v="0"/>
  </r>
  <r>
    <x v="23"/>
    <s v="Chilly Powder-Chilly Powder-kg-kg-1.0000"/>
    <n v="280"/>
    <n v="0.12"/>
    <x v="1"/>
    <s v="Ravi"/>
    <n v="33.6"/>
    <m/>
    <m/>
    <m/>
    <m/>
    <m/>
    <m/>
    <x v="1"/>
  </r>
  <r>
    <x v="23"/>
    <s v="Coriander Powder (500 gram)-Dhanya Powder (500 gram)-kg-kg-1.0000"/>
    <n v="120"/>
    <n v="0.13"/>
    <x v="1"/>
    <s v="Ravi"/>
    <n v="15.600000000000001"/>
    <m/>
    <m/>
    <m/>
    <m/>
    <m/>
    <m/>
    <x v="1"/>
  </r>
  <r>
    <x v="23"/>
    <s v="Sambar powder-Sambar powder-kg-kg-1.0000"/>
    <n v="500"/>
    <n v="0"/>
    <x v="1"/>
    <s v="Ravi"/>
    <n v="0"/>
    <m/>
    <m/>
    <m/>
    <m/>
    <m/>
    <m/>
    <x v="1"/>
  </r>
  <r>
    <x v="23"/>
    <s v="Turmeric Powder-Arishina pudi-kg-kg-1.0000"/>
    <n v="187.41"/>
    <n v="0.02"/>
    <x v="1"/>
    <s v="Ravi"/>
    <n v="3.7482000000000002"/>
    <m/>
    <m/>
    <m/>
    <m/>
    <m/>
    <m/>
    <x v="1"/>
  </r>
  <r>
    <x v="23"/>
    <s v="Oil-Yenne-lts-kg-0.9150"/>
    <n v="82"/>
    <n v="1"/>
    <x v="1"/>
    <s v="Ravi"/>
    <n v="82"/>
    <m/>
    <m/>
    <m/>
    <m/>
    <m/>
    <m/>
    <x v="1"/>
  </r>
  <r>
    <x v="23"/>
    <s v="Jeera Seeds-Jeerge-kg-kg-1.0000"/>
    <n v="230"/>
    <n v="0.08"/>
    <x v="1"/>
    <s v="Ravi"/>
    <n v="18.400000000000002"/>
    <m/>
    <m/>
    <m/>
    <m/>
    <m/>
    <m/>
    <x v="1"/>
  </r>
  <r>
    <x v="23"/>
    <s v="Mustard-Sasive-kg-kg-1.0000"/>
    <n v="70"/>
    <n v="0.05"/>
    <x v="1"/>
    <s v="Ravi"/>
    <n v="3.5"/>
    <m/>
    <m/>
    <m/>
    <m/>
    <m/>
    <m/>
    <x v="1"/>
  </r>
  <r>
    <x v="23"/>
    <s v="channadal(split)-Kadlebele-kg-kg-1.0000"/>
    <n v="55"/>
    <n v="0.23499999999999999"/>
    <x v="1"/>
    <s v="Ravi"/>
    <n v="12.924999999999999"/>
    <m/>
    <m/>
    <m/>
    <m/>
    <m/>
    <m/>
    <x v="1"/>
  </r>
  <r>
    <x v="23"/>
    <s v="Tamarind-hunsehannu-kg-kg-1.0000"/>
    <n v="170"/>
    <n v="0.12"/>
    <x v="1"/>
    <s v="Ravi"/>
    <n v="20.399999999999999"/>
    <m/>
    <m/>
    <m/>
    <m/>
    <m/>
    <m/>
    <x v="1"/>
  </r>
  <r>
    <x v="23"/>
    <s v="Fenugreek Seeds-menthya beeja-kg-kg-1.0000"/>
    <n v="125"/>
    <n v="1.4999999999999999E-2"/>
    <x v="1"/>
    <s v="Ravi"/>
    <n v="1.875"/>
    <m/>
    <m/>
    <m/>
    <m/>
    <m/>
    <m/>
    <x v="1"/>
  </r>
  <r>
    <x v="23"/>
    <s v="Urad Dal-Uddina bele-kg-kg-1.0000"/>
    <n v="76"/>
    <n v="0.13500000000000001"/>
    <x v="1"/>
    <s v="Ravi"/>
    <n v="10.260000000000002"/>
    <m/>
    <m/>
    <m/>
    <m/>
    <m/>
    <m/>
    <x v="1"/>
  </r>
  <r>
    <x v="23"/>
    <s v="Onion-Erulli-kg-kg-1.0000"/>
    <n v="14"/>
    <n v="3"/>
    <x v="1"/>
    <s v="Ravi"/>
    <n v="42"/>
    <m/>
    <m/>
    <m/>
    <m/>
    <m/>
    <m/>
    <x v="1"/>
  </r>
  <r>
    <x v="23"/>
    <s v="Garlic-Belulli-kg-kg-1.0000"/>
    <n v="28"/>
    <n v="0.3"/>
    <x v="1"/>
    <s v="Ravi"/>
    <n v="8.4"/>
    <m/>
    <m/>
    <m/>
    <m/>
    <m/>
    <m/>
    <x v="1"/>
  </r>
  <r>
    <x v="23"/>
    <s v="Wheat-Godhi-kg-kg-1.0000"/>
    <n v="34"/>
    <n v="0.75"/>
    <x v="1"/>
    <s v="Ravi"/>
    <n v="25.5"/>
    <m/>
    <m/>
    <m/>
    <m/>
    <m/>
    <m/>
    <x v="0"/>
  </r>
  <r>
    <x v="23"/>
    <s v="Toordal-Thogaribele-kg-kg-1.0000"/>
    <n v="64.069999999999993"/>
    <n v="0.6"/>
    <x v="1"/>
    <s v="Ravi"/>
    <n v="38.441999999999993"/>
    <m/>
    <m/>
    <m/>
    <m/>
    <m/>
    <m/>
    <x v="1"/>
  </r>
  <r>
    <x v="23"/>
    <s v="Guntur -guntur-kg-kg-1.0000"/>
    <n v="138"/>
    <n v="0.03"/>
    <x v="1"/>
    <s v="Ravi"/>
    <n v="4.1399999999999997"/>
    <m/>
    <m/>
    <m/>
    <m/>
    <m/>
    <m/>
    <x v="1"/>
  </r>
  <r>
    <x v="23"/>
    <s v="Byadagi chilly-Byadagi chilly-kg-kg-1.0000"/>
    <n v="280"/>
    <n v="0.03"/>
    <x v="1"/>
    <s v="Ravi"/>
    <n v="8.4"/>
    <m/>
    <m/>
    <m/>
    <m/>
    <m/>
    <m/>
    <x v="1"/>
  </r>
  <r>
    <x v="23"/>
    <s v="Green chilly-hasinmenshinkayi-kg-kg-1.0000"/>
    <n v="30"/>
    <n v="0.3"/>
    <x v="1"/>
    <s v="Ravi"/>
    <n v="9"/>
    <m/>
    <m/>
    <m/>
    <m/>
    <m/>
    <m/>
    <x v="1"/>
  </r>
  <r>
    <x v="23"/>
    <s v="Beans-Beans-kg-kg-1.0000"/>
    <n v="43.06"/>
    <n v="0.4"/>
    <x v="1"/>
    <s v="Ravi"/>
    <n v="17.224"/>
    <m/>
    <m/>
    <m/>
    <m/>
    <m/>
    <m/>
    <x v="1"/>
  </r>
  <r>
    <x v="23"/>
    <s v="Carrot-carrot-kg-kg-1.0000"/>
    <n v="27.97"/>
    <n v="0.35"/>
    <x v="1"/>
    <s v="Ravi"/>
    <n v="9.7894999999999985"/>
    <m/>
    <m/>
    <m/>
    <m/>
    <m/>
    <m/>
    <x v="1"/>
  </r>
  <r>
    <x v="23"/>
    <s v="Cabbage-geddekosu-kg-kg-1.0000"/>
    <n v="3"/>
    <n v="0"/>
    <x v="1"/>
    <s v="Ravi"/>
    <n v="0"/>
    <m/>
    <m/>
    <m/>
    <m/>
    <m/>
    <m/>
    <x v="1"/>
  </r>
  <r>
    <x v="23"/>
    <s v="mixed vegetables-mixed tharkari-kg-kg-1.0000"/>
    <n v="35"/>
    <n v="0"/>
    <x v="1"/>
    <s v="Ravi"/>
    <n v="0"/>
    <m/>
    <m/>
    <m/>
    <m/>
    <m/>
    <m/>
    <x v="1"/>
  </r>
  <r>
    <x v="23"/>
    <s v="Pudina-Pudina-kg-kg-1.0000"/>
    <n v="125"/>
    <n v="0.06"/>
    <x v="1"/>
    <s v="Ravi"/>
    <n v="7.5"/>
    <m/>
    <m/>
    <m/>
    <m/>
    <m/>
    <m/>
    <x v="1"/>
  </r>
  <r>
    <x v="23"/>
    <s v="curry leaves-karbensoppu-kg-kg-1.0000"/>
    <n v="312.14"/>
    <n v="0.06"/>
    <x v="1"/>
    <s v="Ravi"/>
    <n v="18.728399999999997"/>
    <m/>
    <m/>
    <m/>
    <m/>
    <m/>
    <m/>
    <x v="1"/>
  </r>
  <r>
    <x v="23"/>
    <s v="Coriander leaves-Kothamiri Soppu-kg-kg-1.0000"/>
    <n v="25"/>
    <n v="0.27"/>
    <x v="1"/>
    <s v="Ravi"/>
    <n v="6.75"/>
    <m/>
    <m/>
    <m/>
    <m/>
    <m/>
    <m/>
    <x v="1"/>
  </r>
  <r>
    <x v="23"/>
    <s v="Tomato (Huli)-tomatohuli-kg-kg-1.0000"/>
    <n v="15"/>
    <n v="1.5"/>
    <x v="1"/>
    <s v="Ravi"/>
    <n v="22.5"/>
    <m/>
    <m/>
    <m/>
    <m/>
    <m/>
    <m/>
    <x v="1"/>
  </r>
  <r>
    <x v="23"/>
    <s v="Cashew-Godambi-kg-kg-1.0000"/>
    <n v="840"/>
    <n v="2.5000000000000001E-2"/>
    <x v="1"/>
    <s v="Ravi"/>
    <n v="21"/>
    <m/>
    <m/>
    <m/>
    <m/>
    <m/>
    <m/>
    <x v="1"/>
  </r>
  <r>
    <x v="23"/>
    <s v="Raisin-drakshi-kg-kg-1.0000"/>
    <n v="240"/>
    <n v="2.5000000000000001E-2"/>
    <x v="1"/>
    <s v="Ravi"/>
    <n v="6"/>
    <m/>
    <m/>
    <m/>
    <m/>
    <m/>
    <m/>
    <x v="1"/>
  </r>
  <r>
    <x v="23"/>
    <s v="Green Gram-hesarukalu-kg-kg-1.0000"/>
    <n v="78"/>
    <n v="0.09"/>
    <x v="1"/>
    <s v="Ravi"/>
    <n v="7.02"/>
    <m/>
    <m/>
    <m/>
    <m/>
    <m/>
    <m/>
    <x v="1"/>
  </r>
  <r>
    <x v="23"/>
    <s v="Coriander seeds-Dhanya Beeja-kg-kg-1.0000"/>
    <n v="90"/>
    <n v="0.09"/>
    <x v="1"/>
    <s v="Ravi"/>
    <n v="8.1"/>
    <m/>
    <m/>
    <m/>
    <m/>
    <m/>
    <m/>
    <x v="1"/>
  </r>
  <r>
    <x v="23"/>
    <s v="North Papad (1 kg)-North Papad (1 kg)-kg-kg-1.0000"/>
    <n v="160"/>
    <n v="0.05"/>
    <x v="1"/>
    <s v="Ravi"/>
    <n v="8"/>
    <m/>
    <m/>
    <m/>
    <m/>
    <m/>
    <m/>
    <x v="0"/>
  </r>
  <r>
    <x v="23"/>
    <s v="South Papad (500 gram)-South Papad (500 gram)-pkt-kg-0.5000"/>
    <n v="62.03"/>
    <n v="0.08"/>
    <x v="1"/>
    <s v="Ravi"/>
    <n v="4.9624000000000006"/>
    <m/>
    <m/>
    <m/>
    <m/>
    <m/>
    <m/>
    <x v="0"/>
  </r>
  <r>
    <x v="23"/>
    <s v="Pickle-Uppinkayi-kg-kg-1.0000"/>
    <n v="40"/>
    <n v="0.1"/>
    <x v="1"/>
    <s v="Ravi"/>
    <n v="4"/>
    <m/>
    <m/>
    <m/>
    <m/>
    <m/>
    <m/>
    <x v="0"/>
  </r>
  <r>
    <x v="23"/>
    <s v="Ghee-Thuppa-lts-kg-0.9300"/>
    <n v="430"/>
    <n v="0.08"/>
    <x v="1"/>
    <s v="Ravi"/>
    <n v="34.4"/>
    <m/>
    <m/>
    <m/>
    <m/>
    <m/>
    <m/>
    <x v="1"/>
  </r>
  <r>
    <x v="23"/>
    <s v="Cinnamon-Chekke-kg-kg-1.0000"/>
    <n v="220"/>
    <n v="0.01"/>
    <x v="1"/>
    <s v="Ravi"/>
    <n v="2.2000000000000002"/>
    <m/>
    <m/>
    <m/>
    <m/>
    <m/>
    <m/>
    <x v="0"/>
  </r>
  <r>
    <x v="23"/>
    <s v="Cloves-lavanga-kg-kg-1.0000"/>
    <n v="740"/>
    <n v="0.01"/>
    <x v="1"/>
    <s v="Ravi"/>
    <n v="7.4"/>
    <m/>
    <m/>
    <m/>
    <m/>
    <m/>
    <m/>
    <x v="0"/>
  </r>
  <r>
    <x v="23"/>
    <s v="Elaichi-yelakki-kg-kg-1.0000"/>
    <n v="1450"/>
    <n v="5.0000000000000001E-3"/>
    <x v="1"/>
    <s v="Ravi"/>
    <n v="7.25"/>
    <m/>
    <m/>
    <m/>
    <m/>
    <m/>
    <m/>
    <x v="0"/>
  </r>
  <r>
    <x v="23"/>
    <s v="Maratimoggu-Maratimoggu-kg-kg-1.0000"/>
    <n v="750"/>
    <n v="0.01"/>
    <x v="1"/>
    <s v="Ravi"/>
    <n v="7.5"/>
    <m/>
    <m/>
    <m/>
    <m/>
    <m/>
    <m/>
    <x v="0"/>
  </r>
  <r>
    <x v="23"/>
    <s v="Mace-japathre-kg-kg-1.0000"/>
    <n v="1480"/>
    <n v="5.0000000000000001E-3"/>
    <x v="1"/>
    <s v="Ravi"/>
    <n v="7.4"/>
    <m/>
    <m/>
    <m/>
    <m/>
    <m/>
    <m/>
    <x v="0"/>
  </r>
  <r>
    <x v="23"/>
    <s v="Coriander seeds-Dhanya Beeja-kg-kg-1.0000"/>
    <n v="90"/>
    <n v="0.09"/>
    <x v="1"/>
    <s v="Ravi"/>
    <n v="8.1"/>
    <m/>
    <m/>
    <m/>
    <m/>
    <m/>
    <m/>
    <x v="0"/>
  </r>
  <r>
    <x v="23"/>
    <s v="Elaichi-yelakki-kg-kg-1.0000"/>
    <n v="1450"/>
    <n v="0.01"/>
    <x v="1"/>
    <s v="Ravi"/>
    <n v="14.5"/>
    <m/>
    <m/>
    <m/>
    <m/>
    <m/>
    <m/>
    <x v="1"/>
  </r>
  <r>
    <x v="23"/>
    <s v="Crystal Salt-Kalluppu-kg-kg-1.0000"/>
    <n v="7"/>
    <n v="0.55500000000000005"/>
    <x v="1"/>
    <s v="Ravi"/>
    <n v="3.8850000000000002"/>
    <m/>
    <m/>
    <m/>
    <m/>
    <m/>
    <m/>
    <x v="1"/>
  </r>
  <r>
    <x v="23"/>
    <s v="Cauliflower-hookosu-kg-kg-1.0000"/>
    <n v="23.33"/>
    <n v="0.1"/>
    <x v="1"/>
    <s v="Ravi"/>
    <n v="2.3329999999999997"/>
    <m/>
    <m/>
    <m/>
    <m/>
    <m/>
    <m/>
    <x v="1"/>
  </r>
  <r>
    <x v="24"/>
    <s v="Gas-Gas-kg-kg-1.0000"/>
    <n v="78.95"/>
    <n v="4.1399999999999997"/>
    <x v="1"/>
    <s v="Ravi"/>
    <n v="326.85300000000001"/>
    <m/>
    <m/>
    <m/>
    <m/>
    <m/>
    <m/>
    <x v="0"/>
  </r>
  <r>
    <x v="23"/>
    <m/>
    <s v=""/>
    <m/>
    <x v="7"/>
    <m/>
    <m/>
    <m/>
    <m/>
    <m/>
    <m/>
    <m/>
    <m/>
    <x v="0"/>
  </r>
  <r>
    <x v="25"/>
    <m/>
    <s v=""/>
    <m/>
    <x v="7"/>
    <m/>
    <m/>
    <m/>
    <m/>
    <m/>
    <m/>
    <m/>
    <m/>
    <x v="0"/>
  </r>
  <r>
    <x v="25"/>
    <m/>
    <s v=""/>
    <m/>
    <x v="7"/>
    <m/>
    <m/>
    <m/>
    <m/>
    <m/>
    <m/>
    <m/>
    <m/>
    <x v="0"/>
  </r>
  <r>
    <x v="25"/>
    <m/>
    <s v=""/>
    <m/>
    <x v="7"/>
    <m/>
    <m/>
    <m/>
    <m/>
    <m/>
    <m/>
    <m/>
    <m/>
    <x v="0"/>
  </r>
  <r>
    <x v="25"/>
    <m/>
    <s v=""/>
    <m/>
    <x v="7"/>
    <m/>
    <m/>
    <m/>
    <m/>
    <m/>
    <m/>
    <m/>
    <m/>
    <x v="0"/>
  </r>
  <r>
    <x v="25"/>
    <m/>
    <s v=""/>
    <m/>
    <x v="7"/>
    <m/>
    <m/>
    <m/>
    <m/>
    <m/>
    <m/>
    <m/>
    <m/>
    <x v="0"/>
  </r>
  <r>
    <x v="25"/>
    <m/>
    <s v=""/>
    <m/>
    <x v="7"/>
    <m/>
    <m/>
    <m/>
    <m/>
    <m/>
    <m/>
    <m/>
    <m/>
    <x v="0"/>
  </r>
  <r>
    <x v="25"/>
    <m/>
    <s v=""/>
    <m/>
    <x v="7"/>
    <m/>
    <m/>
    <m/>
    <m/>
    <m/>
    <m/>
    <m/>
    <m/>
    <x v="0"/>
  </r>
  <r>
    <x v="25"/>
    <m/>
    <s v=""/>
    <m/>
    <x v="7"/>
    <m/>
    <m/>
    <m/>
    <m/>
    <m/>
    <m/>
    <m/>
    <m/>
    <x v="0"/>
  </r>
  <r>
    <x v="25"/>
    <m/>
    <s v=""/>
    <m/>
    <x v="7"/>
    <m/>
    <m/>
    <m/>
    <m/>
    <m/>
    <m/>
    <m/>
    <m/>
    <x v="0"/>
  </r>
  <r>
    <x v="25"/>
    <m/>
    <s v=""/>
    <m/>
    <x v="7"/>
    <m/>
    <m/>
    <m/>
    <m/>
    <m/>
    <m/>
    <m/>
    <m/>
    <x v="0"/>
  </r>
  <r>
    <x v="25"/>
    <m/>
    <s v=""/>
    <m/>
    <x v="7"/>
    <m/>
    <m/>
    <m/>
    <m/>
    <m/>
    <m/>
    <m/>
    <m/>
    <x v="0"/>
  </r>
  <r>
    <x v="25"/>
    <m/>
    <s v=""/>
    <m/>
    <x v="7"/>
    <m/>
    <m/>
    <m/>
    <m/>
    <m/>
    <m/>
    <m/>
    <m/>
    <x v="0"/>
  </r>
  <r>
    <x v="25"/>
    <m/>
    <s v=""/>
    <m/>
    <x v="7"/>
    <m/>
    <m/>
    <m/>
    <m/>
    <m/>
    <m/>
    <m/>
    <m/>
    <x v="0"/>
  </r>
  <r>
    <x v="25"/>
    <m/>
    <s v=""/>
    <m/>
    <x v="7"/>
    <m/>
    <m/>
    <m/>
    <m/>
    <m/>
    <m/>
    <m/>
    <m/>
    <x v="0"/>
  </r>
  <r>
    <x v="25"/>
    <m/>
    <s v=""/>
    <m/>
    <x v="7"/>
    <m/>
    <m/>
    <m/>
    <m/>
    <m/>
    <m/>
    <m/>
    <m/>
    <x v="0"/>
  </r>
  <r>
    <x v="25"/>
    <m/>
    <s v=""/>
    <m/>
    <x v="7"/>
    <m/>
    <m/>
    <m/>
    <m/>
    <m/>
    <m/>
    <m/>
    <m/>
    <x v="0"/>
  </r>
  <r>
    <x v="25"/>
    <m/>
    <s v=""/>
    <m/>
    <x v="7"/>
    <m/>
    <m/>
    <m/>
    <m/>
    <m/>
    <m/>
    <m/>
    <m/>
    <x v="0"/>
  </r>
  <r>
    <x v="25"/>
    <m/>
    <s v=""/>
    <m/>
    <x v="7"/>
    <m/>
    <m/>
    <m/>
    <m/>
    <m/>
    <m/>
    <m/>
    <m/>
    <x v="0"/>
  </r>
  <r>
    <x v="25"/>
    <m/>
    <s v=""/>
    <m/>
    <x v="7"/>
    <m/>
    <m/>
    <m/>
    <m/>
    <m/>
    <m/>
    <m/>
    <m/>
    <x v="0"/>
  </r>
  <r>
    <x v="25"/>
    <m/>
    <s v=""/>
    <m/>
    <x v="7"/>
    <m/>
    <m/>
    <m/>
    <m/>
    <m/>
    <m/>
    <m/>
    <m/>
    <x v="0"/>
  </r>
  <r>
    <x v="25"/>
    <m/>
    <s v=""/>
    <m/>
    <x v="7"/>
    <m/>
    <m/>
    <m/>
    <m/>
    <m/>
    <m/>
    <m/>
    <m/>
    <x v="0"/>
  </r>
  <r>
    <x v="25"/>
    <m/>
    <s v=""/>
    <m/>
    <x v="7"/>
    <m/>
    <m/>
    <m/>
    <m/>
    <m/>
    <m/>
    <m/>
    <m/>
    <x v="0"/>
  </r>
  <r>
    <x v="25"/>
    <m/>
    <s v=""/>
    <m/>
    <x v="7"/>
    <m/>
    <m/>
    <m/>
    <m/>
    <m/>
    <m/>
    <m/>
    <m/>
    <x v="0"/>
  </r>
  <r>
    <x v="25"/>
    <m/>
    <s v=""/>
    <m/>
    <x v="7"/>
    <m/>
    <m/>
    <m/>
    <m/>
    <m/>
    <m/>
    <m/>
    <m/>
    <x v="0"/>
  </r>
  <r>
    <x v="25"/>
    <m/>
    <s v=""/>
    <m/>
    <x v="7"/>
    <m/>
    <m/>
    <m/>
    <m/>
    <m/>
    <m/>
    <m/>
    <m/>
    <x v="0"/>
  </r>
  <r>
    <x v="25"/>
    <m/>
    <s v=""/>
    <m/>
    <x v="7"/>
    <m/>
    <m/>
    <m/>
    <m/>
    <m/>
    <m/>
    <m/>
    <m/>
    <x v="0"/>
  </r>
  <r>
    <x v="25"/>
    <m/>
    <s v=""/>
    <m/>
    <x v="7"/>
    <m/>
    <m/>
    <m/>
    <m/>
    <m/>
    <m/>
    <m/>
    <m/>
    <x v="0"/>
  </r>
  <r>
    <x v="25"/>
    <m/>
    <s v=""/>
    <m/>
    <x v="7"/>
    <m/>
    <m/>
    <m/>
    <m/>
    <m/>
    <m/>
    <m/>
    <m/>
    <x v="0"/>
  </r>
  <r>
    <x v="25"/>
    <m/>
    <s v=""/>
    <m/>
    <x v="7"/>
    <m/>
    <m/>
    <m/>
    <m/>
    <m/>
    <m/>
    <m/>
    <m/>
    <x v="0"/>
  </r>
  <r>
    <x v="25"/>
    <m/>
    <s v=""/>
    <m/>
    <x v="7"/>
    <m/>
    <m/>
    <m/>
    <m/>
    <m/>
    <m/>
    <m/>
    <m/>
    <x v="0"/>
  </r>
  <r>
    <x v="25"/>
    <m/>
    <s v=""/>
    <m/>
    <x v="7"/>
    <m/>
    <m/>
    <m/>
    <m/>
    <m/>
    <m/>
    <m/>
    <m/>
    <x v="0"/>
  </r>
  <r>
    <x v="25"/>
    <m/>
    <s v=""/>
    <m/>
    <x v="7"/>
    <m/>
    <m/>
    <m/>
    <m/>
    <m/>
    <m/>
    <m/>
    <m/>
    <x v="0"/>
  </r>
  <r>
    <x v="25"/>
    <m/>
    <s v=""/>
    <m/>
    <x v="7"/>
    <m/>
    <m/>
    <m/>
    <m/>
    <m/>
    <m/>
    <m/>
    <m/>
    <x v="0"/>
  </r>
  <r>
    <x v="25"/>
    <m/>
    <m/>
    <m/>
    <x v="7"/>
    <m/>
    <m/>
    <m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K3:M13" firstHeaderRow="1" firstDataRow="2" firstDataCol="1" rowPageCount="1" colPageCount="1"/>
  <pivotFields count="8">
    <pivotField axis="axisPage" multipleItemSelectionAllowed="1" showAll="0">
      <items count="24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22"/>
        <item h="1" x="12"/>
        <item h="1" x="13"/>
        <item h="1" x="14"/>
        <item h="1" x="15"/>
        <item h="1" x="16"/>
        <item h="1" x="17"/>
        <item h="1" x="18"/>
        <item h="1" x="19"/>
        <item h="1" x="20"/>
        <item x="21"/>
        <item t="default"/>
      </items>
    </pivotField>
    <pivotField axis="axisRow" showAll="0">
      <items count="135">
        <item x="103"/>
        <item x="104"/>
        <item x="90"/>
        <item x="106"/>
        <item x="16"/>
        <item x="22"/>
        <item x="29"/>
        <item x="97"/>
        <item x="82"/>
        <item x="70"/>
        <item x="28"/>
        <item x="17"/>
        <item x="36"/>
        <item x="66"/>
        <item x="1"/>
        <item x="30"/>
        <item x="56"/>
        <item x="19"/>
        <item x="51"/>
        <item x="6"/>
        <item x="87"/>
        <item x="74"/>
        <item x="91"/>
        <item x="47"/>
        <item x="72"/>
        <item x="23"/>
        <item x="24"/>
        <item x="43"/>
        <item x="98"/>
        <item x="14"/>
        <item x="31"/>
        <item x="10"/>
        <item x="96"/>
        <item x="101"/>
        <item x="48"/>
        <item x="15"/>
        <item x="42"/>
        <item x="62"/>
        <item x="49"/>
        <item x="69"/>
        <item x="25"/>
        <item x="111"/>
        <item x="99"/>
        <item x="59"/>
        <item x="12"/>
        <item x="64"/>
        <item x="100"/>
        <item x="13"/>
        <item x="93"/>
        <item x="112"/>
        <item x="2"/>
        <item x="95"/>
        <item x="109"/>
        <item x="75"/>
        <item x="37"/>
        <item x="18"/>
        <item x="102"/>
        <item x="20"/>
        <item x="40"/>
        <item x="39"/>
        <item x="34"/>
        <item x="113"/>
        <item x="63"/>
        <item x="27"/>
        <item x="8"/>
        <item x="26"/>
        <item x="21"/>
        <item x="5"/>
        <item x="41"/>
        <item x="46"/>
        <item x="68"/>
        <item x="81"/>
        <item x="32"/>
        <item x="88"/>
        <item x="50"/>
        <item x="52"/>
        <item x="11"/>
        <item x="0"/>
        <item x="80"/>
        <item x="7"/>
        <item x="33"/>
        <item x="86"/>
        <item x="83"/>
        <item x="78"/>
        <item x="77"/>
        <item x="94"/>
        <item x="35"/>
        <item x="110"/>
        <item x="55"/>
        <item x="73"/>
        <item x="108"/>
        <item x="38"/>
        <item x="89"/>
        <item x="3"/>
        <item x="60"/>
        <item x="53"/>
        <item x="44"/>
        <item x="45"/>
        <item x="67"/>
        <item x="54"/>
        <item x="84"/>
        <item x="65"/>
        <item x="58"/>
        <item x="9"/>
        <item x="57"/>
        <item x="71"/>
        <item x="92"/>
        <item x="61"/>
        <item x="85"/>
        <item x="105"/>
        <item x="79"/>
        <item x="76"/>
        <item x="4"/>
        <item x="107"/>
        <item x="13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t="default"/>
      </items>
    </pivotField>
    <pivotField showAll="0"/>
    <pivotField dataField="1" showAll="0"/>
    <pivotField axis="axisRow" showAll="0">
      <items count="11">
        <item sd="0" x="3"/>
        <item sd="0" x="2"/>
        <item sd="0" x="6"/>
        <item sd="0" x="4"/>
        <item sd="0" x="5"/>
        <item sd="0" x="0"/>
        <item sd="0" x="1"/>
        <item x="7"/>
        <item sd="0" x="8"/>
        <item sd="0" x="9"/>
        <item t="default"/>
      </items>
    </pivotField>
    <pivotField showAll="0"/>
    <pivotField dataField="1" showAll="0"/>
    <pivotField axis="axisRow" showAll="0">
      <items count="18">
        <item h="1" sd="0" x="9"/>
        <item h="1" sd="0" x="4"/>
        <item h="1" sd="0" x="1"/>
        <item h="1" x="12"/>
        <item h="1" sd="0" x="10"/>
        <item h="1" sd="0" x="7"/>
        <item h="1" sd="0" x="2"/>
        <item h="1" sd="0" x="8"/>
        <item h="1" sd="0" x="3"/>
        <item h="1" sd="0" x="11"/>
        <item h="1" sd="0" x="6"/>
        <item h="1" sd="0" x="5"/>
        <item h="1" sd="0" x="0"/>
        <item x="15"/>
        <item h="1" sd="0" x="13"/>
        <item h="1" sd="0" m="1" x="16"/>
        <item h="1" sd="0" x="14"/>
        <item t="default"/>
      </items>
    </pivotField>
  </pivotFields>
  <rowFields count="3">
    <field x="7"/>
    <field x="4"/>
    <field x="1"/>
  </rowFields>
  <rowItems count="9">
    <i>
      <x v="13"/>
    </i>
    <i r="1">
      <x v="1"/>
    </i>
    <i r="1">
      <x v="2"/>
    </i>
    <i r="1">
      <x v="4"/>
    </i>
    <i r="1">
      <x v="5"/>
    </i>
    <i r="1">
      <x v="6"/>
    </i>
    <i r="1">
      <x v="8"/>
    </i>
    <i r="1">
      <x v="9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Sum of Qty Issued" fld="3" baseField="0" baseItem="0"/>
    <dataField name="Sum of Total Amount" fld="6" baseField="0" baseItem="0" numFmtId="164"/>
  </dataFields>
  <formats count="2">
    <format dxfId="1">
      <pivotArea type="all" dataOnly="0" outline="0" fieldPosition="0"/>
    </format>
    <format dxfId="0">
      <pivotArea grandRow="1" outline="0" collapsedLevelsAreSubtotals="1" fieldPosition="0"/>
    </format>
  </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C13" firstHeaderRow="1" firstDataRow="2" firstDataCol="1" rowPageCount="1" colPageCount="1"/>
  <pivotFields count="8">
    <pivotField axis="axisPage" multipleItemSelectionAllowed="1" showAll="0">
      <items count="24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22"/>
        <item h="1" x="12"/>
        <item h="1" x="13"/>
        <item h="1" x="14"/>
        <item h="1" x="15"/>
        <item h="1" x="16"/>
        <item h="1" x="17"/>
        <item h="1" x="18"/>
        <item h="1" x="19"/>
        <item x="20"/>
        <item h="1" x="21"/>
        <item t="default"/>
      </items>
    </pivotField>
    <pivotField showAll="0"/>
    <pivotField showAll="0"/>
    <pivotField dataField="1" showAll="0"/>
    <pivotField axis="axisRow" showAll="0">
      <items count="11">
        <item x="3"/>
        <item x="2"/>
        <item x="6"/>
        <item x="4"/>
        <item x="5"/>
        <item x="0"/>
        <item x="1"/>
        <item x="7"/>
        <item x="8"/>
        <item x="9"/>
        <item t="default"/>
      </items>
    </pivotField>
    <pivotField showAll="0"/>
    <pivotField dataField="1" showAll="0"/>
    <pivotField showAll="0"/>
  </pivotFields>
  <rowFields count="1">
    <field x="4"/>
  </rowFields>
  <rowItems count="9">
    <i>
      <x v="1"/>
    </i>
    <i>
      <x v="2"/>
    </i>
    <i>
      <x v="3"/>
    </i>
    <i>
      <x v="4"/>
    </i>
    <i>
      <x v="5"/>
    </i>
    <i>
      <x v="6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Sum of Qty Issued" fld="3" baseField="0" baseItem="0"/>
    <dataField name="Sum of Total Amount" fld="6" baseField="0" baseItem="0"/>
  </dataFields>
  <formats count="1">
    <format dxfId="2">
      <pivotArea type="all" dataOnly="0" outline="0" fieldPosition="0"/>
    </format>
  </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4:B6" firstHeaderRow="1" firstDataRow="1" firstDataCol="1" rowPageCount="2" colPageCount="1"/>
  <pivotFields count="14">
    <pivotField axis="axisPage" multipleItemSelectionAllowed="1" showAll="0">
      <items count="2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5"/>
        <item x="23"/>
        <item h="1" x="24"/>
        <item t="default"/>
      </items>
    </pivotField>
    <pivotField showAll="0"/>
    <pivotField showAll="0"/>
    <pivotField showAll="0"/>
    <pivotField axis="axisRow" showAll="0">
      <items count="11">
        <item x="3"/>
        <item x="2"/>
        <item x="6"/>
        <item x="4"/>
        <item x="5"/>
        <item x="0"/>
        <item x="8"/>
        <item x="1"/>
        <item x="9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x="1"/>
        <item h="1" x="0"/>
        <item t="default"/>
      </items>
    </pivotField>
  </pivotFields>
  <rowFields count="1">
    <field x="4"/>
  </rowFields>
  <rowItems count="2">
    <i>
      <x v="7"/>
    </i>
    <i t="grand">
      <x/>
    </i>
  </rowItems>
  <colItems count="1">
    <i/>
  </colItems>
  <pageFields count="2">
    <pageField fld="13" hier="-1"/>
    <pageField fld="0" hier="-1"/>
  </pageFields>
  <dataFields count="1">
    <dataField name="Sum of Total Amount" fld="6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2" sqref="C2"/>
    </sheetView>
  </sheetViews>
  <sheetFormatPr defaultRowHeight="15"/>
  <cols>
    <col min="1" max="1" width="39.42578125" bestFit="1" customWidth="1"/>
    <col min="2" max="2" width="18.28515625" customWidth="1"/>
    <col min="8" max="8" width="21.28515625" customWidth="1"/>
    <col min="9" max="9" width="10.42578125" bestFit="1" customWidth="1"/>
    <col min="10" max="10" width="16.85546875" bestFit="1" customWidth="1"/>
    <col min="11" max="11" width="10.42578125" bestFit="1" customWidth="1"/>
    <col min="13" max="13" width="9.28515625" bestFit="1" customWidth="1"/>
  </cols>
  <sheetData>
    <row r="1" spans="1:4">
      <c r="A1" s="57" t="s">
        <v>309</v>
      </c>
      <c r="B1" s="57"/>
      <c r="D1" s="6" t="s">
        <v>336</v>
      </c>
    </row>
    <row r="2" spans="1:4">
      <c r="A2" s="2" t="s">
        <v>0</v>
      </c>
      <c r="B2" s="2" t="s">
        <v>1</v>
      </c>
    </row>
    <row r="3" spans="1:4">
      <c r="A3" s="2" t="s">
        <v>302</v>
      </c>
      <c r="B3" s="2" t="s">
        <v>39</v>
      </c>
    </row>
    <row r="4" spans="1:4">
      <c r="A4" s="2" t="s">
        <v>3</v>
      </c>
      <c r="B4" s="2" t="s">
        <v>40</v>
      </c>
    </row>
    <row r="5" spans="1:4">
      <c r="A5" s="2" t="s">
        <v>4</v>
      </c>
      <c r="B5" s="2" t="s">
        <v>41</v>
      </c>
    </row>
    <row r="6" spans="1:4">
      <c r="A6" s="2" t="s">
        <v>5</v>
      </c>
      <c r="B6" s="2" t="s">
        <v>42</v>
      </c>
      <c r="D6">
        <v>0.3</v>
      </c>
    </row>
    <row r="7" spans="1:4">
      <c r="A7" s="2" t="s">
        <v>6</v>
      </c>
      <c r="B7" s="2" t="s">
        <v>38</v>
      </c>
    </row>
    <row r="8" spans="1:4">
      <c r="A8" s="2" t="s">
        <v>7</v>
      </c>
      <c r="B8" s="2" t="s">
        <v>37</v>
      </c>
      <c r="D8">
        <v>0.5</v>
      </c>
    </row>
    <row r="9" spans="1:4">
      <c r="A9" s="2" t="s">
        <v>8</v>
      </c>
      <c r="B9" s="2" t="s">
        <v>9</v>
      </c>
    </row>
    <row r="10" spans="1:4">
      <c r="A10" s="2" t="s">
        <v>10</v>
      </c>
      <c r="B10" s="2" t="s">
        <v>36</v>
      </c>
      <c r="D10">
        <v>0.05</v>
      </c>
    </row>
    <row r="11" spans="1:4">
      <c r="A11" s="2" t="s">
        <v>11</v>
      </c>
      <c r="B11" s="2" t="s">
        <v>35</v>
      </c>
    </row>
    <row r="12" spans="1:4">
      <c r="A12" s="2" t="s">
        <v>12</v>
      </c>
      <c r="B12" s="2" t="s">
        <v>34</v>
      </c>
    </row>
    <row r="13" spans="1:4">
      <c r="A13" s="2" t="s">
        <v>49</v>
      </c>
      <c r="B13" s="2" t="s">
        <v>13</v>
      </c>
    </row>
    <row r="14" spans="1:4">
      <c r="A14" s="2" t="s">
        <v>14</v>
      </c>
      <c r="B14" s="2" t="s">
        <v>15</v>
      </c>
    </row>
    <row r="15" spans="1:4">
      <c r="A15" s="2" t="s">
        <v>16</v>
      </c>
      <c r="B15" s="2" t="s">
        <v>96</v>
      </c>
    </row>
    <row r="16" spans="1:4">
      <c r="A16" s="2" t="s">
        <v>17</v>
      </c>
      <c r="B16" s="2" t="s">
        <v>95</v>
      </c>
    </row>
    <row r="17" spans="1:4">
      <c r="A17" s="2" t="s">
        <v>18</v>
      </c>
      <c r="B17" s="2" t="s">
        <v>191</v>
      </c>
    </row>
    <row r="18" spans="1:4">
      <c r="A18" s="2" t="s">
        <v>19</v>
      </c>
      <c r="B18" s="2" t="s">
        <v>314</v>
      </c>
    </row>
    <row r="19" spans="1:4">
      <c r="A19" s="2" t="s">
        <v>20</v>
      </c>
      <c r="B19" s="2" t="s">
        <v>23</v>
      </c>
    </row>
    <row r="20" spans="1:4">
      <c r="A20" s="7" t="s">
        <v>21</v>
      </c>
      <c r="B20" s="7" t="s">
        <v>25</v>
      </c>
    </row>
    <row r="21" spans="1:4">
      <c r="A21" s="2" t="s">
        <v>22</v>
      </c>
      <c r="B21" s="2" t="s">
        <v>310</v>
      </c>
    </row>
    <row r="22" spans="1:4">
      <c r="A22" s="2" t="s">
        <v>26</v>
      </c>
      <c r="B22" s="2" t="s">
        <v>27</v>
      </c>
    </row>
    <row r="23" spans="1:4">
      <c r="A23" s="2" t="s">
        <v>94</v>
      </c>
      <c r="B23" s="2" t="s">
        <v>56</v>
      </c>
    </row>
    <row r="24" spans="1:4">
      <c r="A24" s="2" t="s">
        <v>48</v>
      </c>
      <c r="B24" s="2" t="s">
        <v>50</v>
      </c>
    </row>
    <row r="25" spans="1:4">
      <c r="A25" s="2" t="s">
        <v>51</v>
      </c>
      <c r="B25" s="2" t="s">
        <v>52</v>
      </c>
    </row>
    <row r="26" spans="1:4">
      <c r="A26" s="2" t="s">
        <v>53</v>
      </c>
      <c r="B26" s="2">
        <v>0.19500000000000001</v>
      </c>
    </row>
    <row r="27" spans="1:4">
      <c r="A27" s="2" t="s">
        <v>54</v>
      </c>
      <c r="B27" s="2" t="s">
        <v>55</v>
      </c>
    </row>
    <row r="28" spans="1:4">
      <c r="A28" s="2" t="s">
        <v>57</v>
      </c>
      <c r="B28" s="2" t="s">
        <v>58</v>
      </c>
    </row>
    <row r="29" spans="1:4">
      <c r="A29" s="2" t="s">
        <v>59</v>
      </c>
      <c r="B29" s="2" t="s">
        <v>214</v>
      </c>
    </row>
    <row r="30" spans="1:4">
      <c r="A30" s="2" t="s">
        <v>60</v>
      </c>
      <c r="B30" s="2" t="s">
        <v>61</v>
      </c>
      <c r="D30">
        <v>0.05</v>
      </c>
    </row>
    <row r="31" spans="1:4">
      <c r="A31" s="2" t="s">
        <v>62</v>
      </c>
      <c r="B31" s="2" t="s">
        <v>63</v>
      </c>
    </row>
    <row r="32" spans="1:4">
      <c r="A32" s="2" t="s">
        <v>64</v>
      </c>
      <c r="B32" s="2" t="s">
        <v>65</v>
      </c>
    </row>
    <row r="33" spans="1:4">
      <c r="A33" s="2" t="s">
        <v>66</v>
      </c>
      <c r="B33" s="2" t="s">
        <v>67</v>
      </c>
    </row>
    <row r="34" spans="1:4">
      <c r="A34" s="2" t="s">
        <v>68</v>
      </c>
      <c r="B34" s="2" t="s">
        <v>69</v>
      </c>
      <c r="D34">
        <v>1.4999999999999999E-2</v>
      </c>
    </row>
    <row r="35" spans="1:4">
      <c r="A35" s="2" t="s">
        <v>70</v>
      </c>
      <c r="B35" s="2" t="s">
        <v>71</v>
      </c>
    </row>
    <row r="36" spans="1:4">
      <c r="A36" s="2" t="s">
        <v>72</v>
      </c>
      <c r="B36" s="2" t="s">
        <v>9</v>
      </c>
      <c r="D36">
        <v>1.4999999999999999E-2</v>
      </c>
    </row>
    <row r="37" spans="1:4">
      <c r="A37" s="2" t="s">
        <v>73</v>
      </c>
      <c r="B37" s="2" t="s">
        <v>9</v>
      </c>
    </row>
    <row r="38" spans="1:4">
      <c r="A38" s="2" t="s">
        <v>74</v>
      </c>
      <c r="B38" s="2" t="s">
        <v>1</v>
      </c>
    </row>
    <row r="39" spans="1:4">
      <c r="A39" s="2" t="s">
        <v>75</v>
      </c>
      <c r="B39" s="2" t="s">
        <v>76</v>
      </c>
    </row>
    <row r="40" spans="1:4">
      <c r="A40" s="2" t="s">
        <v>77</v>
      </c>
      <c r="B40" s="2" t="s">
        <v>78</v>
      </c>
      <c r="D40">
        <v>0.40500000000000003</v>
      </c>
    </row>
    <row r="41" spans="1:4">
      <c r="A41" s="2" t="s">
        <v>79</v>
      </c>
      <c r="B41" s="2" t="s">
        <v>80</v>
      </c>
    </row>
    <row r="42" spans="1:4">
      <c r="A42" s="2" t="s">
        <v>81</v>
      </c>
      <c r="B42" s="2" t="s">
        <v>52</v>
      </c>
    </row>
    <row r="43" spans="1:4">
      <c r="A43" s="2" t="s">
        <v>82</v>
      </c>
      <c r="B43" s="2" t="s">
        <v>83</v>
      </c>
    </row>
    <row r="44" spans="1:4">
      <c r="A44" s="2" t="s">
        <v>84</v>
      </c>
      <c r="B44" s="2" t="s">
        <v>85</v>
      </c>
    </row>
    <row r="45" spans="1:4">
      <c r="A45" s="2" t="s">
        <v>86</v>
      </c>
      <c r="B45" s="2" t="s">
        <v>87</v>
      </c>
    </row>
    <row r="46" spans="1:4">
      <c r="A46" s="2" t="s">
        <v>88</v>
      </c>
      <c r="B46" s="2" t="s">
        <v>89</v>
      </c>
    </row>
    <row r="47" spans="1:4">
      <c r="A47" s="2" t="s">
        <v>90</v>
      </c>
      <c r="B47" s="2" t="s">
        <v>93</v>
      </c>
    </row>
    <row r="48" spans="1:4">
      <c r="A48" s="2" t="s">
        <v>91</v>
      </c>
      <c r="B48" s="2" t="s">
        <v>92</v>
      </c>
    </row>
    <row r="49" spans="1:4">
      <c r="A49" s="2" t="s">
        <v>97</v>
      </c>
      <c r="B49" s="2" t="s">
        <v>55</v>
      </c>
    </row>
    <row r="50" spans="1:4">
      <c r="A50" s="2" t="s">
        <v>98</v>
      </c>
      <c r="B50" s="2" t="s">
        <v>99</v>
      </c>
    </row>
    <row r="51" spans="1:4">
      <c r="A51" s="2" t="s">
        <v>100</v>
      </c>
      <c r="B51" s="2" t="s">
        <v>101</v>
      </c>
      <c r="D51">
        <v>3.5000000000000003E-2</v>
      </c>
    </row>
    <row r="52" spans="1:4">
      <c r="A52" s="2" t="s">
        <v>102</v>
      </c>
      <c r="B52" s="2" t="s">
        <v>103</v>
      </c>
      <c r="D52">
        <v>0.5</v>
      </c>
    </row>
    <row r="53" spans="1:4">
      <c r="A53" s="2" t="s">
        <v>104</v>
      </c>
      <c r="B53" s="2" t="s">
        <v>103</v>
      </c>
    </row>
    <row r="54" spans="1:4">
      <c r="A54" s="2" t="s">
        <v>105</v>
      </c>
      <c r="B54" s="2">
        <v>19</v>
      </c>
    </row>
    <row r="55" spans="1:4">
      <c r="A55" s="2" t="s">
        <v>106</v>
      </c>
      <c r="B55" s="2">
        <v>14</v>
      </c>
    </row>
    <row r="56" spans="1:4">
      <c r="A56" s="2" t="s">
        <v>107</v>
      </c>
      <c r="B56" s="2" t="s">
        <v>108</v>
      </c>
    </row>
    <row r="57" spans="1:4">
      <c r="A57" s="2" t="s">
        <v>109</v>
      </c>
      <c r="B57" s="2" t="s">
        <v>110</v>
      </c>
    </row>
    <row r="58" spans="1:4">
      <c r="A58" s="2" t="s">
        <v>143</v>
      </c>
      <c r="B58" s="2" t="s">
        <v>318</v>
      </c>
      <c r="D58">
        <v>0.5</v>
      </c>
    </row>
    <row r="59" spans="1:4">
      <c r="A59" s="2" t="s">
        <v>144</v>
      </c>
      <c r="B59" s="2" t="s">
        <v>137</v>
      </c>
      <c r="D59">
        <v>0.02</v>
      </c>
    </row>
    <row r="60" spans="1:4">
      <c r="A60" s="2" t="s">
        <v>303</v>
      </c>
      <c r="B60" s="2" t="s">
        <v>146</v>
      </c>
    </row>
    <row r="61" spans="1:4">
      <c r="A61" s="2" t="s">
        <v>304</v>
      </c>
      <c r="B61" s="2" t="s">
        <v>148</v>
      </c>
      <c r="D61">
        <v>0.06</v>
      </c>
    </row>
    <row r="62" spans="1:4">
      <c r="A62" s="2" t="s">
        <v>149</v>
      </c>
      <c r="B62" s="2" t="s">
        <v>150</v>
      </c>
      <c r="D62">
        <v>0.01</v>
      </c>
    </row>
    <row r="63" spans="1:4">
      <c r="A63" s="2" t="s">
        <v>151</v>
      </c>
      <c r="B63" s="2" t="s">
        <v>152</v>
      </c>
    </row>
    <row r="64" spans="1:4">
      <c r="A64" s="2" t="s">
        <v>153</v>
      </c>
      <c r="B64" s="2" t="s">
        <v>154</v>
      </c>
    </row>
    <row r="65" spans="1:4">
      <c r="A65" s="2" t="s">
        <v>155</v>
      </c>
      <c r="B65" s="2" t="s">
        <v>156</v>
      </c>
      <c r="D65">
        <v>3</v>
      </c>
    </row>
    <row r="66" spans="1:4">
      <c r="A66" s="2" t="s">
        <v>305</v>
      </c>
      <c r="B66" s="2" t="s">
        <v>158</v>
      </c>
    </row>
    <row r="67" spans="1:4">
      <c r="A67" s="2" t="s">
        <v>159</v>
      </c>
      <c r="B67" s="2" t="s">
        <v>160</v>
      </c>
      <c r="D67">
        <v>0.30499999999999999</v>
      </c>
    </row>
    <row r="68" spans="1:4">
      <c r="A68" s="2" t="s">
        <v>161</v>
      </c>
      <c r="B68" s="2" t="s">
        <v>162</v>
      </c>
    </row>
    <row r="69" spans="1:4">
      <c r="A69" s="2" t="s">
        <v>163</v>
      </c>
      <c r="B69" s="2" t="s">
        <v>166</v>
      </c>
    </row>
    <row r="70" spans="1:4">
      <c r="A70" s="2" t="s">
        <v>164</v>
      </c>
      <c r="B70" s="2" t="s">
        <v>165</v>
      </c>
    </row>
    <row r="71" spans="1:4">
      <c r="A71" s="2" t="s">
        <v>168</v>
      </c>
      <c r="B71" s="2" t="s">
        <v>169</v>
      </c>
    </row>
    <row r="72" spans="1:4">
      <c r="A72" s="2" t="s">
        <v>167</v>
      </c>
      <c r="B72" s="2" t="s">
        <v>170</v>
      </c>
      <c r="D72">
        <v>0.02</v>
      </c>
    </row>
    <row r="73" spans="1:4">
      <c r="A73" s="2" t="s">
        <v>306</v>
      </c>
      <c r="B73" s="2" t="s">
        <v>172</v>
      </c>
    </row>
    <row r="74" spans="1:4">
      <c r="A74" s="2" t="s">
        <v>173</v>
      </c>
      <c r="B74" s="2" t="s">
        <v>174</v>
      </c>
    </row>
    <row r="75" spans="1:4">
      <c r="A75" s="2" t="s">
        <v>175</v>
      </c>
      <c r="B75" s="2" t="s">
        <v>176</v>
      </c>
    </row>
    <row r="76" spans="1:4">
      <c r="A76" s="2" t="s">
        <v>177</v>
      </c>
      <c r="B76" s="2" t="s">
        <v>218</v>
      </c>
    </row>
    <row r="77" spans="1:4">
      <c r="A77" s="2" t="s">
        <v>179</v>
      </c>
      <c r="B77" s="2" t="s">
        <v>180</v>
      </c>
      <c r="D77">
        <v>0.45500000000000002</v>
      </c>
    </row>
    <row r="78" spans="1:4">
      <c r="A78" s="2" t="s">
        <v>181</v>
      </c>
      <c r="B78" s="2" t="s">
        <v>182</v>
      </c>
    </row>
    <row r="79" spans="1:4">
      <c r="A79" s="2" t="s">
        <v>183</v>
      </c>
      <c r="B79" s="2" t="s">
        <v>184</v>
      </c>
    </row>
    <row r="80" spans="1:4">
      <c r="A80" s="2" t="s">
        <v>185</v>
      </c>
      <c r="B80" s="2" t="s">
        <v>178</v>
      </c>
    </row>
    <row r="81" spans="1:4">
      <c r="A81" s="2" t="s">
        <v>186</v>
      </c>
      <c r="B81" s="2" t="s">
        <v>184</v>
      </c>
    </row>
    <row r="82" spans="1:4">
      <c r="A82" s="2" t="s">
        <v>187</v>
      </c>
      <c r="B82" s="2" t="s">
        <v>184</v>
      </c>
    </row>
    <row r="83" spans="1:4">
      <c r="A83" s="2" t="s">
        <v>188</v>
      </c>
      <c r="B83" s="2" t="s">
        <v>189</v>
      </c>
    </row>
    <row r="84" spans="1:4">
      <c r="A84" s="2" t="s">
        <v>190</v>
      </c>
      <c r="B84" s="2" t="s">
        <v>191</v>
      </c>
    </row>
    <row r="85" spans="1:4">
      <c r="A85" s="2" t="s">
        <v>192</v>
      </c>
      <c r="B85" s="2" t="s">
        <v>9</v>
      </c>
    </row>
    <row r="86" spans="1:4">
      <c r="A86" s="2" t="s">
        <v>193</v>
      </c>
      <c r="B86" s="2" t="s">
        <v>194</v>
      </c>
    </row>
    <row r="87" spans="1:4">
      <c r="A87" s="2" t="s">
        <v>195</v>
      </c>
      <c r="B87" s="2" t="s">
        <v>225</v>
      </c>
      <c r="D87">
        <v>0.02</v>
      </c>
    </row>
    <row r="88" spans="1:4">
      <c r="A88" s="2" t="s">
        <v>196</v>
      </c>
      <c r="B88" s="2" t="s">
        <v>197</v>
      </c>
    </row>
    <row r="89" spans="1:4">
      <c r="A89" s="2" t="s">
        <v>198</v>
      </c>
      <c r="B89" s="2" t="s">
        <v>199</v>
      </c>
    </row>
    <row r="90" spans="1:4">
      <c r="A90" s="2" t="s">
        <v>200</v>
      </c>
      <c r="B90" s="2" t="s">
        <v>1</v>
      </c>
      <c r="D90">
        <v>6.5000000000000002E-2</v>
      </c>
    </row>
    <row r="91" spans="1:4">
      <c r="A91" s="2" t="s">
        <v>201</v>
      </c>
      <c r="B91" s="2" t="s">
        <v>317</v>
      </c>
      <c r="D91">
        <v>0.04</v>
      </c>
    </row>
    <row r="92" spans="1:4">
      <c r="A92" s="2" t="s">
        <v>202</v>
      </c>
      <c r="B92" s="2" t="s">
        <v>313</v>
      </c>
    </row>
    <row r="93" spans="1:4">
      <c r="A93" s="2" t="s">
        <v>203</v>
      </c>
      <c r="B93" s="2" t="s">
        <v>217</v>
      </c>
    </row>
    <row r="94" spans="1:4">
      <c r="A94" s="2" t="s">
        <v>204</v>
      </c>
      <c r="B94" s="2" t="s">
        <v>194</v>
      </c>
    </row>
    <row r="95" spans="1:4">
      <c r="A95" s="2" t="s">
        <v>205</v>
      </c>
      <c r="B95" s="2" t="s">
        <v>206</v>
      </c>
    </row>
    <row r="96" spans="1:4">
      <c r="A96" s="2" t="s">
        <v>207</v>
      </c>
      <c r="B96" s="2" t="s">
        <v>69</v>
      </c>
      <c r="D96">
        <v>0.255</v>
      </c>
    </row>
    <row r="97" spans="1:4">
      <c r="A97" s="8" t="s">
        <v>212</v>
      </c>
      <c r="B97" s="2" t="s">
        <v>213</v>
      </c>
    </row>
    <row r="98" spans="1:4">
      <c r="A98" s="8" t="s">
        <v>215</v>
      </c>
      <c r="B98" s="2" t="s">
        <v>216</v>
      </c>
    </row>
    <row r="99" spans="1:4">
      <c r="A99" s="8" t="s">
        <v>220</v>
      </c>
      <c r="B99" s="2" t="s">
        <v>219</v>
      </c>
    </row>
    <row r="100" spans="1:4">
      <c r="A100" s="8" t="s">
        <v>221</v>
      </c>
      <c r="B100" s="2" t="s">
        <v>222</v>
      </c>
    </row>
    <row r="101" spans="1:4">
      <c r="A101" s="8" t="s">
        <v>223</v>
      </c>
      <c r="B101" s="2" t="s">
        <v>312</v>
      </c>
      <c r="D101">
        <v>0.12</v>
      </c>
    </row>
    <row r="102" spans="1:4">
      <c r="A102" s="8" t="s">
        <v>224</v>
      </c>
      <c r="B102" s="2" t="s">
        <v>69</v>
      </c>
    </row>
    <row r="103" spans="1:4">
      <c r="A103" s="8" t="s">
        <v>307</v>
      </c>
      <c r="B103" s="2" t="s">
        <v>308</v>
      </c>
    </row>
    <row r="104" spans="1:4">
      <c r="A104" s="8" t="s">
        <v>311</v>
      </c>
      <c r="B104" s="2">
        <v>2</v>
      </c>
    </row>
    <row r="105" spans="1:4">
      <c r="A105" s="8" t="s">
        <v>315</v>
      </c>
      <c r="B105" s="2">
        <v>2</v>
      </c>
    </row>
    <row r="106" spans="1:4">
      <c r="A106" s="8" t="s">
        <v>316</v>
      </c>
      <c r="B106" s="2">
        <v>2</v>
      </c>
    </row>
    <row r="107" spans="1:4">
      <c r="A107" s="8" t="s">
        <v>319</v>
      </c>
      <c r="B107" s="2" t="s">
        <v>1</v>
      </c>
    </row>
    <row r="108" spans="1:4">
      <c r="A108" s="8" t="s">
        <v>327</v>
      </c>
      <c r="B108" s="2"/>
    </row>
    <row r="109" spans="1:4">
      <c r="A109" s="11" t="s">
        <v>335</v>
      </c>
      <c r="B109" s="5"/>
      <c r="D109">
        <v>8.5000000000000006E-2</v>
      </c>
    </row>
    <row r="111" spans="1:4">
      <c r="A111" s="55" t="s">
        <v>208</v>
      </c>
      <c r="B111" s="55"/>
    </row>
    <row r="113" spans="1:4">
      <c r="A113" s="1" t="s">
        <v>28</v>
      </c>
      <c r="B113" s="2" t="s">
        <v>24</v>
      </c>
    </row>
    <row r="114" spans="1:4">
      <c r="A114" s="1" t="s">
        <v>30</v>
      </c>
      <c r="B114" s="2" t="s">
        <v>1</v>
      </c>
    </row>
    <row r="115" spans="1:4">
      <c r="A115" s="1" t="s">
        <v>31</v>
      </c>
      <c r="B115" s="2" t="s">
        <v>43</v>
      </c>
    </row>
    <row r="116" spans="1:4">
      <c r="A116" s="1" t="s">
        <v>32</v>
      </c>
      <c r="B116" s="2" t="s">
        <v>33</v>
      </c>
    </row>
    <row r="117" spans="1:4">
      <c r="A117" s="1" t="s">
        <v>46</v>
      </c>
      <c r="B117" s="2" t="s">
        <v>47</v>
      </c>
    </row>
    <row r="119" spans="1:4">
      <c r="A119" s="55" t="s">
        <v>209</v>
      </c>
      <c r="B119" s="55"/>
    </row>
    <row r="121" spans="1:4">
      <c r="A121" s="3" t="s">
        <v>29</v>
      </c>
      <c r="B121" s="2" t="s">
        <v>210</v>
      </c>
    </row>
    <row r="122" spans="1:4">
      <c r="A122" s="3" t="s">
        <v>111</v>
      </c>
      <c r="B122" s="2" t="s">
        <v>112</v>
      </c>
    </row>
    <row r="123" spans="1:4">
      <c r="A123" s="3" t="s">
        <v>113</v>
      </c>
      <c r="B123" s="2" t="s">
        <v>285</v>
      </c>
    </row>
    <row r="124" spans="1:4">
      <c r="A124" s="3" t="s">
        <v>114</v>
      </c>
      <c r="B124" s="2" t="s">
        <v>284</v>
      </c>
      <c r="D124">
        <v>0.215</v>
      </c>
    </row>
    <row r="125" spans="1:4">
      <c r="A125" s="3" t="s">
        <v>115</v>
      </c>
      <c r="B125" s="2" t="s">
        <v>116</v>
      </c>
      <c r="D125">
        <v>0.28999999999999998</v>
      </c>
    </row>
    <row r="126" spans="1:4">
      <c r="A126" s="3" t="s">
        <v>117</v>
      </c>
      <c r="B126" s="2" t="s">
        <v>1</v>
      </c>
      <c r="D126">
        <v>7.0000000000000007E-2</v>
      </c>
    </row>
    <row r="127" spans="1:4">
      <c r="A127" s="3" t="s">
        <v>118</v>
      </c>
      <c r="B127" s="2" t="s">
        <v>9</v>
      </c>
      <c r="D127">
        <v>0.38500000000000001</v>
      </c>
    </row>
    <row r="128" spans="1:4">
      <c r="A128" s="3" t="s">
        <v>119</v>
      </c>
      <c r="B128" s="2" t="s">
        <v>120</v>
      </c>
      <c r="D128">
        <v>1.1850000000000001</v>
      </c>
    </row>
    <row r="129" spans="1:4">
      <c r="A129" s="3" t="s">
        <v>121</v>
      </c>
      <c r="B129" s="2" t="s">
        <v>122</v>
      </c>
    </row>
    <row r="130" spans="1:4">
      <c r="A130" s="3" t="s">
        <v>123</v>
      </c>
      <c r="B130" s="2" t="s">
        <v>9</v>
      </c>
    </row>
    <row r="131" spans="1:4">
      <c r="A131" s="3" t="s">
        <v>124</v>
      </c>
      <c r="B131" s="2" t="s">
        <v>125</v>
      </c>
    </row>
    <row r="132" spans="1:4">
      <c r="A132" s="3" t="s">
        <v>126</v>
      </c>
      <c r="B132" s="2" t="s">
        <v>127</v>
      </c>
      <c r="D132">
        <f>0.54/2</f>
        <v>0.27</v>
      </c>
    </row>
    <row r="133" spans="1:4">
      <c r="A133" s="3" t="s">
        <v>128</v>
      </c>
      <c r="B133" s="2" t="s">
        <v>129</v>
      </c>
      <c r="D133">
        <f>0.54/2+0.41</f>
        <v>0.67999999999999994</v>
      </c>
    </row>
    <row r="134" spans="1:4">
      <c r="A134" s="3" t="s">
        <v>130</v>
      </c>
      <c r="B134" s="2" t="s">
        <v>131</v>
      </c>
    </row>
    <row r="135" spans="1:4">
      <c r="A135" s="3" t="s">
        <v>132</v>
      </c>
      <c r="B135" s="2" t="s">
        <v>133</v>
      </c>
      <c r="D135">
        <v>0.05</v>
      </c>
    </row>
    <row r="136" spans="1:4">
      <c r="A136" s="3" t="s">
        <v>134</v>
      </c>
      <c r="B136" s="2" t="s">
        <v>135</v>
      </c>
      <c r="D136">
        <v>0.96499999999999997</v>
      </c>
    </row>
    <row r="137" spans="1:4">
      <c r="A137" s="3" t="s">
        <v>136</v>
      </c>
      <c r="B137" s="2" t="s">
        <v>138</v>
      </c>
    </row>
    <row r="138" spans="1:4">
      <c r="A138" s="3" t="s">
        <v>139</v>
      </c>
      <c r="B138" s="2" t="s">
        <v>140</v>
      </c>
      <c r="D138" t="s">
        <v>337</v>
      </c>
    </row>
    <row r="139" spans="1:4">
      <c r="A139" s="3" t="s">
        <v>141</v>
      </c>
      <c r="B139" s="2" t="s">
        <v>142</v>
      </c>
    </row>
    <row r="140" spans="1:4">
      <c r="A140" s="3" t="s">
        <v>325</v>
      </c>
      <c r="B140" s="2">
        <v>20</v>
      </c>
      <c r="D140">
        <v>2</v>
      </c>
    </row>
    <row r="141" spans="1:4">
      <c r="A141" s="12" t="s">
        <v>338</v>
      </c>
      <c r="D141" t="s">
        <v>339</v>
      </c>
    </row>
    <row r="142" spans="1:4">
      <c r="A142" s="55" t="s">
        <v>211</v>
      </c>
      <c r="B142" s="55"/>
    </row>
    <row r="144" spans="1:4">
      <c r="A144" s="1" t="s">
        <v>44</v>
      </c>
      <c r="B144" s="2"/>
    </row>
    <row r="145" spans="1:2">
      <c r="A145" s="1" t="s">
        <v>45</v>
      </c>
      <c r="B145" s="2"/>
    </row>
    <row r="147" spans="1:2">
      <c r="A147" s="55" t="s">
        <v>260</v>
      </c>
      <c r="B147" s="55"/>
    </row>
    <row r="148" spans="1:2">
      <c r="A148" s="6"/>
    </row>
    <row r="149" spans="1:2">
      <c r="A149" s="1" t="s">
        <v>239</v>
      </c>
      <c r="B149" s="2">
        <v>12</v>
      </c>
    </row>
    <row r="150" spans="1:2">
      <c r="A150" s="1" t="s">
        <v>244</v>
      </c>
      <c r="B150" s="2">
        <v>11</v>
      </c>
    </row>
    <row r="151" spans="1:2">
      <c r="A151" s="1" t="s">
        <v>240</v>
      </c>
      <c r="B151" s="2">
        <v>8</v>
      </c>
    </row>
    <row r="152" spans="1:2">
      <c r="A152" s="1" t="s">
        <v>241</v>
      </c>
      <c r="B152" s="2">
        <v>9</v>
      </c>
    </row>
    <row r="153" spans="1:2">
      <c r="A153" s="1" t="s">
        <v>242</v>
      </c>
      <c r="B153" s="2">
        <v>5</v>
      </c>
    </row>
    <row r="154" spans="1:2">
      <c r="A154" s="1" t="s">
        <v>243</v>
      </c>
      <c r="B154" s="2">
        <v>10</v>
      </c>
    </row>
    <row r="155" spans="1:2">
      <c r="A155" s="1" t="s">
        <v>245</v>
      </c>
      <c r="B155" s="2">
        <v>12</v>
      </c>
    </row>
    <row r="156" spans="1:2">
      <c r="A156" s="1" t="s">
        <v>246</v>
      </c>
      <c r="B156" s="2">
        <v>8</v>
      </c>
    </row>
    <row r="157" spans="1:2">
      <c r="A157" s="1" t="s">
        <v>247</v>
      </c>
      <c r="B157" s="2">
        <v>4</v>
      </c>
    </row>
    <row r="158" spans="1:2">
      <c r="A158" s="1" t="s">
        <v>248</v>
      </c>
      <c r="B158" s="2">
        <v>9</v>
      </c>
    </row>
    <row r="159" spans="1:2">
      <c r="A159" s="1" t="s">
        <v>249</v>
      </c>
      <c r="B159" s="2">
        <v>4</v>
      </c>
    </row>
    <row r="160" spans="1:2">
      <c r="A160" s="1" t="s">
        <v>250</v>
      </c>
      <c r="B160" s="2">
        <v>26</v>
      </c>
    </row>
    <row r="161" spans="1:2">
      <c r="A161" s="1" t="s">
        <v>251</v>
      </c>
      <c r="B161" s="2">
        <v>30</v>
      </c>
    </row>
    <row r="162" spans="1:2">
      <c r="A162" s="1" t="s">
        <v>252</v>
      </c>
      <c r="B162" s="2">
        <v>7</v>
      </c>
    </row>
    <row r="163" spans="1:2">
      <c r="A163" s="1" t="s">
        <v>253</v>
      </c>
      <c r="B163" s="2">
        <v>11</v>
      </c>
    </row>
    <row r="164" spans="1:2">
      <c r="A164" s="1" t="s">
        <v>254</v>
      </c>
      <c r="B164" s="2">
        <v>6</v>
      </c>
    </row>
    <row r="165" spans="1:2">
      <c r="A165" s="1" t="s">
        <v>255</v>
      </c>
      <c r="B165" s="2">
        <v>10</v>
      </c>
    </row>
    <row r="166" spans="1:2">
      <c r="A166" s="1" t="s">
        <v>256</v>
      </c>
      <c r="B166" s="2">
        <v>12</v>
      </c>
    </row>
    <row r="167" spans="1:2">
      <c r="A167" s="1" t="s">
        <v>257</v>
      </c>
      <c r="B167" s="2">
        <v>1</v>
      </c>
    </row>
    <row r="168" spans="1:2">
      <c r="A168" s="1" t="s">
        <v>258</v>
      </c>
      <c r="B168" s="2">
        <v>10</v>
      </c>
    </row>
    <row r="169" spans="1:2">
      <c r="A169" s="1" t="s">
        <v>259</v>
      </c>
      <c r="B169" s="2">
        <v>12</v>
      </c>
    </row>
    <row r="171" spans="1:2">
      <c r="A171" s="56" t="s">
        <v>261</v>
      </c>
      <c r="B171" s="56"/>
    </row>
    <row r="173" spans="1:2">
      <c r="A173" s="1" t="s">
        <v>262</v>
      </c>
      <c r="B173" s="2">
        <v>9</v>
      </c>
    </row>
    <row r="174" spans="1:2">
      <c r="A174" s="1" t="s">
        <v>264</v>
      </c>
      <c r="B174" s="2">
        <v>4</v>
      </c>
    </row>
    <row r="175" spans="1:2">
      <c r="A175" s="1" t="s">
        <v>263</v>
      </c>
      <c r="B175" s="2">
        <v>1</v>
      </c>
    </row>
    <row r="176" spans="1:2">
      <c r="A176" s="1" t="s">
        <v>265</v>
      </c>
      <c r="B176" s="2">
        <v>1</v>
      </c>
    </row>
    <row r="177" spans="1:2">
      <c r="A177" s="1" t="s">
        <v>266</v>
      </c>
      <c r="B177" s="2">
        <v>4</v>
      </c>
    </row>
    <row r="178" spans="1:2">
      <c r="A178" s="1" t="s">
        <v>267</v>
      </c>
      <c r="B178" s="2">
        <v>4</v>
      </c>
    </row>
    <row r="179" spans="1:2">
      <c r="A179" s="1" t="s">
        <v>268</v>
      </c>
      <c r="B179" s="2">
        <v>2</v>
      </c>
    </row>
    <row r="180" spans="1:2">
      <c r="A180" s="1" t="s">
        <v>269</v>
      </c>
      <c r="B180" s="2">
        <v>1</v>
      </c>
    </row>
    <row r="181" spans="1:2">
      <c r="A181" s="1" t="s">
        <v>270</v>
      </c>
      <c r="B181" s="2">
        <v>12</v>
      </c>
    </row>
    <row r="182" spans="1:2">
      <c r="A182" s="1" t="s">
        <v>271</v>
      </c>
      <c r="B182" s="2">
        <v>2</v>
      </c>
    </row>
    <row r="183" spans="1:2">
      <c r="A183" s="1" t="s">
        <v>272</v>
      </c>
      <c r="B183" s="2">
        <v>88</v>
      </c>
    </row>
    <row r="184" spans="1:2">
      <c r="A184" s="1" t="s">
        <v>273</v>
      </c>
      <c r="B184" s="2">
        <v>6</v>
      </c>
    </row>
    <row r="185" spans="1:2">
      <c r="A185" s="1" t="s">
        <v>274</v>
      </c>
      <c r="B185" s="2">
        <v>5</v>
      </c>
    </row>
    <row r="186" spans="1:2">
      <c r="A186" s="1" t="s">
        <v>275</v>
      </c>
      <c r="B186" s="2">
        <v>1</v>
      </c>
    </row>
    <row r="187" spans="1:2">
      <c r="A187" s="1" t="s">
        <v>276</v>
      </c>
      <c r="B187" s="2">
        <v>10</v>
      </c>
    </row>
    <row r="188" spans="1:2">
      <c r="A188" s="1" t="s">
        <v>277</v>
      </c>
      <c r="B188" s="2">
        <v>1</v>
      </c>
    </row>
    <row r="189" spans="1:2">
      <c r="A189" s="1" t="s">
        <v>278</v>
      </c>
      <c r="B189" s="2">
        <v>5</v>
      </c>
    </row>
    <row r="191" spans="1:2">
      <c r="A191" s="56" t="s">
        <v>279</v>
      </c>
      <c r="B191" s="56"/>
    </row>
    <row r="193" spans="1:2">
      <c r="A193" s="1" t="s">
        <v>280</v>
      </c>
      <c r="B193" s="2">
        <v>2</v>
      </c>
    </row>
    <row r="194" spans="1:2">
      <c r="A194" s="1" t="s">
        <v>281</v>
      </c>
      <c r="B194" s="2">
        <v>1</v>
      </c>
    </row>
    <row r="195" spans="1:2">
      <c r="A195" s="1" t="s">
        <v>282</v>
      </c>
      <c r="B195" s="2">
        <v>1</v>
      </c>
    </row>
    <row r="196" spans="1:2">
      <c r="A196" s="1" t="s">
        <v>283</v>
      </c>
      <c r="B196" s="2">
        <v>1</v>
      </c>
    </row>
    <row r="198" spans="1:2">
      <c r="A198" s="55" t="s">
        <v>286</v>
      </c>
      <c r="B198" s="55"/>
    </row>
    <row r="200" spans="1:2">
      <c r="A200" s="1" t="s">
        <v>287</v>
      </c>
      <c r="B200" s="2" t="s">
        <v>288</v>
      </c>
    </row>
    <row r="201" spans="1:2">
      <c r="A201" s="1" t="s">
        <v>289</v>
      </c>
      <c r="B201" s="2" t="s">
        <v>290</v>
      </c>
    </row>
    <row r="202" spans="1:2">
      <c r="A202" s="1" t="s">
        <v>291</v>
      </c>
      <c r="B202" s="2" t="s">
        <v>292</v>
      </c>
    </row>
    <row r="203" spans="1:2">
      <c r="A203" s="1" t="s">
        <v>293</v>
      </c>
      <c r="B203" s="2" t="s">
        <v>295</v>
      </c>
    </row>
    <row r="204" spans="1:2">
      <c r="A204" s="1" t="s">
        <v>294</v>
      </c>
      <c r="B204" s="2" t="s">
        <v>9</v>
      </c>
    </row>
    <row r="205" spans="1:2">
      <c r="A205" s="1" t="s">
        <v>296</v>
      </c>
      <c r="B205" s="2" t="s">
        <v>9</v>
      </c>
    </row>
    <row r="206" spans="1:2">
      <c r="A206" s="1" t="s">
        <v>297</v>
      </c>
      <c r="B206" s="2" t="s">
        <v>298</v>
      </c>
    </row>
    <row r="207" spans="1:2">
      <c r="A207" s="1" t="s">
        <v>299</v>
      </c>
      <c r="B207" s="2" t="s">
        <v>300</v>
      </c>
    </row>
    <row r="208" spans="1:2">
      <c r="A208" s="1" t="s">
        <v>301</v>
      </c>
      <c r="B208" s="2">
        <v>2</v>
      </c>
    </row>
    <row r="210" spans="1:2">
      <c r="A210" s="55" t="s">
        <v>320</v>
      </c>
      <c r="B210" s="55"/>
    </row>
    <row r="212" spans="1:2">
      <c r="A212" s="9" t="s">
        <v>321</v>
      </c>
      <c r="B212" s="2" t="s">
        <v>229</v>
      </c>
    </row>
    <row r="213" spans="1:2">
      <c r="A213" s="9" t="s">
        <v>322</v>
      </c>
      <c r="B213" s="2" t="s">
        <v>323</v>
      </c>
    </row>
    <row r="214" spans="1:2">
      <c r="A214" s="9" t="s">
        <v>324</v>
      </c>
      <c r="B214" s="2">
        <v>1</v>
      </c>
    </row>
    <row r="215" spans="1:2">
      <c r="A215" s="10" t="s">
        <v>326</v>
      </c>
      <c r="B215" s="1"/>
    </row>
    <row r="216" spans="1:2">
      <c r="A216" s="10" t="s">
        <v>328</v>
      </c>
      <c r="B216" s="1"/>
    </row>
    <row r="217" spans="1:2">
      <c r="A217" s="10" t="s">
        <v>329</v>
      </c>
      <c r="B217" s="1"/>
    </row>
    <row r="218" spans="1:2">
      <c r="A218" s="10" t="s">
        <v>330</v>
      </c>
      <c r="B218" s="1"/>
    </row>
    <row r="219" spans="1:2">
      <c r="A219" s="10" t="s">
        <v>331</v>
      </c>
      <c r="B219" s="1"/>
    </row>
    <row r="220" spans="1:2">
      <c r="A220" s="10" t="s">
        <v>332</v>
      </c>
      <c r="B220" s="1"/>
    </row>
    <row r="221" spans="1:2">
      <c r="A221" s="1" t="s">
        <v>333</v>
      </c>
      <c r="B221" s="1"/>
    </row>
    <row r="222" spans="1:2">
      <c r="A222" s="10" t="s">
        <v>334</v>
      </c>
      <c r="B222" s="1"/>
    </row>
  </sheetData>
  <mergeCells count="9">
    <mergeCell ref="A210:B210"/>
    <mergeCell ref="A171:B171"/>
    <mergeCell ref="A191:B191"/>
    <mergeCell ref="A198:B198"/>
    <mergeCell ref="A1:B1"/>
    <mergeCell ref="A111:B111"/>
    <mergeCell ref="A119:B119"/>
    <mergeCell ref="A142:B142"/>
    <mergeCell ref="A147:B147"/>
  </mergeCells>
  <pageMargins left="0.7" right="0.7" top="0.75" bottom="0.75" header="0.3" footer="0.3"/>
  <pageSetup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2"/>
  <sheetViews>
    <sheetView workbookViewId="0"/>
  </sheetViews>
  <sheetFormatPr defaultRowHeight="15"/>
  <cols>
    <col min="1" max="1" width="31" bestFit="1" customWidth="1"/>
    <col min="2" max="2" width="10.7109375" bestFit="1" customWidth="1"/>
  </cols>
  <sheetData>
    <row r="1" spans="1:2">
      <c r="B1" s="4">
        <v>43161</v>
      </c>
    </row>
    <row r="2" spans="1:2">
      <c r="A2" s="1" t="s">
        <v>0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</row>
    <row r="7" spans="1:2">
      <c r="A7" s="1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10</v>
      </c>
    </row>
    <row r="11" spans="1:2">
      <c r="A11" s="1" t="s">
        <v>11</v>
      </c>
    </row>
    <row r="12" spans="1:2">
      <c r="A12" s="1" t="s">
        <v>12</v>
      </c>
    </row>
    <row r="13" spans="1:2">
      <c r="A13" s="1" t="s">
        <v>49</v>
      </c>
    </row>
    <row r="14" spans="1:2">
      <c r="A14" s="1" t="s">
        <v>14</v>
      </c>
      <c r="B14" t="s">
        <v>9</v>
      </c>
    </row>
    <row r="15" spans="1:2">
      <c r="A15" s="1" t="s">
        <v>16</v>
      </c>
    </row>
    <row r="16" spans="1:2">
      <c r="A16" s="1" t="s">
        <v>17</v>
      </c>
    </row>
    <row r="17" spans="1:2">
      <c r="A17" s="1" t="s">
        <v>18</v>
      </c>
    </row>
    <row r="18" spans="1:2">
      <c r="A18" s="1" t="s">
        <v>19</v>
      </c>
    </row>
    <row r="19" spans="1:2">
      <c r="A19" s="1" t="s">
        <v>20</v>
      </c>
    </row>
    <row r="20" spans="1:2">
      <c r="A20" s="1" t="s">
        <v>21</v>
      </c>
    </row>
    <row r="21" spans="1:2">
      <c r="A21" s="1" t="s">
        <v>22</v>
      </c>
      <c r="B21" t="s">
        <v>229</v>
      </c>
    </row>
    <row r="22" spans="1:2">
      <c r="A22" s="1" t="s">
        <v>26</v>
      </c>
    </row>
    <row r="23" spans="1:2">
      <c r="A23" s="1" t="s">
        <v>94</v>
      </c>
      <c r="B23" t="s">
        <v>232</v>
      </c>
    </row>
    <row r="24" spans="1:2">
      <c r="A24" s="1" t="s">
        <v>48</v>
      </c>
    </row>
    <row r="25" spans="1:2">
      <c r="A25" s="1" t="s">
        <v>51</v>
      </c>
    </row>
    <row r="26" spans="1:2">
      <c r="A26" s="1" t="s">
        <v>53</v>
      </c>
      <c r="B26" t="s">
        <v>233</v>
      </c>
    </row>
    <row r="27" spans="1:2">
      <c r="A27" s="1" t="s">
        <v>54</v>
      </c>
      <c r="B27" t="s">
        <v>233</v>
      </c>
    </row>
    <row r="28" spans="1:2">
      <c r="A28" s="1" t="s">
        <v>57</v>
      </c>
      <c r="B28" t="s">
        <v>233</v>
      </c>
    </row>
    <row r="29" spans="1:2">
      <c r="A29" s="1" t="s">
        <v>59</v>
      </c>
    </row>
    <row r="30" spans="1:2">
      <c r="A30" s="1" t="s">
        <v>60</v>
      </c>
    </row>
    <row r="31" spans="1:2">
      <c r="A31" s="1" t="s">
        <v>62</v>
      </c>
    </row>
    <row r="32" spans="1:2">
      <c r="A32" s="1" t="s">
        <v>64</v>
      </c>
    </row>
    <row r="33" spans="1:1">
      <c r="A33" s="1" t="s">
        <v>66</v>
      </c>
    </row>
    <row r="34" spans="1:1">
      <c r="A34" s="1" t="s">
        <v>68</v>
      </c>
    </row>
    <row r="35" spans="1:1">
      <c r="A35" s="1" t="s">
        <v>70</v>
      </c>
    </row>
    <row r="36" spans="1:1">
      <c r="A36" s="1" t="s">
        <v>72</v>
      </c>
    </row>
    <row r="37" spans="1:1">
      <c r="A37" s="1" t="s">
        <v>73</v>
      </c>
    </row>
    <row r="38" spans="1:1">
      <c r="A38" s="1" t="s">
        <v>74</v>
      </c>
    </row>
    <row r="39" spans="1:1">
      <c r="A39" s="1" t="s">
        <v>75</v>
      </c>
    </row>
    <row r="40" spans="1:1">
      <c r="A40" s="1" t="s">
        <v>77</v>
      </c>
    </row>
    <row r="41" spans="1:1">
      <c r="A41" s="1" t="s">
        <v>79</v>
      </c>
    </row>
    <row r="42" spans="1:1">
      <c r="A42" s="1" t="s">
        <v>81</v>
      </c>
    </row>
    <row r="43" spans="1:1">
      <c r="A43" s="1" t="s">
        <v>82</v>
      </c>
    </row>
    <row r="44" spans="1:1">
      <c r="A44" s="1" t="s">
        <v>84</v>
      </c>
    </row>
    <row r="45" spans="1:1">
      <c r="A45" s="1" t="s">
        <v>86</v>
      </c>
    </row>
    <row r="46" spans="1:1">
      <c r="A46" s="1" t="s">
        <v>88</v>
      </c>
    </row>
    <row r="47" spans="1:1">
      <c r="A47" s="1" t="s">
        <v>90</v>
      </c>
    </row>
    <row r="48" spans="1:1">
      <c r="A48" s="1" t="s">
        <v>91</v>
      </c>
    </row>
    <row r="49" spans="1:2">
      <c r="A49" s="1" t="s">
        <v>97</v>
      </c>
    </row>
    <row r="50" spans="1:2">
      <c r="A50" s="1" t="s">
        <v>98</v>
      </c>
    </row>
    <row r="51" spans="1:2">
      <c r="A51" s="1" t="s">
        <v>100</v>
      </c>
    </row>
    <row r="52" spans="1:2">
      <c r="A52" s="1" t="s">
        <v>102</v>
      </c>
      <c r="B52" t="s">
        <v>234</v>
      </c>
    </row>
    <row r="53" spans="1:2">
      <c r="A53" s="1" t="s">
        <v>104</v>
      </c>
    </row>
    <row r="54" spans="1:2">
      <c r="A54" s="1" t="s">
        <v>105</v>
      </c>
    </row>
    <row r="55" spans="1:2">
      <c r="A55" s="1" t="s">
        <v>106</v>
      </c>
    </row>
    <row r="56" spans="1:2">
      <c r="A56" s="1" t="s">
        <v>107</v>
      </c>
    </row>
    <row r="57" spans="1:2">
      <c r="A57" s="1" t="s">
        <v>109</v>
      </c>
      <c r="B57" t="s">
        <v>235</v>
      </c>
    </row>
    <row r="58" spans="1:2">
      <c r="A58" s="1" t="s">
        <v>143</v>
      </c>
    </row>
    <row r="59" spans="1:2">
      <c r="A59" s="1" t="s">
        <v>144</v>
      </c>
    </row>
    <row r="60" spans="1:2">
      <c r="A60" s="1" t="s">
        <v>145</v>
      </c>
    </row>
    <row r="61" spans="1:2">
      <c r="A61" s="1" t="s">
        <v>147</v>
      </c>
    </row>
    <row r="62" spans="1:2">
      <c r="A62" s="1" t="s">
        <v>149</v>
      </c>
    </row>
    <row r="63" spans="1:2">
      <c r="A63" s="1" t="s">
        <v>151</v>
      </c>
    </row>
    <row r="64" spans="1:2">
      <c r="A64" s="1" t="s">
        <v>153</v>
      </c>
    </row>
    <row r="65" spans="1:2">
      <c r="A65" s="1" t="s">
        <v>155</v>
      </c>
    </row>
    <row r="66" spans="1:2">
      <c r="A66" s="1" t="s">
        <v>157</v>
      </c>
    </row>
    <row r="67" spans="1:2">
      <c r="A67" s="1" t="s">
        <v>159</v>
      </c>
      <c r="B67" t="s">
        <v>55</v>
      </c>
    </row>
    <row r="68" spans="1:2">
      <c r="A68" s="1" t="s">
        <v>161</v>
      </c>
    </row>
    <row r="69" spans="1:2">
      <c r="A69" s="1" t="s">
        <v>163</v>
      </c>
      <c r="B69" t="s">
        <v>231</v>
      </c>
    </row>
    <row r="70" spans="1:2">
      <c r="A70" s="1" t="s">
        <v>164</v>
      </c>
      <c r="B70" t="s">
        <v>9</v>
      </c>
    </row>
    <row r="71" spans="1:2">
      <c r="A71" s="1" t="s">
        <v>168</v>
      </c>
    </row>
    <row r="72" spans="1:2">
      <c r="A72" s="1" t="s">
        <v>167</v>
      </c>
    </row>
    <row r="73" spans="1:2">
      <c r="A73" s="1" t="s">
        <v>171</v>
      </c>
    </row>
    <row r="74" spans="1:2">
      <c r="A74" s="1" t="s">
        <v>173</v>
      </c>
    </row>
    <row r="75" spans="1:2">
      <c r="A75" s="1" t="s">
        <v>175</v>
      </c>
      <c r="B75" t="s">
        <v>230</v>
      </c>
    </row>
    <row r="76" spans="1:2">
      <c r="A76" s="1" t="s">
        <v>177</v>
      </c>
    </row>
    <row r="77" spans="1:2">
      <c r="A77" s="1" t="s">
        <v>179</v>
      </c>
    </row>
    <row r="78" spans="1:2">
      <c r="A78" s="1" t="s">
        <v>181</v>
      </c>
    </row>
    <row r="79" spans="1:2">
      <c r="A79" s="1" t="s">
        <v>183</v>
      </c>
    </row>
    <row r="80" spans="1:2">
      <c r="A80" s="1" t="s">
        <v>185</v>
      </c>
    </row>
    <row r="81" spans="1:1">
      <c r="A81" s="1" t="s">
        <v>186</v>
      </c>
    </row>
    <row r="82" spans="1:1">
      <c r="A82" s="1" t="s">
        <v>187</v>
      </c>
    </row>
    <row r="83" spans="1:1">
      <c r="A83" s="1" t="s">
        <v>188</v>
      </c>
    </row>
    <row r="84" spans="1:1">
      <c r="A84" s="1" t="s">
        <v>190</v>
      </c>
    </row>
    <row r="85" spans="1:1">
      <c r="A85" s="1" t="s">
        <v>192</v>
      </c>
    </row>
    <row r="86" spans="1:1">
      <c r="A86" s="1" t="s">
        <v>193</v>
      </c>
    </row>
    <row r="87" spans="1:1">
      <c r="A87" s="1" t="s">
        <v>195</v>
      </c>
    </row>
    <row r="88" spans="1:1">
      <c r="A88" s="1" t="s">
        <v>196</v>
      </c>
    </row>
    <row r="89" spans="1:1">
      <c r="A89" s="1" t="s">
        <v>198</v>
      </c>
    </row>
    <row r="90" spans="1:1">
      <c r="A90" s="1" t="s">
        <v>200</v>
      </c>
    </row>
    <row r="91" spans="1:1">
      <c r="A91" s="1" t="s">
        <v>201</v>
      </c>
    </row>
    <row r="92" spans="1:1">
      <c r="A92" s="1" t="s">
        <v>202</v>
      </c>
    </row>
    <row r="93" spans="1:1">
      <c r="A93" s="1" t="s">
        <v>203</v>
      </c>
    </row>
    <row r="94" spans="1:1">
      <c r="A94" s="1" t="s">
        <v>204</v>
      </c>
    </row>
    <row r="95" spans="1:1">
      <c r="A95" s="1" t="s">
        <v>205</v>
      </c>
    </row>
    <row r="96" spans="1:1">
      <c r="A96" s="1" t="s">
        <v>207</v>
      </c>
    </row>
    <row r="100" spans="1:2">
      <c r="A100" s="1" t="s">
        <v>28</v>
      </c>
    </row>
    <row r="101" spans="1:2">
      <c r="A101" s="1" t="s">
        <v>30</v>
      </c>
      <c r="B101" t="s">
        <v>69</v>
      </c>
    </row>
    <row r="102" spans="1:2">
      <c r="A102" s="1" t="s">
        <v>31</v>
      </c>
    </row>
    <row r="103" spans="1:2">
      <c r="A103" s="1" t="s">
        <v>32</v>
      </c>
    </row>
    <row r="104" spans="1:2">
      <c r="A104" s="1" t="s">
        <v>46</v>
      </c>
    </row>
    <row r="108" spans="1:2">
      <c r="A108" s="3" t="s">
        <v>29</v>
      </c>
      <c r="B108" t="s">
        <v>228</v>
      </c>
    </row>
    <row r="109" spans="1:2">
      <c r="A109" s="3" t="s">
        <v>111</v>
      </c>
    </row>
    <row r="110" spans="1:2">
      <c r="A110" s="3" t="s">
        <v>113</v>
      </c>
      <c r="B110" t="s">
        <v>227</v>
      </c>
    </row>
    <row r="111" spans="1:2">
      <c r="A111" s="3" t="s">
        <v>114</v>
      </c>
      <c r="B111" t="s">
        <v>236</v>
      </c>
    </row>
    <row r="112" spans="1:2">
      <c r="A112" s="3" t="s">
        <v>115</v>
      </c>
      <c r="B112" t="s">
        <v>122</v>
      </c>
    </row>
    <row r="113" spans="1:2">
      <c r="A113" s="3" t="s">
        <v>117</v>
      </c>
    </row>
    <row r="114" spans="1:2">
      <c r="A114" s="3" t="s">
        <v>118</v>
      </c>
      <c r="B114" t="s">
        <v>25</v>
      </c>
    </row>
    <row r="115" spans="1:2">
      <c r="A115" s="3" t="s">
        <v>119</v>
      </c>
      <c r="B115" t="s">
        <v>237</v>
      </c>
    </row>
    <row r="116" spans="1:2">
      <c r="A116" s="3" t="s">
        <v>121</v>
      </c>
      <c r="B116" t="s">
        <v>1</v>
      </c>
    </row>
    <row r="117" spans="1:2">
      <c r="A117" s="3" t="s">
        <v>123</v>
      </c>
    </row>
    <row r="118" spans="1:2">
      <c r="A118" s="3" t="s">
        <v>124</v>
      </c>
    </row>
    <row r="119" spans="1:2">
      <c r="A119" s="3" t="s">
        <v>126</v>
      </c>
    </row>
    <row r="120" spans="1:2">
      <c r="A120" s="3" t="s">
        <v>128</v>
      </c>
      <c r="B120" t="s">
        <v>226</v>
      </c>
    </row>
    <row r="121" spans="1:2">
      <c r="A121" s="3" t="s">
        <v>130</v>
      </c>
    </row>
    <row r="122" spans="1:2">
      <c r="A122" s="3" t="s">
        <v>132</v>
      </c>
    </row>
    <row r="123" spans="1:2">
      <c r="A123" s="3" t="s">
        <v>134</v>
      </c>
    </row>
    <row r="124" spans="1:2">
      <c r="A124" s="3" t="s">
        <v>136</v>
      </c>
    </row>
    <row r="125" spans="1:2">
      <c r="A125" s="3" t="s">
        <v>139</v>
      </c>
    </row>
    <row r="126" spans="1:2">
      <c r="A126" s="3" t="s">
        <v>141</v>
      </c>
    </row>
    <row r="127" spans="1:2">
      <c r="A127" s="3" t="s">
        <v>238</v>
      </c>
      <c r="B127" t="s">
        <v>1</v>
      </c>
    </row>
    <row r="131" spans="1:1">
      <c r="A131" s="1" t="s">
        <v>44</v>
      </c>
    </row>
    <row r="132" spans="1:1">
      <c r="A132" s="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V211"/>
  <sheetViews>
    <sheetView workbookViewId="0">
      <selection activeCell="G6" sqref="G6"/>
    </sheetView>
  </sheetViews>
  <sheetFormatPr defaultRowHeight="15"/>
  <cols>
    <col min="1" max="1" width="39.42578125" bestFit="1" customWidth="1"/>
    <col min="2" max="2" width="18.28515625" hidden="1" customWidth="1"/>
    <col min="3" max="3" width="0" hidden="1" customWidth="1"/>
    <col min="5" max="5" width="14.28515625" bestFit="1" customWidth="1"/>
    <col min="9" max="9" width="21.28515625" customWidth="1"/>
    <col min="10" max="10" width="10.42578125" bestFit="1" customWidth="1"/>
    <col min="11" max="11" width="16.85546875" bestFit="1" customWidth="1"/>
    <col min="12" max="12" width="10.42578125" bestFit="1" customWidth="1"/>
    <col min="14" max="14" width="9.28515625" bestFit="1" customWidth="1"/>
  </cols>
  <sheetData>
    <row r="1" spans="1:20">
      <c r="A1" s="57" t="s">
        <v>309</v>
      </c>
      <c r="B1" s="57"/>
      <c r="D1" s="6" t="s">
        <v>336</v>
      </c>
      <c r="E1" s="6" t="s">
        <v>359</v>
      </c>
      <c r="F1" s="6" t="s">
        <v>344</v>
      </c>
      <c r="G1" s="6" t="s">
        <v>345</v>
      </c>
      <c r="H1" s="6">
        <f>SUM(G6:G326)</f>
        <v>734.35618766177743</v>
      </c>
      <c r="I1" s="14" t="s">
        <v>348</v>
      </c>
      <c r="J1" s="14" t="s">
        <v>349</v>
      </c>
      <c r="K1" s="14" t="s">
        <v>350</v>
      </c>
    </row>
    <row r="2" spans="1:20" hidden="1">
      <c r="A2" s="2" t="s">
        <v>0</v>
      </c>
      <c r="B2" s="2" t="s">
        <v>1</v>
      </c>
    </row>
    <row r="3" spans="1:20" hidden="1">
      <c r="A3" s="2" t="s">
        <v>302</v>
      </c>
      <c r="B3" s="2" t="s">
        <v>39</v>
      </c>
    </row>
    <row r="4" spans="1:20" hidden="1">
      <c r="A4" s="2" t="s">
        <v>3</v>
      </c>
      <c r="B4" s="2" t="s">
        <v>40</v>
      </c>
    </row>
    <row r="5" spans="1:20" hidden="1">
      <c r="A5" s="2" t="s">
        <v>4</v>
      </c>
      <c r="B5" s="2" t="s">
        <v>41</v>
      </c>
    </row>
    <row r="6" spans="1:20">
      <c r="A6" s="2" t="s">
        <v>5</v>
      </c>
      <c r="B6" s="2" t="s">
        <v>42</v>
      </c>
      <c r="D6">
        <v>0.3</v>
      </c>
      <c r="E6" t="s">
        <v>356</v>
      </c>
      <c r="F6">
        <v>78</v>
      </c>
      <c r="G6">
        <f>F6*D6</f>
        <v>23.4</v>
      </c>
      <c r="H6" s="13">
        <f>G6/$H$1</f>
        <v>3.1864646057530518E-2</v>
      </c>
      <c r="I6" s="14">
        <f>12*60</f>
        <v>720</v>
      </c>
      <c r="J6" s="14">
        <f>I6-H1</f>
        <v>-14.356187661777426</v>
      </c>
      <c r="K6" s="15">
        <f>J6/H1</f>
        <v>-1.9549352075983947E-2</v>
      </c>
      <c r="L6" s="16" t="s">
        <v>351</v>
      </c>
    </row>
    <row r="7" spans="1:20" ht="15" hidden="1" customHeight="1">
      <c r="A7" s="2" t="s">
        <v>6</v>
      </c>
      <c r="B7" s="2" t="s">
        <v>38</v>
      </c>
    </row>
    <row r="8" spans="1:20">
      <c r="A8" s="2" t="s">
        <v>7</v>
      </c>
      <c r="B8" s="2" t="s">
        <v>37</v>
      </c>
      <c r="D8">
        <v>0.5</v>
      </c>
      <c r="E8" t="s">
        <v>360</v>
      </c>
      <c r="F8">
        <v>48</v>
      </c>
      <c r="G8">
        <f>F8*D8</f>
        <v>24</v>
      </c>
      <c r="H8" s="13">
        <f>G8/$H$1</f>
        <v>3.2681688264133868E-2</v>
      </c>
      <c r="I8" s="14">
        <f>12*60</f>
        <v>720</v>
      </c>
      <c r="J8" s="14">
        <f>12*40</f>
        <v>480</v>
      </c>
      <c r="K8" s="15">
        <f>(I8-J8)/I8</f>
        <v>0.33333333333333331</v>
      </c>
      <c r="L8" s="16" t="s">
        <v>346</v>
      </c>
      <c r="Q8">
        <v>11</v>
      </c>
    </row>
    <row r="9" spans="1:20" ht="15" hidden="1" customHeight="1">
      <c r="A9" s="2" t="s">
        <v>8</v>
      </c>
      <c r="B9" s="2" t="s">
        <v>9</v>
      </c>
    </row>
    <row r="10" spans="1:20" ht="15" customHeight="1">
      <c r="A10" s="2" t="s">
        <v>10</v>
      </c>
      <c r="B10" s="2" t="s">
        <v>36</v>
      </c>
      <c r="D10">
        <v>0.05</v>
      </c>
      <c r="E10" t="s">
        <v>353</v>
      </c>
      <c r="F10">
        <v>170</v>
      </c>
      <c r="G10">
        <f>F10*D10</f>
        <v>8.5</v>
      </c>
      <c r="H10" s="13">
        <f>G10/$H$1</f>
        <v>1.1574764593547412E-2</v>
      </c>
      <c r="I10" s="58" t="s">
        <v>347</v>
      </c>
      <c r="J10" s="58"/>
      <c r="K10" s="58"/>
      <c r="L10" s="58"/>
      <c r="M10" s="58"/>
      <c r="O10" t="s">
        <v>352</v>
      </c>
      <c r="P10">
        <v>0.08</v>
      </c>
      <c r="Q10">
        <f>$Q$8*P10*R10</f>
        <v>1.76</v>
      </c>
      <c r="R10">
        <v>2</v>
      </c>
      <c r="S10">
        <v>6.41</v>
      </c>
      <c r="T10">
        <f>S10-Q10</f>
        <v>4.6500000000000004</v>
      </c>
    </row>
    <row r="11" spans="1:20" ht="15" hidden="1" customHeight="1">
      <c r="A11" s="2" t="s">
        <v>11</v>
      </c>
      <c r="B11" s="2" t="s">
        <v>35</v>
      </c>
      <c r="I11" s="59"/>
      <c r="J11" s="59"/>
      <c r="K11" s="59"/>
      <c r="L11" s="59"/>
      <c r="M11" s="59"/>
    </row>
    <row r="12" spans="1:20" ht="15" hidden="1" customHeight="1">
      <c r="A12" s="2" t="s">
        <v>12</v>
      </c>
      <c r="B12" s="2" t="s">
        <v>34</v>
      </c>
      <c r="I12" s="59"/>
      <c r="J12" s="59"/>
      <c r="K12" s="59"/>
      <c r="L12" s="59"/>
      <c r="M12" s="59"/>
    </row>
    <row r="13" spans="1:20" ht="15" hidden="1" customHeight="1">
      <c r="A13" s="2" t="s">
        <v>49</v>
      </c>
      <c r="B13" s="2" t="s">
        <v>13</v>
      </c>
      <c r="I13" s="59"/>
      <c r="J13" s="59"/>
      <c r="K13" s="59"/>
      <c r="L13" s="59"/>
      <c r="M13" s="59"/>
    </row>
    <row r="14" spans="1:20" ht="15" hidden="1" customHeight="1">
      <c r="A14" s="2" t="s">
        <v>14</v>
      </c>
      <c r="B14" s="2" t="s">
        <v>15</v>
      </c>
      <c r="I14" s="59"/>
      <c r="J14" s="59"/>
      <c r="K14" s="59"/>
      <c r="L14" s="59"/>
      <c r="M14" s="59"/>
    </row>
    <row r="15" spans="1:20" ht="15" hidden="1" customHeight="1">
      <c r="A15" s="2" t="s">
        <v>16</v>
      </c>
      <c r="B15" s="2" t="s">
        <v>96</v>
      </c>
      <c r="I15" s="59"/>
      <c r="J15" s="59"/>
      <c r="K15" s="59"/>
      <c r="L15" s="59"/>
      <c r="M15" s="59"/>
    </row>
    <row r="16" spans="1:20" ht="15" hidden="1" customHeight="1">
      <c r="A16" s="2" t="s">
        <v>17</v>
      </c>
      <c r="B16" s="2" t="s">
        <v>95</v>
      </c>
      <c r="I16" s="59"/>
      <c r="J16" s="59"/>
      <c r="K16" s="59"/>
      <c r="L16" s="59"/>
      <c r="M16" s="59"/>
    </row>
    <row r="17" spans="1:20" ht="15" hidden="1" customHeight="1">
      <c r="A17" s="2" t="s">
        <v>18</v>
      </c>
      <c r="B17" s="2" t="s">
        <v>191</v>
      </c>
      <c r="I17" s="59"/>
      <c r="J17" s="59"/>
      <c r="K17" s="59"/>
      <c r="L17" s="59"/>
      <c r="M17" s="59"/>
    </row>
    <row r="18" spans="1:20" ht="15" hidden="1" customHeight="1">
      <c r="A18" s="2" t="s">
        <v>19</v>
      </c>
      <c r="B18" s="2" t="s">
        <v>314</v>
      </c>
      <c r="I18" s="59"/>
      <c r="J18" s="59"/>
      <c r="K18" s="59"/>
      <c r="L18" s="59"/>
      <c r="M18" s="59"/>
    </row>
    <row r="19" spans="1:20" ht="15" hidden="1" customHeight="1">
      <c r="A19" s="2" t="s">
        <v>20</v>
      </c>
      <c r="B19" s="2" t="s">
        <v>23</v>
      </c>
      <c r="I19" s="59"/>
      <c r="J19" s="59"/>
      <c r="K19" s="59"/>
      <c r="L19" s="59"/>
      <c r="M19" s="59"/>
    </row>
    <row r="20" spans="1:20" ht="15" hidden="1" customHeight="1">
      <c r="A20" s="7" t="s">
        <v>21</v>
      </c>
      <c r="B20" s="7" t="s">
        <v>25</v>
      </c>
      <c r="I20" s="59"/>
      <c r="J20" s="59"/>
      <c r="K20" s="59"/>
      <c r="L20" s="59"/>
      <c r="M20" s="59"/>
    </row>
    <row r="21" spans="1:20" ht="15" hidden="1" customHeight="1">
      <c r="A21" s="2" t="s">
        <v>22</v>
      </c>
      <c r="B21" s="2" t="s">
        <v>310</v>
      </c>
      <c r="I21" s="59"/>
      <c r="J21" s="59"/>
      <c r="K21" s="59"/>
      <c r="L21" s="59"/>
      <c r="M21" s="59"/>
    </row>
    <row r="22" spans="1:20" ht="15" hidden="1" customHeight="1">
      <c r="A22" s="2" t="s">
        <v>26</v>
      </c>
      <c r="B22" s="2" t="s">
        <v>27</v>
      </c>
      <c r="I22" s="59"/>
      <c r="J22" s="59"/>
      <c r="K22" s="59"/>
      <c r="L22" s="59"/>
      <c r="M22" s="59"/>
    </row>
    <row r="23" spans="1:20" ht="15" hidden="1" customHeight="1">
      <c r="A23" s="2" t="s">
        <v>94</v>
      </c>
      <c r="B23" s="2" t="s">
        <v>56</v>
      </c>
      <c r="I23" s="59"/>
      <c r="J23" s="59"/>
      <c r="K23" s="59"/>
      <c r="L23" s="59"/>
      <c r="M23" s="59"/>
    </row>
    <row r="24" spans="1:20" ht="15" hidden="1" customHeight="1">
      <c r="A24" s="2" t="s">
        <v>48</v>
      </c>
      <c r="B24" s="2" t="s">
        <v>50</v>
      </c>
      <c r="I24" s="59"/>
      <c r="J24" s="59"/>
      <c r="K24" s="59"/>
      <c r="L24" s="59"/>
      <c r="M24" s="59"/>
    </row>
    <row r="25" spans="1:20" ht="15" hidden="1" customHeight="1">
      <c r="A25" s="2" t="s">
        <v>51</v>
      </c>
      <c r="B25" s="2" t="s">
        <v>52</v>
      </c>
      <c r="I25" s="59"/>
      <c r="J25" s="59"/>
      <c r="K25" s="59"/>
      <c r="L25" s="59"/>
      <c r="M25" s="59"/>
    </row>
    <row r="26" spans="1:20" ht="15" hidden="1" customHeight="1">
      <c r="A26" s="2" t="s">
        <v>53</v>
      </c>
      <c r="B26" s="2">
        <v>0.19500000000000001</v>
      </c>
      <c r="I26" s="59"/>
      <c r="J26" s="59"/>
      <c r="K26" s="59"/>
      <c r="L26" s="59"/>
      <c r="M26" s="59"/>
    </row>
    <row r="27" spans="1:20" ht="15" hidden="1" customHeight="1">
      <c r="A27" s="2" t="s">
        <v>54</v>
      </c>
      <c r="B27" s="2" t="s">
        <v>55</v>
      </c>
      <c r="I27" s="59"/>
      <c r="J27" s="59"/>
      <c r="K27" s="59"/>
      <c r="L27" s="59"/>
      <c r="M27" s="59"/>
    </row>
    <row r="28" spans="1:20" ht="15" hidden="1" customHeight="1">
      <c r="A28" s="2" t="s">
        <v>57</v>
      </c>
      <c r="B28" s="2" t="s">
        <v>58</v>
      </c>
      <c r="I28" s="59"/>
      <c r="J28" s="59"/>
      <c r="K28" s="59"/>
      <c r="L28" s="59"/>
      <c r="M28" s="59"/>
    </row>
    <row r="29" spans="1:20" ht="15" hidden="1" customHeight="1">
      <c r="A29" s="2" t="s">
        <v>59</v>
      </c>
      <c r="B29" s="2" t="s">
        <v>214</v>
      </c>
      <c r="I29" s="59"/>
      <c r="J29" s="59"/>
      <c r="K29" s="59"/>
      <c r="L29" s="59"/>
      <c r="M29" s="59"/>
    </row>
    <row r="30" spans="1:20">
      <c r="A30" s="2" t="s">
        <v>60</v>
      </c>
      <c r="B30" s="2" t="s">
        <v>61</v>
      </c>
      <c r="D30">
        <v>0.05</v>
      </c>
      <c r="E30" t="s">
        <v>353</v>
      </c>
      <c r="F30">
        <v>580</v>
      </c>
      <c r="G30">
        <f>F30*D30</f>
        <v>29</v>
      </c>
      <c r="H30" s="13">
        <f>G30/$H$1</f>
        <v>3.9490373319161755E-2</v>
      </c>
      <c r="I30" s="58"/>
      <c r="J30" s="58"/>
      <c r="K30" s="58"/>
      <c r="L30" s="58"/>
      <c r="M30" s="58"/>
      <c r="O30" t="s">
        <v>353</v>
      </c>
      <c r="P30">
        <v>0.06</v>
      </c>
      <c r="Q30">
        <f>$Q$8*P30*R30</f>
        <v>0.98999999999999988</v>
      </c>
      <c r="R30">
        <v>1.5</v>
      </c>
      <c r="S30">
        <v>2.415</v>
      </c>
      <c r="T30">
        <f>S30-Q30</f>
        <v>1.4250000000000003</v>
      </c>
    </row>
    <row r="31" spans="1:20" ht="15" hidden="1" customHeight="1">
      <c r="A31" s="2" t="s">
        <v>62</v>
      </c>
      <c r="B31" s="2" t="s">
        <v>63</v>
      </c>
      <c r="I31" s="59"/>
      <c r="J31" s="59"/>
      <c r="K31" s="59"/>
      <c r="L31" s="59"/>
      <c r="M31" s="59"/>
    </row>
    <row r="32" spans="1:20" ht="15" hidden="1" customHeight="1">
      <c r="A32" s="2" t="s">
        <v>64</v>
      </c>
      <c r="B32" s="2" t="s">
        <v>65</v>
      </c>
      <c r="I32" s="59"/>
      <c r="J32" s="59"/>
      <c r="K32" s="59"/>
      <c r="L32" s="59"/>
      <c r="M32" s="59"/>
    </row>
    <row r="33" spans="1:22" ht="15" hidden="1" customHeight="1">
      <c r="A33" s="2" t="s">
        <v>66</v>
      </c>
      <c r="B33" s="2" t="s">
        <v>67</v>
      </c>
      <c r="I33" s="59"/>
      <c r="J33" s="59"/>
      <c r="K33" s="59"/>
      <c r="L33" s="59"/>
      <c r="M33" s="59"/>
    </row>
    <row r="34" spans="1:22">
      <c r="A34" s="2" t="s">
        <v>68</v>
      </c>
      <c r="B34" s="2" t="s">
        <v>69</v>
      </c>
      <c r="D34">
        <v>1.4999999999999999E-2</v>
      </c>
      <c r="E34" t="s">
        <v>355</v>
      </c>
      <c r="F34">
        <f>60*4</f>
        <v>240</v>
      </c>
      <c r="G34">
        <f>F34*D34</f>
        <v>3.5999999999999996</v>
      </c>
      <c r="H34" s="13">
        <f>G34/$H$1</f>
        <v>4.9022532396200795E-3</v>
      </c>
      <c r="I34" s="58"/>
      <c r="J34" s="58"/>
      <c r="K34" s="58"/>
      <c r="L34" s="58"/>
      <c r="M34" s="58"/>
      <c r="O34" t="s">
        <v>354</v>
      </c>
      <c r="P34">
        <v>6.5000000000000002E-2</v>
      </c>
      <c r="Q34">
        <f>$Q$8*P34*R34</f>
        <v>0.8580000000000001</v>
      </c>
      <c r="R34">
        <v>1.2</v>
      </c>
      <c r="S34">
        <v>3.8149999999999999</v>
      </c>
      <c r="T34">
        <f>S34-Q34</f>
        <v>2.9569999999999999</v>
      </c>
    </row>
    <row r="35" spans="1:22" ht="15" hidden="1" customHeight="1">
      <c r="A35" s="2" t="s">
        <v>70</v>
      </c>
      <c r="B35" s="2" t="s">
        <v>71</v>
      </c>
      <c r="I35" s="59"/>
      <c r="J35" s="59"/>
      <c r="K35" s="59"/>
      <c r="L35" s="59"/>
      <c r="M35" s="59"/>
    </row>
    <row r="36" spans="1:22">
      <c r="A36" s="2" t="s">
        <v>72</v>
      </c>
      <c r="B36" s="2" t="s">
        <v>9</v>
      </c>
      <c r="D36">
        <v>1.4999999999999999E-2</v>
      </c>
      <c r="E36" t="s">
        <v>355</v>
      </c>
      <c r="F36">
        <v>770</v>
      </c>
      <c r="G36">
        <f>F36*D36</f>
        <v>11.549999999999999</v>
      </c>
      <c r="H36" s="13">
        <f>G36/$H$1</f>
        <v>1.5728062477114422E-2</v>
      </c>
      <c r="I36" s="58"/>
      <c r="J36" s="58"/>
      <c r="K36" s="58"/>
      <c r="L36" s="58"/>
      <c r="M36" s="58"/>
      <c r="O36" t="s">
        <v>355</v>
      </c>
      <c r="P36">
        <v>0.05</v>
      </c>
      <c r="Q36">
        <f>$Q$8*P36*R36</f>
        <v>0.55000000000000004</v>
      </c>
      <c r="R36">
        <v>1</v>
      </c>
      <c r="S36">
        <v>2.4750000000000001</v>
      </c>
      <c r="T36">
        <f>S36-Q36</f>
        <v>1.925</v>
      </c>
      <c r="U36">
        <f>P36*10</f>
        <v>0.5</v>
      </c>
      <c r="V36">
        <f>T36-U36</f>
        <v>1.425</v>
      </c>
    </row>
    <row r="37" spans="1:22" ht="15" hidden="1" customHeight="1">
      <c r="A37" s="2" t="s">
        <v>73</v>
      </c>
      <c r="B37" s="2" t="s">
        <v>9</v>
      </c>
      <c r="I37" s="59"/>
      <c r="J37" s="59"/>
      <c r="K37" s="59"/>
      <c r="L37" s="59"/>
      <c r="M37" s="59"/>
    </row>
    <row r="38" spans="1:22" ht="15" hidden="1" customHeight="1">
      <c r="A38" s="2" t="s">
        <v>74</v>
      </c>
      <c r="B38" s="2" t="s">
        <v>1</v>
      </c>
      <c r="I38" s="59"/>
      <c r="J38" s="59"/>
      <c r="K38" s="59"/>
      <c r="L38" s="59"/>
      <c r="M38" s="59"/>
    </row>
    <row r="39" spans="1:22" ht="15" hidden="1" customHeight="1">
      <c r="A39" s="2" t="s">
        <v>75</v>
      </c>
      <c r="B39" s="2" t="s">
        <v>76</v>
      </c>
      <c r="I39" s="59"/>
      <c r="J39" s="59"/>
      <c r="K39" s="59"/>
      <c r="L39" s="59"/>
      <c r="M39" s="59"/>
    </row>
    <row r="40" spans="1:22">
      <c r="A40" s="2" t="s">
        <v>77</v>
      </c>
      <c r="B40" s="2" t="s">
        <v>78</v>
      </c>
      <c r="D40">
        <v>4.4999999999999998E-2</v>
      </c>
      <c r="E40" t="s">
        <v>355</v>
      </c>
      <c r="G40">
        <v>21.26</v>
      </c>
      <c r="H40" s="13">
        <f>G40/$H$1</f>
        <v>2.8950528853978589E-2</v>
      </c>
      <c r="I40" s="58"/>
      <c r="J40" s="58"/>
      <c r="K40" s="58"/>
      <c r="L40" s="58"/>
      <c r="M40" s="58"/>
      <c r="O40" t="s">
        <v>356</v>
      </c>
      <c r="P40">
        <v>4.4999999999999998E-2</v>
      </c>
      <c r="Q40">
        <f>$Q$8*P40*R40</f>
        <v>0.74249999999999994</v>
      </c>
      <c r="R40">
        <v>1.5</v>
      </c>
      <c r="S40">
        <v>1.05</v>
      </c>
      <c r="T40">
        <f>S40-Q40</f>
        <v>0.30750000000000011</v>
      </c>
    </row>
    <row r="41" spans="1:22" ht="15" hidden="1" customHeight="1">
      <c r="A41" s="2" t="s">
        <v>79</v>
      </c>
      <c r="B41" s="2" t="s">
        <v>80</v>
      </c>
      <c r="I41" s="59"/>
      <c r="J41" s="59"/>
      <c r="K41" s="59"/>
      <c r="L41" s="59"/>
      <c r="M41" s="59"/>
    </row>
    <row r="42" spans="1:22" ht="15" hidden="1" customHeight="1">
      <c r="A42" s="2" t="s">
        <v>81</v>
      </c>
      <c r="B42" s="2" t="s">
        <v>52</v>
      </c>
      <c r="I42" s="59"/>
      <c r="J42" s="59"/>
      <c r="K42" s="59"/>
      <c r="L42" s="59"/>
      <c r="M42" s="59"/>
    </row>
    <row r="43" spans="1:22" ht="15" hidden="1" customHeight="1">
      <c r="A43" s="2" t="s">
        <v>82</v>
      </c>
      <c r="B43" s="2" t="s">
        <v>83</v>
      </c>
      <c r="I43" s="59"/>
      <c r="J43" s="59"/>
      <c r="K43" s="59"/>
      <c r="L43" s="59"/>
      <c r="M43" s="59"/>
    </row>
    <row r="44" spans="1:22" ht="15" hidden="1" customHeight="1">
      <c r="A44" s="2" t="s">
        <v>84</v>
      </c>
      <c r="B44" s="2" t="s">
        <v>85</v>
      </c>
      <c r="I44" s="59"/>
      <c r="J44" s="59"/>
      <c r="K44" s="59"/>
      <c r="L44" s="59"/>
      <c r="M44" s="59"/>
    </row>
    <row r="45" spans="1:22" ht="15" hidden="1" customHeight="1">
      <c r="A45" s="2" t="s">
        <v>86</v>
      </c>
      <c r="B45" s="2" t="s">
        <v>87</v>
      </c>
      <c r="I45" s="59"/>
      <c r="J45" s="59"/>
      <c r="K45" s="59"/>
      <c r="L45" s="59"/>
      <c r="M45" s="59"/>
    </row>
    <row r="46" spans="1:22" ht="15" hidden="1" customHeight="1">
      <c r="A46" s="2" t="s">
        <v>88</v>
      </c>
      <c r="B46" s="2" t="s">
        <v>89</v>
      </c>
      <c r="I46" s="59"/>
      <c r="J46" s="59"/>
      <c r="K46" s="59"/>
      <c r="L46" s="59"/>
      <c r="M46" s="59"/>
    </row>
    <row r="47" spans="1:22" ht="15" hidden="1" customHeight="1">
      <c r="A47" s="2" t="s">
        <v>90</v>
      </c>
      <c r="B47" s="2" t="s">
        <v>93</v>
      </c>
      <c r="I47" s="59"/>
      <c r="J47" s="59"/>
      <c r="K47" s="59"/>
      <c r="L47" s="59"/>
      <c r="M47" s="59"/>
    </row>
    <row r="48" spans="1:22" ht="15" hidden="1" customHeight="1">
      <c r="A48" s="2" t="s">
        <v>91</v>
      </c>
      <c r="B48" s="2" t="s">
        <v>92</v>
      </c>
      <c r="I48" s="59"/>
      <c r="J48" s="59"/>
      <c r="K48" s="59"/>
      <c r="L48" s="59"/>
      <c r="M48" s="59"/>
    </row>
    <row r="49" spans="1:20" ht="15" hidden="1" customHeight="1">
      <c r="A49" s="2" t="s">
        <v>97</v>
      </c>
      <c r="B49" s="2" t="s">
        <v>55</v>
      </c>
      <c r="I49" s="59"/>
      <c r="J49" s="59"/>
      <c r="K49" s="59"/>
      <c r="L49" s="59"/>
      <c r="M49" s="59"/>
    </row>
    <row r="50" spans="1:20" ht="15" hidden="1" customHeight="1">
      <c r="A50" s="2" t="s">
        <v>98</v>
      </c>
      <c r="B50" s="2" t="s">
        <v>99</v>
      </c>
      <c r="I50" s="59"/>
      <c r="J50" s="59"/>
      <c r="K50" s="59"/>
      <c r="L50" s="59"/>
      <c r="M50" s="59"/>
    </row>
    <row r="51" spans="1:20">
      <c r="A51" s="2" t="s">
        <v>100</v>
      </c>
      <c r="B51" s="2" t="s">
        <v>101</v>
      </c>
      <c r="D51">
        <v>3.5000000000000003E-2</v>
      </c>
      <c r="E51" t="s">
        <v>361</v>
      </c>
      <c r="F51">
        <v>70</v>
      </c>
      <c r="G51">
        <f>F51*D51</f>
        <v>2.4500000000000002</v>
      </c>
      <c r="H51" s="13">
        <f>G51/$H$1</f>
        <v>3.3362556769636659E-3</v>
      </c>
      <c r="I51" s="58"/>
      <c r="J51" s="58"/>
      <c r="K51" s="58"/>
      <c r="L51" s="58"/>
      <c r="M51" s="58"/>
      <c r="O51" t="s">
        <v>45</v>
      </c>
      <c r="P51">
        <v>6.5000000000000002E-2</v>
      </c>
      <c r="Q51">
        <f>$Q$8*P51*R51</f>
        <v>0.7865000000000002</v>
      </c>
      <c r="R51">
        <v>1.1000000000000001</v>
      </c>
      <c r="S51">
        <f>Q51</f>
        <v>0.7865000000000002</v>
      </c>
      <c r="T51">
        <f t="shared" ref="T51:T52" si="0">S51-Q51</f>
        <v>0</v>
      </c>
    </row>
    <row r="52" spans="1:20">
      <c r="A52" s="2" t="s">
        <v>102</v>
      </c>
      <c r="B52" s="2" t="s">
        <v>103</v>
      </c>
      <c r="D52">
        <v>0.5</v>
      </c>
      <c r="E52">
        <f>D52/3</f>
        <v>0.16666666666666666</v>
      </c>
      <c r="G52">
        <f>L58</f>
        <v>42.622950819672127</v>
      </c>
      <c r="H52" s="13">
        <f>G52/$H$1</f>
        <v>5.8041249649418064E-2</v>
      </c>
      <c r="K52">
        <v>0.91500000000000004</v>
      </c>
      <c r="L52">
        <v>78</v>
      </c>
      <c r="O52" t="s">
        <v>357</v>
      </c>
      <c r="P52">
        <v>5.5E-2</v>
      </c>
      <c r="Q52">
        <f>$Q$8*P52*R52</f>
        <v>0.60499999999999998</v>
      </c>
      <c r="R52">
        <v>1</v>
      </c>
      <c r="S52">
        <v>1.02</v>
      </c>
      <c r="T52">
        <f t="shared" si="0"/>
        <v>0.41500000000000004</v>
      </c>
    </row>
    <row r="53" spans="1:20" hidden="1">
      <c r="A53" s="2" t="s">
        <v>104</v>
      </c>
      <c r="B53" s="2" t="s">
        <v>103</v>
      </c>
    </row>
    <row r="54" spans="1:20" hidden="1">
      <c r="A54" s="2" t="s">
        <v>105</v>
      </c>
      <c r="B54" s="2">
        <v>19</v>
      </c>
    </row>
    <row r="55" spans="1:20" hidden="1">
      <c r="A55" s="2" t="s">
        <v>106</v>
      </c>
      <c r="B55" s="2">
        <v>14</v>
      </c>
    </row>
    <row r="56" spans="1:20" hidden="1">
      <c r="A56" s="2" t="s">
        <v>107</v>
      </c>
      <c r="B56" s="2" t="s">
        <v>108</v>
      </c>
    </row>
    <row r="57" spans="1:20" hidden="1">
      <c r="A57" s="2" t="s">
        <v>109</v>
      </c>
      <c r="B57" s="2" t="s">
        <v>110</v>
      </c>
    </row>
    <row r="58" spans="1:20">
      <c r="A58" s="2" t="s">
        <v>143</v>
      </c>
      <c r="B58" s="2" t="s">
        <v>318</v>
      </c>
      <c r="D58">
        <v>0.5</v>
      </c>
      <c r="E58" t="s">
        <v>363</v>
      </c>
      <c r="F58">
        <v>63</v>
      </c>
      <c r="G58">
        <f>F58*D58</f>
        <v>31.5</v>
      </c>
      <c r="H58" s="13">
        <f>G58/$H$1</f>
        <v>4.2894715846675702E-2</v>
      </c>
      <c r="K58">
        <v>0.5</v>
      </c>
      <c r="L58">
        <f>K58*L52/K52</f>
        <v>42.622950819672127</v>
      </c>
      <c r="O58" t="s">
        <v>358</v>
      </c>
      <c r="P58">
        <v>0.3</v>
      </c>
      <c r="Q58">
        <f>$Q$8*P58*R58</f>
        <v>3.3</v>
      </c>
      <c r="R58">
        <v>1</v>
      </c>
      <c r="S58">
        <v>9.5250000000000004</v>
      </c>
      <c r="T58">
        <f>S58-Q58</f>
        <v>6.2250000000000005</v>
      </c>
    </row>
    <row r="59" spans="1:20">
      <c r="A59" s="2" t="s">
        <v>144</v>
      </c>
      <c r="B59" s="2" t="s">
        <v>137</v>
      </c>
      <c r="D59">
        <v>0.02</v>
      </c>
      <c r="E59" t="s">
        <v>352</v>
      </c>
      <c r="F59">
        <v>90</v>
      </c>
      <c r="G59">
        <f>F59*D59</f>
        <v>1.8</v>
      </c>
      <c r="H59" s="13">
        <f>G59/$H$1</f>
        <v>2.4511266198100402E-3</v>
      </c>
      <c r="O59" t="s">
        <v>26</v>
      </c>
      <c r="P59">
        <v>5.0000000000000001E-3</v>
      </c>
      <c r="Q59">
        <f>$Q$8*P59*R59</f>
        <v>5.5E-2</v>
      </c>
      <c r="R59">
        <v>1</v>
      </c>
      <c r="S59">
        <f>Q59</f>
        <v>5.5E-2</v>
      </c>
    </row>
    <row r="60" spans="1:20" hidden="1">
      <c r="A60" s="2" t="s">
        <v>303</v>
      </c>
      <c r="B60" s="2" t="s">
        <v>146</v>
      </c>
    </row>
    <row r="61" spans="1:20">
      <c r="A61" s="2" t="s">
        <v>304</v>
      </c>
      <c r="B61" s="2" t="s">
        <v>148</v>
      </c>
      <c r="D61">
        <v>0.06</v>
      </c>
      <c r="E61" t="s">
        <v>352</v>
      </c>
      <c r="F61">
        <v>75</v>
      </c>
      <c r="G61">
        <f>F61*D61</f>
        <v>4.5</v>
      </c>
      <c r="H61" s="13">
        <f>G61/$H$1</f>
        <v>6.1278165495251002E-3</v>
      </c>
      <c r="O61" t="s">
        <v>341</v>
      </c>
      <c r="P61">
        <v>5.0000000000000001E-3</v>
      </c>
      <c r="Q61">
        <f>$Q$8*P61*R61</f>
        <v>5.5E-2</v>
      </c>
      <c r="R61">
        <v>1</v>
      </c>
      <c r="S61">
        <f>Q61</f>
        <v>5.5E-2</v>
      </c>
    </row>
    <row r="62" spans="1:20">
      <c r="A62" s="2" t="s">
        <v>149</v>
      </c>
      <c r="B62" s="2" t="s">
        <v>150</v>
      </c>
      <c r="D62">
        <v>0.01</v>
      </c>
      <c r="E62" t="s">
        <v>352</v>
      </c>
      <c r="F62">
        <v>80</v>
      </c>
      <c r="G62">
        <f>F62*D62</f>
        <v>0.8</v>
      </c>
      <c r="H62" s="13">
        <f>G62/$H$1</f>
        <v>1.0893896088044624E-3</v>
      </c>
      <c r="P62">
        <f>SUM(P10:P61)</f>
        <v>0.73</v>
      </c>
      <c r="Q62">
        <f>SUM(Q10:Q61)</f>
        <v>9.7019999999999982</v>
      </c>
      <c r="S62">
        <f>SUM(S10:S61)</f>
        <v>27.606499999999997</v>
      </c>
    </row>
    <row r="63" spans="1:20" hidden="1">
      <c r="A63" s="2" t="s">
        <v>151</v>
      </c>
      <c r="B63" s="2" t="s">
        <v>152</v>
      </c>
    </row>
    <row r="64" spans="1:20" hidden="1">
      <c r="A64" s="2" t="s">
        <v>153</v>
      </c>
      <c r="B64" s="2" t="s">
        <v>154</v>
      </c>
    </row>
    <row r="65" spans="1:19">
      <c r="A65" s="2" t="s">
        <v>155</v>
      </c>
      <c r="B65" s="2" t="s">
        <v>156</v>
      </c>
      <c r="D65">
        <v>3</v>
      </c>
      <c r="E65" t="s">
        <v>358</v>
      </c>
      <c r="F65">
        <f>1100/25</f>
        <v>44</v>
      </c>
      <c r="G65">
        <f>F65*D65</f>
        <v>132</v>
      </c>
      <c r="H65" s="13">
        <f>G65/$H$1</f>
        <v>0.17974928545273627</v>
      </c>
    </row>
    <row r="66" spans="1:19" hidden="1">
      <c r="A66" s="2" t="s">
        <v>305</v>
      </c>
      <c r="B66" s="2" t="s">
        <v>158</v>
      </c>
    </row>
    <row r="67" spans="1:19">
      <c r="A67" s="2" t="s">
        <v>159</v>
      </c>
      <c r="B67" s="2" t="s">
        <v>160</v>
      </c>
      <c r="D67">
        <v>0.30499999999999999</v>
      </c>
      <c r="E67" t="s">
        <v>355</v>
      </c>
      <c r="F67">
        <v>39</v>
      </c>
      <c r="G67">
        <f>F67*D67</f>
        <v>11.895</v>
      </c>
      <c r="H67" s="13">
        <f>G67/$H$1</f>
        <v>1.6197861745911347E-2</v>
      </c>
      <c r="S67">
        <f>Q62/S62</f>
        <v>0.35143897270570335</v>
      </c>
    </row>
    <row r="68" spans="1:19" hidden="1">
      <c r="A68" s="2" t="s">
        <v>161</v>
      </c>
      <c r="B68" s="2" t="s">
        <v>162</v>
      </c>
    </row>
    <row r="69" spans="1:19" hidden="1">
      <c r="A69" s="2" t="s">
        <v>163</v>
      </c>
      <c r="B69" s="2" t="s">
        <v>166</v>
      </c>
    </row>
    <row r="70" spans="1:19" hidden="1">
      <c r="A70" s="2" t="s">
        <v>164</v>
      </c>
      <c r="B70" s="2" t="s">
        <v>165</v>
      </c>
    </row>
    <row r="71" spans="1:19" hidden="1">
      <c r="A71" s="2" t="s">
        <v>168</v>
      </c>
      <c r="B71" s="2" t="s">
        <v>169</v>
      </c>
    </row>
    <row r="72" spans="1:19">
      <c r="A72" s="2" t="s">
        <v>167</v>
      </c>
      <c r="B72" s="2" t="s">
        <v>170</v>
      </c>
      <c r="D72">
        <v>0.02</v>
      </c>
      <c r="E72" t="s">
        <v>352</v>
      </c>
      <c r="F72">
        <v>138</v>
      </c>
      <c r="G72">
        <f>F72*D72</f>
        <v>2.7600000000000002</v>
      </c>
      <c r="H72" s="13">
        <f>G72/$H$1</f>
        <v>3.7583941503753953E-3</v>
      </c>
    </row>
    <row r="73" spans="1:19" ht="15" hidden="1" customHeight="1">
      <c r="A73" s="2" t="s">
        <v>306</v>
      </c>
      <c r="B73" s="2" t="s">
        <v>172</v>
      </c>
    </row>
    <row r="74" spans="1:19" ht="15" hidden="1" customHeight="1">
      <c r="A74" s="2" t="s">
        <v>173</v>
      </c>
      <c r="B74" s="2" t="s">
        <v>174</v>
      </c>
    </row>
    <row r="75" spans="1:19" ht="15" hidden="1" customHeight="1">
      <c r="A75" s="2" t="s">
        <v>175</v>
      </c>
      <c r="B75" s="2" t="s">
        <v>176</v>
      </c>
    </row>
    <row r="76" spans="1:19" ht="15" hidden="1" customHeight="1">
      <c r="A76" s="2" t="s">
        <v>177</v>
      </c>
      <c r="B76" s="2" t="s">
        <v>218</v>
      </c>
    </row>
    <row r="77" spans="1:19">
      <c r="A77" s="2" t="s">
        <v>179</v>
      </c>
      <c r="B77" s="2" t="s">
        <v>180</v>
      </c>
      <c r="D77">
        <v>0.45500000000000002</v>
      </c>
      <c r="E77">
        <f>D77/3</f>
        <v>0.15166666666666667</v>
      </c>
      <c r="F77">
        <v>8</v>
      </c>
      <c r="G77">
        <f>F77*D77</f>
        <v>3.64</v>
      </c>
      <c r="H77" s="13">
        <f>G77/$H$1</f>
        <v>4.9567227200603033E-3</v>
      </c>
    </row>
    <row r="78" spans="1:19" ht="15" hidden="1" customHeight="1">
      <c r="A78" s="2" t="s">
        <v>181</v>
      </c>
      <c r="B78" s="2" t="s">
        <v>182</v>
      </c>
    </row>
    <row r="79" spans="1:19" ht="15" hidden="1" customHeight="1">
      <c r="A79" s="2" t="s">
        <v>183</v>
      </c>
      <c r="B79" s="2" t="s">
        <v>184</v>
      </c>
    </row>
    <row r="80" spans="1:19" ht="15" hidden="1" customHeight="1">
      <c r="A80" s="2" t="s">
        <v>185</v>
      </c>
      <c r="B80" s="2" t="s">
        <v>178</v>
      </c>
    </row>
    <row r="81" spans="1:20" ht="15" hidden="1" customHeight="1">
      <c r="A81" s="2" t="s">
        <v>186</v>
      </c>
      <c r="B81" s="2" t="s">
        <v>184</v>
      </c>
    </row>
    <row r="82" spans="1:20" ht="15" hidden="1" customHeight="1">
      <c r="A82" s="2" t="s">
        <v>187</v>
      </c>
      <c r="B82" s="2" t="s">
        <v>184</v>
      </c>
    </row>
    <row r="83" spans="1:20" ht="15" hidden="1" customHeight="1">
      <c r="A83" s="2" t="s">
        <v>188</v>
      </c>
      <c r="B83" s="2" t="s">
        <v>189</v>
      </c>
    </row>
    <row r="84" spans="1:20" ht="15" hidden="1" customHeight="1">
      <c r="A84" s="2" t="s">
        <v>190</v>
      </c>
      <c r="B84" s="2" t="s">
        <v>191</v>
      </c>
    </row>
    <row r="85" spans="1:20" ht="15" hidden="1" customHeight="1">
      <c r="A85" s="2" t="s">
        <v>192</v>
      </c>
      <c r="B85" s="2" t="s">
        <v>9</v>
      </c>
    </row>
    <row r="86" spans="1:20" ht="15" hidden="1" customHeight="1">
      <c r="A86" s="2" t="s">
        <v>193</v>
      </c>
      <c r="B86" s="2" t="s">
        <v>194</v>
      </c>
    </row>
    <row r="87" spans="1:20">
      <c r="A87" s="2" t="s">
        <v>195</v>
      </c>
      <c r="B87" s="2" t="s">
        <v>225</v>
      </c>
      <c r="D87">
        <v>0.02</v>
      </c>
      <c r="E87" t="s">
        <v>352</v>
      </c>
      <c r="F87">
        <v>180</v>
      </c>
      <c r="G87">
        <f>F87*D87</f>
        <v>3.6</v>
      </c>
      <c r="H87" s="13">
        <f>G87/$H$1</f>
        <v>4.9022532396200804E-3</v>
      </c>
      <c r="R87">
        <f>S62</f>
        <v>27.606499999999997</v>
      </c>
      <c r="S87">
        <v>1000</v>
      </c>
    </row>
    <row r="88" spans="1:20" ht="15" hidden="1" customHeight="1">
      <c r="A88" s="2" t="s">
        <v>196</v>
      </c>
      <c r="B88" s="2" t="s">
        <v>197</v>
      </c>
    </row>
    <row r="89" spans="1:20" ht="15" hidden="1" customHeight="1">
      <c r="A89" s="2" t="s">
        <v>198</v>
      </c>
      <c r="B89" s="2" t="s">
        <v>199</v>
      </c>
    </row>
    <row r="90" spans="1:20">
      <c r="A90" s="2" t="s">
        <v>200</v>
      </c>
      <c r="B90" s="2" t="s">
        <v>1</v>
      </c>
      <c r="D90">
        <v>6.5000000000000002E-2</v>
      </c>
      <c r="E90" t="s">
        <v>362</v>
      </c>
      <c r="F90">
        <v>280</v>
      </c>
      <c r="G90">
        <f>F90*D90</f>
        <v>18.2</v>
      </c>
      <c r="H90" s="13">
        <f>G90/$H$1</f>
        <v>2.4783613600301516E-2</v>
      </c>
      <c r="R90">
        <f>Q62</f>
        <v>9.7019999999999982</v>
      </c>
      <c r="S90">
        <f>R90*S87/R87</f>
        <v>351.43897270570335</v>
      </c>
      <c r="T90">
        <f>Q8*60</f>
        <v>660</v>
      </c>
    </row>
    <row r="91" spans="1:20">
      <c r="A91" s="2" t="s">
        <v>201</v>
      </c>
      <c r="B91" s="2" t="s">
        <v>317</v>
      </c>
      <c r="D91">
        <v>0.04</v>
      </c>
      <c r="E91" t="s">
        <v>362</v>
      </c>
      <c r="F91">
        <v>280</v>
      </c>
      <c r="G91">
        <f>F91*D91</f>
        <v>11.200000000000001</v>
      </c>
      <c r="H91" s="13">
        <f>G91/$H$1</f>
        <v>1.5251454523262473E-2</v>
      </c>
    </row>
    <row r="92" spans="1:20" ht="15" hidden="1" customHeight="1">
      <c r="A92" s="2" t="s">
        <v>202</v>
      </c>
      <c r="B92" s="2" t="s">
        <v>313</v>
      </c>
    </row>
    <row r="93" spans="1:20" ht="15" hidden="1" customHeight="1">
      <c r="A93" s="2" t="s">
        <v>203</v>
      </c>
      <c r="B93" s="2" t="s">
        <v>217</v>
      </c>
    </row>
    <row r="94" spans="1:20" ht="15" hidden="1" customHeight="1">
      <c r="A94" s="2" t="s">
        <v>204</v>
      </c>
      <c r="B94" s="2" t="s">
        <v>194</v>
      </c>
    </row>
    <row r="95" spans="1:20" ht="15" hidden="1" customHeight="1">
      <c r="A95" s="2" t="s">
        <v>205</v>
      </c>
      <c r="B95" s="2" t="s">
        <v>206</v>
      </c>
    </row>
    <row r="96" spans="1:20">
      <c r="A96" s="2" t="s">
        <v>207</v>
      </c>
      <c r="B96" s="2" t="s">
        <v>69</v>
      </c>
      <c r="D96">
        <v>0.255</v>
      </c>
      <c r="E96" t="s">
        <v>355</v>
      </c>
      <c r="F96">
        <v>72.7</v>
      </c>
      <c r="G96">
        <f>F96*D96</f>
        <v>18.538500000000003</v>
      </c>
      <c r="H96" s="13">
        <f>G96/$H$1</f>
        <v>2.5244561578526909E-2</v>
      </c>
      <c r="S96">
        <f>S87-S90</f>
        <v>648.56102729429665</v>
      </c>
    </row>
    <row r="97" spans="1:19" hidden="1">
      <c r="A97" s="8" t="s">
        <v>212</v>
      </c>
      <c r="B97" s="2" t="s">
        <v>213</v>
      </c>
    </row>
    <row r="98" spans="1:19" hidden="1">
      <c r="A98" s="8" t="s">
        <v>215</v>
      </c>
      <c r="B98" s="2" t="s">
        <v>216</v>
      </c>
    </row>
    <row r="99" spans="1:19" hidden="1">
      <c r="A99" s="8" t="s">
        <v>220</v>
      </c>
      <c r="B99" s="2" t="s">
        <v>219</v>
      </c>
    </row>
    <row r="100" spans="1:19" hidden="1">
      <c r="A100" s="8" t="s">
        <v>221</v>
      </c>
      <c r="B100" s="2" t="s">
        <v>222</v>
      </c>
    </row>
    <row r="101" spans="1:19">
      <c r="A101" s="8" t="s">
        <v>223</v>
      </c>
      <c r="B101" s="2" t="s">
        <v>312</v>
      </c>
      <c r="D101">
        <v>0.12</v>
      </c>
      <c r="E101" t="s">
        <v>364</v>
      </c>
      <c r="F101">
        <v>90</v>
      </c>
      <c r="G101">
        <f>F101*D101</f>
        <v>10.799999999999999</v>
      </c>
      <c r="H101" s="13">
        <f>G101/$H$1</f>
        <v>1.4706759718860239E-2</v>
      </c>
      <c r="S101">
        <f>S96*30</f>
        <v>19456.830818828901</v>
      </c>
    </row>
    <row r="102" spans="1:19" hidden="1">
      <c r="A102" s="8" t="s">
        <v>224</v>
      </c>
      <c r="B102" s="2" t="s">
        <v>69</v>
      </c>
    </row>
    <row r="103" spans="1:19" hidden="1">
      <c r="A103" s="8" t="s">
        <v>307</v>
      </c>
      <c r="B103" s="2" t="s">
        <v>308</v>
      </c>
    </row>
    <row r="104" spans="1:19" hidden="1">
      <c r="A104" s="8" t="s">
        <v>311</v>
      </c>
      <c r="B104" s="2">
        <v>2</v>
      </c>
    </row>
    <row r="105" spans="1:19" hidden="1">
      <c r="A105" s="8" t="s">
        <v>315</v>
      </c>
      <c r="B105" s="2">
        <v>2</v>
      </c>
    </row>
    <row r="106" spans="1:19" hidden="1">
      <c r="A106" s="8" t="s">
        <v>316</v>
      </c>
      <c r="B106" s="2">
        <v>2</v>
      </c>
    </row>
    <row r="107" spans="1:19" hidden="1">
      <c r="A107" s="8" t="s">
        <v>319</v>
      </c>
      <c r="B107" s="2" t="s">
        <v>1</v>
      </c>
    </row>
    <row r="108" spans="1:19" hidden="1">
      <c r="A108" s="8" t="s">
        <v>327</v>
      </c>
      <c r="B108" s="2"/>
    </row>
    <row r="109" spans="1:19">
      <c r="A109" s="11" t="s">
        <v>335</v>
      </c>
      <c r="B109" s="5"/>
      <c r="D109">
        <v>8.5000000000000006E-2</v>
      </c>
      <c r="E109" t="s">
        <v>352</v>
      </c>
      <c r="F109">
        <v>55</v>
      </c>
      <c r="G109">
        <f>F109*D109</f>
        <v>4.6750000000000007</v>
      </c>
      <c r="H109" s="13">
        <f>G109/$H$1</f>
        <v>6.3661205264510775E-3</v>
      </c>
    </row>
    <row r="110" spans="1:19" hidden="1">
      <c r="A110" s="1" t="s">
        <v>28</v>
      </c>
      <c r="B110" s="2" t="s">
        <v>24</v>
      </c>
    </row>
    <row r="111" spans="1:19" hidden="1">
      <c r="A111" s="1" t="s">
        <v>30</v>
      </c>
      <c r="B111" s="2" t="s">
        <v>1</v>
      </c>
    </row>
    <row r="112" spans="1:19" hidden="1">
      <c r="A112" s="1" t="s">
        <v>31</v>
      </c>
      <c r="B112" s="2" t="s">
        <v>43</v>
      </c>
    </row>
    <row r="113" spans="1:12" hidden="1">
      <c r="A113" s="1" t="s">
        <v>32</v>
      </c>
      <c r="B113" s="2" t="s">
        <v>33</v>
      </c>
    </row>
    <row r="114" spans="1:12" hidden="1">
      <c r="A114" s="1" t="s">
        <v>46</v>
      </c>
      <c r="B114" s="2" t="s">
        <v>47</v>
      </c>
    </row>
    <row r="115" spans="1:12" hidden="1">
      <c r="A115" s="3" t="s">
        <v>29</v>
      </c>
      <c r="B115" s="2" t="s">
        <v>210</v>
      </c>
    </row>
    <row r="116" spans="1:12" hidden="1">
      <c r="A116" s="3" t="s">
        <v>111</v>
      </c>
      <c r="B116" s="2" t="s">
        <v>112</v>
      </c>
    </row>
    <row r="117" spans="1:12" hidden="1">
      <c r="A117" s="3" t="s">
        <v>113</v>
      </c>
      <c r="B117" s="2" t="s">
        <v>285</v>
      </c>
    </row>
    <row r="118" spans="1:12">
      <c r="A118" s="3" t="s">
        <v>114</v>
      </c>
      <c r="B118" s="2" t="s">
        <v>284</v>
      </c>
      <c r="D118">
        <v>0.215</v>
      </c>
      <c r="E118" t="s">
        <v>352</v>
      </c>
      <c r="F118">
        <v>25</v>
      </c>
      <c r="G118">
        <f>F118*D118</f>
        <v>5.375</v>
      </c>
      <c r="H118" s="13">
        <f>G118/$H$1</f>
        <v>7.3193364341549811E-3</v>
      </c>
    </row>
    <row r="119" spans="1:12">
      <c r="A119" s="3" t="s">
        <v>115</v>
      </c>
      <c r="B119" s="2" t="s">
        <v>116</v>
      </c>
      <c r="D119">
        <v>0.28999999999999998</v>
      </c>
      <c r="E119" t="s">
        <v>352</v>
      </c>
      <c r="F119">
        <v>35</v>
      </c>
      <c r="G119">
        <f>F119*D119</f>
        <v>10.149999999999999</v>
      </c>
      <c r="H119" s="13">
        <f>G119/$H$1</f>
        <v>1.3821630661706613E-2</v>
      </c>
    </row>
    <row r="120" spans="1:12">
      <c r="A120" s="3" t="s">
        <v>117</v>
      </c>
      <c r="B120" s="2" t="s">
        <v>1</v>
      </c>
      <c r="D120">
        <v>7.0000000000000007E-2</v>
      </c>
      <c r="E120" t="s">
        <v>356</v>
      </c>
      <c r="F120">
        <v>30</v>
      </c>
      <c r="G120">
        <f>F120*D120</f>
        <v>2.1</v>
      </c>
      <c r="H120" s="13">
        <f>G120/$H$1</f>
        <v>2.8596477231117136E-3</v>
      </c>
    </row>
    <row r="121" spans="1:12">
      <c r="A121" s="3" t="s">
        <v>118</v>
      </c>
      <c r="B121" s="2" t="s">
        <v>9</v>
      </c>
      <c r="D121">
        <v>0.38500000000000001</v>
      </c>
      <c r="E121" t="s">
        <v>352</v>
      </c>
      <c r="F121">
        <v>25</v>
      </c>
      <c r="G121">
        <f>F121*D121</f>
        <v>9.625</v>
      </c>
      <c r="H121" s="13">
        <f>G121/$H$1</f>
        <v>1.3106718730928687E-2</v>
      </c>
      <c r="K121">
        <f>2+15+3+4</f>
        <v>24</v>
      </c>
      <c r="L121">
        <v>110</v>
      </c>
    </row>
    <row r="122" spans="1:12">
      <c r="A122" s="3" t="s">
        <v>119</v>
      </c>
      <c r="B122" s="2" t="s">
        <v>120</v>
      </c>
      <c r="D122">
        <v>1.1850000000000001</v>
      </c>
      <c r="F122">
        <v>20</v>
      </c>
      <c r="G122">
        <f>F122*D122</f>
        <v>23.700000000000003</v>
      </c>
      <c r="H122" s="13">
        <f>G122/$H$1</f>
        <v>3.22731671608322E-2</v>
      </c>
      <c r="K122">
        <v>3</v>
      </c>
      <c r="L122">
        <f>L121*K122/K121</f>
        <v>13.75</v>
      </c>
    </row>
    <row r="123" spans="1:12" hidden="1">
      <c r="A123" s="3" t="s">
        <v>121</v>
      </c>
      <c r="B123" s="2" t="s">
        <v>122</v>
      </c>
    </row>
    <row r="124" spans="1:12" hidden="1">
      <c r="A124" s="3" t="s">
        <v>123</v>
      </c>
      <c r="B124" s="2" t="s">
        <v>9</v>
      </c>
    </row>
    <row r="125" spans="1:12" hidden="1">
      <c r="A125" s="3" t="s">
        <v>124</v>
      </c>
      <c r="B125" s="2" t="s">
        <v>125</v>
      </c>
    </row>
    <row r="126" spans="1:12">
      <c r="A126" s="3" t="s">
        <v>126</v>
      </c>
      <c r="B126" s="2" t="s">
        <v>127</v>
      </c>
      <c r="D126">
        <f>0.54/2</f>
        <v>0.27</v>
      </c>
      <c r="F126">
        <v>10</v>
      </c>
      <c r="G126">
        <f>F126*D126</f>
        <v>2.7</v>
      </c>
      <c r="H126" s="13">
        <f>G126/$H$1</f>
        <v>3.6766899297150605E-3</v>
      </c>
      <c r="L126">
        <f>L122/4</f>
        <v>3.4375</v>
      </c>
    </row>
    <row r="127" spans="1:12">
      <c r="A127" s="3" t="s">
        <v>128</v>
      </c>
      <c r="B127" s="2" t="s">
        <v>129</v>
      </c>
      <c r="D127">
        <f>0.54/2+0.41</f>
        <v>0.67999999999999994</v>
      </c>
      <c r="F127">
        <v>10</v>
      </c>
      <c r="G127">
        <f>F127*D127</f>
        <v>6.7999999999999989</v>
      </c>
      <c r="H127" s="13">
        <f>G127/$H$1</f>
        <v>9.2598116748379283E-3</v>
      </c>
    </row>
    <row r="128" spans="1:12" hidden="1">
      <c r="A128" s="3" t="s">
        <v>130</v>
      </c>
      <c r="B128" s="2" t="s">
        <v>131</v>
      </c>
    </row>
    <row r="129" spans="1:8">
      <c r="A129" s="3" t="s">
        <v>132</v>
      </c>
      <c r="B129" s="2" t="s">
        <v>133</v>
      </c>
      <c r="D129">
        <v>0.05</v>
      </c>
      <c r="F129">
        <v>45</v>
      </c>
      <c r="G129">
        <f>F129*D129</f>
        <v>2.25</v>
      </c>
      <c r="H129" s="13">
        <f>G129/$H$1</f>
        <v>3.0639082747625501E-3</v>
      </c>
    </row>
    <row r="130" spans="1:8">
      <c r="A130" s="3" t="s">
        <v>134</v>
      </c>
      <c r="B130" s="2" t="s">
        <v>135</v>
      </c>
      <c r="D130">
        <v>0.96499999999999997</v>
      </c>
      <c r="F130">
        <v>18</v>
      </c>
      <c r="G130">
        <f>F130*D130</f>
        <v>17.37</v>
      </c>
      <c r="H130" s="13">
        <f>G130/$H$1</f>
        <v>2.3653371881166889E-2</v>
      </c>
    </row>
    <row r="131" spans="1:8" hidden="1">
      <c r="A131" s="3" t="s">
        <v>136</v>
      </c>
      <c r="B131" s="2" t="s">
        <v>138</v>
      </c>
    </row>
    <row r="132" spans="1:8">
      <c r="A132" s="3" t="s">
        <v>139</v>
      </c>
      <c r="B132" s="2" t="s">
        <v>140</v>
      </c>
      <c r="D132" t="s">
        <v>337</v>
      </c>
      <c r="G132">
        <v>5</v>
      </c>
      <c r="H132" s="13">
        <f>G132/$H$1</f>
        <v>6.8086850550278894E-3</v>
      </c>
    </row>
    <row r="133" spans="1:8" hidden="1">
      <c r="A133" s="3" t="s">
        <v>141</v>
      </c>
      <c r="B133" s="2" t="s">
        <v>142</v>
      </c>
    </row>
    <row r="134" spans="1:8">
      <c r="A134" s="3" t="s">
        <v>325</v>
      </c>
      <c r="B134" s="2">
        <v>20</v>
      </c>
      <c r="D134">
        <v>2</v>
      </c>
      <c r="G134">
        <f>26*2</f>
        <v>52</v>
      </c>
      <c r="H134" s="13">
        <f>G134/$H$1</f>
        <v>7.0810324572290043E-2</v>
      </c>
    </row>
    <row r="135" spans="1:8">
      <c r="A135" s="12" t="s">
        <v>338</v>
      </c>
      <c r="D135" t="s">
        <v>339</v>
      </c>
      <c r="G135">
        <v>12</v>
      </c>
      <c r="H135" s="13">
        <f>G135/$H$1</f>
        <v>1.6340844132066934E-2</v>
      </c>
    </row>
    <row r="136" spans="1:8" hidden="1">
      <c r="A136" s="1" t="s">
        <v>44</v>
      </c>
      <c r="B136" s="2"/>
    </row>
    <row r="137" spans="1:8" hidden="1">
      <c r="A137" s="1" t="s">
        <v>45</v>
      </c>
      <c r="B137" s="2"/>
    </row>
    <row r="138" spans="1:8" hidden="1">
      <c r="A138" s="1" t="s">
        <v>239</v>
      </c>
      <c r="B138" s="2">
        <v>12</v>
      </c>
    </row>
    <row r="139" spans="1:8" hidden="1">
      <c r="A139" s="1" t="s">
        <v>244</v>
      </c>
      <c r="B139" s="2">
        <v>11</v>
      </c>
    </row>
    <row r="140" spans="1:8" hidden="1">
      <c r="A140" s="1" t="s">
        <v>240</v>
      </c>
      <c r="B140" s="2">
        <v>8</v>
      </c>
    </row>
    <row r="141" spans="1:8" hidden="1">
      <c r="A141" s="1" t="s">
        <v>241</v>
      </c>
      <c r="B141" s="2">
        <v>9</v>
      </c>
    </row>
    <row r="142" spans="1:8" hidden="1">
      <c r="A142" s="1" t="s">
        <v>242</v>
      </c>
      <c r="B142" s="2">
        <v>5</v>
      </c>
    </row>
    <row r="143" spans="1:8" hidden="1">
      <c r="A143" s="1" t="s">
        <v>243</v>
      </c>
      <c r="B143" s="2">
        <v>10</v>
      </c>
    </row>
    <row r="144" spans="1:8" hidden="1">
      <c r="A144" s="1" t="s">
        <v>245</v>
      </c>
      <c r="B144" s="2">
        <v>12</v>
      </c>
    </row>
    <row r="145" spans="1:8" hidden="1">
      <c r="A145" s="1" t="s">
        <v>246</v>
      </c>
      <c r="B145" s="2">
        <v>8</v>
      </c>
    </row>
    <row r="146" spans="1:8" hidden="1">
      <c r="A146" s="1" t="s">
        <v>247</v>
      </c>
      <c r="B146" s="2">
        <v>4</v>
      </c>
    </row>
    <row r="147" spans="1:8" hidden="1">
      <c r="A147" s="1" t="s">
        <v>248</v>
      </c>
      <c r="B147" s="2">
        <v>9</v>
      </c>
    </row>
    <row r="148" spans="1:8" hidden="1">
      <c r="A148" s="1" t="s">
        <v>249</v>
      </c>
      <c r="B148" s="2">
        <v>4</v>
      </c>
    </row>
    <row r="149" spans="1:8" hidden="1">
      <c r="A149" s="1" t="s">
        <v>250</v>
      </c>
      <c r="B149" s="2">
        <v>26</v>
      </c>
    </row>
    <row r="150" spans="1:8" hidden="1">
      <c r="A150" s="1" t="s">
        <v>251</v>
      </c>
      <c r="B150" s="2">
        <v>30</v>
      </c>
    </row>
    <row r="151" spans="1:8" hidden="1">
      <c r="A151" s="1" t="s">
        <v>252</v>
      </c>
      <c r="B151" s="2">
        <v>7</v>
      </c>
    </row>
    <row r="152" spans="1:8" hidden="1">
      <c r="A152" s="1" t="s">
        <v>253</v>
      </c>
      <c r="B152" s="2">
        <v>11</v>
      </c>
    </row>
    <row r="153" spans="1:8" hidden="1">
      <c r="A153" s="1" t="s">
        <v>254</v>
      </c>
      <c r="B153" s="2">
        <v>6</v>
      </c>
    </row>
    <row r="154" spans="1:8" hidden="1">
      <c r="A154" s="1" t="s">
        <v>255</v>
      </c>
      <c r="B154" s="2">
        <v>10</v>
      </c>
    </row>
    <row r="155" spans="1:8" hidden="1">
      <c r="A155" s="1" t="s">
        <v>256</v>
      </c>
      <c r="B155" s="2">
        <v>12</v>
      </c>
    </row>
    <row r="156" spans="1:8" hidden="1">
      <c r="A156" s="1" t="s">
        <v>257</v>
      </c>
      <c r="B156" s="2">
        <v>1</v>
      </c>
    </row>
    <row r="157" spans="1:8" hidden="1">
      <c r="A157" s="1" t="s">
        <v>258</v>
      </c>
      <c r="B157" s="2">
        <v>10</v>
      </c>
    </row>
    <row r="158" spans="1:8" hidden="1">
      <c r="A158" s="1" t="s">
        <v>259</v>
      </c>
      <c r="B158" s="2">
        <v>12</v>
      </c>
    </row>
    <row r="159" spans="1:8">
      <c r="D159" t="s">
        <v>340</v>
      </c>
      <c r="F159">
        <f>1500/19</f>
        <v>78.94736842105263</v>
      </c>
      <c r="G159">
        <f>F159*2</f>
        <v>157.89473684210526</v>
      </c>
      <c r="H159" s="13">
        <f>G159/$H$1</f>
        <v>0.21501110700088072</v>
      </c>
    </row>
    <row r="160" spans="1:8">
      <c r="A160" s="56" t="s">
        <v>261</v>
      </c>
      <c r="B160" s="56"/>
      <c r="D160" t="s">
        <v>26</v>
      </c>
    </row>
    <row r="161" spans="1:8">
      <c r="D161" t="s">
        <v>341</v>
      </c>
    </row>
    <row r="162" spans="1:8">
      <c r="A162" s="1" t="s">
        <v>262</v>
      </c>
      <c r="B162" s="2">
        <v>9</v>
      </c>
      <c r="D162" t="s">
        <v>342</v>
      </c>
      <c r="G162">
        <v>0.1</v>
      </c>
    </row>
    <row r="163" spans="1:8">
      <c r="A163" s="1" t="s">
        <v>264</v>
      </c>
      <c r="B163" s="2">
        <v>4</v>
      </c>
      <c r="D163" t="s">
        <v>343</v>
      </c>
      <c r="F163">
        <v>25</v>
      </c>
      <c r="G163">
        <v>5</v>
      </c>
      <c r="H163" s="13">
        <f>G163/$H$1</f>
        <v>6.8086850550278894E-3</v>
      </c>
    </row>
    <row r="164" spans="1:8">
      <c r="A164" s="1" t="s">
        <v>263</v>
      </c>
      <c r="B164" s="2">
        <v>1</v>
      </c>
    </row>
    <row r="165" spans="1:8">
      <c r="A165" s="1" t="s">
        <v>265</v>
      </c>
      <c r="B165" s="2">
        <v>1</v>
      </c>
    </row>
    <row r="166" spans="1:8">
      <c r="A166" s="1" t="s">
        <v>266</v>
      </c>
      <c r="B166" s="2">
        <v>4</v>
      </c>
    </row>
    <row r="167" spans="1:8">
      <c r="A167" s="1" t="s">
        <v>267</v>
      </c>
      <c r="B167" s="2">
        <v>4</v>
      </c>
    </row>
    <row r="168" spans="1:8">
      <c r="A168" s="1" t="s">
        <v>268</v>
      </c>
      <c r="B168" s="2">
        <v>2</v>
      </c>
    </row>
    <row r="169" spans="1:8">
      <c r="A169" s="1" t="s">
        <v>269</v>
      </c>
      <c r="B169" s="2">
        <v>1</v>
      </c>
    </row>
    <row r="170" spans="1:8">
      <c r="A170" s="1" t="s">
        <v>270</v>
      </c>
      <c r="B170" s="2">
        <v>12</v>
      </c>
    </row>
    <row r="171" spans="1:8">
      <c r="A171" s="1" t="s">
        <v>271</v>
      </c>
      <c r="B171" s="2">
        <v>2</v>
      </c>
    </row>
    <row r="172" spans="1:8">
      <c r="A172" s="1" t="s">
        <v>272</v>
      </c>
      <c r="B172" s="2">
        <v>88</v>
      </c>
    </row>
    <row r="173" spans="1:8">
      <c r="A173" s="1" t="s">
        <v>273</v>
      </c>
      <c r="B173" s="2">
        <v>6</v>
      </c>
    </row>
    <row r="174" spans="1:8">
      <c r="A174" s="1" t="s">
        <v>274</v>
      </c>
      <c r="B174" s="2">
        <v>5</v>
      </c>
    </row>
    <row r="175" spans="1:8">
      <c r="A175" s="1" t="s">
        <v>275</v>
      </c>
      <c r="B175" s="2">
        <v>1</v>
      </c>
    </row>
    <row r="176" spans="1:8">
      <c r="A176" s="1" t="s">
        <v>276</v>
      </c>
      <c r="B176" s="2">
        <v>10</v>
      </c>
    </row>
    <row r="177" spans="1:2">
      <c r="A177" s="1" t="s">
        <v>277</v>
      </c>
      <c r="B177" s="2">
        <v>1</v>
      </c>
    </row>
    <row r="178" spans="1:2">
      <c r="A178" s="1" t="s">
        <v>278</v>
      </c>
      <c r="B178" s="2">
        <v>5</v>
      </c>
    </row>
    <row r="180" spans="1:2">
      <c r="A180" s="56" t="s">
        <v>279</v>
      </c>
      <c r="B180" s="56"/>
    </row>
    <row r="182" spans="1:2">
      <c r="A182" s="1" t="s">
        <v>280</v>
      </c>
      <c r="B182" s="2">
        <v>2</v>
      </c>
    </row>
    <row r="183" spans="1:2">
      <c r="A183" s="1" t="s">
        <v>281</v>
      </c>
      <c r="B183" s="2">
        <v>1</v>
      </c>
    </row>
    <row r="184" spans="1:2">
      <c r="A184" s="1" t="s">
        <v>282</v>
      </c>
      <c r="B184" s="2">
        <v>1</v>
      </c>
    </row>
    <row r="185" spans="1:2">
      <c r="A185" s="1" t="s">
        <v>283</v>
      </c>
      <c r="B185" s="2">
        <v>1</v>
      </c>
    </row>
    <row r="187" spans="1:2">
      <c r="A187" s="55" t="s">
        <v>286</v>
      </c>
      <c r="B187" s="55"/>
    </row>
    <row r="189" spans="1:2">
      <c r="A189" s="1" t="s">
        <v>287</v>
      </c>
      <c r="B189" s="2" t="s">
        <v>288</v>
      </c>
    </row>
    <row r="190" spans="1:2">
      <c r="A190" s="1" t="s">
        <v>289</v>
      </c>
      <c r="B190" s="2" t="s">
        <v>290</v>
      </c>
    </row>
    <row r="191" spans="1:2">
      <c r="A191" s="1" t="s">
        <v>291</v>
      </c>
      <c r="B191" s="2" t="s">
        <v>292</v>
      </c>
    </row>
    <row r="192" spans="1:2">
      <c r="A192" s="1" t="s">
        <v>293</v>
      </c>
      <c r="B192" s="2" t="s">
        <v>295</v>
      </c>
    </row>
    <row r="193" spans="1:2">
      <c r="A193" s="1" t="s">
        <v>294</v>
      </c>
      <c r="B193" s="2" t="s">
        <v>9</v>
      </c>
    </row>
    <row r="194" spans="1:2">
      <c r="A194" s="1" t="s">
        <v>296</v>
      </c>
      <c r="B194" s="2" t="s">
        <v>9</v>
      </c>
    </row>
    <row r="195" spans="1:2">
      <c r="A195" s="1" t="s">
        <v>297</v>
      </c>
      <c r="B195" s="2" t="s">
        <v>298</v>
      </c>
    </row>
    <row r="196" spans="1:2">
      <c r="A196" s="1" t="s">
        <v>299</v>
      </c>
      <c r="B196" s="2" t="s">
        <v>300</v>
      </c>
    </row>
    <row r="197" spans="1:2">
      <c r="A197" s="1" t="s">
        <v>301</v>
      </c>
      <c r="B197" s="2">
        <v>2</v>
      </c>
    </row>
    <row r="199" spans="1:2">
      <c r="A199" s="55" t="s">
        <v>320</v>
      </c>
      <c r="B199" s="55"/>
    </row>
    <row r="201" spans="1:2">
      <c r="A201" s="9" t="s">
        <v>321</v>
      </c>
      <c r="B201" s="2" t="s">
        <v>229</v>
      </c>
    </row>
    <row r="202" spans="1:2">
      <c r="A202" s="9" t="s">
        <v>322</v>
      </c>
      <c r="B202" s="2" t="s">
        <v>323</v>
      </c>
    </row>
    <row r="203" spans="1:2">
      <c r="A203" s="9" t="s">
        <v>324</v>
      </c>
      <c r="B203" s="2">
        <v>1</v>
      </c>
    </row>
    <row r="204" spans="1:2">
      <c r="A204" s="10" t="s">
        <v>326</v>
      </c>
      <c r="B204" s="1"/>
    </row>
    <row r="205" spans="1:2">
      <c r="A205" s="10" t="s">
        <v>328</v>
      </c>
      <c r="B205" s="1"/>
    </row>
    <row r="206" spans="1:2">
      <c r="A206" s="10" t="s">
        <v>329</v>
      </c>
      <c r="B206" s="1"/>
    </row>
    <row r="207" spans="1:2">
      <c r="A207" s="10" t="s">
        <v>330</v>
      </c>
      <c r="B207" s="1"/>
    </row>
    <row r="208" spans="1:2">
      <c r="A208" s="10" t="s">
        <v>331</v>
      </c>
      <c r="B208" s="1"/>
    </row>
    <row r="209" spans="1:2">
      <c r="A209" s="10" t="s">
        <v>332</v>
      </c>
      <c r="B209" s="1"/>
    </row>
    <row r="210" spans="1:2">
      <c r="A210" s="1" t="s">
        <v>333</v>
      </c>
      <c r="B210" s="1"/>
    </row>
    <row r="211" spans="1:2">
      <c r="A211" s="10" t="s">
        <v>334</v>
      </c>
      <c r="B211" s="1"/>
    </row>
  </sheetData>
  <autoFilter ref="A1:D158">
    <filterColumn colId="0" showButton="0"/>
    <filterColumn colId="3">
      <customFilters>
        <customFilter operator="notEqual" val=" "/>
      </customFilters>
    </filterColumn>
  </autoFilter>
  <mergeCells count="6">
    <mergeCell ref="I10:M51"/>
    <mergeCell ref="A180:B180"/>
    <mergeCell ref="A187:B187"/>
    <mergeCell ref="A199:B199"/>
    <mergeCell ref="A1:B1"/>
    <mergeCell ref="A160:B16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65"/>
  <sheetViews>
    <sheetView topLeftCell="B1" zoomScale="106" zoomScaleNormal="106" workbookViewId="0">
      <selection activeCell="K14" sqref="K14"/>
    </sheetView>
  </sheetViews>
  <sheetFormatPr defaultRowHeight="12.75"/>
  <cols>
    <col min="1" max="1" width="12" style="30" customWidth="1"/>
    <col min="2" max="2" width="15.5703125" style="30" customWidth="1"/>
    <col min="3" max="3" width="18" style="30" customWidth="1"/>
    <col min="4" max="4" width="9.140625" style="30"/>
    <col min="5" max="9" width="0" style="30" hidden="1" customWidth="1"/>
    <col min="10" max="10" width="9.140625" style="30"/>
    <col min="11" max="11" width="12.42578125" style="30" customWidth="1"/>
    <col min="12" max="12" width="15.5703125" style="30" bestFit="1" customWidth="1"/>
    <col min="13" max="13" width="18" style="30" bestFit="1" customWidth="1"/>
    <col min="14" max="19" width="9.140625" style="30"/>
    <col min="20" max="20" width="14.5703125" style="30" bestFit="1" customWidth="1"/>
    <col min="21" max="21" width="11.7109375" style="30" bestFit="1" customWidth="1"/>
    <col min="22" max="16384" width="9.140625" style="30"/>
  </cols>
  <sheetData>
    <row r="1" spans="1:28">
      <c r="A1" s="28" t="s">
        <v>522</v>
      </c>
      <c r="B1" s="29">
        <v>43211</v>
      </c>
      <c r="K1" s="28" t="s">
        <v>522</v>
      </c>
      <c r="L1" s="29">
        <v>43213</v>
      </c>
      <c r="N1" s="35" t="s">
        <v>614</v>
      </c>
      <c r="O1" s="35" t="s">
        <v>615</v>
      </c>
    </row>
    <row r="2" spans="1:28" hidden="1"/>
    <row r="3" spans="1:28" hidden="1">
      <c r="B3" s="28" t="s">
        <v>549</v>
      </c>
      <c r="L3" s="28" t="s">
        <v>549</v>
      </c>
    </row>
    <row r="4" spans="1:28">
      <c r="A4" s="28" t="s">
        <v>546</v>
      </c>
      <c r="B4" s="30" t="s">
        <v>548</v>
      </c>
      <c r="C4" s="30" t="s">
        <v>550</v>
      </c>
      <c r="K4" s="28" t="s">
        <v>546</v>
      </c>
      <c r="L4" s="30" t="s">
        <v>548</v>
      </c>
      <c r="M4" s="30" t="s">
        <v>550</v>
      </c>
      <c r="N4" s="35" t="s">
        <v>584</v>
      </c>
      <c r="Q4" s="39" t="s">
        <v>608</v>
      </c>
      <c r="R4" s="39" t="s">
        <v>607</v>
      </c>
      <c r="T4" s="35" t="s">
        <v>609</v>
      </c>
      <c r="U4" s="35">
        <v>12500</v>
      </c>
    </row>
    <row r="5" spans="1:28">
      <c r="A5" s="31" t="s">
        <v>528</v>
      </c>
      <c r="B5" s="32">
        <v>2.92</v>
      </c>
      <c r="C5" s="32">
        <v>113.3116</v>
      </c>
      <c r="K5" s="31" t="s">
        <v>712</v>
      </c>
      <c r="L5" s="32">
        <v>150.81499999999997</v>
      </c>
      <c r="M5" s="33">
        <v>6316.4364999999998</v>
      </c>
      <c r="N5" s="34" t="e">
        <f>M5/$M$19</f>
        <v>#DIV/0!</v>
      </c>
      <c r="O5" s="34" t="e">
        <f>M5/$M$19</f>
        <v>#DIV/0!</v>
      </c>
      <c r="Q5" s="39" t="s">
        <v>590</v>
      </c>
      <c r="R5" s="40">
        <f>31000/30</f>
        <v>1033.3333333333333</v>
      </c>
      <c r="S5" s="34"/>
      <c r="T5" s="36" t="s">
        <v>610</v>
      </c>
      <c r="U5" s="30">
        <v>900</v>
      </c>
      <c r="AB5" s="35">
        <f>SUM(AB6:AB117)</f>
        <v>118000</v>
      </c>
    </row>
    <row r="6" spans="1:28">
      <c r="A6" s="31" t="s">
        <v>555</v>
      </c>
      <c r="B6" s="32">
        <v>8.1999999999999993</v>
      </c>
      <c r="C6" s="32">
        <v>26.8</v>
      </c>
      <c r="K6" s="47" t="s">
        <v>528</v>
      </c>
      <c r="L6" s="32">
        <v>1.9649999999999999</v>
      </c>
      <c r="M6" s="33">
        <v>59.089750000000002</v>
      </c>
      <c r="N6" s="34" t="e">
        <f t="shared" ref="N6:N18" si="0">M6/$M$19</f>
        <v>#DIV/0!</v>
      </c>
      <c r="O6" s="34" t="e">
        <f t="shared" ref="O6:O18" si="1">M6/$M$19</f>
        <v>#DIV/0!</v>
      </c>
      <c r="Q6" s="39" t="s">
        <v>591</v>
      </c>
      <c r="R6" s="40">
        <f>AB5/30</f>
        <v>3933.3333333333335</v>
      </c>
      <c r="T6" s="36" t="s">
        <v>611</v>
      </c>
      <c r="U6" s="35">
        <f>U4-U5</f>
        <v>11600</v>
      </c>
      <c r="AA6" s="30" t="s">
        <v>594</v>
      </c>
      <c r="AB6" s="30">
        <v>20000</v>
      </c>
    </row>
    <row r="7" spans="1:28">
      <c r="A7" s="31" t="s">
        <v>542</v>
      </c>
      <c r="B7" s="32">
        <v>5.8</v>
      </c>
      <c r="C7" s="32">
        <v>316</v>
      </c>
      <c r="K7" s="47" t="s">
        <v>555</v>
      </c>
      <c r="L7" s="32">
        <v>8.5</v>
      </c>
      <c r="M7" s="33">
        <v>31</v>
      </c>
      <c r="N7" s="34" t="e">
        <f t="shared" si="0"/>
        <v>#DIV/0!</v>
      </c>
      <c r="O7" s="34" t="e">
        <f t="shared" si="1"/>
        <v>#DIV/0!</v>
      </c>
      <c r="Q7" s="39" t="s">
        <v>605</v>
      </c>
      <c r="R7" s="40">
        <f>12000/30</f>
        <v>400</v>
      </c>
      <c r="AA7" s="30" t="s">
        <v>595</v>
      </c>
      <c r="AB7" s="30">
        <v>15000</v>
      </c>
    </row>
    <row r="8" spans="1:28">
      <c r="A8" s="31" t="s">
        <v>543</v>
      </c>
      <c r="B8" s="32">
        <v>14.695</v>
      </c>
      <c r="C8" s="32">
        <v>610</v>
      </c>
      <c r="K8" s="47" t="s">
        <v>543</v>
      </c>
      <c r="L8" s="32">
        <v>27.300000000000004</v>
      </c>
      <c r="M8" s="33">
        <v>1190</v>
      </c>
      <c r="N8" s="34" t="e">
        <f t="shared" si="0"/>
        <v>#DIV/0!</v>
      </c>
      <c r="O8" s="34" t="e">
        <f t="shared" si="1"/>
        <v>#DIV/0!</v>
      </c>
      <c r="Q8" s="39" t="s">
        <v>606</v>
      </c>
      <c r="R8" s="40">
        <f>1200/30</f>
        <v>40</v>
      </c>
      <c r="AA8" s="30" t="s">
        <v>592</v>
      </c>
      <c r="AB8" s="30">
        <v>13000</v>
      </c>
    </row>
    <row r="9" spans="1:28">
      <c r="A9" s="31" t="s">
        <v>525</v>
      </c>
      <c r="B9" s="32">
        <v>67.98</v>
      </c>
      <c r="C9" s="32">
        <v>3501.3334000000004</v>
      </c>
      <c r="K9" s="47" t="s">
        <v>525</v>
      </c>
      <c r="L9" s="32">
        <v>72.319999999999979</v>
      </c>
      <c r="M9" s="33">
        <v>3071.7384000000002</v>
      </c>
      <c r="N9" s="34" t="e">
        <f t="shared" si="0"/>
        <v>#DIV/0!</v>
      </c>
      <c r="O9" s="34" t="e">
        <f t="shared" si="1"/>
        <v>#DIV/0!</v>
      </c>
      <c r="R9" s="30">
        <f>SUM(R5:R8)</f>
        <v>5406.666666666667</v>
      </c>
      <c r="T9" s="41" t="s">
        <v>612</v>
      </c>
      <c r="U9" s="42">
        <f>U6-(M19+R9)</f>
        <v>6193.333333333333</v>
      </c>
      <c r="AA9" s="30" t="s">
        <v>593</v>
      </c>
      <c r="AB9" s="30">
        <v>3000</v>
      </c>
    </row>
    <row r="10" spans="1:28">
      <c r="A10" s="31" t="s">
        <v>336</v>
      </c>
      <c r="B10" s="32">
        <v>33.42</v>
      </c>
      <c r="C10" s="32">
        <v>1534.5137500000001</v>
      </c>
      <c r="K10" s="47" t="s">
        <v>336</v>
      </c>
      <c r="L10" s="32">
        <v>37.729999999999997</v>
      </c>
      <c r="M10" s="33">
        <v>1817.60835</v>
      </c>
      <c r="N10" s="34" t="e">
        <f t="shared" si="0"/>
        <v>#DIV/0!</v>
      </c>
      <c r="O10" s="34" t="e">
        <f t="shared" si="1"/>
        <v>#DIV/0!</v>
      </c>
      <c r="T10" s="41" t="s">
        <v>613</v>
      </c>
      <c r="U10" s="42">
        <f>U9*12</f>
        <v>74320</v>
      </c>
      <c r="AA10" s="30" t="s">
        <v>596</v>
      </c>
      <c r="AB10" s="30">
        <v>7000</v>
      </c>
    </row>
    <row r="11" spans="1:28">
      <c r="A11" s="31" t="s">
        <v>710</v>
      </c>
      <c r="B11" s="32">
        <v>3</v>
      </c>
      <c r="C11" s="32">
        <v>42</v>
      </c>
      <c r="K11" s="47" t="s">
        <v>710</v>
      </c>
      <c r="L11" s="32">
        <v>1</v>
      </c>
      <c r="M11" s="33">
        <v>75</v>
      </c>
      <c r="N11" s="34" t="e">
        <f t="shared" si="0"/>
        <v>#DIV/0!</v>
      </c>
      <c r="O11" s="34" t="e">
        <f t="shared" si="1"/>
        <v>#DIV/0!</v>
      </c>
      <c r="AA11" s="30" t="s">
        <v>597</v>
      </c>
      <c r="AB11" s="30">
        <v>5000</v>
      </c>
    </row>
    <row r="12" spans="1:28">
      <c r="A12" s="31" t="s">
        <v>713</v>
      </c>
      <c r="B12" s="32">
        <v>2</v>
      </c>
      <c r="C12" s="32">
        <v>72</v>
      </c>
      <c r="K12" s="47" t="s">
        <v>713</v>
      </c>
      <c r="L12" s="32">
        <v>2</v>
      </c>
      <c r="M12" s="33">
        <v>72</v>
      </c>
      <c r="N12" s="34" t="e">
        <f t="shared" si="0"/>
        <v>#DIV/0!</v>
      </c>
      <c r="O12" s="34" t="e">
        <f t="shared" si="1"/>
        <v>#DIV/0!</v>
      </c>
      <c r="AA12" s="30" t="s">
        <v>598</v>
      </c>
      <c r="AB12" s="30">
        <v>12000</v>
      </c>
    </row>
    <row r="13" spans="1:28">
      <c r="A13" s="31" t="s">
        <v>547</v>
      </c>
      <c r="B13" s="32">
        <v>138.01499999999999</v>
      </c>
      <c r="C13" s="32">
        <v>6215.9587500000007</v>
      </c>
      <c r="K13" s="31" t="s">
        <v>547</v>
      </c>
      <c r="L13" s="37">
        <v>150.81499999999997</v>
      </c>
      <c r="M13" s="38">
        <v>6316.4364999999998</v>
      </c>
      <c r="N13" s="34" t="e">
        <f t="shared" si="0"/>
        <v>#DIV/0!</v>
      </c>
      <c r="O13" s="34" t="e">
        <f t="shared" si="1"/>
        <v>#DIV/0!</v>
      </c>
      <c r="AA13" s="30" t="s">
        <v>599</v>
      </c>
      <c r="AB13" s="30">
        <v>7000</v>
      </c>
    </row>
    <row r="14" spans="1:28" ht="15">
      <c r="K14"/>
      <c r="L14"/>
      <c r="M14"/>
      <c r="N14" s="34" t="e">
        <f t="shared" si="0"/>
        <v>#DIV/0!</v>
      </c>
      <c r="O14" s="34" t="e">
        <f t="shared" si="1"/>
        <v>#DIV/0!</v>
      </c>
      <c r="AA14" s="30" t="s">
        <v>600</v>
      </c>
      <c r="AB14" s="30">
        <v>6000</v>
      </c>
    </row>
    <row r="15" spans="1:28" ht="15">
      <c r="K15"/>
      <c r="L15"/>
      <c r="M15"/>
      <c r="N15" s="34" t="e">
        <f t="shared" si="0"/>
        <v>#DIV/0!</v>
      </c>
      <c r="O15" s="34" t="e">
        <f t="shared" si="1"/>
        <v>#DIV/0!</v>
      </c>
      <c r="AA15" s="30" t="s">
        <v>601</v>
      </c>
      <c r="AB15" s="30">
        <v>9000</v>
      </c>
    </row>
    <row r="16" spans="1:28" ht="15">
      <c r="K16"/>
      <c r="L16"/>
      <c r="M16"/>
      <c r="N16" s="34" t="e">
        <f t="shared" si="0"/>
        <v>#DIV/0!</v>
      </c>
      <c r="O16" s="34" t="e">
        <f t="shared" si="1"/>
        <v>#DIV/0!</v>
      </c>
      <c r="AA16" s="30" t="s">
        <v>602</v>
      </c>
      <c r="AB16" s="30">
        <v>7000</v>
      </c>
    </row>
    <row r="17" spans="11:28" ht="15">
      <c r="K17"/>
      <c r="L17"/>
      <c r="M17"/>
      <c r="N17" s="34" t="e">
        <f t="shared" si="0"/>
        <v>#DIV/0!</v>
      </c>
      <c r="O17" s="34" t="e">
        <f t="shared" si="1"/>
        <v>#DIV/0!</v>
      </c>
      <c r="AA17" s="30" t="s">
        <v>603</v>
      </c>
      <c r="AB17" s="30">
        <v>5000</v>
      </c>
    </row>
    <row r="18" spans="11:28" ht="15">
      <c r="K18"/>
      <c r="L18"/>
      <c r="M18"/>
      <c r="N18" s="34" t="e">
        <f t="shared" si="0"/>
        <v>#DIV/0!</v>
      </c>
      <c r="O18" s="34" t="e">
        <f t="shared" si="1"/>
        <v>#DIV/0!</v>
      </c>
      <c r="AA18" s="30" t="s">
        <v>604</v>
      </c>
      <c r="AB18" s="30">
        <v>9000</v>
      </c>
    </row>
    <row r="19" spans="11:28" ht="15">
      <c r="K19"/>
      <c r="L19"/>
      <c r="M19"/>
    </row>
    <row r="20" spans="11:28" ht="15">
      <c r="K20"/>
      <c r="L20"/>
      <c r="M20"/>
    </row>
    <row r="21" spans="11:28" ht="15">
      <c r="K21"/>
      <c r="L21"/>
      <c r="M21"/>
    </row>
    <row r="22" spans="11:28" ht="15">
      <c r="K22"/>
      <c r="L22"/>
      <c r="M22"/>
    </row>
    <row r="23" spans="11:28" ht="15">
      <c r="K23"/>
      <c r="L23"/>
      <c r="M23"/>
    </row>
    <row r="24" spans="11:28" ht="15">
      <c r="K24"/>
      <c r="L24"/>
      <c r="M24"/>
    </row>
    <row r="25" spans="11:28" ht="15">
      <c r="K25"/>
      <c r="L25"/>
      <c r="M25"/>
    </row>
    <row r="26" spans="11:28" ht="15">
      <c r="K26"/>
      <c r="L26"/>
      <c r="M26"/>
    </row>
    <row r="27" spans="11:28" ht="15">
      <c r="K27"/>
      <c r="L27"/>
      <c r="M27"/>
    </row>
    <row r="28" spans="11:28" ht="15">
      <c r="K28"/>
      <c r="L28"/>
      <c r="M28"/>
    </row>
    <row r="29" spans="11:28" ht="15">
      <c r="K29"/>
      <c r="L29"/>
      <c r="M29"/>
    </row>
    <row r="30" spans="11:28" ht="15">
      <c r="K30"/>
      <c r="L30"/>
      <c r="M30"/>
    </row>
    <row r="31" spans="11:28" ht="15">
      <c r="K31"/>
      <c r="L31"/>
      <c r="M31"/>
    </row>
    <row r="32" spans="11:28" ht="15">
      <c r="K32"/>
      <c r="L32"/>
      <c r="M32"/>
    </row>
    <row r="33" spans="11:13" ht="15">
      <c r="K33"/>
      <c r="L33"/>
      <c r="M33"/>
    </row>
    <row r="34" spans="11:13" ht="15">
      <c r="K34"/>
      <c r="L34"/>
      <c r="M34"/>
    </row>
    <row r="35" spans="11:13" ht="15">
      <c r="K35"/>
      <c r="L35"/>
      <c r="M35"/>
    </row>
    <row r="36" spans="11:13" ht="15">
      <c r="K36"/>
      <c r="L36"/>
      <c r="M36"/>
    </row>
    <row r="37" spans="11:13" ht="15">
      <c r="K37"/>
      <c r="L37"/>
      <c r="M37"/>
    </row>
    <row r="38" spans="11:13" ht="15">
      <c r="K38"/>
      <c r="L38"/>
      <c r="M38"/>
    </row>
    <row r="39" spans="11:13" ht="15">
      <c r="K39"/>
      <c r="L39"/>
      <c r="M39"/>
    </row>
    <row r="40" spans="11:13" ht="15">
      <c r="K40"/>
      <c r="L40"/>
      <c r="M40"/>
    </row>
    <row r="41" spans="11:13" ht="15">
      <c r="K41"/>
      <c r="L41"/>
      <c r="M41"/>
    </row>
    <row r="42" spans="11:13" ht="15">
      <c r="K42"/>
      <c r="L42"/>
      <c r="M42"/>
    </row>
    <row r="43" spans="11:13" ht="15">
      <c r="K43"/>
      <c r="L43"/>
      <c r="M43"/>
    </row>
    <row r="44" spans="11:13" ht="15">
      <c r="K44"/>
      <c r="L44"/>
      <c r="M44"/>
    </row>
    <row r="45" spans="11:13" ht="15">
      <c r="K45"/>
      <c r="L45"/>
      <c r="M45"/>
    </row>
    <row r="46" spans="11:13" ht="15">
      <c r="K46"/>
      <c r="L46"/>
      <c r="M46"/>
    </row>
    <row r="47" spans="11:13" ht="15">
      <c r="K47"/>
      <c r="L47"/>
      <c r="M47"/>
    </row>
    <row r="48" spans="11:13" ht="15">
      <c r="K48"/>
      <c r="L48"/>
      <c r="M48"/>
    </row>
    <row r="49" spans="11:13" ht="15">
      <c r="K49"/>
      <c r="L49"/>
      <c r="M49"/>
    </row>
    <row r="50" spans="11:13" ht="15">
      <c r="K50"/>
      <c r="L50"/>
      <c r="M50"/>
    </row>
    <row r="51" spans="11:13" ht="15">
      <c r="K51"/>
      <c r="L51"/>
      <c r="M51"/>
    </row>
    <row r="52" spans="11:13" ht="15">
      <c r="K52"/>
      <c r="L52"/>
      <c r="M52"/>
    </row>
    <row r="53" spans="11:13" ht="15">
      <c r="K53"/>
      <c r="L53"/>
      <c r="M53"/>
    </row>
    <row r="54" spans="11:13" ht="15">
      <c r="K54"/>
      <c r="L54"/>
      <c r="M54"/>
    </row>
    <row r="55" spans="11:13" ht="15">
      <c r="K55"/>
      <c r="L55"/>
      <c r="M55"/>
    </row>
    <row r="56" spans="11:13" ht="15">
      <c r="K56"/>
      <c r="L56"/>
      <c r="M56"/>
    </row>
    <row r="57" spans="11:13" ht="15">
      <c r="K57"/>
      <c r="L57"/>
      <c r="M57"/>
    </row>
    <row r="58" spans="11:13" ht="15">
      <c r="K58"/>
      <c r="L58"/>
      <c r="M58"/>
    </row>
    <row r="59" spans="11:13" ht="15">
      <c r="K59"/>
      <c r="L59"/>
      <c r="M59"/>
    </row>
    <row r="60" spans="11:13" ht="15">
      <c r="K60"/>
      <c r="L60"/>
      <c r="M60"/>
    </row>
    <row r="61" spans="11:13" ht="15">
      <c r="K61"/>
      <c r="L61"/>
      <c r="M61"/>
    </row>
    <row r="62" spans="11:13" ht="15">
      <c r="K62"/>
      <c r="L62"/>
      <c r="M62"/>
    </row>
    <row r="63" spans="11:13" ht="15">
      <c r="K63"/>
      <c r="L63"/>
      <c r="M63"/>
    </row>
    <row r="64" spans="11:13" ht="15">
      <c r="K64"/>
      <c r="L64"/>
      <c r="M64"/>
    </row>
    <row r="65" spans="11:13" ht="15">
      <c r="K65"/>
      <c r="L65"/>
      <c r="M65"/>
    </row>
  </sheetData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>
      <selection activeCell="D10" sqref="D10"/>
    </sheetView>
  </sheetViews>
  <sheetFormatPr defaultRowHeight="15"/>
  <cols>
    <col min="1" max="1" width="13.140625" customWidth="1"/>
    <col min="2" max="2" width="19.85546875" customWidth="1"/>
  </cols>
  <sheetData>
    <row r="1" spans="1:13">
      <c r="A1" s="51" t="s">
        <v>715</v>
      </c>
      <c r="B1" t="s">
        <v>717</v>
      </c>
    </row>
    <row r="2" spans="1:13">
      <c r="A2" s="51" t="s">
        <v>522</v>
      </c>
      <c r="B2" s="62">
        <v>43215</v>
      </c>
    </row>
    <row r="4" spans="1:13">
      <c r="A4" s="51" t="s">
        <v>546</v>
      </c>
      <c r="B4" t="s">
        <v>550</v>
      </c>
    </row>
    <row r="5" spans="1:13">
      <c r="A5" s="18" t="s">
        <v>336</v>
      </c>
      <c r="B5" s="19">
        <v>1071.0923499999999</v>
      </c>
      <c r="D5">
        <f>0.32*GETPIVOTDATA("Total Amount",$A$3)</f>
        <v>342.74955199999999</v>
      </c>
      <c r="E5" t="s">
        <v>718</v>
      </c>
      <c r="K5">
        <v>6000</v>
      </c>
      <c r="L5">
        <f>K5/30</f>
        <v>200</v>
      </c>
      <c r="M5">
        <f>L5/5</f>
        <v>40</v>
      </c>
    </row>
    <row r="6" spans="1:13">
      <c r="A6" s="18" t="s">
        <v>547</v>
      </c>
      <c r="B6" s="19">
        <v>1071.0923499999999</v>
      </c>
      <c r="D6">
        <v>65</v>
      </c>
      <c r="E6" t="s">
        <v>591</v>
      </c>
      <c r="L6">
        <f>0.32*L5</f>
        <v>64</v>
      </c>
    </row>
    <row r="7" spans="1:13">
      <c r="D7">
        <v>100</v>
      </c>
      <c r="E7" t="s">
        <v>719</v>
      </c>
      <c r="G7">
        <f>15000/30</f>
        <v>500</v>
      </c>
      <c r="H7">
        <f>G7/22</f>
        <v>22.727272727272727</v>
      </c>
      <c r="I7">
        <f>H7*5</f>
        <v>113.63636363636363</v>
      </c>
      <c r="J7">
        <f>I7*0.32</f>
        <v>36.36363636363636</v>
      </c>
    </row>
    <row r="8" spans="1:13">
      <c r="D8">
        <f>SUM(D5:D7)</f>
        <v>507.74955199999999</v>
      </c>
      <c r="G8">
        <v>25</v>
      </c>
      <c r="H8">
        <f>G8*8</f>
        <v>200</v>
      </c>
    </row>
    <row r="10" spans="1:13">
      <c r="D10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A2776"/>
  <sheetViews>
    <sheetView workbookViewId="0">
      <pane xSplit="2" ySplit="1" topLeftCell="C2723" activePane="bottomRight" state="frozen"/>
      <selection pane="topRight" activeCell="C1" sqref="C1"/>
      <selection pane="bottomLeft" activeCell="A2" sqref="A2"/>
      <selection pane="bottomRight" activeCell="A2742" sqref="A2742"/>
    </sheetView>
  </sheetViews>
  <sheetFormatPr defaultRowHeight="15"/>
  <cols>
    <col min="1" max="1" width="9.5703125" style="17" bestFit="1" customWidth="1"/>
    <col min="2" max="2" width="62" customWidth="1"/>
    <col min="3" max="3" width="10" customWidth="1"/>
    <col min="4" max="4" width="9.140625" customWidth="1"/>
    <col min="7" max="7" width="13.140625" bestFit="1" customWidth="1"/>
    <col min="16379" max="16379" width="64.5703125" bestFit="1" customWidth="1"/>
  </cols>
  <sheetData>
    <row r="1" spans="1:14 16379:16381">
      <c r="A1" s="20" t="s">
        <v>522</v>
      </c>
      <c r="B1" s="6" t="s">
        <v>365</v>
      </c>
      <c r="C1" s="6" t="s">
        <v>521</v>
      </c>
      <c r="D1" s="6" t="s">
        <v>523</v>
      </c>
      <c r="E1" s="6" t="s">
        <v>524</v>
      </c>
      <c r="F1" s="6" t="s">
        <v>366</v>
      </c>
      <c r="G1" s="6" t="s">
        <v>529</v>
      </c>
      <c r="H1" s="6" t="s">
        <v>532</v>
      </c>
      <c r="I1" s="6" t="s">
        <v>619</v>
      </c>
      <c r="J1" s="6" t="s">
        <v>620</v>
      </c>
      <c r="K1" s="6" t="s">
        <v>674</v>
      </c>
      <c r="L1" s="6" t="s">
        <v>677</v>
      </c>
      <c r="M1" s="6" t="s">
        <v>714</v>
      </c>
      <c r="N1" s="6" t="s">
        <v>715</v>
      </c>
    </row>
    <row r="2" spans="1:14 16379:16381">
      <c r="A2" s="17">
        <v>43191</v>
      </c>
      <c r="B2" t="s">
        <v>432</v>
      </c>
      <c r="C2">
        <f t="shared" ref="C2:C65" si="0">IF(B2="","",VLOOKUP(B2,$XEY$3:$XEZ$156,2,FALSE))</f>
        <v>14</v>
      </c>
      <c r="D2">
        <v>19</v>
      </c>
      <c r="E2" t="s">
        <v>525</v>
      </c>
      <c r="F2" t="s">
        <v>526</v>
      </c>
      <c r="G2">
        <f>C2*D2</f>
        <v>266</v>
      </c>
      <c r="H2" t="str">
        <f>IF(B2="","",VLOOKUP(B2,$XEY$3:$XFA$1200,3,FALSE))</f>
        <v>Vegetable</v>
      </c>
      <c r="XEY2" s="6" t="s">
        <v>365</v>
      </c>
      <c r="XEZ2" s="6" t="s">
        <v>521</v>
      </c>
      <c r="XFA2" s="6" t="s">
        <v>532</v>
      </c>
    </row>
    <row r="3" spans="1:14 16379:16381">
      <c r="A3" s="17">
        <v>43191</v>
      </c>
      <c r="B3" t="s">
        <v>390</v>
      </c>
      <c r="C3">
        <f t="shared" si="0"/>
        <v>30</v>
      </c>
      <c r="D3">
        <v>1</v>
      </c>
      <c r="E3" t="s">
        <v>525</v>
      </c>
      <c r="F3" t="s">
        <v>526</v>
      </c>
      <c r="G3">
        <f t="shared" ref="G3:G66" si="1">C3*D3</f>
        <v>30</v>
      </c>
      <c r="H3" t="str">
        <f t="shared" ref="H3:H66" si="2">IF(B3="","",VLOOKUP(B3,$XEY$3:$XFA$1200,3,FALSE))</f>
        <v>Vegetable</v>
      </c>
      <c r="XEY3" t="s">
        <v>367</v>
      </c>
      <c r="XEZ3">
        <v>55</v>
      </c>
      <c r="XFA3" t="s">
        <v>533</v>
      </c>
    </row>
    <row r="4" spans="1:14 16379:16381">
      <c r="A4" s="17">
        <v>43191</v>
      </c>
      <c r="B4" t="s">
        <v>430</v>
      </c>
      <c r="C4">
        <f t="shared" si="0"/>
        <v>30</v>
      </c>
      <c r="D4">
        <v>0.5</v>
      </c>
      <c r="E4" t="s">
        <v>525</v>
      </c>
      <c r="F4" t="s">
        <v>526</v>
      </c>
      <c r="G4">
        <f t="shared" si="1"/>
        <v>15</v>
      </c>
      <c r="H4" t="str">
        <f t="shared" si="2"/>
        <v>Vegetable</v>
      </c>
      <c r="XEY4" t="s">
        <v>368</v>
      </c>
      <c r="XEZ4">
        <v>100</v>
      </c>
      <c r="XFA4" t="s">
        <v>533</v>
      </c>
    </row>
    <row r="5" spans="1:14 16379:16381">
      <c r="A5" s="17">
        <v>43191</v>
      </c>
      <c r="B5" t="s">
        <v>435</v>
      </c>
      <c r="C5">
        <f t="shared" si="0"/>
        <v>17</v>
      </c>
      <c r="D5">
        <v>1</v>
      </c>
      <c r="E5" t="s">
        <v>525</v>
      </c>
      <c r="F5" t="s">
        <v>526</v>
      </c>
      <c r="G5">
        <f t="shared" si="1"/>
        <v>17</v>
      </c>
      <c r="H5" t="str">
        <f t="shared" si="2"/>
        <v>Dry Grocery</v>
      </c>
      <c r="XEY5" t="s">
        <v>369</v>
      </c>
      <c r="XEZ5">
        <v>31</v>
      </c>
      <c r="XFA5" t="s">
        <v>533</v>
      </c>
    </row>
    <row r="6" spans="1:14 16379:16381">
      <c r="A6" s="17">
        <v>43191</v>
      </c>
      <c r="B6" t="s">
        <v>478</v>
      </c>
      <c r="C6">
        <f t="shared" si="0"/>
        <v>180</v>
      </c>
      <c r="D6">
        <v>0.5</v>
      </c>
      <c r="E6" t="s">
        <v>525</v>
      </c>
      <c r="F6" t="s">
        <v>526</v>
      </c>
      <c r="G6">
        <f t="shared" si="1"/>
        <v>90</v>
      </c>
      <c r="H6" t="str">
        <f t="shared" si="2"/>
        <v>Dry Grocery</v>
      </c>
      <c r="XEY6" t="s">
        <v>370</v>
      </c>
      <c r="XEZ6">
        <v>55</v>
      </c>
      <c r="XFA6" t="s">
        <v>534</v>
      </c>
    </row>
    <row r="7" spans="1:14 16379:16381">
      <c r="A7" s="17">
        <v>43191</v>
      </c>
      <c r="B7" t="s">
        <v>411</v>
      </c>
      <c r="C7">
        <f t="shared" si="0"/>
        <v>49.5</v>
      </c>
      <c r="D7">
        <v>0.1</v>
      </c>
      <c r="E7" t="s">
        <v>525</v>
      </c>
      <c r="F7" t="s">
        <v>526</v>
      </c>
      <c r="G7">
        <f t="shared" si="1"/>
        <v>4.95</v>
      </c>
      <c r="H7" t="str">
        <f t="shared" si="2"/>
        <v>Dry Grocery</v>
      </c>
      <c r="XEY7" t="s">
        <v>371</v>
      </c>
      <c r="XEZ7">
        <v>23.33</v>
      </c>
      <c r="XFA7" t="s">
        <v>535</v>
      </c>
    </row>
    <row r="8" spans="1:14 16379:16381">
      <c r="A8" s="17">
        <v>43191</v>
      </c>
      <c r="B8" t="s">
        <v>393</v>
      </c>
      <c r="C8">
        <f t="shared" si="0"/>
        <v>26</v>
      </c>
      <c r="D8">
        <f>8+6.4</f>
        <v>14.4</v>
      </c>
      <c r="E8" t="s">
        <v>525</v>
      </c>
      <c r="F8" t="s">
        <v>526</v>
      </c>
      <c r="G8">
        <f t="shared" si="1"/>
        <v>374.40000000000003</v>
      </c>
      <c r="H8" t="str">
        <f t="shared" si="2"/>
        <v>Heating</v>
      </c>
      <c r="XEY8" t="s">
        <v>372</v>
      </c>
      <c r="XEZ8">
        <v>33</v>
      </c>
      <c r="XFA8" t="s">
        <v>534</v>
      </c>
    </row>
    <row r="9" spans="1:14 16379:16381">
      <c r="A9" s="17">
        <v>43191</v>
      </c>
      <c r="B9" t="s">
        <v>491</v>
      </c>
      <c r="C9">
        <f t="shared" si="0"/>
        <v>38</v>
      </c>
      <c r="D9">
        <v>1</v>
      </c>
      <c r="E9" t="s">
        <v>525</v>
      </c>
      <c r="F9" t="s">
        <v>526</v>
      </c>
      <c r="G9">
        <f t="shared" si="1"/>
        <v>38</v>
      </c>
      <c r="H9" t="str">
        <f t="shared" si="2"/>
        <v>Vegetable</v>
      </c>
      <c r="XEY9" t="s">
        <v>373</v>
      </c>
      <c r="XEZ9">
        <v>33</v>
      </c>
      <c r="XFA9" t="s">
        <v>534</v>
      </c>
    </row>
    <row r="10" spans="1:14 16379:16381">
      <c r="A10" s="17">
        <v>43191</v>
      </c>
      <c r="B10" t="s">
        <v>463</v>
      </c>
      <c r="C10">
        <f t="shared" si="0"/>
        <v>29.51</v>
      </c>
      <c r="D10">
        <f>2.5+0.5+0.5</f>
        <v>3.5</v>
      </c>
      <c r="E10" t="s">
        <v>525</v>
      </c>
      <c r="F10" t="s">
        <v>526</v>
      </c>
      <c r="G10">
        <f t="shared" si="1"/>
        <v>103.28500000000001</v>
      </c>
      <c r="H10" t="str">
        <f t="shared" si="2"/>
        <v>Dry Grocery</v>
      </c>
      <c r="XEY10" t="s">
        <v>374</v>
      </c>
      <c r="XEZ10">
        <v>189</v>
      </c>
      <c r="XFA10" t="s">
        <v>534</v>
      </c>
    </row>
    <row r="11" spans="1:14 16379:16381">
      <c r="A11" s="17">
        <v>43191</v>
      </c>
      <c r="B11" t="s">
        <v>476</v>
      </c>
      <c r="C11">
        <f t="shared" si="0"/>
        <v>14.75</v>
      </c>
      <c r="D11">
        <v>0.3</v>
      </c>
      <c r="E11" t="s">
        <v>525</v>
      </c>
      <c r="F11" t="s">
        <v>526</v>
      </c>
      <c r="G11">
        <f t="shared" si="1"/>
        <v>4.4249999999999998</v>
      </c>
      <c r="H11" t="str">
        <f t="shared" si="2"/>
        <v>Vegetable</v>
      </c>
      <c r="XEY11" t="s">
        <v>375</v>
      </c>
      <c r="XEZ11">
        <v>280</v>
      </c>
      <c r="XFA11" t="s">
        <v>533</v>
      </c>
    </row>
    <row r="12" spans="1:14 16379:16381">
      <c r="A12" s="17">
        <v>43191</v>
      </c>
      <c r="B12" t="s">
        <v>394</v>
      </c>
      <c r="C12">
        <f t="shared" si="0"/>
        <v>45</v>
      </c>
      <c r="D12">
        <v>1</v>
      </c>
      <c r="E12" t="s">
        <v>525</v>
      </c>
      <c r="F12" t="s">
        <v>526</v>
      </c>
      <c r="G12">
        <f t="shared" si="1"/>
        <v>45</v>
      </c>
      <c r="H12" t="str">
        <f t="shared" si="2"/>
        <v>Dry Grocery</v>
      </c>
      <c r="XEY12" t="s">
        <v>376</v>
      </c>
      <c r="XEZ12">
        <v>220</v>
      </c>
      <c r="XFA12" t="s">
        <v>536</v>
      </c>
    </row>
    <row r="13" spans="1:14 16379:16381">
      <c r="A13" s="17">
        <v>43191</v>
      </c>
      <c r="B13" t="s">
        <v>386</v>
      </c>
      <c r="C13">
        <f t="shared" si="0"/>
        <v>82</v>
      </c>
      <c r="D13">
        <v>3</v>
      </c>
      <c r="E13" t="s">
        <v>525</v>
      </c>
      <c r="F13" t="s">
        <v>526</v>
      </c>
      <c r="G13">
        <f t="shared" si="1"/>
        <v>246</v>
      </c>
      <c r="H13" t="str">
        <f t="shared" si="2"/>
        <v>Oil</v>
      </c>
      <c r="XEY13" t="s">
        <v>377</v>
      </c>
      <c r="XEZ13">
        <v>740</v>
      </c>
      <c r="XFA13" t="s">
        <v>536</v>
      </c>
    </row>
    <row r="14" spans="1:14 16379:16381">
      <c r="A14" s="17">
        <v>43191</v>
      </c>
      <c r="B14" t="s">
        <v>427</v>
      </c>
      <c r="C14">
        <f t="shared" si="0"/>
        <v>28</v>
      </c>
      <c r="D14">
        <v>1</v>
      </c>
      <c r="E14" t="s">
        <v>525</v>
      </c>
      <c r="F14" t="s">
        <v>526</v>
      </c>
      <c r="G14">
        <f t="shared" si="1"/>
        <v>28</v>
      </c>
      <c r="H14" t="str">
        <f t="shared" si="2"/>
        <v>Vegetable</v>
      </c>
      <c r="XEY14" t="s">
        <v>378</v>
      </c>
      <c r="XEZ14">
        <v>25</v>
      </c>
      <c r="XFA14" t="s">
        <v>535</v>
      </c>
    </row>
    <row r="15" spans="1:14 16379:16381">
      <c r="A15" s="17">
        <v>43191</v>
      </c>
      <c r="B15" t="s">
        <v>429</v>
      </c>
      <c r="C15">
        <f t="shared" si="0"/>
        <v>40</v>
      </c>
      <c r="D15">
        <v>0.25</v>
      </c>
      <c r="E15" t="s">
        <v>525</v>
      </c>
      <c r="F15" t="s">
        <v>526</v>
      </c>
      <c r="G15">
        <f t="shared" si="1"/>
        <v>10</v>
      </c>
      <c r="H15" t="str">
        <f t="shared" si="2"/>
        <v>Vegetable</v>
      </c>
      <c r="XEY15" t="s">
        <v>379</v>
      </c>
      <c r="XEZ15">
        <v>120</v>
      </c>
      <c r="XFA15" t="s">
        <v>533</v>
      </c>
    </row>
    <row r="16" spans="1:14 16379:16381">
      <c r="A16" s="17">
        <v>43191</v>
      </c>
      <c r="B16" t="s">
        <v>378</v>
      </c>
      <c r="C16">
        <f t="shared" si="0"/>
        <v>25</v>
      </c>
      <c r="D16">
        <v>0.3</v>
      </c>
      <c r="E16" t="s">
        <v>525</v>
      </c>
      <c r="F16" t="s">
        <v>526</v>
      </c>
      <c r="G16">
        <f t="shared" si="1"/>
        <v>7.5</v>
      </c>
      <c r="H16" t="str">
        <f t="shared" si="2"/>
        <v>Vegetable</v>
      </c>
      <c r="XEY16" t="s">
        <v>380</v>
      </c>
      <c r="XEZ16">
        <v>90</v>
      </c>
      <c r="XFA16" t="s">
        <v>533</v>
      </c>
    </row>
    <row r="17" spans="1:8 16379:16381">
      <c r="A17" s="17">
        <v>43191</v>
      </c>
      <c r="B17" t="s">
        <v>460</v>
      </c>
      <c r="C17">
        <f t="shared" si="0"/>
        <v>43.98</v>
      </c>
      <c r="D17">
        <v>0.3</v>
      </c>
      <c r="E17" t="s">
        <v>525</v>
      </c>
      <c r="F17" t="s">
        <v>526</v>
      </c>
      <c r="G17">
        <f t="shared" si="1"/>
        <v>13.193999999999999</v>
      </c>
      <c r="H17" t="str">
        <f t="shared" si="2"/>
        <v>Vegetable</v>
      </c>
      <c r="XEY17" t="s">
        <v>381</v>
      </c>
      <c r="XEZ17">
        <v>7</v>
      </c>
      <c r="XFA17" t="s">
        <v>533</v>
      </c>
    </row>
    <row r="18" spans="1:8 16379:16381">
      <c r="A18" s="17">
        <v>43191</v>
      </c>
      <c r="B18" t="s">
        <v>451</v>
      </c>
      <c r="C18">
        <f t="shared" si="0"/>
        <v>60</v>
      </c>
      <c r="D18">
        <v>0.7</v>
      </c>
      <c r="E18" t="s">
        <v>525</v>
      </c>
      <c r="F18" t="s">
        <v>526</v>
      </c>
      <c r="G18">
        <f t="shared" si="1"/>
        <v>42</v>
      </c>
      <c r="H18" t="str">
        <f t="shared" si="2"/>
        <v>Vegetable</v>
      </c>
      <c r="XEY18" t="s">
        <v>382</v>
      </c>
      <c r="XEZ18">
        <v>42</v>
      </c>
      <c r="XFA18" t="s">
        <v>537</v>
      </c>
    </row>
    <row r="19" spans="1:8 16379:16381">
      <c r="A19" s="17">
        <v>43191</v>
      </c>
      <c r="B19" t="s">
        <v>458</v>
      </c>
      <c r="C19">
        <f t="shared" si="0"/>
        <v>140</v>
      </c>
      <c r="D19">
        <v>0.5</v>
      </c>
      <c r="E19" t="s">
        <v>525</v>
      </c>
      <c r="F19" t="s">
        <v>526</v>
      </c>
      <c r="G19">
        <f t="shared" si="1"/>
        <v>70</v>
      </c>
      <c r="H19" t="str">
        <f t="shared" si="2"/>
        <v>Dairy</v>
      </c>
      <c r="XEY19" t="s">
        <v>383</v>
      </c>
      <c r="XEZ19">
        <v>230</v>
      </c>
      <c r="XFA19" t="s">
        <v>533</v>
      </c>
    </row>
    <row r="20" spans="1:8 16379:16381">
      <c r="A20" s="17">
        <v>43191</v>
      </c>
      <c r="B20" t="s">
        <v>487</v>
      </c>
      <c r="C20">
        <f t="shared" si="0"/>
        <v>40</v>
      </c>
      <c r="D20">
        <v>1</v>
      </c>
      <c r="E20" t="s">
        <v>525</v>
      </c>
      <c r="F20" t="s">
        <v>526</v>
      </c>
      <c r="G20">
        <f t="shared" si="1"/>
        <v>40</v>
      </c>
      <c r="H20" t="str">
        <f t="shared" si="2"/>
        <v>Dry Grocery</v>
      </c>
      <c r="XEY20" t="s">
        <v>384</v>
      </c>
      <c r="XEZ20">
        <v>3</v>
      </c>
      <c r="XFA20" t="s">
        <v>535</v>
      </c>
    </row>
    <row r="21" spans="1:8 16379:16381">
      <c r="A21" s="17">
        <v>43191</v>
      </c>
      <c r="B21" t="s">
        <v>371</v>
      </c>
      <c r="C21">
        <f t="shared" si="0"/>
        <v>23.33</v>
      </c>
      <c r="D21">
        <v>1</v>
      </c>
      <c r="E21" t="s">
        <v>525</v>
      </c>
      <c r="F21" t="s">
        <v>526</v>
      </c>
      <c r="G21">
        <f t="shared" si="1"/>
        <v>23.33</v>
      </c>
      <c r="H21" t="str">
        <f t="shared" si="2"/>
        <v>Vegetable</v>
      </c>
      <c r="XEY21" t="s">
        <v>385</v>
      </c>
      <c r="XEZ21">
        <v>36</v>
      </c>
      <c r="XFA21" t="s">
        <v>537</v>
      </c>
    </row>
    <row r="22" spans="1:8 16379:16381">
      <c r="A22" s="17">
        <v>43191</v>
      </c>
      <c r="B22" t="s">
        <v>383</v>
      </c>
      <c r="C22">
        <f t="shared" si="0"/>
        <v>230</v>
      </c>
      <c r="D22">
        <v>0.2</v>
      </c>
      <c r="E22" t="s">
        <v>525</v>
      </c>
      <c r="F22" t="s">
        <v>526</v>
      </c>
      <c r="G22">
        <f t="shared" si="1"/>
        <v>46</v>
      </c>
      <c r="H22" t="str">
        <f t="shared" si="2"/>
        <v>Dry Grocery</v>
      </c>
      <c r="XEY22" t="s">
        <v>386</v>
      </c>
      <c r="XEZ22">
        <v>82</v>
      </c>
      <c r="XFA22" t="s">
        <v>102</v>
      </c>
    </row>
    <row r="23" spans="1:8 16379:16381">
      <c r="A23" s="17">
        <v>43191</v>
      </c>
      <c r="B23" t="s">
        <v>465</v>
      </c>
      <c r="C23">
        <f t="shared" si="0"/>
        <v>272</v>
      </c>
      <c r="D23">
        <v>0.13500000000000001</v>
      </c>
      <c r="E23" t="s">
        <v>525</v>
      </c>
      <c r="F23" t="s">
        <v>526</v>
      </c>
      <c r="G23">
        <f t="shared" si="1"/>
        <v>36.72</v>
      </c>
      <c r="H23" t="str">
        <f t="shared" si="2"/>
        <v>Dry Grocery</v>
      </c>
      <c r="XEY23" t="s">
        <v>387</v>
      </c>
      <c r="XEZ23">
        <v>187.41</v>
      </c>
      <c r="XFA23" t="s">
        <v>533</v>
      </c>
    </row>
    <row r="24" spans="1:8 16379:16381">
      <c r="A24" s="17">
        <v>43191</v>
      </c>
      <c r="B24" t="s">
        <v>452</v>
      </c>
      <c r="C24">
        <f t="shared" si="0"/>
        <v>62</v>
      </c>
      <c r="D24">
        <v>2</v>
      </c>
      <c r="E24" t="s">
        <v>525</v>
      </c>
      <c r="F24" t="s">
        <v>526</v>
      </c>
      <c r="G24">
        <f t="shared" si="1"/>
        <v>124</v>
      </c>
      <c r="H24" t="str">
        <f t="shared" si="2"/>
        <v>Dry Grocery</v>
      </c>
      <c r="XEY24" t="s">
        <v>388</v>
      </c>
      <c r="XEZ24">
        <v>58</v>
      </c>
      <c r="XFA24" t="s">
        <v>534</v>
      </c>
    </row>
    <row r="25" spans="1:8 16379:16381">
      <c r="A25" s="17">
        <v>43191</v>
      </c>
      <c r="B25" t="s">
        <v>376</v>
      </c>
      <c r="C25">
        <f t="shared" si="0"/>
        <v>220</v>
      </c>
      <c r="D25">
        <v>0.01</v>
      </c>
      <c r="E25" t="s">
        <v>525</v>
      </c>
      <c r="F25" t="s">
        <v>526</v>
      </c>
      <c r="G25">
        <f t="shared" si="1"/>
        <v>2.2000000000000002</v>
      </c>
      <c r="H25" t="str">
        <f t="shared" si="2"/>
        <v>Spice</v>
      </c>
      <c r="XEY25" t="s">
        <v>389</v>
      </c>
      <c r="XEZ25">
        <v>280</v>
      </c>
      <c r="XFA25" t="s">
        <v>533</v>
      </c>
    </row>
    <row r="26" spans="1:8 16379:16381">
      <c r="A26" s="17">
        <v>43191</v>
      </c>
      <c r="B26" t="s">
        <v>377</v>
      </c>
      <c r="C26">
        <f t="shared" si="0"/>
        <v>740</v>
      </c>
      <c r="D26">
        <v>0.01</v>
      </c>
      <c r="E26" t="s">
        <v>525</v>
      </c>
      <c r="F26" t="s">
        <v>526</v>
      </c>
      <c r="G26">
        <f t="shared" si="1"/>
        <v>7.4</v>
      </c>
      <c r="H26" t="str">
        <f t="shared" si="2"/>
        <v>Spice</v>
      </c>
      <c r="XEY26" t="s">
        <v>390</v>
      </c>
      <c r="XEZ26">
        <v>30</v>
      </c>
      <c r="XFA26" t="s">
        <v>535</v>
      </c>
    </row>
    <row r="27" spans="1:8 16379:16381">
      <c r="A27" s="17">
        <v>43191</v>
      </c>
      <c r="B27" t="s">
        <v>461</v>
      </c>
      <c r="C27">
        <f t="shared" si="0"/>
        <v>1450</v>
      </c>
      <c r="D27">
        <v>0.01</v>
      </c>
      <c r="E27" t="s">
        <v>525</v>
      </c>
      <c r="F27" t="s">
        <v>526</v>
      </c>
      <c r="G27">
        <f t="shared" si="1"/>
        <v>14.5</v>
      </c>
      <c r="H27" t="str">
        <f t="shared" si="2"/>
        <v>Spice</v>
      </c>
      <c r="XEY27" t="s">
        <v>391</v>
      </c>
      <c r="XEZ27">
        <v>27.97</v>
      </c>
      <c r="XFA27" t="s">
        <v>535</v>
      </c>
    </row>
    <row r="28" spans="1:8 16379:16381">
      <c r="A28" s="17">
        <v>43191</v>
      </c>
      <c r="B28" t="s">
        <v>464</v>
      </c>
      <c r="C28">
        <f t="shared" si="0"/>
        <v>750</v>
      </c>
      <c r="D28">
        <v>0.01</v>
      </c>
      <c r="E28" t="s">
        <v>525</v>
      </c>
      <c r="F28" t="s">
        <v>526</v>
      </c>
      <c r="G28">
        <f t="shared" si="1"/>
        <v>7.5</v>
      </c>
      <c r="H28" t="str">
        <f t="shared" si="2"/>
        <v>Spice</v>
      </c>
      <c r="XEY28" t="s">
        <v>392</v>
      </c>
      <c r="XEZ28">
        <v>840</v>
      </c>
      <c r="XFA28" t="s">
        <v>533</v>
      </c>
    </row>
    <row r="29" spans="1:8 16379:16381">
      <c r="A29" s="17">
        <v>43191</v>
      </c>
      <c r="B29" t="s">
        <v>399</v>
      </c>
      <c r="C29">
        <f t="shared" si="0"/>
        <v>1480</v>
      </c>
      <c r="D29">
        <v>5.0000000000000001E-3</v>
      </c>
      <c r="E29" t="s">
        <v>525</v>
      </c>
      <c r="F29" t="s">
        <v>526</v>
      </c>
      <c r="G29">
        <f t="shared" si="1"/>
        <v>7.4</v>
      </c>
      <c r="H29" t="str">
        <f t="shared" si="2"/>
        <v>Spice</v>
      </c>
      <c r="XEY29" t="s">
        <v>393</v>
      </c>
      <c r="XEZ29">
        <v>26</v>
      </c>
      <c r="XFA29" t="s">
        <v>538</v>
      </c>
    </row>
    <row r="30" spans="1:8 16379:16381">
      <c r="A30" s="17">
        <v>43191</v>
      </c>
      <c r="B30" t="s">
        <v>457</v>
      </c>
      <c r="C30">
        <f t="shared" si="0"/>
        <v>64</v>
      </c>
      <c r="D30">
        <v>3.5</v>
      </c>
      <c r="E30" t="s">
        <v>525</v>
      </c>
      <c r="F30" t="s">
        <v>526</v>
      </c>
      <c r="G30">
        <f t="shared" si="1"/>
        <v>224</v>
      </c>
      <c r="H30" t="str">
        <f t="shared" si="2"/>
        <v>Dry Grocery</v>
      </c>
      <c r="XEY30" t="s">
        <v>394</v>
      </c>
      <c r="XEZ30">
        <v>45</v>
      </c>
      <c r="XFA30" t="s">
        <v>533</v>
      </c>
    </row>
    <row r="31" spans="1:8 16379:16381">
      <c r="A31" s="17">
        <v>43191</v>
      </c>
      <c r="B31" t="s">
        <v>454</v>
      </c>
      <c r="C31">
        <f t="shared" si="0"/>
        <v>43.06</v>
      </c>
      <c r="D31">
        <v>0.8</v>
      </c>
      <c r="E31" t="s">
        <v>525</v>
      </c>
      <c r="F31" t="s">
        <v>526</v>
      </c>
      <c r="G31">
        <f t="shared" si="1"/>
        <v>34.448</v>
      </c>
      <c r="H31" t="str">
        <f t="shared" si="2"/>
        <v>Vegetable</v>
      </c>
      <c r="XEY31" t="s">
        <v>395</v>
      </c>
      <c r="XEZ31">
        <v>450</v>
      </c>
      <c r="XFA31" t="s">
        <v>533</v>
      </c>
    </row>
    <row r="32" spans="1:8 16379:16381">
      <c r="A32" s="17">
        <v>43191</v>
      </c>
      <c r="B32" t="s">
        <v>391</v>
      </c>
      <c r="C32">
        <f t="shared" si="0"/>
        <v>27.97</v>
      </c>
      <c r="D32">
        <f>0.7+0.35+0.1</f>
        <v>1.1499999999999999</v>
      </c>
      <c r="E32" t="s">
        <v>525</v>
      </c>
      <c r="F32" t="s">
        <v>526</v>
      </c>
      <c r="G32">
        <f t="shared" si="1"/>
        <v>32.165499999999994</v>
      </c>
      <c r="H32" t="str">
        <f t="shared" si="2"/>
        <v>Vegetable</v>
      </c>
      <c r="XEY32" t="s">
        <v>396</v>
      </c>
      <c r="XEZ32">
        <v>420</v>
      </c>
      <c r="XFA32" t="s">
        <v>533</v>
      </c>
    </row>
    <row r="33" spans="1:8 16379:16381">
      <c r="A33" s="17">
        <v>43191</v>
      </c>
      <c r="B33" t="s">
        <v>379</v>
      </c>
      <c r="C33">
        <f t="shared" si="0"/>
        <v>120</v>
      </c>
      <c r="D33">
        <v>0.35</v>
      </c>
      <c r="E33" t="s">
        <v>525</v>
      </c>
      <c r="F33" t="s">
        <v>526</v>
      </c>
      <c r="G33">
        <f t="shared" si="1"/>
        <v>42</v>
      </c>
      <c r="H33" t="str">
        <f t="shared" si="2"/>
        <v>Dry Grocery</v>
      </c>
      <c r="XEY33" t="s">
        <v>397</v>
      </c>
      <c r="XEZ33">
        <v>75</v>
      </c>
      <c r="XFA33" t="s">
        <v>534</v>
      </c>
    </row>
    <row r="34" spans="1:8 16379:16381">
      <c r="A34" s="17">
        <v>43191</v>
      </c>
      <c r="B34" t="s">
        <v>468</v>
      </c>
      <c r="C34">
        <f t="shared" si="0"/>
        <v>32</v>
      </c>
      <c r="D34">
        <v>0.5</v>
      </c>
      <c r="E34" t="s">
        <v>525</v>
      </c>
      <c r="F34" t="s">
        <v>526</v>
      </c>
      <c r="G34">
        <f t="shared" si="1"/>
        <v>16</v>
      </c>
      <c r="H34" t="str">
        <f t="shared" si="2"/>
        <v>Vegetable</v>
      </c>
      <c r="XEY34" t="s">
        <v>398</v>
      </c>
      <c r="XEZ34">
        <v>51</v>
      </c>
      <c r="XFA34" t="s">
        <v>533</v>
      </c>
    </row>
    <row r="35" spans="1:8 16379:16381">
      <c r="A35" s="17">
        <v>43191</v>
      </c>
      <c r="B35" t="s">
        <v>473</v>
      </c>
      <c r="C35">
        <f t="shared" si="0"/>
        <v>175</v>
      </c>
      <c r="D35">
        <v>1</v>
      </c>
      <c r="E35" t="s">
        <v>525</v>
      </c>
      <c r="F35" t="s">
        <v>526</v>
      </c>
      <c r="G35">
        <f t="shared" si="1"/>
        <v>175</v>
      </c>
      <c r="H35" t="str">
        <f t="shared" si="2"/>
        <v>Dairy</v>
      </c>
      <c r="XEY35" t="s">
        <v>399</v>
      </c>
      <c r="XEZ35">
        <v>1480</v>
      </c>
      <c r="XFA35" t="s">
        <v>536</v>
      </c>
    </row>
    <row r="36" spans="1:8 16379:16381">
      <c r="A36" s="17">
        <v>43191</v>
      </c>
      <c r="B36" t="s">
        <v>398</v>
      </c>
      <c r="C36">
        <f t="shared" si="0"/>
        <v>51</v>
      </c>
      <c r="D36">
        <v>0.1</v>
      </c>
      <c r="E36" t="s">
        <v>525</v>
      </c>
      <c r="F36" t="s">
        <v>526</v>
      </c>
      <c r="G36">
        <f t="shared" si="1"/>
        <v>5.1000000000000005</v>
      </c>
      <c r="H36" t="str">
        <f t="shared" si="2"/>
        <v>Dry Grocery</v>
      </c>
      <c r="XEY36" t="s">
        <v>400</v>
      </c>
      <c r="XEZ36">
        <v>135</v>
      </c>
      <c r="XFA36" t="s">
        <v>102</v>
      </c>
    </row>
    <row r="37" spans="1:8 16379:16381">
      <c r="A37" s="17">
        <v>43191</v>
      </c>
      <c r="B37" t="s">
        <v>434</v>
      </c>
      <c r="C37">
        <f t="shared" si="0"/>
        <v>125</v>
      </c>
      <c r="D37">
        <v>0.11</v>
      </c>
      <c r="E37" t="s">
        <v>525</v>
      </c>
      <c r="F37" t="s">
        <v>526</v>
      </c>
      <c r="G37">
        <f t="shared" si="1"/>
        <v>13.75</v>
      </c>
      <c r="H37" t="str">
        <f t="shared" si="2"/>
        <v>Vegetable</v>
      </c>
      <c r="XEY37" t="s">
        <v>401</v>
      </c>
      <c r="XEZ37">
        <v>33</v>
      </c>
      <c r="XFA37" t="s">
        <v>539</v>
      </c>
    </row>
    <row r="38" spans="1:8 16379:16381">
      <c r="A38" s="17">
        <v>43191</v>
      </c>
      <c r="B38" t="s">
        <v>389</v>
      </c>
      <c r="C38">
        <f t="shared" si="0"/>
        <v>280</v>
      </c>
      <c r="D38">
        <v>0.1</v>
      </c>
      <c r="E38" t="s">
        <v>525</v>
      </c>
      <c r="F38" t="s">
        <v>526</v>
      </c>
      <c r="G38">
        <f t="shared" si="1"/>
        <v>28</v>
      </c>
      <c r="H38" t="str">
        <f t="shared" si="2"/>
        <v>Dry Grocery</v>
      </c>
      <c r="XEY38" t="s">
        <v>402</v>
      </c>
      <c r="XEZ38">
        <v>76</v>
      </c>
      <c r="XFA38" t="s">
        <v>533</v>
      </c>
    </row>
    <row r="39" spans="1:8 16379:16381">
      <c r="A39" s="17">
        <v>43191</v>
      </c>
      <c r="B39" t="s">
        <v>462</v>
      </c>
      <c r="C39">
        <f t="shared" si="0"/>
        <v>138</v>
      </c>
      <c r="D39">
        <v>0.2</v>
      </c>
      <c r="E39" t="s">
        <v>525</v>
      </c>
      <c r="F39" t="s">
        <v>526</v>
      </c>
      <c r="G39">
        <f t="shared" si="1"/>
        <v>27.6</v>
      </c>
      <c r="H39" t="str">
        <f t="shared" si="2"/>
        <v>Dry Grocery</v>
      </c>
      <c r="XEY39" t="s">
        <v>403</v>
      </c>
      <c r="XEZ39">
        <v>34</v>
      </c>
      <c r="XFA39" t="s">
        <v>533</v>
      </c>
    </row>
    <row r="40" spans="1:8 16379:16381">
      <c r="A40" s="17">
        <v>43191</v>
      </c>
      <c r="B40" t="s">
        <v>474</v>
      </c>
      <c r="C40">
        <f t="shared" si="0"/>
        <v>27</v>
      </c>
      <c r="D40">
        <v>2</v>
      </c>
      <c r="E40" t="s">
        <v>525</v>
      </c>
      <c r="F40" t="s">
        <v>526</v>
      </c>
      <c r="G40">
        <f t="shared" si="1"/>
        <v>54</v>
      </c>
      <c r="H40" t="str">
        <f t="shared" si="2"/>
        <v>Dry Grocery</v>
      </c>
      <c r="XEY40" t="s">
        <v>404</v>
      </c>
      <c r="XEZ40">
        <v>28</v>
      </c>
      <c r="XFA40" t="s">
        <v>535</v>
      </c>
    </row>
    <row r="41" spans="1:8 16379:16381">
      <c r="A41" s="17">
        <v>43191</v>
      </c>
      <c r="B41" t="s">
        <v>397</v>
      </c>
      <c r="C41">
        <f t="shared" si="0"/>
        <v>75</v>
      </c>
      <c r="D41">
        <v>1.2</v>
      </c>
      <c r="E41" t="s">
        <v>525</v>
      </c>
      <c r="F41" t="s">
        <v>526</v>
      </c>
      <c r="G41">
        <f t="shared" si="1"/>
        <v>90</v>
      </c>
      <c r="H41" t="str">
        <f t="shared" si="2"/>
        <v>Sauce</v>
      </c>
      <c r="XEY41" t="s">
        <v>405</v>
      </c>
      <c r="XEZ41">
        <v>110</v>
      </c>
      <c r="XFA41" t="s">
        <v>535</v>
      </c>
    </row>
    <row r="42" spans="1:8 16379:16381">
      <c r="A42" s="17">
        <v>43191</v>
      </c>
      <c r="B42" t="s">
        <v>386</v>
      </c>
      <c r="C42">
        <f t="shared" si="0"/>
        <v>82</v>
      </c>
      <c r="D42">
        <v>1</v>
      </c>
      <c r="E42" t="s">
        <v>525</v>
      </c>
      <c r="F42" t="s">
        <v>526</v>
      </c>
      <c r="G42">
        <f t="shared" si="1"/>
        <v>82</v>
      </c>
      <c r="H42" t="str">
        <f t="shared" si="2"/>
        <v>Oil</v>
      </c>
      <c r="XEY42" t="s">
        <v>406</v>
      </c>
      <c r="XEZ42">
        <v>78</v>
      </c>
      <c r="XFA42" t="s">
        <v>533</v>
      </c>
    </row>
    <row r="43" spans="1:8 16379:16381">
      <c r="A43" s="17">
        <v>43191</v>
      </c>
      <c r="B43" t="s">
        <v>454</v>
      </c>
      <c r="C43">
        <f t="shared" si="0"/>
        <v>43.06</v>
      </c>
      <c r="D43">
        <v>0.5</v>
      </c>
      <c r="E43" t="s">
        <v>525</v>
      </c>
      <c r="F43" t="s">
        <v>526</v>
      </c>
      <c r="G43">
        <f t="shared" si="1"/>
        <v>21.53</v>
      </c>
      <c r="H43" t="str">
        <f t="shared" si="2"/>
        <v>Vegetable</v>
      </c>
      <c r="XEY43" t="s">
        <v>407</v>
      </c>
      <c r="XEZ43">
        <v>34</v>
      </c>
      <c r="XFA43" t="s">
        <v>533</v>
      </c>
    </row>
    <row r="44" spans="1:8 16379:16381">
      <c r="A44" s="17">
        <v>43191</v>
      </c>
      <c r="B44" t="s">
        <v>391</v>
      </c>
      <c r="C44">
        <f t="shared" si="0"/>
        <v>27.97</v>
      </c>
      <c r="D44">
        <v>0.5</v>
      </c>
      <c r="E44" t="s">
        <v>525</v>
      </c>
      <c r="F44" t="s">
        <v>526</v>
      </c>
      <c r="G44">
        <f t="shared" si="1"/>
        <v>13.984999999999999</v>
      </c>
      <c r="H44" t="str">
        <f t="shared" si="2"/>
        <v>Vegetable</v>
      </c>
      <c r="XEY44" t="s">
        <v>408</v>
      </c>
      <c r="XEZ44">
        <v>48</v>
      </c>
      <c r="XFA44" t="s">
        <v>540</v>
      </c>
    </row>
    <row r="45" spans="1:8 16379:16381">
      <c r="A45" s="17">
        <v>43191</v>
      </c>
      <c r="B45" t="s">
        <v>473</v>
      </c>
      <c r="C45">
        <f t="shared" si="0"/>
        <v>175</v>
      </c>
      <c r="D45">
        <v>1</v>
      </c>
      <c r="E45" t="s">
        <v>525</v>
      </c>
      <c r="F45" t="s">
        <v>526</v>
      </c>
      <c r="G45">
        <f t="shared" si="1"/>
        <v>175</v>
      </c>
      <c r="H45" t="str">
        <f t="shared" si="2"/>
        <v>Dairy</v>
      </c>
      <c r="XEY45" t="s">
        <v>409</v>
      </c>
      <c r="XEZ45">
        <v>64.069999999999993</v>
      </c>
      <c r="XFA45" t="s">
        <v>533</v>
      </c>
    </row>
    <row r="46" spans="1:8 16379:16381">
      <c r="A46" s="17">
        <v>43191</v>
      </c>
      <c r="B46" t="s">
        <v>468</v>
      </c>
      <c r="C46">
        <f t="shared" si="0"/>
        <v>32</v>
      </c>
      <c r="D46">
        <v>0.5</v>
      </c>
      <c r="E46" t="s">
        <v>525</v>
      </c>
      <c r="F46" t="s">
        <v>526</v>
      </c>
      <c r="G46">
        <f t="shared" si="1"/>
        <v>16</v>
      </c>
      <c r="H46" t="str">
        <f t="shared" si="2"/>
        <v>Vegetable</v>
      </c>
      <c r="XEY46" t="s">
        <v>410</v>
      </c>
      <c r="XEZ46">
        <v>76</v>
      </c>
      <c r="XFA46" t="s">
        <v>533</v>
      </c>
    </row>
    <row r="47" spans="1:8 16379:16381">
      <c r="A47" s="17">
        <v>43191</v>
      </c>
      <c r="B47" t="s">
        <v>395</v>
      </c>
      <c r="C47">
        <f t="shared" si="0"/>
        <v>450</v>
      </c>
      <c r="D47">
        <v>0.05</v>
      </c>
      <c r="E47" t="s">
        <v>525</v>
      </c>
      <c r="F47" t="s">
        <v>526</v>
      </c>
      <c r="G47">
        <f t="shared" si="1"/>
        <v>22.5</v>
      </c>
      <c r="H47" t="str">
        <f t="shared" si="2"/>
        <v>Dry Grocery</v>
      </c>
      <c r="XEY47" t="s">
        <v>411</v>
      </c>
      <c r="XEZ47">
        <v>49.5</v>
      </c>
      <c r="XFA47" t="s">
        <v>533</v>
      </c>
    </row>
    <row r="48" spans="1:8 16379:16381">
      <c r="A48" s="17">
        <v>43191</v>
      </c>
      <c r="B48" t="s">
        <v>385</v>
      </c>
      <c r="C48">
        <f t="shared" si="0"/>
        <v>36</v>
      </c>
      <c r="D48">
        <v>1.5</v>
      </c>
      <c r="E48" t="s">
        <v>336</v>
      </c>
      <c r="F48" t="s">
        <v>527</v>
      </c>
      <c r="G48">
        <f t="shared" si="1"/>
        <v>54</v>
      </c>
      <c r="H48" t="str">
        <f t="shared" si="2"/>
        <v>Dairy</v>
      </c>
      <c r="XEY48" t="s">
        <v>412</v>
      </c>
      <c r="XEZ48">
        <v>42</v>
      </c>
      <c r="XFA48" t="s">
        <v>533</v>
      </c>
    </row>
    <row r="49" spans="1:8 16379:16381">
      <c r="A49" s="17">
        <v>43191</v>
      </c>
      <c r="B49" t="s">
        <v>382</v>
      </c>
      <c r="C49">
        <f t="shared" si="0"/>
        <v>42</v>
      </c>
      <c r="D49">
        <v>1.5</v>
      </c>
      <c r="E49" t="s">
        <v>336</v>
      </c>
      <c r="F49" t="s">
        <v>527</v>
      </c>
      <c r="G49">
        <f t="shared" si="1"/>
        <v>63</v>
      </c>
      <c r="H49" t="str">
        <f t="shared" si="2"/>
        <v>Dairy</v>
      </c>
      <c r="XEY49" t="s">
        <v>413</v>
      </c>
      <c r="XEZ49">
        <v>46.4</v>
      </c>
      <c r="XFA49" t="s">
        <v>533</v>
      </c>
    </row>
    <row r="50" spans="1:8 16379:16381">
      <c r="A50" s="17">
        <v>43191</v>
      </c>
      <c r="B50" t="s">
        <v>404</v>
      </c>
      <c r="C50">
        <f t="shared" si="0"/>
        <v>28</v>
      </c>
      <c r="D50">
        <v>2</v>
      </c>
      <c r="E50" t="s">
        <v>336</v>
      </c>
      <c r="F50" t="s">
        <v>527</v>
      </c>
      <c r="G50">
        <f t="shared" si="1"/>
        <v>56</v>
      </c>
      <c r="H50" t="str">
        <f t="shared" si="2"/>
        <v>Vegetable</v>
      </c>
      <c r="XEY50" t="s">
        <v>414</v>
      </c>
      <c r="XEZ50">
        <v>48</v>
      </c>
      <c r="XFA50" t="s">
        <v>533</v>
      </c>
    </row>
    <row r="51" spans="1:8 16379:16381">
      <c r="A51" s="17">
        <v>43191</v>
      </c>
      <c r="B51" t="s">
        <v>511</v>
      </c>
      <c r="C51">
        <f t="shared" si="0"/>
        <v>52</v>
      </c>
      <c r="D51">
        <v>4.4000000000000004</v>
      </c>
      <c r="E51" t="s">
        <v>336</v>
      </c>
      <c r="F51" t="s">
        <v>527</v>
      </c>
      <c r="G51">
        <f t="shared" si="1"/>
        <v>228.8</v>
      </c>
      <c r="H51" t="str">
        <f t="shared" si="2"/>
        <v>Dry Grocery</v>
      </c>
      <c r="XEY51" t="s">
        <v>415</v>
      </c>
      <c r="XEZ51">
        <v>7</v>
      </c>
      <c r="XFA51" t="s">
        <v>533</v>
      </c>
    </row>
    <row r="52" spans="1:8 16379:16381">
      <c r="A52" s="17">
        <v>43191</v>
      </c>
      <c r="B52" t="s">
        <v>436</v>
      </c>
      <c r="C52">
        <f t="shared" si="0"/>
        <v>37</v>
      </c>
      <c r="D52">
        <v>0.3</v>
      </c>
      <c r="E52" t="s">
        <v>336</v>
      </c>
      <c r="F52" t="s">
        <v>527</v>
      </c>
      <c r="G52">
        <f t="shared" si="1"/>
        <v>11.1</v>
      </c>
      <c r="H52" t="str">
        <f t="shared" si="2"/>
        <v>Dry Grocery</v>
      </c>
      <c r="XEY52" t="s">
        <v>416</v>
      </c>
      <c r="XEZ52">
        <v>220</v>
      </c>
      <c r="XFA52" t="s">
        <v>533</v>
      </c>
    </row>
    <row r="53" spans="1:8 16379:16381">
      <c r="A53" s="17">
        <v>43191</v>
      </c>
      <c r="B53" t="s">
        <v>519</v>
      </c>
      <c r="C53">
        <f t="shared" si="0"/>
        <v>35</v>
      </c>
      <c r="D53">
        <v>0.7</v>
      </c>
      <c r="E53" t="s">
        <v>336</v>
      </c>
      <c r="F53" t="s">
        <v>527</v>
      </c>
      <c r="G53">
        <f t="shared" si="1"/>
        <v>24.5</v>
      </c>
      <c r="H53" t="str">
        <f t="shared" si="2"/>
        <v>Vegetable</v>
      </c>
      <c r="XEY53" t="s">
        <v>417</v>
      </c>
      <c r="XEZ53">
        <v>44</v>
      </c>
      <c r="XFA53" t="s">
        <v>533</v>
      </c>
    </row>
    <row r="54" spans="1:8 16379:16381">
      <c r="A54" s="17">
        <v>43191</v>
      </c>
      <c r="B54" t="s">
        <v>375</v>
      </c>
      <c r="C54">
        <f t="shared" si="0"/>
        <v>280</v>
      </c>
      <c r="D54">
        <v>5.5E-2</v>
      </c>
      <c r="E54" t="s">
        <v>336</v>
      </c>
      <c r="F54" t="s">
        <v>527</v>
      </c>
      <c r="G54">
        <f t="shared" si="1"/>
        <v>15.4</v>
      </c>
      <c r="H54" t="str">
        <f t="shared" si="2"/>
        <v>Dry Grocery</v>
      </c>
      <c r="XEY54" t="s">
        <v>418</v>
      </c>
      <c r="XEZ54">
        <v>36</v>
      </c>
      <c r="XFA54" t="s">
        <v>533</v>
      </c>
    </row>
    <row r="55" spans="1:8 16379:16381">
      <c r="A55" s="17">
        <v>43191</v>
      </c>
      <c r="B55" t="s">
        <v>379</v>
      </c>
      <c r="C55">
        <f t="shared" si="0"/>
        <v>120</v>
      </c>
      <c r="D55">
        <v>0.02</v>
      </c>
      <c r="E55" t="s">
        <v>336</v>
      </c>
      <c r="F55" t="s">
        <v>527</v>
      </c>
      <c r="G55">
        <f t="shared" si="1"/>
        <v>2.4</v>
      </c>
      <c r="H55" t="str">
        <f t="shared" si="2"/>
        <v>Dry Grocery</v>
      </c>
      <c r="XEY55" t="s">
        <v>419</v>
      </c>
      <c r="XEZ55">
        <v>60</v>
      </c>
      <c r="XFA55" t="s">
        <v>534</v>
      </c>
    </row>
    <row r="56" spans="1:8 16379:16381">
      <c r="A56" s="17">
        <v>43191</v>
      </c>
      <c r="B56" t="s">
        <v>435</v>
      </c>
      <c r="C56">
        <f t="shared" si="0"/>
        <v>17</v>
      </c>
      <c r="D56">
        <v>0.01</v>
      </c>
      <c r="E56" t="s">
        <v>336</v>
      </c>
      <c r="F56" t="s">
        <v>527</v>
      </c>
      <c r="G56">
        <f t="shared" si="1"/>
        <v>0.17</v>
      </c>
      <c r="H56" t="str">
        <f t="shared" si="2"/>
        <v>Dry Grocery</v>
      </c>
      <c r="XEY56" t="s">
        <v>420</v>
      </c>
      <c r="XEZ56">
        <v>3</v>
      </c>
      <c r="XFA56" t="s">
        <v>535</v>
      </c>
    </row>
    <row r="57" spans="1:8 16379:16381">
      <c r="A57" s="17">
        <v>43191</v>
      </c>
      <c r="B57" t="s">
        <v>381</v>
      </c>
      <c r="C57">
        <f t="shared" si="0"/>
        <v>7</v>
      </c>
      <c r="D57">
        <v>0.5</v>
      </c>
      <c r="E57" t="s">
        <v>336</v>
      </c>
      <c r="F57" t="s">
        <v>527</v>
      </c>
      <c r="G57">
        <f t="shared" si="1"/>
        <v>3.5</v>
      </c>
      <c r="H57" t="str">
        <f t="shared" si="2"/>
        <v>Dry Grocery</v>
      </c>
      <c r="XEY57" t="s">
        <v>421</v>
      </c>
      <c r="XEZ57">
        <v>13</v>
      </c>
      <c r="XFA57" t="s">
        <v>541</v>
      </c>
    </row>
    <row r="58" spans="1:8 16379:16381">
      <c r="A58" s="17">
        <v>43191</v>
      </c>
      <c r="B58" t="s">
        <v>485</v>
      </c>
      <c r="C58">
        <f t="shared" si="0"/>
        <v>96</v>
      </c>
      <c r="D58">
        <v>7.4999999999999997E-2</v>
      </c>
      <c r="E58" t="s">
        <v>336</v>
      </c>
      <c r="F58" t="s">
        <v>527</v>
      </c>
      <c r="G58">
        <f t="shared" si="1"/>
        <v>7.1999999999999993</v>
      </c>
      <c r="H58" t="str">
        <f t="shared" si="2"/>
        <v>Oil</v>
      </c>
      <c r="XEY58" t="s">
        <v>422</v>
      </c>
      <c r="XEZ58">
        <v>13</v>
      </c>
      <c r="XFA58" t="s">
        <v>541</v>
      </c>
    </row>
    <row r="59" spans="1:8 16379:16381">
      <c r="A59" s="17">
        <v>43191</v>
      </c>
      <c r="B59" t="s">
        <v>386</v>
      </c>
      <c r="C59">
        <f t="shared" si="0"/>
        <v>82</v>
      </c>
      <c r="D59">
        <v>1</v>
      </c>
      <c r="E59" t="s">
        <v>336</v>
      </c>
      <c r="F59" t="s">
        <v>527</v>
      </c>
      <c r="G59">
        <f t="shared" si="1"/>
        <v>82</v>
      </c>
      <c r="H59" t="str">
        <f t="shared" si="2"/>
        <v>Oil</v>
      </c>
      <c r="XEY59" t="s">
        <v>423</v>
      </c>
      <c r="XEZ59">
        <v>6.5</v>
      </c>
      <c r="XFA59" t="s">
        <v>541</v>
      </c>
    </row>
    <row r="60" spans="1:8 16379:16381">
      <c r="A60" s="17">
        <v>43191</v>
      </c>
      <c r="B60" t="s">
        <v>383</v>
      </c>
      <c r="C60">
        <f t="shared" si="0"/>
        <v>230</v>
      </c>
      <c r="D60">
        <v>2.5000000000000001E-2</v>
      </c>
      <c r="E60" t="s">
        <v>336</v>
      </c>
      <c r="F60" t="s">
        <v>527</v>
      </c>
      <c r="G60">
        <f t="shared" si="1"/>
        <v>5.75</v>
      </c>
      <c r="H60" t="str">
        <f t="shared" si="2"/>
        <v>Dry Grocery</v>
      </c>
      <c r="XEY60" t="s">
        <v>424</v>
      </c>
      <c r="XEZ60">
        <v>6.5</v>
      </c>
      <c r="XFA60" t="s">
        <v>541</v>
      </c>
    </row>
    <row r="61" spans="1:8 16379:16381">
      <c r="A61" s="17">
        <v>43191</v>
      </c>
      <c r="B61" t="s">
        <v>431</v>
      </c>
      <c r="C61">
        <f t="shared" si="0"/>
        <v>70</v>
      </c>
      <c r="D61">
        <v>4.4999999999999998E-2</v>
      </c>
      <c r="E61" t="s">
        <v>336</v>
      </c>
      <c r="F61" t="s">
        <v>527</v>
      </c>
      <c r="G61">
        <f t="shared" si="1"/>
        <v>3.15</v>
      </c>
      <c r="H61" t="str">
        <f t="shared" si="2"/>
        <v>Dry Grocery</v>
      </c>
      <c r="XEY61" t="s">
        <v>425</v>
      </c>
      <c r="XEZ61">
        <v>580</v>
      </c>
      <c r="XFA61" t="s">
        <v>533</v>
      </c>
    </row>
    <row r="62" spans="1:8 16379:16381">
      <c r="A62" s="17">
        <v>43191</v>
      </c>
      <c r="B62" t="s">
        <v>367</v>
      </c>
      <c r="C62">
        <f t="shared" si="0"/>
        <v>55</v>
      </c>
      <c r="D62">
        <v>0.09</v>
      </c>
      <c r="E62" t="s">
        <v>336</v>
      </c>
      <c r="F62" t="s">
        <v>527</v>
      </c>
      <c r="G62">
        <f t="shared" si="1"/>
        <v>4.95</v>
      </c>
      <c r="H62" t="str">
        <f t="shared" si="2"/>
        <v>Dry Grocery</v>
      </c>
      <c r="XEY62" t="s">
        <v>426</v>
      </c>
      <c r="XEZ62">
        <v>57.5</v>
      </c>
      <c r="XFA62" t="s">
        <v>533</v>
      </c>
    </row>
    <row r="63" spans="1:8 16379:16381">
      <c r="A63" s="17">
        <v>43191</v>
      </c>
      <c r="B63" t="s">
        <v>461</v>
      </c>
      <c r="C63">
        <f t="shared" si="0"/>
        <v>1450</v>
      </c>
      <c r="D63">
        <v>5.0000000000000001E-3</v>
      </c>
      <c r="E63" t="s">
        <v>336</v>
      </c>
      <c r="F63" t="s">
        <v>527</v>
      </c>
      <c r="G63">
        <f t="shared" si="1"/>
        <v>7.25</v>
      </c>
      <c r="H63" t="str">
        <f t="shared" si="2"/>
        <v>Spice</v>
      </c>
      <c r="XEY63" t="s">
        <v>427</v>
      </c>
      <c r="XEZ63">
        <v>28</v>
      </c>
      <c r="XFA63" t="s">
        <v>535</v>
      </c>
    </row>
    <row r="64" spans="1:8 16379:16381">
      <c r="A64" s="17">
        <v>43191</v>
      </c>
      <c r="B64" t="s">
        <v>432</v>
      </c>
      <c r="C64">
        <f t="shared" si="0"/>
        <v>14</v>
      </c>
      <c r="D64">
        <v>2.1</v>
      </c>
      <c r="E64" t="s">
        <v>336</v>
      </c>
      <c r="F64" t="s">
        <v>527</v>
      </c>
      <c r="G64">
        <f t="shared" si="1"/>
        <v>29.400000000000002</v>
      </c>
      <c r="H64" t="str">
        <f t="shared" si="2"/>
        <v>Vegetable</v>
      </c>
      <c r="XEY64" t="s">
        <v>428</v>
      </c>
      <c r="XEZ64">
        <v>78.95</v>
      </c>
      <c r="XFA64" t="s">
        <v>340</v>
      </c>
    </row>
    <row r="65" spans="1:8 16379:16381">
      <c r="A65" s="17">
        <v>43191</v>
      </c>
      <c r="B65" t="s">
        <v>427</v>
      </c>
      <c r="C65">
        <f t="shared" si="0"/>
        <v>28</v>
      </c>
      <c r="D65">
        <v>0.17</v>
      </c>
      <c r="E65" t="s">
        <v>336</v>
      </c>
      <c r="F65" t="s">
        <v>527</v>
      </c>
      <c r="G65">
        <f t="shared" si="1"/>
        <v>4.7600000000000007</v>
      </c>
      <c r="H65" t="str">
        <f t="shared" si="2"/>
        <v>Vegetable</v>
      </c>
      <c r="XEY65" t="s">
        <v>429</v>
      </c>
      <c r="XEZ65">
        <v>40</v>
      </c>
      <c r="XFA65" t="s">
        <v>535</v>
      </c>
    </row>
    <row r="66" spans="1:8 16379:16381">
      <c r="A66" s="17">
        <v>43191</v>
      </c>
      <c r="B66" t="s">
        <v>430</v>
      </c>
      <c r="C66">
        <f t="shared" ref="C66:C129" si="3">IF(B66="","",VLOOKUP(B66,$XEY$3:$XEZ$156,2,FALSE))</f>
        <v>30</v>
      </c>
      <c r="D66">
        <v>0.14000000000000001</v>
      </c>
      <c r="E66" t="s">
        <v>336</v>
      </c>
      <c r="F66" t="s">
        <v>527</v>
      </c>
      <c r="G66">
        <f t="shared" si="1"/>
        <v>4.2</v>
      </c>
      <c r="H66" t="str">
        <f t="shared" si="2"/>
        <v>Vegetable</v>
      </c>
      <c r="XEY66" t="s">
        <v>430</v>
      </c>
      <c r="XEZ66">
        <v>30</v>
      </c>
      <c r="XFA66" t="s">
        <v>535</v>
      </c>
    </row>
    <row r="67" spans="1:8 16379:16381">
      <c r="A67" s="17">
        <v>43191</v>
      </c>
      <c r="B67" t="s">
        <v>462</v>
      </c>
      <c r="C67">
        <f t="shared" si="3"/>
        <v>138</v>
      </c>
      <c r="D67">
        <v>0.01</v>
      </c>
      <c r="E67" t="s">
        <v>336</v>
      </c>
      <c r="F67" t="s">
        <v>527</v>
      </c>
      <c r="G67">
        <f t="shared" ref="G67:G77" si="4">C67*D67</f>
        <v>1.3800000000000001</v>
      </c>
      <c r="H67" t="str">
        <f t="shared" ref="H67:H130" si="5">IF(B67="","",VLOOKUP(B67,$XEY$3:$XFA$1200,3,FALSE))</f>
        <v>Dry Grocery</v>
      </c>
      <c r="XEY67" t="s">
        <v>431</v>
      </c>
      <c r="XEZ67">
        <v>70</v>
      </c>
      <c r="XFA67" t="s">
        <v>533</v>
      </c>
    </row>
    <row r="68" spans="1:8 16379:16381">
      <c r="A68" s="17">
        <v>43191</v>
      </c>
      <c r="B68" t="s">
        <v>471</v>
      </c>
      <c r="C68">
        <f t="shared" si="3"/>
        <v>160</v>
      </c>
      <c r="D68">
        <v>0.09</v>
      </c>
      <c r="E68" t="s">
        <v>336</v>
      </c>
      <c r="F68" t="s">
        <v>527</v>
      </c>
      <c r="G68">
        <f t="shared" si="4"/>
        <v>14.399999999999999</v>
      </c>
      <c r="H68" t="str">
        <f t="shared" si="5"/>
        <v>Dry Grocery</v>
      </c>
      <c r="XEY68" t="s">
        <v>432</v>
      </c>
      <c r="XEZ68">
        <v>14</v>
      </c>
      <c r="XFA68" t="s">
        <v>535</v>
      </c>
    </row>
    <row r="69" spans="1:8 16379:16381">
      <c r="A69" s="17">
        <v>43191</v>
      </c>
      <c r="B69" t="s">
        <v>510</v>
      </c>
      <c r="C69">
        <f t="shared" si="3"/>
        <v>62.03</v>
      </c>
      <c r="D69">
        <v>4.4999999999999998E-2</v>
      </c>
      <c r="E69" t="s">
        <v>336</v>
      </c>
      <c r="F69" t="s">
        <v>527</v>
      </c>
      <c r="G69">
        <f t="shared" si="4"/>
        <v>2.79135</v>
      </c>
      <c r="H69" t="str">
        <f t="shared" si="5"/>
        <v>Dry Grocery</v>
      </c>
      <c r="XEY69" t="s">
        <v>433</v>
      </c>
      <c r="XEZ69">
        <v>20</v>
      </c>
      <c r="XFA69" t="s">
        <v>535</v>
      </c>
    </row>
    <row r="70" spans="1:8 16379:16381">
      <c r="A70" s="17">
        <v>43191</v>
      </c>
      <c r="B70" t="s">
        <v>512</v>
      </c>
      <c r="C70">
        <f t="shared" si="3"/>
        <v>170</v>
      </c>
      <c r="D70">
        <v>4.4999999999999998E-2</v>
      </c>
      <c r="E70" t="s">
        <v>336</v>
      </c>
      <c r="F70" t="s">
        <v>527</v>
      </c>
      <c r="G70">
        <f t="shared" si="4"/>
        <v>7.6499999999999995</v>
      </c>
      <c r="H70" t="str">
        <f t="shared" si="5"/>
        <v>Dry Grocery</v>
      </c>
      <c r="XEY70" t="s">
        <v>434</v>
      </c>
      <c r="XEZ70">
        <v>125</v>
      </c>
      <c r="XFA70" t="s">
        <v>535</v>
      </c>
    </row>
    <row r="71" spans="1:8 16379:16381">
      <c r="A71" s="17">
        <v>43191</v>
      </c>
      <c r="B71" t="s">
        <v>506</v>
      </c>
      <c r="C71">
        <f t="shared" si="3"/>
        <v>240</v>
      </c>
      <c r="D71">
        <v>1.2999999999999999E-2</v>
      </c>
      <c r="E71" t="s">
        <v>336</v>
      </c>
      <c r="F71" t="s">
        <v>527</v>
      </c>
      <c r="G71">
        <f t="shared" si="4"/>
        <v>3.1199999999999997</v>
      </c>
      <c r="H71" t="str">
        <f t="shared" si="5"/>
        <v>Dry Grocery</v>
      </c>
      <c r="XEY71" t="s">
        <v>435</v>
      </c>
      <c r="XEZ71">
        <v>17</v>
      </c>
      <c r="XFA71" t="s">
        <v>533</v>
      </c>
    </row>
    <row r="72" spans="1:8 16379:16381">
      <c r="A72" s="17">
        <v>43191</v>
      </c>
      <c r="B72" t="s">
        <v>392</v>
      </c>
      <c r="C72">
        <f t="shared" si="3"/>
        <v>840</v>
      </c>
      <c r="D72">
        <v>1.2E-2</v>
      </c>
      <c r="E72" t="s">
        <v>336</v>
      </c>
      <c r="F72" t="s">
        <v>527</v>
      </c>
      <c r="G72">
        <f t="shared" si="4"/>
        <v>10.08</v>
      </c>
      <c r="H72" t="str">
        <f t="shared" si="5"/>
        <v>Dry Grocery</v>
      </c>
      <c r="XEY72" t="s">
        <v>436</v>
      </c>
      <c r="XEZ72">
        <v>37</v>
      </c>
      <c r="XFA72" t="s">
        <v>533</v>
      </c>
    </row>
    <row r="73" spans="1:8 16379:16381">
      <c r="A73" s="17">
        <v>43191</v>
      </c>
      <c r="B73" t="s">
        <v>409</v>
      </c>
      <c r="C73">
        <f t="shared" si="3"/>
        <v>64.069999999999993</v>
      </c>
      <c r="D73">
        <v>0.3</v>
      </c>
      <c r="E73" t="s">
        <v>336</v>
      </c>
      <c r="F73" t="s">
        <v>527</v>
      </c>
      <c r="G73">
        <f t="shared" si="4"/>
        <v>19.220999999999997</v>
      </c>
      <c r="H73" t="str">
        <f t="shared" si="5"/>
        <v>Dry Grocery</v>
      </c>
      <c r="XEY73" t="s">
        <v>437</v>
      </c>
      <c r="XEZ73">
        <v>34</v>
      </c>
      <c r="XFA73" t="s">
        <v>533</v>
      </c>
    </row>
    <row r="74" spans="1:8 16379:16381">
      <c r="A74" s="17">
        <v>43191</v>
      </c>
      <c r="B74" t="s">
        <v>513</v>
      </c>
      <c r="C74">
        <f t="shared" si="3"/>
        <v>15</v>
      </c>
      <c r="D74">
        <v>0.95</v>
      </c>
      <c r="E74" t="s">
        <v>336</v>
      </c>
      <c r="F74" t="s">
        <v>527</v>
      </c>
      <c r="G74">
        <f t="shared" si="4"/>
        <v>14.25</v>
      </c>
      <c r="H74" t="str">
        <f t="shared" si="5"/>
        <v>Vegetable</v>
      </c>
      <c r="XEY74" t="s">
        <v>438</v>
      </c>
      <c r="XEZ74">
        <v>50</v>
      </c>
      <c r="XFA74" t="s">
        <v>533</v>
      </c>
    </row>
    <row r="75" spans="1:8 16379:16381">
      <c r="A75" s="17">
        <v>43191</v>
      </c>
      <c r="B75" t="s">
        <v>426</v>
      </c>
      <c r="C75">
        <f t="shared" si="3"/>
        <v>57.5</v>
      </c>
      <c r="D75">
        <v>0.01</v>
      </c>
      <c r="E75" t="s">
        <v>336</v>
      </c>
      <c r="F75" t="s">
        <v>527</v>
      </c>
      <c r="G75">
        <f t="shared" si="4"/>
        <v>0.57500000000000007</v>
      </c>
      <c r="H75" t="str">
        <f t="shared" si="5"/>
        <v>Dry Grocery</v>
      </c>
      <c r="XEY75" t="s">
        <v>439</v>
      </c>
      <c r="XEZ75">
        <v>179</v>
      </c>
      <c r="XFA75" t="s">
        <v>533</v>
      </c>
    </row>
    <row r="76" spans="1:8 16379:16381">
      <c r="A76" s="17">
        <v>43191</v>
      </c>
      <c r="B76" t="s">
        <v>509</v>
      </c>
      <c r="C76">
        <f t="shared" si="3"/>
        <v>500</v>
      </c>
      <c r="D76">
        <v>0.05</v>
      </c>
      <c r="E76" t="s">
        <v>336</v>
      </c>
      <c r="F76" t="s">
        <v>527</v>
      </c>
      <c r="G76">
        <f t="shared" si="4"/>
        <v>25</v>
      </c>
      <c r="H76" t="str">
        <f t="shared" si="5"/>
        <v>Dry Grocery</v>
      </c>
      <c r="XEY76" t="s">
        <v>440</v>
      </c>
      <c r="XEZ76">
        <v>360</v>
      </c>
      <c r="XFA76" t="s">
        <v>542</v>
      </c>
    </row>
    <row r="77" spans="1:8 16379:16381">
      <c r="A77" s="17">
        <v>43191</v>
      </c>
      <c r="B77" t="s">
        <v>391</v>
      </c>
      <c r="C77">
        <f t="shared" si="3"/>
        <v>27.97</v>
      </c>
      <c r="D77">
        <v>0.72499999999999998</v>
      </c>
      <c r="E77" t="s">
        <v>336</v>
      </c>
      <c r="F77" t="s">
        <v>527</v>
      </c>
      <c r="G77">
        <f t="shared" si="4"/>
        <v>20.27825</v>
      </c>
      <c r="H77" t="str">
        <f t="shared" si="5"/>
        <v>Vegetable</v>
      </c>
      <c r="XEY77" t="s">
        <v>441</v>
      </c>
      <c r="XEZ77">
        <v>390</v>
      </c>
      <c r="XFA77" t="s">
        <v>542</v>
      </c>
    </row>
    <row r="78" spans="1:8 16379:16381">
      <c r="A78" s="17">
        <v>43191</v>
      </c>
      <c r="B78" t="s">
        <v>514</v>
      </c>
      <c r="C78">
        <f t="shared" si="3"/>
        <v>61.08</v>
      </c>
      <c r="D78">
        <v>0.15</v>
      </c>
      <c r="E78" t="s">
        <v>336</v>
      </c>
      <c r="F78" t="s">
        <v>527</v>
      </c>
      <c r="G78">
        <f t="shared" ref="G78:G89" si="6">C78*D78</f>
        <v>9.161999999999999</v>
      </c>
      <c r="H78" t="str">
        <f t="shared" si="5"/>
        <v>Dry Grocery</v>
      </c>
      <c r="XEY78" t="s">
        <v>442</v>
      </c>
      <c r="XEZ78">
        <v>220</v>
      </c>
      <c r="XFA78" t="s">
        <v>542</v>
      </c>
    </row>
    <row r="79" spans="1:8 16379:16381">
      <c r="A79" s="17">
        <v>43191</v>
      </c>
      <c r="B79" t="s">
        <v>479</v>
      </c>
      <c r="C79">
        <f t="shared" si="3"/>
        <v>312.14</v>
      </c>
      <c r="D79">
        <v>0.04</v>
      </c>
      <c r="E79" t="s">
        <v>336</v>
      </c>
      <c r="F79" t="s">
        <v>527</v>
      </c>
      <c r="G79">
        <f t="shared" si="6"/>
        <v>12.4856</v>
      </c>
      <c r="H79" t="str">
        <f t="shared" si="5"/>
        <v>Vegetable</v>
      </c>
      <c r="XEY79" t="s">
        <v>443</v>
      </c>
      <c r="XEZ79">
        <v>500</v>
      </c>
      <c r="XFA79" t="s">
        <v>533</v>
      </c>
    </row>
    <row r="80" spans="1:8 16379:16381">
      <c r="A80" s="17">
        <v>43191</v>
      </c>
      <c r="B80" t="s">
        <v>429</v>
      </c>
      <c r="C80">
        <f t="shared" si="3"/>
        <v>40</v>
      </c>
      <c r="D80">
        <v>0.03</v>
      </c>
      <c r="E80" t="s">
        <v>336</v>
      </c>
      <c r="F80" t="s">
        <v>527</v>
      </c>
      <c r="G80">
        <f t="shared" si="6"/>
        <v>1.2</v>
      </c>
      <c r="H80" t="str">
        <f t="shared" si="5"/>
        <v>Vegetable</v>
      </c>
      <c r="XEY80" t="s">
        <v>444</v>
      </c>
      <c r="XEZ80">
        <v>50</v>
      </c>
      <c r="XFA80" t="s">
        <v>286</v>
      </c>
    </row>
    <row r="81" spans="1:8 16379:16381">
      <c r="A81" s="17">
        <v>43191</v>
      </c>
      <c r="B81" t="s">
        <v>378</v>
      </c>
      <c r="C81">
        <f t="shared" si="3"/>
        <v>25</v>
      </c>
      <c r="D81">
        <v>0.1</v>
      </c>
      <c r="E81" t="s">
        <v>336</v>
      </c>
      <c r="F81" t="s">
        <v>527</v>
      </c>
      <c r="G81">
        <f t="shared" si="6"/>
        <v>2.5</v>
      </c>
      <c r="H81" t="str">
        <f t="shared" si="5"/>
        <v>Vegetable</v>
      </c>
      <c r="XEY81" t="s">
        <v>445</v>
      </c>
      <c r="XEZ81">
        <v>20</v>
      </c>
      <c r="XFA81" t="s">
        <v>286</v>
      </c>
    </row>
    <row r="82" spans="1:8 16379:16381">
      <c r="A82" s="17">
        <v>43191</v>
      </c>
      <c r="B82" t="s">
        <v>434</v>
      </c>
      <c r="C82">
        <f t="shared" si="3"/>
        <v>125</v>
      </c>
      <c r="D82">
        <v>0.17</v>
      </c>
      <c r="E82" t="s">
        <v>336</v>
      </c>
      <c r="F82" t="s">
        <v>527</v>
      </c>
      <c r="G82">
        <f t="shared" si="6"/>
        <v>21.25</v>
      </c>
      <c r="H82" t="str">
        <f t="shared" si="5"/>
        <v>Vegetable</v>
      </c>
      <c r="XEY82" t="s">
        <v>446</v>
      </c>
      <c r="XEZ82">
        <v>50</v>
      </c>
      <c r="XFA82" t="s">
        <v>286</v>
      </c>
    </row>
    <row r="83" spans="1:8 16379:16381">
      <c r="A83" s="17">
        <v>43191</v>
      </c>
      <c r="B83" t="s">
        <v>384</v>
      </c>
      <c r="C83">
        <f t="shared" si="3"/>
        <v>3</v>
      </c>
      <c r="D83">
        <v>2</v>
      </c>
      <c r="E83" t="s">
        <v>528</v>
      </c>
      <c r="F83" t="s">
        <v>527</v>
      </c>
      <c r="G83">
        <f t="shared" si="6"/>
        <v>6</v>
      </c>
      <c r="H83" t="str">
        <f t="shared" si="5"/>
        <v>Vegetable</v>
      </c>
      <c r="XEY83" t="s">
        <v>447</v>
      </c>
      <c r="XEZ83">
        <v>30</v>
      </c>
      <c r="XFA83" t="s">
        <v>286</v>
      </c>
    </row>
    <row r="84" spans="1:8 16379:16381">
      <c r="A84" s="17">
        <v>43191</v>
      </c>
      <c r="B84" t="s">
        <v>432</v>
      </c>
      <c r="C84">
        <f t="shared" si="3"/>
        <v>14</v>
      </c>
      <c r="D84">
        <f>0.53+0.17</f>
        <v>0.70000000000000007</v>
      </c>
      <c r="E84" t="s">
        <v>528</v>
      </c>
      <c r="F84" t="s">
        <v>527</v>
      </c>
      <c r="G84">
        <f t="shared" si="6"/>
        <v>9.8000000000000007</v>
      </c>
      <c r="H84" t="str">
        <f t="shared" si="5"/>
        <v>Vegetable</v>
      </c>
      <c r="XEY84" t="s">
        <v>448</v>
      </c>
      <c r="XEZ84">
        <v>16</v>
      </c>
      <c r="XFA84" t="s">
        <v>543</v>
      </c>
    </row>
    <row r="85" spans="1:8 16379:16381">
      <c r="A85" s="17">
        <v>43191</v>
      </c>
      <c r="B85" t="s">
        <v>391</v>
      </c>
      <c r="C85">
        <f t="shared" si="3"/>
        <v>27.97</v>
      </c>
      <c r="D85">
        <v>0.185</v>
      </c>
      <c r="E85" t="s">
        <v>528</v>
      </c>
      <c r="F85" t="s">
        <v>527</v>
      </c>
      <c r="G85">
        <f t="shared" si="6"/>
        <v>5.1744499999999993</v>
      </c>
      <c r="H85" t="str">
        <f t="shared" si="5"/>
        <v>Vegetable</v>
      </c>
      <c r="XEY85" t="s">
        <v>449</v>
      </c>
      <c r="XEZ85">
        <v>20</v>
      </c>
      <c r="XFA85" t="s">
        <v>286</v>
      </c>
    </row>
    <row r="86" spans="1:8 16379:16381">
      <c r="A86" s="17">
        <v>43191</v>
      </c>
      <c r="B86" t="s">
        <v>378</v>
      </c>
      <c r="C86">
        <f t="shared" si="3"/>
        <v>25</v>
      </c>
      <c r="D86">
        <v>0.1</v>
      </c>
      <c r="E86" t="s">
        <v>528</v>
      </c>
      <c r="F86" t="s">
        <v>527</v>
      </c>
      <c r="G86">
        <f t="shared" si="6"/>
        <v>2.5</v>
      </c>
      <c r="H86" t="str">
        <f t="shared" si="5"/>
        <v>Vegetable</v>
      </c>
      <c r="XEY86" t="s">
        <v>450</v>
      </c>
      <c r="XEZ86">
        <v>580</v>
      </c>
      <c r="XFA86" t="s">
        <v>533</v>
      </c>
    </row>
    <row r="87" spans="1:8 16379:16381">
      <c r="A87" s="17">
        <v>43191</v>
      </c>
      <c r="B87" t="s">
        <v>476</v>
      </c>
      <c r="C87">
        <f t="shared" si="3"/>
        <v>14.75</v>
      </c>
      <c r="D87">
        <v>0.3</v>
      </c>
      <c r="E87" t="s">
        <v>528</v>
      </c>
      <c r="F87" t="s">
        <v>527</v>
      </c>
      <c r="G87">
        <f t="shared" si="6"/>
        <v>4.4249999999999998</v>
      </c>
      <c r="H87" t="str">
        <f t="shared" si="5"/>
        <v>Vegetable</v>
      </c>
      <c r="XEY87" t="s">
        <v>451</v>
      </c>
      <c r="XEZ87">
        <v>60</v>
      </c>
      <c r="XFA87" t="s">
        <v>535</v>
      </c>
    </row>
    <row r="88" spans="1:8 16379:16381">
      <c r="A88" s="17">
        <v>43191</v>
      </c>
      <c r="B88" t="s">
        <v>435</v>
      </c>
      <c r="C88">
        <f t="shared" si="3"/>
        <v>17</v>
      </c>
      <c r="D88">
        <v>0.17</v>
      </c>
      <c r="E88" t="s">
        <v>528</v>
      </c>
      <c r="F88" t="s">
        <v>527</v>
      </c>
      <c r="G88">
        <f t="shared" si="6"/>
        <v>2.89</v>
      </c>
      <c r="H88" t="str">
        <f t="shared" si="5"/>
        <v>Dry Grocery</v>
      </c>
      <c r="XEY88" t="s">
        <v>452</v>
      </c>
      <c r="XEZ88">
        <v>62</v>
      </c>
      <c r="XFA88" t="s">
        <v>533</v>
      </c>
    </row>
    <row r="89" spans="1:8 16379:16381">
      <c r="A89" s="17">
        <v>43191</v>
      </c>
      <c r="B89" t="s">
        <v>428</v>
      </c>
      <c r="C89">
        <f t="shared" si="3"/>
        <v>78.95</v>
      </c>
      <c r="D89">
        <v>19</v>
      </c>
      <c r="E89" t="s">
        <v>531</v>
      </c>
      <c r="F89" t="s">
        <v>530</v>
      </c>
      <c r="G89">
        <f t="shared" si="6"/>
        <v>1500.05</v>
      </c>
      <c r="H89" t="str">
        <f t="shared" si="5"/>
        <v>Gas</v>
      </c>
      <c r="XEY89" t="s">
        <v>453</v>
      </c>
      <c r="XEZ89">
        <v>250</v>
      </c>
      <c r="XFA89" t="s">
        <v>536</v>
      </c>
    </row>
    <row r="90" spans="1:8 16379:16381">
      <c r="A90" s="17">
        <v>43192</v>
      </c>
      <c r="B90" t="s">
        <v>428</v>
      </c>
      <c r="C90">
        <f t="shared" si="3"/>
        <v>78.95</v>
      </c>
      <c r="D90">
        <v>19</v>
      </c>
      <c r="E90" t="s">
        <v>531</v>
      </c>
      <c r="F90" t="s">
        <v>530</v>
      </c>
      <c r="G90">
        <f t="shared" ref="G90:G132" si="7">C90*D90</f>
        <v>1500.05</v>
      </c>
      <c r="H90" t="str">
        <f t="shared" si="5"/>
        <v>Gas</v>
      </c>
      <c r="XEY90" t="s">
        <v>454</v>
      </c>
      <c r="XEZ90">
        <v>43.06</v>
      </c>
      <c r="XFA90" t="s">
        <v>535</v>
      </c>
    </row>
    <row r="91" spans="1:8 16379:16381">
      <c r="A91" s="17">
        <v>43192</v>
      </c>
      <c r="B91" t="s">
        <v>393</v>
      </c>
      <c r="C91">
        <f t="shared" si="3"/>
        <v>26</v>
      </c>
      <c r="D91">
        <f>7.5+3.9+3.1</f>
        <v>14.5</v>
      </c>
      <c r="E91" t="s">
        <v>525</v>
      </c>
      <c r="F91" t="s">
        <v>526</v>
      </c>
      <c r="G91">
        <f t="shared" si="7"/>
        <v>377</v>
      </c>
      <c r="H91" t="str">
        <f t="shared" si="5"/>
        <v>Heating</v>
      </c>
      <c r="XEY91" t="s">
        <v>455</v>
      </c>
      <c r="XEZ91">
        <v>380</v>
      </c>
      <c r="XFA91" t="s">
        <v>533</v>
      </c>
    </row>
    <row r="92" spans="1:8 16379:16381">
      <c r="A92" s="17">
        <v>43192</v>
      </c>
      <c r="B92" t="s">
        <v>432</v>
      </c>
      <c r="C92">
        <f t="shared" si="3"/>
        <v>14</v>
      </c>
      <c r="D92">
        <v>7</v>
      </c>
      <c r="E92" t="s">
        <v>525</v>
      </c>
      <c r="F92" t="s">
        <v>526</v>
      </c>
      <c r="G92">
        <f t="shared" si="7"/>
        <v>98</v>
      </c>
      <c r="H92" t="str">
        <f t="shared" si="5"/>
        <v>Vegetable</v>
      </c>
      <c r="XEY92" t="s">
        <v>456</v>
      </c>
      <c r="XEZ92">
        <v>280</v>
      </c>
      <c r="XFA92" t="s">
        <v>533</v>
      </c>
    </row>
    <row r="93" spans="1:8 16379:16381">
      <c r="A93" s="17">
        <v>43192</v>
      </c>
      <c r="B93" t="s">
        <v>390</v>
      </c>
      <c r="C93">
        <f t="shared" si="3"/>
        <v>30</v>
      </c>
      <c r="D93">
        <v>1</v>
      </c>
      <c r="E93" t="s">
        <v>525</v>
      </c>
      <c r="F93" t="s">
        <v>526</v>
      </c>
      <c r="G93">
        <f t="shared" si="7"/>
        <v>30</v>
      </c>
      <c r="H93" t="str">
        <f t="shared" si="5"/>
        <v>Vegetable</v>
      </c>
      <c r="XEY93" t="s">
        <v>457</v>
      </c>
      <c r="XEZ93">
        <v>64</v>
      </c>
      <c r="XFA93" t="s">
        <v>533</v>
      </c>
    </row>
    <row r="94" spans="1:8 16379:16381">
      <c r="A94" s="17">
        <v>43192</v>
      </c>
      <c r="B94" t="s">
        <v>430</v>
      </c>
      <c r="C94">
        <f t="shared" si="3"/>
        <v>30</v>
      </c>
      <c r="D94">
        <v>0.75</v>
      </c>
      <c r="E94" t="s">
        <v>525</v>
      </c>
      <c r="F94" t="s">
        <v>526</v>
      </c>
      <c r="G94">
        <f t="shared" si="7"/>
        <v>22.5</v>
      </c>
      <c r="H94" t="str">
        <f t="shared" si="5"/>
        <v>Vegetable</v>
      </c>
      <c r="XEY94" t="s">
        <v>458</v>
      </c>
      <c r="XEZ94">
        <v>140</v>
      </c>
      <c r="XFA94" t="s">
        <v>537</v>
      </c>
    </row>
    <row r="95" spans="1:8 16379:16381">
      <c r="A95" s="17">
        <v>43192</v>
      </c>
      <c r="B95" t="s">
        <v>378</v>
      </c>
      <c r="C95">
        <f t="shared" si="3"/>
        <v>25</v>
      </c>
      <c r="D95">
        <f>0.64+0.26</f>
        <v>0.9</v>
      </c>
      <c r="E95" t="s">
        <v>525</v>
      </c>
      <c r="F95" t="s">
        <v>526</v>
      </c>
      <c r="G95">
        <f t="shared" si="7"/>
        <v>22.5</v>
      </c>
      <c r="H95" t="str">
        <f t="shared" si="5"/>
        <v>Vegetable</v>
      </c>
      <c r="XEY95" t="s">
        <v>459</v>
      </c>
      <c r="XEZ95">
        <v>190</v>
      </c>
      <c r="XFA95" t="s">
        <v>537</v>
      </c>
    </row>
    <row r="96" spans="1:8 16379:16381">
      <c r="A96" s="17">
        <v>43192</v>
      </c>
      <c r="B96" t="s">
        <v>434</v>
      </c>
      <c r="C96">
        <f t="shared" si="3"/>
        <v>125</v>
      </c>
      <c r="D96">
        <f>0.09+0.05</f>
        <v>0.14000000000000001</v>
      </c>
      <c r="E96" t="s">
        <v>525</v>
      </c>
      <c r="F96" t="s">
        <v>526</v>
      </c>
      <c r="G96">
        <f t="shared" si="7"/>
        <v>17.5</v>
      </c>
      <c r="H96" t="str">
        <f t="shared" si="5"/>
        <v>Vegetable</v>
      </c>
      <c r="XEY96" t="s">
        <v>460</v>
      </c>
      <c r="XEZ96">
        <v>43.98</v>
      </c>
      <c r="XFA96" t="s">
        <v>535</v>
      </c>
    </row>
    <row r="97" spans="1:8 16379:16381">
      <c r="A97" s="17">
        <v>43192</v>
      </c>
      <c r="B97" t="s">
        <v>441</v>
      </c>
      <c r="C97">
        <f t="shared" si="3"/>
        <v>390</v>
      </c>
      <c r="D97">
        <v>0.5</v>
      </c>
      <c r="E97" t="s">
        <v>542</v>
      </c>
      <c r="F97" t="s">
        <v>554</v>
      </c>
      <c r="G97">
        <f t="shared" si="7"/>
        <v>195</v>
      </c>
      <c r="H97" t="str">
        <f t="shared" si="5"/>
        <v>Hot Beverage</v>
      </c>
      <c r="XEY97" t="s">
        <v>461</v>
      </c>
      <c r="XEZ97">
        <v>1450</v>
      </c>
      <c r="XFA97" t="s">
        <v>536</v>
      </c>
    </row>
    <row r="98" spans="1:8 16379:16381">
      <c r="A98" s="17">
        <v>43192</v>
      </c>
      <c r="B98" t="s">
        <v>468</v>
      </c>
      <c r="C98">
        <f t="shared" si="3"/>
        <v>32</v>
      </c>
      <c r="D98">
        <v>5</v>
      </c>
      <c r="E98" t="s">
        <v>525</v>
      </c>
      <c r="F98" t="s">
        <v>526</v>
      </c>
      <c r="G98">
        <f t="shared" si="7"/>
        <v>160</v>
      </c>
      <c r="H98" t="str">
        <f t="shared" si="5"/>
        <v>Vegetable</v>
      </c>
      <c r="XEY98" t="s">
        <v>462</v>
      </c>
      <c r="XEZ98">
        <v>138</v>
      </c>
      <c r="XFA98" t="s">
        <v>533</v>
      </c>
    </row>
    <row r="99" spans="1:8 16379:16381">
      <c r="A99" s="17">
        <v>43192</v>
      </c>
      <c r="B99" t="s">
        <v>427</v>
      </c>
      <c r="C99">
        <f t="shared" si="3"/>
        <v>28</v>
      </c>
      <c r="D99">
        <v>1</v>
      </c>
      <c r="E99" t="s">
        <v>525</v>
      </c>
      <c r="F99" t="s">
        <v>526</v>
      </c>
      <c r="G99">
        <f t="shared" si="7"/>
        <v>28</v>
      </c>
      <c r="H99" t="str">
        <f t="shared" si="5"/>
        <v>Vegetable</v>
      </c>
      <c r="XEY99" t="s">
        <v>463</v>
      </c>
      <c r="XEZ99">
        <v>29.51</v>
      </c>
      <c r="XFA99" t="s">
        <v>533</v>
      </c>
    </row>
    <row r="100" spans="1:8 16379:16381">
      <c r="A100" s="17">
        <v>43192</v>
      </c>
      <c r="B100" t="s">
        <v>391</v>
      </c>
      <c r="C100">
        <f t="shared" si="3"/>
        <v>27.97</v>
      </c>
      <c r="D100">
        <v>1.345</v>
      </c>
      <c r="E100" t="s">
        <v>525</v>
      </c>
      <c r="F100" t="s">
        <v>526</v>
      </c>
      <c r="G100">
        <f t="shared" si="7"/>
        <v>37.61965</v>
      </c>
      <c r="H100" t="str">
        <f t="shared" si="5"/>
        <v>Vegetable</v>
      </c>
      <c r="XEY100" t="s">
        <v>464</v>
      </c>
      <c r="XEZ100">
        <v>750</v>
      </c>
      <c r="XFA100" t="s">
        <v>536</v>
      </c>
    </row>
    <row r="101" spans="1:8 16379:16381">
      <c r="A101" s="17">
        <v>43192</v>
      </c>
      <c r="B101" t="s">
        <v>454</v>
      </c>
      <c r="C101">
        <f t="shared" si="3"/>
        <v>43.06</v>
      </c>
      <c r="D101">
        <v>0.56000000000000005</v>
      </c>
      <c r="E101" t="s">
        <v>525</v>
      </c>
      <c r="F101" t="s">
        <v>526</v>
      </c>
      <c r="G101">
        <f t="shared" si="7"/>
        <v>24.113600000000005</v>
      </c>
      <c r="H101" t="str">
        <f t="shared" si="5"/>
        <v>Vegetable</v>
      </c>
      <c r="XEY101" t="s">
        <v>465</v>
      </c>
      <c r="XEZ101">
        <v>272</v>
      </c>
      <c r="XFA101" t="s">
        <v>533</v>
      </c>
    </row>
    <row r="102" spans="1:8 16379:16381">
      <c r="A102" s="17">
        <v>43192</v>
      </c>
      <c r="B102" t="s">
        <v>420</v>
      </c>
      <c r="C102">
        <f t="shared" si="3"/>
        <v>3</v>
      </c>
      <c r="D102">
        <v>1.3</v>
      </c>
      <c r="E102" t="s">
        <v>525</v>
      </c>
      <c r="F102" t="s">
        <v>526</v>
      </c>
      <c r="G102">
        <f t="shared" si="7"/>
        <v>3.9000000000000004</v>
      </c>
      <c r="H102" t="str">
        <f t="shared" si="5"/>
        <v>Vegetable</v>
      </c>
      <c r="XEY102" t="s">
        <v>466</v>
      </c>
      <c r="XEZ102">
        <v>125</v>
      </c>
      <c r="XFA102" t="s">
        <v>533</v>
      </c>
    </row>
    <row r="103" spans="1:8 16379:16381">
      <c r="A103" s="17">
        <v>43192</v>
      </c>
      <c r="B103" t="s">
        <v>476</v>
      </c>
      <c r="C103">
        <f t="shared" si="3"/>
        <v>14.75</v>
      </c>
      <c r="D103">
        <v>7.2</v>
      </c>
      <c r="E103" t="s">
        <v>525</v>
      </c>
      <c r="F103" t="s">
        <v>526</v>
      </c>
      <c r="G103">
        <f>C103*D103</f>
        <v>106.2</v>
      </c>
      <c r="H103" t="str">
        <f t="shared" si="5"/>
        <v>Vegetable</v>
      </c>
      <c r="XEY103" t="s">
        <v>467</v>
      </c>
      <c r="XEZ103">
        <v>75</v>
      </c>
      <c r="XFA103" t="s">
        <v>533</v>
      </c>
    </row>
    <row r="104" spans="1:8 16379:16381">
      <c r="A104" s="17">
        <v>43192</v>
      </c>
      <c r="B104" t="s">
        <v>386</v>
      </c>
      <c r="C104">
        <f t="shared" si="3"/>
        <v>82</v>
      </c>
      <c r="D104">
        <v>4</v>
      </c>
      <c r="E104" t="s">
        <v>525</v>
      </c>
      <c r="F104" t="s">
        <v>526</v>
      </c>
      <c r="G104">
        <f t="shared" si="7"/>
        <v>328</v>
      </c>
      <c r="H104" t="str">
        <f t="shared" si="5"/>
        <v>Oil</v>
      </c>
      <c r="XEY104" t="s">
        <v>468</v>
      </c>
      <c r="XEZ104">
        <v>32</v>
      </c>
      <c r="XFA104" t="s">
        <v>535</v>
      </c>
    </row>
    <row r="105" spans="1:8 16379:16381">
      <c r="A105" s="17">
        <v>43192</v>
      </c>
      <c r="B105" t="s">
        <v>463</v>
      </c>
      <c r="C105">
        <f t="shared" si="3"/>
        <v>29.51</v>
      </c>
      <c r="E105" t="s">
        <v>525</v>
      </c>
      <c r="F105" t="s">
        <v>526</v>
      </c>
      <c r="G105">
        <f t="shared" si="7"/>
        <v>0</v>
      </c>
      <c r="H105" t="str">
        <f t="shared" si="5"/>
        <v>Dry Grocery</v>
      </c>
      <c r="XEY105" t="s">
        <v>469</v>
      </c>
      <c r="XEZ105">
        <v>360</v>
      </c>
      <c r="XFA105" t="s">
        <v>533</v>
      </c>
    </row>
    <row r="106" spans="1:8 16379:16381">
      <c r="A106" s="17">
        <v>43192</v>
      </c>
      <c r="B106" t="s">
        <v>473</v>
      </c>
      <c r="C106">
        <f t="shared" si="3"/>
        <v>175</v>
      </c>
      <c r="D106">
        <v>2</v>
      </c>
      <c r="E106" t="s">
        <v>525</v>
      </c>
      <c r="F106" t="s">
        <v>526</v>
      </c>
      <c r="G106">
        <f t="shared" si="7"/>
        <v>350</v>
      </c>
      <c r="H106" t="str">
        <f t="shared" si="5"/>
        <v>Dairy</v>
      </c>
      <c r="XEY106" t="s">
        <v>470</v>
      </c>
      <c r="XEZ106">
        <v>5</v>
      </c>
      <c r="XFA106" t="s">
        <v>533</v>
      </c>
    </row>
    <row r="107" spans="1:8 16379:16381">
      <c r="A107" s="17">
        <v>43192</v>
      </c>
      <c r="B107" t="s">
        <v>384</v>
      </c>
      <c r="C107">
        <f t="shared" si="3"/>
        <v>3</v>
      </c>
      <c r="D107">
        <v>3</v>
      </c>
      <c r="E107" t="s">
        <v>525</v>
      </c>
      <c r="F107" t="s">
        <v>526</v>
      </c>
      <c r="G107">
        <f t="shared" si="7"/>
        <v>9</v>
      </c>
      <c r="H107" t="str">
        <f t="shared" si="5"/>
        <v>Vegetable</v>
      </c>
      <c r="XEY107" t="s">
        <v>471</v>
      </c>
      <c r="XEZ107">
        <v>160</v>
      </c>
      <c r="XFA107" t="s">
        <v>533</v>
      </c>
    </row>
    <row r="108" spans="1:8 16379:16381">
      <c r="A108" s="17">
        <v>43192</v>
      </c>
      <c r="B108" t="s">
        <v>426</v>
      </c>
      <c r="C108">
        <f t="shared" si="3"/>
        <v>57.5</v>
      </c>
      <c r="D108">
        <v>0.1</v>
      </c>
      <c r="E108" t="s">
        <v>525</v>
      </c>
      <c r="F108" t="s">
        <v>526</v>
      </c>
      <c r="G108">
        <f t="shared" si="7"/>
        <v>5.75</v>
      </c>
      <c r="H108" t="str">
        <f t="shared" si="5"/>
        <v>Dry Grocery</v>
      </c>
      <c r="XEY108" t="s">
        <v>472</v>
      </c>
      <c r="XEZ108">
        <v>600</v>
      </c>
      <c r="XFA108" t="s">
        <v>536</v>
      </c>
    </row>
    <row r="109" spans="1:8 16379:16381">
      <c r="A109" s="17">
        <v>43192</v>
      </c>
      <c r="B109" t="s">
        <v>458</v>
      </c>
      <c r="C109">
        <f t="shared" si="3"/>
        <v>140</v>
      </c>
      <c r="D109">
        <v>0.5</v>
      </c>
      <c r="E109" t="s">
        <v>525</v>
      </c>
      <c r="F109" t="s">
        <v>526</v>
      </c>
      <c r="G109">
        <f t="shared" si="7"/>
        <v>70</v>
      </c>
      <c r="H109" t="str">
        <f t="shared" si="5"/>
        <v>Dairy</v>
      </c>
      <c r="XEY109" t="s">
        <v>473</v>
      </c>
      <c r="XEZ109">
        <v>175</v>
      </c>
      <c r="XFA109" t="s">
        <v>537</v>
      </c>
    </row>
    <row r="110" spans="1:8 16379:16381">
      <c r="A110" s="17">
        <v>43192</v>
      </c>
      <c r="B110" t="s">
        <v>451</v>
      </c>
      <c r="C110">
        <f t="shared" si="3"/>
        <v>60</v>
      </c>
      <c r="D110">
        <v>0.5</v>
      </c>
      <c r="E110" t="s">
        <v>525</v>
      </c>
      <c r="F110" t="s">
        <v>526</v>
      </c>
      <c r="G110">
        <f t="shared" si="7"/>
        <v>30</v>
      </c>
      <c r="H110" t="str">
        <f t="shared" si="5"/>
        <v>Vegetable</v>
      </c>
      <c r="XEY110" t="s">
        <v>474</v>
      </c>
      <c r="XEZ110">
        <v>27</v>
      </c>
      <c r="XFA110" t="s">
        <v>533</v>
      </c>
    </row>
    <row r="111" spans="1:8 16379:16381">
      <c r="A111" s="17">
        <v>43192</v>
      </c>
      <c r="B111" t="s">
        <v>401</v>
      </c>
      <c r="C111">
        <f t="shared" si="3"/>
        <v>33</v>
      </c>
      <c r="D111">
        <v>0.4</v>
      </c>
      <c r="E111" t="s">
        <v>525</v>
      </c>
      <c r="F111" t="s">
        <v>526</v>
      </c>
      <c r="G111">
        <f t="shared" si="7"/>
        <v>13.200000000000001</v>
      </c>
      <c r="H111" t="str">
        <f t="shared" si="5"/>
        <v>Canned Food</v>
      </c>
      <c r="XEY111" t="s">
        <v>475</v>
      </c>
      <c r="XEZ111">
        <v>148</v>
      </c>
      <c r="XFA111" t="s">
        <v>533</v>
      </c>
    </row>
    <row r="112" spans="1:8 16379:16381">
      <c r="A112" s="17">
        <v>43192</v>
      </c>
      <c r="B112" t="s">
        <v>474</v>
      </c>
      <c r="C112">
        <f t="shared" si="3"/>
        <v>27</v>
      </c>
      <c r="D112">
        <v>2.2000000000000002</v>
      </c>
      <c r="E112" t="s">
        <v>525</v>
      </c>
      <c r="F112" t="s">
        <v>526</v>
      </c>
      <c r="G112">
        <f t="shared" si="7"/>
        <v>59.400000000000006</v>
      </c>
      <c r="H112" t="str">
        <f t="shared" si="5"/>
        <v>Dry Grocery</v>
      </c>
      <c r="XEY112" t="s">
        <v>476</v>
      </c>
      <c r="XEZ112">
        <v>14.75</v>
      </c>
      <c r="XFA112" t="s">
        <v>535</v>
      </c>
    </row>
    <row r="113" spans="1:8 16379:16381">
      <c r="A113" s="17">
        <v>43192</v>
      </c>
      <c r="B113" t="s">
        <v>395</v>
      </c>
      <c r="C113">
        <f t="shared" si="3"/>
        <v>450</v>
      </c>
      <c r="D113">
        <v>0.03</v>
      </c>
      <c r="E113" t="s">
        <v>525</v>
      </c>
      <c r="F113" t="s">
        <v>526</v>
      </c>
      <c r="G113">
        <f t="shared" si="7"/>
        <v>13.5</v>
      </c>
      <c r="H113" t="str">
        <f t="shared" si="5"/>
        <v>Dry Grocery</v>
      </c>
      <c r="XEY113" t="s">
        <v>477</v>
      </c>
      <c r="XEZ113">
        <v>184</v>
      </c>
      <c r="XFA113" t="s">
        <v>533</v>
      </c>
    </row>
    <row r="114" spans="1:8 16379:16381">
      <c r="A114" s="17">
        <v>43192</v>
      </c>
      <c r="B114" t="s">
        <v>467</v>
      </c>
      <c r="C114">
        <f t="shared" si="3"/>
        <v>75</v>
      </c>
      <c r="D114">
        <v>1.1000000000000001</v>
      </c>
      <c r="E114" t="s">
        <v>525</v>
      </c>
      <c r="F114" t="s">
        <v>526</v>
      </c>
      <c r="G114">
        <f t="shared" si="7"/>
        <v>82.5</v>
      </c>
      <c r="H114" t="str">
        <f t="shared" si="5"/>
        <v>Dry Grocery</v>
      </c>
      <c r="XEY114" t="s">
        <v>478</v>
      </c>
      <c r="XEZ114">
        <v>180</v>
      </c>
      <c r="XFA114" t="s">
        <v>533</v>
      </c>
    </row>
    <row r="115" spans="1:8 16379:16381">
      <c r="A115" s="17">
        <v>43192</v>
      </c>
      <c r="B115" t="s">
        <v>372</v>
      </c>
      <c r="C115">
        <f t="shared" si="3"/>
        <v>33</v>
      </c>
      <c r="D115">
        <v>0.81499999999999995</v>
      </c>
      <c r="E115" t="s">
        <v>525</v>
      </c>
      <c r="F115" t="s">
        <v>526</v>
      </c>
      <c r="G115">
        <f t="shared" si="7"/>
        <v>26.895</v>
      </c>
      <c r="H115" t="str">
        <f t="shared" si="5"/>
        <v>Sauce</v>
      </c>
      <c r="XEY115" t="s">
        <v>479</v>
      </c>
      <c r="XEZ115">
        <v>312.14</v>
      </c>
      <c r="XFA115" t="s">
        <v>535</v>
      </c>
    </row>
    <row r="116" spans="1:8 16379:16381">
      <c r="A116" s="17">
        <v>43192</v>
      </c>
      <c r="B116" t="s">
        <v>386</v>
      </c>
      <c r="C116">
        <f t="shared" si="3"/>
        <v>82</v>
      </c>
      <c r="D116">
        <v>3</v>
      </c>
      <c r="E116" t="s">
        <v>525</v>
      </c>
      <c r="F116" t="s">
        <v>526</v>
      </c>
      <c r="G116">
        <f t="shared" si="7"/>
        <v>246</v>
      </c>
      <c r="H116" t="str">
        <f t="shared" si="5"/>
        <v>Oil</v>
      </c>
      <c r="XEY116" t="s">
        <v>480</v>
      </c>
      <c r="XEZ116">
        <v>106</v>
      </c>
      <c r="XFA116" t="s">
        <v>534</v>
      </c>
    </row>
    <row r="117" spans="1:8 16379:16381">
      <c r="A117" s="17">
        <v>43192</v>
      </c>
      <c r="B117" t="s">
        <v>456</v>
      </c>
      <c r="C117">
        <f t="shared" si="3"/>
        <v>280</v>
      </c>
      <c r="D117">
        <v>0.03</v>
      </c>
      <c r="E117" t="s">
        <v>525</v>
      </c>
      <c r="F117" t="s">
        <v>526</v>
      </c>
      <c r="G117">
        <f t="shared" si="7"/>
        <v>8.4</v>
      </c>
      <c r="H117" t="str">
        <f t="shared" si="5"/>
        <v>Dry Grocery</v>
      </c>
      <c r="XEY117" t="s">
        <v>481</v>
      </c>
      <c r="XEZ117">
        <v>33</v>
      </c>
      <c r="XFA117" t="s">
        <v>534</v>
      </c>
    </row>
    <row r="118" spans="1:8 16379:16381">
      <c r="A118" s="17">
        <v>43192</v>
      </c>
      <c r="B118" t="s">
        <v>432</v>
      </c>
      <c r="C118">
        <f t="shared" si="3"/>
        <v>14</v>
      </c>
      <c r="D118">
        <v>1</v>
      </c>
      <c r="E118" t="s">
        <v>525</v>
      </c>
      <c r="F118" t="s">
        <v>526</v>
      </c>
      <c r="G118">
        <f t="shared" si="7"/>
        <v>14</v>
      </c>
      <c r="H118" t="str">
        <f t="shared" si="5"/>
        <v>Vegetable</v>
      </c>
      <c r="XEY118" t="s">
        <v>482</v>
      </c>
      <c r="XEZ118">
        <v>48</v>
      </c>
      <c r="XFA118" t="s">
        <v>533</v>
      </c>
    </row>
    <row r="119" spans="1:8 16379:16381">
      <c r="A119" s="17">
        <v>43192</v>
      </c>
      <c r="B119" t="s">
        <v>468</v>
      </c>
      <c r="C119">
        <f t="shared" si="3"/>
        <v>32</v>
      </c>
      <c r="D119">
        <v>2</v>
      </c>
      <c r="E119" t="s">
        <v>525</v>
      </c>
      <c r="F119" t="s">
        <v>526</v>
      </c>
      <c r="G119">
        <f t="shared" si="7"/>
        <v>64</v>
      </c>
      <c r="H119" t="str">
        <f t="shared" si="5"/>
        <v>Vegetable</v>
      </c>
      <c r="XEY119" t="s">
        <v>483</v>
      </c>
      <c r="XEZ119">
        <v>246</v>
      </c>
      <c r="XFA119" t="s">
        <v>534</v>
      </c>
    </row>
    <row r="120" spans="1:8 16379:16381">
      <c r="A120" s="17">
        <v>43192</v>
      </c>
      <c r="B120" t="s">
        <v>390</v>
      </c>
      <c r="C120">
        <f t="shared" si="3"/>
        <v>30</v>
      </c>
      <c r="D120">
        <v>0.5</v>
      </c>
      <c r="E120" t="s">
        <v>525</v>
      </c>
      <c r="F120" t="s">
        <v>526</v>
      </c>
      <c r="G120">
        <f t="shared" si="7"/>
        <v>15</v>
      </c>
      <c r="H120" t="str">
        <f t="shared" si="5"/>
        <v>Vegetable</v>
      </c>
      <c r="XEY120" t="s">
        <v>484</v>
      </c>
      <c r="XEZ120">
        <v>430</v>
      </c>
      <c r="XFA120" t="s">
        <v>537</v>
      </c>
    </row>
    <row r="121" spans="1:8 16379:16381">
      <c r="A121" s="17">
        <v>43192</v>
      </c>
      <c r="B121" t="s">
        <v>393</v>
      </c>
      <c r="C121">
        <f t="shared" si="3"/>
        <v>26</v>
      </c>
      <c r="D121">
        <v>5.4</v>
      </c>
      <c r="E121" t="s">
        <v>525</v>
      </c>
      <c r="F121" t="s">
        <v>526</v>
      </c>
      <c r="G121">
        <f t="shared" si="7"/>
        <v>140.4</v>
      </c>
      <c r="H121" t="str">
        <f t="shared" si="5"/>
        <v>Heating</v>
      </c>
      <c r="XEY121" t="s">
        <v>485</v>
      </c>
      <c r="XEZ121">
        <v>96</v>
      </c>
      <c r="XFA121" t="s">
        <v>102</v>
      </c>
    </row>
    <row r="122" spans="1:8 16379:16381">
      <c r="A122" s="17">
        <v>43192</v>
      </c>
      <c r="B122" t="s">
        <v>432</v>
      </c>
      <c r="C122">
        <f t="shared" si="3"/>
        <v>14</v>
      </c>
      <c r="D122">
        <v>0.5</v>
      </c>
      <c r="E122" t="s">
        <v>525</v>
      </c>
      <c r="F122" t="s">
        <v>526</v>
      </c>
      <c r="G122">
        <f t="shared" si="7"/>
        <v>7</v>
      </c>
      <c r="H122" t="str">
        <f t="shared" si="5"/>
        <v>Vegetable</v>
      </c>
      <c r="XEY122" t="s">
        <v>486</v>
      </c>
      <c r="XEZ122">
        <v>108</v>
      </c>
      <c r="XFA122" t="s">
        <v>533</v>
      </c>
    </row>
    <row r="123" spans="1:8 16379:16381">
      <c r="A123" s="17">
        <v>43192</v>
      </c>
      <c r="B123" t="s">
        <v>390</v>
      </c>
      <c r="C123">
        <f t="shared" si="3"/>
        <v>30</v>
      </c>
      <c r="D123">
        <v>0.5</v>
      </c>
      <c r="E123" t="s">
        <v>525</v>
      </c>
      <c r="F123" t="s">
        <v>526</v>
      </c>
      <c r="G123">
        <f t="shared" si="7"/>
        <v>15</v>
      </c>
      <c r="H123" t="str">
        <f t="shared" si="5"/>
        <v>Vegetable</v>
      </c>
      <c r="XEY123" t="s">
        <v>487</v>
      </c>
      <c r="XEZ123">
        <v>40</v>
      </c>
      <c r="XFA123" t="s">
        <v>533</v>
      </c>
    </row>
    <row r="124" spans="1:8 16379:16381">
      <c r="A124" s="17">
        <v>43192</v>
      </c>
      <c r="B124" t="s">
        <v>435</v>
      </c>
      <c r="C124">
        <f t="shared" si="3"/>
        <v>17</v>
      </c>
      <c r="D124">
        <v>1</v>
      </c>
      <c r="E124" t="s">
        <v>525</v>
      </c>
      <c r="F124" t="s">
        <v>526</v>
      </c>
      <c r="G124">
        <f t="shared" si="7"/>
        <v>17</v>
      </c>
      <c r="H124" t="str">
        <f t="shared" si="5"/>
        <v>Dry Grocery</v>
      </c>
      <c r="XEY124" t="s">
        <v>488</v>
      </c>
      <c r="XEZ124">
        <v>130</v>
      </c>
      <c r="XFA124" t="s">
        <v>533</v>
      </c>
    </row>
    <row r="125" spans="1:8 16379:16381">
      <c r="A125" s="17">
        <v>43192</v>
      </c>
      <c r="B125" t="s">
        <v>371</v>
      </c>
      <c r="C125">
        <f t="shared" si="3"/>
        <v>23.33</v>
      </c>
      <c r="D125">
        <v>1.5</v>
      </c>
      <c r="E125" t="s">
        <v>525</v>
      </c>
      <c r="F125" t="s">
        <v>526</v>
      </c>
      <c r="G125">
        <f t="shared" si="7"/>
        <v>34.994999999999997</v>
      </c>
      <c r="H125" t="str">
        <f t="shared" si="5"/>
        <v>Vegetable</v>
      </c>
      <c r="XEY125" t="s">
        <v>489</v>
      </c>
      <c r="XEZ125">
        <v>280</v>
      </c>
      <c r="XFA125" t="s">
        <v>544</v>
      </c>
    </row>
    <row r="126" spans="1:8 16379:16381">
      <c r="A126" s="17">
        <v>43192</v>
      </c>
      <c r="B126" t="s">
        <v>394</v>
      </c>
      <c r="C126">
        <f t="shared" si="3"/>
        <v>45</v>
      </c>
      <c r="D126">
        <v>1</v>
      </c>
      <c r="E126" t="s">
        <v>525</v>
      </c>
      <c r="F126" t="s">
        <v>526</v>
      </c>
      <c r="G126">
        <f t="shared" si="7"/>
        <v>45</v>
      </c>
      <c r="H126" t="str">
        <f t="shared" si="5"/>
        <v>Dry Grocery</v>
      </c>
      <c r="XEY126" t="s">
        <v>490</v>
      </c>
      <c r="XEZ126">
        <v>100</v>
      </c>
      <c r="XFA126" t="s">
        <v>544</v>
      </c>
    </row>
    <row r="127" spans="1:8 16379:16381">
      <c r="A127" s="17">
        <v>43192</v>
      </c>
      <c r="B127" t="s">
        <v>430</v>
      </c>
      <c r="C127">
        <f t="shared" si="3"/>
        <v>30</v>
      </c>
      <c r="D127">
        <v>0.1</v>
      </c>
      <c r="E127" t="s">
        <v>525</v>
      </c>
      <c r="F127" t="s">
        <v>526</v>
      </c>
      <c r="G127">
        <f t="shared" si="7"/>
        <v>3</v>
      </c>
      <c r="H127" t="str">
        <f t="shared" si="5"/>
        <v>Vegetable</v>
      </c>
      <c r="XEY127" t="s">
        <v>491</v>
      </c>
      <c r="XEZ127">
        <v>38</v>
      </c>
      <c r="XFA127" t="s">
        <v>535</v>
      </c>
    </row>
    <row r="128" spans="1:8 16379:16381">
      <c r="A128" s="17">
        <v>43192</v>
      </c>
      <c r="B128" t="s">
        <v>378</v>
      </c>
      <c r="C128">
        <f t="shared" si="3"/>
        <v>25</v>
      </c>
      <c r="D128">
        <v>0.25</v>
      </c>
      <c r="E128" t="s">
        <v>525</v>
      </c>
      <c r="F128" t="s">
        <v>526</v>
      </c>
      <c r="G128">
        <f t="shared" si="7"/>
        <v>6.25</v>
      </c>
      <c r="H128" t="str">
        <f t="shared" si="5"/>
        <v>Vegetable</v>
      </c>
      <c r="XEY128" t="s">
        <v>492</v>
      </c>
      <c r="XEZ128">
        <v>48</v>
      </c>
      <c r="XFA128" t="s">
        <v>540</v>
      </c>
    </row>
    <row r="129" spans="1:8 16379:16381">
      <c r="A129" s="17">
        <v>43192</v>
      </c>
      <c r="B129" t="s">
        <v>384</v>
      </c>
      <c r="C129">
        <f t="shared" si="3"/>
        <v>3</v>
      </c>
      <c r="D129">
        <v>2</v>
      </c>
      <c r="E129" t="s">
        <v>525</v>
      </c>
      <c r="F129" t="s">
        <v>526</v>
      </c>
      <c r="G129">
        <f t="shared" si="7"/>
        <v>6</v>
      </c>
      <c r="H129" t="str">
        <f t="shared" si="5"/>
        <v>Vegetable</v>
      </c>
      <c r="XEY129" t="s">
        <v>493</v>
      </c>
      <c r="XEZ129">
        <v>48</v>
      </c>
      <c r="XFA129" t="s">
        <v>540</v>
      </c>
    </row>
    <row r="130" spans="1:8 16379:16381">
      <c r="A130" s="17">
        <v>43192</v>
      </c>
      <c r="B130" t="s">
        <v>458</v>
      </c>
      <c r="C130">
        <f t="shared" ref="C130:C193" si="8">IF(B130="","",VLOOKUP(B130,$XEY$3:$XEZ$156,2,FALSE))</f>
        <v>140</v>
      </c>
      <c r="D130">
        <v>0.5</v>
      </c>
      <c r="E130" t="s">
        <v>525</v>
      </c>
      <c r="F130" t="s">
        <v>526</v>
      </c>
      <c r="G130">
        <f t="shared" si="7"/>
        <v>70</v>
      </c>
      <c r="H130" t="str">
        <f t="shared" si="5"/>
        <v>Dairy</v>
      </c>
      <c r="XEY130" t="s">
        <v>494</v>
      </c>
      <c r="XEZ130">
        <v>180</v>
      </c>
      <c r="XFA130" t="s">
        <v>545</v>
      </c>
    </row>
    <row r="131" spans="1:8 16379:16381">
      <c r="A131" s="17">
        <v>43192</v>
      </c>
      <c r="B131" t="s">
        <v>451</v>
      </c>
      <c r="C131">
        <f t="shared" si="8"/>
        <v>60</v>
      </c>
      <c r="D131">
        <v>0.5</v>
      </c>
      <c r="E131" t="s">
        <v>525</v>
      </c>
      <c r="F131" t="s">
        <v>526</v>
      </c>
      <c r="G131">
        <f t="shared" si="7"/>
        <v>30</v>
      </c>
      <c r="H131" t="str">
        <f t="shared" ref="H131:H194" si="9">IF(B131="","",VLOOKUP(B131,$XEY$3:$XFA$1200,3,FALSE))</f>
        <v>Vegetable</v>
      </c>
      <c r="XEY131" t="s">
        <v>495</v>
      </c>
      <c r="XEZ131">
        <v>88</v>
      </c>
      <c r="XFA131" t="s">
        <v>545</v>
      </c>
    </row>
    <row r="132" spans="1:8 16379:16381">
      <c r="A132" s="17">
        <v>43192</v>
      </c>
      <c r="B132" t="s">
        <v>468</v>
      </c>
      <c r="C132">
        <f t="shared" si="8"/>
        <v>32</v>
      </c>
      <c r="D132">
        <v>1</v>
      </c>
      <c r="E132" t="s">
        <v>525</v>
      </c>
      <c r="F132" t="s">
        <v>526</v>
      </c>
      <c r="G132">
        <f t="shared" si="7"/>
        <v>32</v>
      </c>
      <c r="H132" t="str">
        <f t="shared" si="9"/>
        <v>Vegetable</v>
      </c>
      <c r="XEY132" t="s">
        <v>496</v>
      </c>
      <c r="XEZ132">
        <v>44</v>
      </c>
      <c r="XFA132" t="s">
        <v>533</v>
      </c>
    </row>
    <row r="133" spans="1:8 16379:16381">
      <c r="A133" s="17">
        <v>43192</v>
      </c>
      <c r="B133" t="s">
        <v>382</v>
      </c>
      <c r="C133">
        <f t="shared" si="8"/>
        <v>42</v>
      </c>
      <c r="D133">
        <v>1.5089999999999999</v>
      </c>
      <c r="E133" t="s">
        <v>336</v>
      </c>
      <c r="F133" t="s">
        <v>527</v>
      </c>
      <c r="G133">
        <f>IF(C133="","",C133*D133)</f>
        <v>63.377999999999993</v>
      </c>
      <c r="H133" t="str">
        <f t="shared" si="9"/>
        <v>Dairy</v>
      </c>
      <c r="XEY133" t="s">
        <v>497</v>
      </c>
      <c r="XEZ133">
        <v>32</v>
      </c>
      <c r="XFA133" t="s">
        <v>533</v>
      </c>
    </row>
    <row r="134" spans="1:8 16379:16381">
      <c r="A134" s="17">
        <v>43192</v>
      </c>
      <c r="B134" t="s">
        <v>511</v>
      </c>
      <c r="C134">
        <f t="shared" si="8"/>
        <v>52</v>
      </c>
      <c r="D134">
        <v>5.9</v>
      </c>
      <c r="E134" t="s">
        <v>336</v>
      </c>
      <c r="F134" t="s">
        <v>527</v>
      </c>
      <c r="G134">
        <f t="shared" ref="G134:G197" si="10">IF(C134="","",C134*D134)</f>
        <v>306.8</v>
      </c>
      <c r="H134" t="str">
        <f t="shared" si="9"/>
        <v>Dry Grocery</v>
      </c>
      <c r="XEY134" t="s">
        <v>498</v>
      </c>
      <c r="XEZ134">
        <v>15</v>
      </c>
      <c r="XFA134" t="s">
        <v>533</v>
      </c>
    </row>
    <row r="135" spans="1:8 16379:16381">
      <c r="A135" s="17">
        <v>43192</v>
      </c>
      <c r="B135" t="s">
        <v>404</v>
      </c>
      <c r="C135">
        <f t="shared" si="8"/>
        <v>28</v>
      </c>
      <c r="D135">
        <v>2</v>
      </c>
      <c r="E135" t="s">
        <v>336</v>
      </c>
      <c r="F135" t="s">
        <v>527</v>
      </c>
      <c r="G135">
        <f t="shared" si="10"/>
        <v>56</v>
      </c>
      <c r="H135" t="str">
        <f t="shared" si="9"/>
        <v>Vegetable</v>
      </c>
      <c r="XEY135" t="s">
        <v>499</v>
      </c>
      <c r="XEZ135">
        <v>60</v>
      </c>
      <c r="XFA135" t="s">
        <v>533</v>
      </c>
    </row>
    <row r="136" spans="1:8 16379:16381">
      <c r="A136" s="17">
        <v>43192</v>
      </c>
      <c r="B136" t="s">
        <v>436</v>
      </c>
      <c r="C136">
        <f t="shared" si="8"/>
        <v>37</v>
      </c>
      <c r="D136">
        <v>0.6</v>
      </c>
      <c r="E136" t="s">
        <v>336</v>
      </c>
      <c r="F136" t="s">
        <v>527</v>
      </c>
      <c r="G136">
        <f t="shared" si="10"/>
        <v>22.2</v>
      </c>
      <c r="H136" t="str">
        <f t="shared" si="9"/>
        <v>Dry Grocery</v>
      </c>
      <c r="XEY136" t="s">
        <v>500</v>
      </c>
      <c r="XEZ136">
        <v>72</v>
      </c>
      <c r="XFA136" t="s">
        <v>533</v>
      </c>
    </row>
    <row r="137" spans="1:8 16379:16381">
      <c r="A137" s="17">
        <v>43192</v>
      </c>
      <c r="B137" t="s">
        <v>375</v>
      </c>
      <c r="C137">
        <f t="shared" si="8"/>
        <v>280</v>
      </c>
      <c r="D137">
        <v>6.5000000000000002E-2</v>
      </c>
      <c r="E137" t="s">
        <v>336</v>
      </c>
      <c r="F137" t="s">
        <v>527</v>
      </c>
      <c r="G137">
        <f t="shared" si="10"/>
        <v>18.2</v>
      </c>
      <c r="H137" t="str">
        <f t="shared" si="9"/>
        <v>Dry Grocery</v>
      </c>
      <c r="XEY137" t="s">
        <v>501</v>
      </c>
      <c r="XEZ137">
        <v>78</v>
      </c>
      <c r="XFA137" t="s">
        <v>533</v>
      </c>
    </row>
    <row r="138" spans="1:8 16379:16381">
      <c r="A138" s="17">
        <v>43192</v>
      </c>
      <c r="B138" t="s">
        <v>379</v>
      </c>
      <c r="C138">
        <f t="shared" si="8"/>
        <v>120</v>
      </c>
      <c r="D138">
        <v>5.5E-2</v>
      </c>
      <c r="E138" t="s">
        <v>336</v>
      </c>
      <c r="F138" t="s">
        <v>527</v>
      </c>
      <c r="G138">
        <f t="shared" si="10"/>
        <v>6.6</v>
      </c>
      <c r="H138" t="str">
        <f t="shared" si="9"/>
        <v>Dry Grocery</v>
      </c>
      <c r="XEY138" t="s">
        <v>502</v>
      </c>
      <c r="XEZ138">
        <v>40</v>
      </c>
      <c r="XFA138" t="s">
        <v>544</v>
      </c>
    </row>
    <row r="139" spans="1:8 16379:16381">
      <c r="A139" s="17">
        <v>43192</v>
      </c>
      <c r="B139" t="s">
        <v>435</v>
      </c>
      <c r="C139">
        <f t="shared" si="8"/>
        <v>17</v>
      </c>
      <c r="E139" t="s">
        <v>336</v>
      </c>
      <c r="F139" t="s">
        <v>527</v>
      </c>
      <c r="G139">
        <f t="shared" si="10"/>
        <v>0</v>
      </c>
      <c r="H139" t="str">
        <f t="shared" si="9"/>
        <v>Dry Grocery</v>
      </c>
      <c r="XEY139" t="s">
        <v>503</v>
      </c>
      <c r="XEZ139">
        <v>160</v>
      </c>
      <c r="XFA139" t="s">
        <v>533</v>
      </c>
    </row>
    <row r="140" spans="1:8 16379:16381">
      <c r="A140" s="17">
        <v>43192</v>
      </c>
      <c r="B140" t="s">
        <v>381</v>
      </c>
      <c r="C140">
        <f t="shared" si="8"/>
        <v>7</v>
      </c>
      <c r="D140">
        <v>0.43</v>
      </c>
      <c r="E140" t="s">
        <v>336</v>
      </c>
      <c r="F140" t="s">
        <v>527</v>
      </c>
      <c r="G140">
        <f t="shared" si="10"/>
        <v>3.01</v>
      </c>
      <c r="H140" t="str">
        <f t="shared" si="9"/>
        <v>Dry Grocery</v>
      </c>
      <c r="XEY140" t="s">
        <v>504</v>
      </c>
      <c r="XEZ140">
        <v>20</v>
      </c>
      <c r="XFA140" t="s">
        <v>535</v>
      </c>
    </row>
    <row r="141" spans="1:8 16379:16381">
      <c r="A141" s="17">
        <v>43192</v>
      </c>
      <c r="B141" t="s">
        <v>387</v>
      </c>
      <c r="C141">
        <f t="shared" si="8"/>
        <v>187.41</v>
      </c>
      <c r="D141">
        <v>0.03</v>
      </c>
      <c r="E141" t="s">
        <v>336</v>
      </c>
      <c r="F141" t="s">
        <v>527</v>
      </c>
      <c r="G141">
        <f t="shared" si="10"/>
        <v>5.6223000000000001</v>
      </c>
      <c r="H141" t="str">
        <f t="shared" si="9"/>
        <v>Dry Grocery</v>
      </c>
      <c r="XEY141" t="s">
        <v>505</v>
      </c>
      <c r="XEZ141">
        <v>38</v>
      </c>
      <c r="XFA141" t="s">
        <v>533</v>
      </c>
    </row>
    <row r="142" spans="1:8 16379:16381">
      <c r="A142" s="17">
        <v>43192</v>
      </c>
      <c r="B142" t="s">
        <v>485</v>
      </c>
      <c r="C142">
        <f t="shared" si="8"/>
        <v>96</v>
      </c>
      <c r="D142">
        <v>0.35499999999999998</v>
      </c>
      <c r="E142" t="s">
        <v>336</v>
      </c>
      <c r="F142" t="s">
        <v>527</v>
      </c>
      <c r="G142">
        <f t="shared" si="10"/>
        <v>34.08</v>
      </c>
      <c r="H142" t="str">
        <f t="shared" si="9"/>
        <v>Oil</v>
      </c>
      <c r="XEY142" t="s">
        <v>506</v>
      </c>
      <c r="XEZ142">
        <v>240</v>
      </c>
      <c r="XFA142" t="s">
        <v>533</v>
      </c>
    </row>
    <row r="143" spans="1:8 16379:16381">
      <c r="A143" s="17">
        <v>43192</v>
      </c>
      <c r="B143" t="s">
        <v>386</v>
      </c>
      <c r="C143">
        <f t="shared" si="8"/>
        <v>82</v>
      </c>
      <c r="D143">
        <v>1</v>
      </c>
      <c r="E143" t="s">
        <v>336</v>
      </c>
      <c r="F143" t="s">
        <v>527</v>
      </c>
      <c r="G143">
        <f t="shared" si="10"/>
        <v>82</v>
      </c>
      <c r="H143" t="str">
        <f t="shared" si="9"/>
        <v>Oil</v>
      </c>
      <c r="XEY143" t="s">
        <v>507</v>
      </c>
      <c r="XEZ143">
        <v>340</v>
      </c>
      <c r="XFA143" t="s">
        <v>533</v>
      </c>
    </row>
    <row r="144" spans="1:8 16379:16381">
      <c r="A144" s="17">
        <v>43192</v>
      </c>
      <c r="B144" t="s">
        <v>383</v>
      </c>
      <c r="C144">
        <f t="shared" si="8"/>
        <v>230</v>
      </c>
      <c r="D144">
        <v>0.02</v>
      </c>
      <c r="E144" t="s">
        <v>336</v>
      </c>
      <c r="F144" t="s">
        <v>527</v>
      </c>
      <c r="G144">
        <f t="shared" si="10"/>
        <v>4.6000000000000005</v>
      </c>
      <c r="H144" t="str">
        <f t="shared" si="9"/>
        <v>Dry Grocery</v>
      </c>
      <c r="XEY144" t="s">
        <v>508</v>
      </c>
      <c r="XEZ144">
        <v>86</v>
      </c>
      <c r="XFA144" t="s">
        <v>533</v>
      </c>
    </row>
    <row r="145" spans="1:8 16379:16381">
      <c r="A145" s="17">
        <v>43192</v>
      </c>
      <c r="B145" t="s">
        <v>432</v>
      </c>
      <c r="C145">
        <f t="shared" si="8"/>
        <v>14</v>
      </c>
      <c r="D145">
        <v>2.0350000000000001</v>
      </c>
      <c r="E145" t="s">
        <v>336</v>
      </c>
      <c r="F145" t="s">
        <v>527</v>
      </c>
      <c r="G145">
        <f t="shared" si="10"/>
        <v>28.490000000000002</v>
      </c>
      <c r="H145" t="str">
        <f t="shared" si="9"/>
        <v>Vegetable</v>
      </c>
      <c r="XEY145" t="s">
        <v>509</v>
      </c>
      <c r="XEZ145">
        <v>500</v>
      </c>
      <c r="XFA145" t="s">
        <v>533</v>
      </c>
    </row>
    <row r="146" spans="1:8 16379:16381">
      <c r="A146" s="17">
        <v>43192</v>
      </c>
      <c r="B146" t="s">
        <v>427</v>
      </c>
      <c r="C146">
        <f t="shared" si="8"/>
        <v>28</v>
      </c>
      <c r="D146">
        <v>0.2</v>
      </c>
      <c r="E146" t="s">
        <v>336</v>
      </c>
      <c r="F146" t="s">
        <v>527</v>
      </c>
      <c r="G146">
        <f t="shared" si="10"/>
        <v>5.6000000000000005</v>
      </c>
      <c r="H146" t="str">
        <f t="shared" si="9"/>
        <v>Vegetable</v>
      </c>
      <c r="XEY146" t="s">
        <v>510</v>
      </c>
      <c r="XEZ146">
        <v>62.03</v>
      </c>
      <c r="XFA146" t="s">
        <v>533</v>
      </c>
    </row>
    <row r="147" spans="1:8 16379:16381">
      <c r="A147" s="17">
        <v>43192</v>
      </c>
      <c r="B147" t="s">
        <v>430</v>
      </c>
      <c r="C147">
        <f t="shared" si="8"/>
        <v>30</v>
      </c>
      <c r="D147">
        <v>0.12</v>
      </c>
      <c r="E147" t="s">
        <v>336</v>
      </c>
      <c r="F147" t="s">
        <v>527</v>
      </c>
      <c r="G147">
        <f t="shared" si="10"/>
        <v>3.5999999999999996</v>
      </c>
      <c r="H147" t="str">
        <f t="shared" si="9"/>
        <v>Vegetable</v>
      </c>
      <c r="XEY147" t="s">
        <v>511</v>
      </c>
      <c r="XEZ147">
        <v>52</v>
      </c>
      <c r="XFA147" t="s">
        <v>533</v>
      </c>
    </row>
    <row r="148" spans="1:8 16379:16381">
      <c r="A148" s="17">
        <v>43192</v>
      </c>
      <c r="B148" t="s">
        <v>462</v>
      </c>
      <c r="C148">
        <f t="shared" si="8"/>
        <v>138</v>
      </c>
      <c r="D148">
        <v>0.02</v>
      </c>
      <c r="E148" t="s">
        <v>336</v>
      </c>
      <c r="F148" t="s">
        <v>527</v>
      </c>
      <c r="G148">
        <f t="shared" si="10"/>
        <v>2.7600000000000002</v>
      </c>
      <c r="H148" t="str">
        <f t="shared" si="9"/>
        <v>Dry Grocery</v>
      </c>
      <c r="XEY148" t="s">
        <v>512</v>
      </c>
      <c r="XEZ148">
        <v>170</v>
      </c>
      <c r="XFA148" t="s">
        <v>533</v>
      </c>
    </row>
    <row r="149" spans="1:8 16379:16381">
      <c r="A149" s="17">
        <v>43192</v>
      </c>
      <c r="B149" t="s">
        <v>471</v>
      </c>
      <c r="C149">
        <f t="shared" si="8"/>
        <v>160</v>
      </c>
      <c r="D149">
        <v>0.1</v>
      </c>
      <c r="E149" t="s">
        <v>336</v>
      </c>
      <c r="F149" t="s">
        <v>527</v>
      </c>
      <c r="G149">
        <f t="shared" si="10"/>
        <v>16</v>
      </c>
      <c r="H149" t="str">
        <f t="shared" si="9"/>
        <v>Dry Grocery</v>
      </c>
      <c r="XEY149" t="s">
        <v>513</v>
      </c>
      <c r="XEZ149">
        <v>15</v>
      </c>
      <c r="XFA149" t="s">
        <v>535</v>
      </c>
    </row>
    <row r="150" spans="1:8 16379:16381">
      <c r="A150" s="17">
        <v>43192</v>
      </c>
      <c r="B150" t="s">
        <v>510</v>
      </c>
      <c r="C150">
        <f t="shared" si="8"/>
        <v>62.03</v>
      </c>
      <c r="D150">
        <v>8.5000000000000006E-2</v>
      </c>
      <c r="E150" t="s">
        <v>336</v>
      </c>
      <c r="F150" t="s">
        <v>527</v>
      </c>
      <c r="G150">
        <f t="shared" si="10"/>
        <v>5.2725500000000007</v>
      </c>
      <c r="H150" t="str">
        <f t="shared" si="9"/>
        <v>Dry Grocery</v>
      </c>
      <c r="XEY150" t="s">
        <v>514</v>
      </c>
      <c r="XEZ150">
        <v>61.08</v>
      </c>
      <c r="XFA150" t="s">
        <v>533</v>
      </c>
    </row>
    <row r="151" spans="1:8 16379:16381">
      <c r="A151" s="17">
        <v>43192</v>
      </c>
      <c r="B151" t="s">
        <v>392</v>
      </c>
      <c r="C151">
        <f t="shared" si="8"/>
        <v>840</v>
      </c>
      <c r="D151">
        <v>1.2999999999999999E-2</v>
      </c>
      <c r="E151" t="s">
        <v>336</v>
      </c>
      <c r="F151" t="s">
        <v>527</v>
      </c>
      <c r="G151">
        <f t="shared" si="10"/>
        <v>10.92</v>
      </c>
      <c r="H151" t="str">
        <f t="shared" si="9"/>
        <v>Dry Grocery</v>
      </c>
      <c r="XEY151" t="s">
        <v>515</v>
      </c>
      <c r="XEZ151">
        <v>53</v>
      </c>
      <c r="XFA151" t="s">
        <v>535</v>
      </c>
    </row>
    <row r="152" spans="1:8 16379:16381">
      <c r="A152" s="17">
        <v>43192</v>
      </c>
      <c r="B152" t="s">
        <v>506</v>
      </c>
      <c r="C152">
        <f t="shared" si="8"/>
        <v>240</v>
      </c>
      <c r="D152">
        <v>1.2E-2</v>
      </c>
      <c r="E152" t="s">
        <v>336</v>
      </c>
      <c r="F152" t="s">
        <v>527</v>
      </c>
      <c r="G152">
        <f t="shared" si="10"/>
        <v>2.88</v>
      </c>
      <c r="H152" t="str">
        <f t="shared" si="9"/>
        <v>Dry Grocery</v>
      </c>
      <c r="XEY152" t="s">
        <v>516</v>
      </c>
      <c r="XEZ152">
        <v>35</v>
      </c>
      <c r="XFA152" t="s">
        <v>533</v>
      </c>
    </row>
    <row r="153" spans="1:8 16379:16381">
      <c r="A153" s="17">
        <v>43192</v>
      </c>
      <c r="B153" t="s">
        <v>409</v>
      </c>
      <c r="C153">
        <f t="shared" si="8"/>
        <v>64.069999999999993</v>
      </c>
      <c r="D153">
        <v>0.35</v>
      </c>
      <c r="E153" t="s">
        <v>336</v>
      </c>
      <c r="F153" t="s">
        <v>527</v>
      </c>
      <c r="G153">
        <f t="shared" si="10"/>
        <v>22.424499999999995</v>
      </c>
      <c r="H153" t="str">
        <f t="shared" si="9"/>
        <v>Dry Grocery</v>
      </c>
      <c r="XEY153" t="s">
        <v>517</v>
      </c>
      <c r="XEZ153">
        <v>20</v>
      </c>
      <c r="XFA153" t="s">
        <v>535</v>
      </c>
    </row>
    <row r="154" spans="1:8 16379:16381">
      <c r="A154" s="17">
        <v>43192</v>
      </c>
      <c r="B154" t="s">
        <v>476</v>
      </c>
      <c r="C154">
        <f t="shared" si="8"/>
        <v>14.75</v>
      </c>
      <c r="D154">
        <v>1.1000000000000001</v>
      </c>
      <c r="E154" t="s">
        <v>336</v>
      </c>
      <c r="F154" t="s">
        <v>527</v>
      </c>
      <c r="G154">
        <f t="shared" si="10"/>
        <v>16.225000000000001</v>
      </c>
      <c r="H154" t="str">
        <f t="shared" si="9"/>
        <v>Vegetable</v>
      </c>
      <c r="XEY154" t="s">
        <v>518</v>
      </c>
      <c r="XEZ154">
        <v>24</v>
      </c>
      <c r="XFA154" t="s">
        <v>533</v>
      </c>
    </row>
    <row r="155" spans="1:8 16379:16381">
      <c r="A155" s="17">
        <v>43192</v>
      </c>
      <c r="B155" t="s">
        <v>426</v>
      </c>
      <c r="C155">
        <f t="shared" si="8"/>
        <v>57.5</v>
      </c>
      <c r="D155">
        <v>3.5000000000000003E-2</v>
      </c>
      <c r="E155" t="s">
        <v>336</v>
      </c>
      <c r="F155" t="s">
        <v>527</v>
      </c>
      <c r="G155">
        <f t="shared" si="10"/>
        <v>2.0125000000000002</v>
      </c>
      <c r="H155" t="str">
        <f t="shared" si="9"/>
        <v>Dry Grocery</v>
      </c>
      <c r="XEY155" t="s">
        <v>519</v>
      </c>
      <c r="XEZ155">
        <v>35</v>
      </c>
      <c r="XFA155" t="s">
        <v>535</v>
      </c>
    </row>
    <row r="156" spans="1:8 16379:16381">
      <c r="A156" s="17">
        <v>43192</v>
      </c>
      <c r="B156" t="s">
        <v>479</v>
      </c>
      <c r="C156">
        <f t="shared" si="8"/>
        <v>312.14</v>
      </c>
      <c r="D156">
        <v>0.06</v>
      </c>
      <c r="E156" t="s">
        <v>336</v>
      </c>
      <c r="F156" t="s">
        <v>527</v>
      </c>
      <c r="G156">
        <f t="shared" si="10"/>
        <v>18.728399999999997</v>
      </c>
      <c r="H156" t="str">
        <f t="shared" si="9"/>
        <v>Vegetable</v>
      </c>
      <c r="XEY156" t="s">
        <v>520</v>
      </c>
      <c r="XEZ156">
        <v>45</v>
      </c>
      <c r="XFA156" t="s">
        <v>533</v>
      </c>
    </row>
    <row r="157" spans="1:8 16379:16381">
      <c r="A157" s="17">
        <v>43192</v>
      </c>
      <c r="B157" t="s">
        <v>378</v>
      </c>
      <c r="C157">
        <f t="shared" si="8"/>
        <v>25</v>
      </c>
      <c r="D157">
        <v>0.1</v>
      </c>
      <c r="E157" t="s">
        <v>336</v>
      </c>
      <c r="F157" t="s">
        <v>527</v>
      </c>
      <c r="G157">
        <f t="shared" si="10"/>
        <v>2.5</v>
      </c>
      <c r="H157" t="str">
        <f t="shared" si="9"/>
        <v>Vegetable</v>
      </c>
      <c r="XEY157" t="s">
        <v>551</v>
      </c>
      <c r="XEZ157">
        <v>120</v>
      </c>
      <c r="XFA157" t="s">
        <v>286</v>
      </c>
    </row>
    <row r="158" spans="1:8 16379:16381">
      <c r="A158" s="17">
        <v>43192</v>
      </c>
      <c r="B158" t="s">
        <v>434</v>
      </c>
      <c r="C158">
        <f t="shared" si="8"/>
        <v>125</v>
      </c>
      <c r="D158">
        <v>0.44</v>
      </c>
      <c r="E158" t="s">
        <v>336</v>
      </c>
      <c r="F158" t="s">
        <v>527</v>
      </c>
      <c r="G158">
        <f t="shared" si="10"/>
        <v>55</v>
      </c>
      <c r="H158" t="str">
        <f t="shared" si="9"/>
        <v>Vegetable</v>
      </c>
      <c r="XEY158" t="s">
        <v>552</v>
      </c>
      <c r="XEZ158">
        <v>40</v>
      </c>
      <c r="XFA158" t="s">
        <v>286</v>
      </c>
    </row>
    <row r="159" spans="1:8 16379:16381">
      <c r="A159" s="17">
        <v>43192</v>
      </c>
      <c r="B159" t="s">
        <v>429</v>
      </c>
      <c r="C159">
        <f t="shared" si="8"/>
        <v>40</v>
      </c>
      <c r="D159">
        <v>4.4999999999999998E-2</v>
      </c>
      <c r="E159" t="s">
        <v>336</v>
      </c>
      <c r="F159" t="s">
        <v>527</v>
      </c>
      <c r="G159">
        <f t="shared" si="10"/>
        <v>1.7999999999999998</v>
      </c>
      <c r="H159" t="str">
        <f t="shared" si="9"/>
        <v>Vegetable</v>
      </c>
      <c r="XEY159" t="s">
        <v>553</v>
      </c>
      <c r="XEZ159">
        <v>150</v>
      </c>
      <c r="XFA159" t="s">
        <v>286</v>
      </c>
    </row>
    <row r="160" spans="1:8 16379:16381">
      <c r="A160" s="17">
        <v>43192</v>
      </c>
      <c r="B160" t="s">
        <v>519</v>
      </c>
      <c r="C160">
        <f t="shared" si="8"/>
        <v>35</v>
      </c>
      <c r="D160">
        <v>1</v>
      </c>
      <c r="E160" t="s">
        <v>336</v>
      </c>
      <c r="F160" t="s">
        <v>527</v>
      </c>
      <c r="G160">
        <f t="shared" si="10"/>
        <v>35</v>
      </c>
      <c r="H160" t="str">
        <f t="shared" si="9"/>
        <v>Vegetable</v>
      </c>
      <c r="XEY160" t="s">
        <v>589</v>
      </c>
      <c r="XEZ160">
        <v>560</v>
      </c>
      <c r="XFA160" t="s">
        <v>533</v>
      </c>
    </row>
    <row r="161" spans="1:8 16379:16381">
      <c r="A161" s="17">
        <v>43192</v>
      </c>
      <c r="B161" t="s">
        <v>403</v>
      </c>
      <c r="C161">
        <f t="shared" si="8"/>
        <v>34</v>
      </c>
      <c r="D161">
        <v>0.3</v>
      </c>
      <c r="E161" t="s">
        <v>336</v>
      </c>
      <c r="F161" t="s">
        <v>527</v>
      </c>
      <c r="G161">
        <f t="shared" si="10"/>
        <v>10.199999999999999</v>
      </c>
      <c r="H161" t="str">
        <f t="shared" si="9"/>
        <v>Dry Grocery</v>
      </c>
      <c r="XEY161" t="s">
        <v>561</v>
      </c>
      <c r="XEZ161">
        <v>0</v>
      </c>
      <c r="XFA161" t="s">
        <v>621</v>
      </c>
    </row>
    <row r="162" spans="1:8 16379:16381">
      <c r="A162" s="17">
        <v>43192</v>
      </c>
      <c r="B162" t="s">
        <v>391</v>
      </c>
      <c r="C162">
        <f t="shared" si="8"/>
        <v>27.97</v>
      </c>
      <c r="D162">
        <v>0.38</v>
      </c>
      <c r="E162" t="s">
        <v>336</v>
      </c>
      <c r="F162" t="s">
        <v>527</v>
      </c>
      <c r="G162">
        <f t="shared" si="10"/>
        <v>10.6286</v>
      </c>
      <c r="H162" t="str">
        <f t="shared" si="9"/>
        <v>Vegetable</v>
      </c>
      <c r="XEY162" t="s">
        <v>622</v>
      </c>
      <c r="XEZ162">
        <v>130</v>
      </c>
      <c r="XFA162" t="s">
        <v>286</v>
      </c>
    </row>
    <row r="163" spans="1:8 16379:16381">
      <c r="A163" s="17">
        <v>43192</v>
      </c>
      <c r="B163" t="s">
        <v>454</v>
      </c>
      <c r="C163">
        <f t="shared" si="8"/>
        <v>43.06</v>
      </c>
      <c r="D163">
        <v>0.33</v>
      </c>
      <c r="E163" t="s">
        <v>336</v>
      </c>
      <c r="F163" t="s">
        <v>527</v>
      </c>
      <c r="G163">
        <f t="shared" si="10"/>
        <v>14.209800000000001</v>
      </c>
      <c r="H163" t="str">
        <f t="shared" si="9"/>
        <v>Vegetable</v>
      </c>
      <c r="XEY163" t="s">
        <v>631</v>
      </c>
      <c r="XEZ163">
        <v>2</v>
      </c>
      <c r="XFA163" t="s">
        <v>286</v>
      </c>
    </row>
    <row r="164" spans="1:8 16379:16381">
      <c r="A164" s="17">
        <v>43192</v>
      </c>
      <c r="B164" t="s">
        <v>507</v>
      </c>
      <c r="C164">
        <f t="shared" si="8"/>
        <v>340</v>
      </c>
      <c r="D164">
        <v>0.02</v>
      </c>
      <c r="E164" t="s">
        <v>336</v>
      </c>
      <c r="F164" t="s">
        <v>527</v>
      </c>
      <c r="G164">
        <f t="shared" si="10"/>
        <v>6.8</v>
      </c>
      <c r="H164" t="str">
        <f t="shared" si="9"/>
        <v>Dry Grocery</v>
      </c>
      <c r="XEY164" t="s">
        <v>672</v>
      </c>
      <c r="XFA164" t="s">
        <v>533</v>
      </c>
    </row>
    <row r="165" spans="1:8 16379:16381">
      <c r="A165" s="17">
        <v>43192</v>
      </c>
      <c r="B165" t="s">
        <v>509</v>
      </c>
      <c r="C165">
        <f t="shared" si="8"/>
        <v>500</v>
      </c>
      <c r="D165">
        <v>0.05</v>
      </c>
      <c r="E165" t="s">
        <v>336</v>
      </c>
      <c r="F165" t="s">
        <v>527</v>
      </c>
      <c r="G165">
        <f t="shared" si="10"/>
        <v>25</v>
      </c>
      <c r="H165" t="str">
        <f t="shared" si="9"/>
        <v>Dry Grocery</v>
      </c>
      <c r="XEY165" t="s">
        <v>673</v>
      </c>
      <c r="XEZ165">
        <v>20</v>
      </c>
      <c r="XFA165" t="s">
        <v>286</v>
      </c>
    </row>
    <row r="166" spans="1:8 16379:16381">
      <c r="A166" s="17">
        <v>43192</v>
      </c>
      <c r="B166" t="s">
        <v>402</v>
      </c>
      <c r="C166">
        <f t="shared" si="8"/>
        <v>76</v>
      </c>
      <c r="D166">
        <v>0.27</v>
      </c>
      <c r="E166" t="s">
        <v>336</v>
      </c>
      <c r="F166" t="s">
        <v>527</v>
      </c>
      <c r="G166">
        <f t="shared" si="10"/>
        <v>20.520000000000003</v>
      </c>
      <c r="H166" t="str">
        <f t="shared" si="9"/>
        <v>Dry Grocery</v>
      </c>
      <c r="XEY166" t="s">
        <v>675</v>
      </c>
      <c r="XEZ166">
        <v>0</v>
      </c>
      <c r="XFA166" t="s">
        <v>621</v>
      </c>
    </row>
    <row r="167" spans="1:8 16379:16381">
      <c r="A167" s="17">
        <v>43192</v>
      </c>
      <c r="B167" t="s">
        <v>486</v>
      </c>
      <c r="C167">
        <f t="shared" si="8"/>
        <v>108</v>
      </c>
      <c r="D167">
        <v>9.5000000000000001E-2</v>
      </c>
      <c r="E167" t="s">
        <v>336</v>
      </c>
      <c r="F167" t="s">
        <v>527</v>
      </c>
      <c r="G167">
        <f t="shared" si="10"/>
        <v>10.26</v>
      </c>
      <c r="H167" t="str">
        <f t="shared" si="9"/>
        <v>Dry Grocery</v>
      </c>
      <c r="XEY167" t="s">
        <v>681</v>
      </c>
      <c r="XFA167" t="s">
        <v>286</v>
      </c>
    </row>
    <row r="168" spans="1:8 16379:16381">
      <c r="A168" s="17">
        <v>43192</v>
      </c>
      <c r="B168" t="s">
        <v>437</v>
      </c>
      <c r="C168">
        <f t="shared" si="8"/>
        <v>34</v>
      </c>
      <c r="D168">
        <v>0.7</v>
      </c>
      <c r="E168" t="s">
        <v>336</v>
      </c>
      <c r="F168" t="s">
        <v>527</v>
      </c>
      <c r="G168">
        <f t="shared" si="10"/>
        <v>23.799999999999997</v>
      </c>
      <c r="H168" t="str">
        <f t="shared" si="9"/>
        <v>Dry Grocery</v>
      </c>
      <c r="XEY168" t="s">
        <v>709</v>
      </c>
      <c r="XEZ168">
        <v>14</v>
      </c>
      <c r="XFA168" t="s">
        <v>545</v>
      </c>
    </row>
    <row r="169" spans="1:8 16379:16381">
      <c r="A169" s="17">
        <v>43192</v>
      </c>
      <c r="B169" t="s">
        <v>447</v>
      </c>
      <c r="C169">
        <f t="shared" si="8"/>
        <v>30</v>
      </c>
      <c r="D169">
        <v>0.4</v>
      </c>
      <c r="E169" t="s">
        <v>336</v>
      </c>
      <c r="F169" t="s">
        <v>527</v>
      </c>
      <c r="G169">
        <f t="shared" si="10"/>
        <v>12</v>
      </c>
      <c r="H169" t="str">
        <f t="shared" si="9"/>
        <v>Fruits</v>
      </c>
    </row>
    <row r="170" spans="1:8 16379:16381">
      <c r="A170" s="17">
        <v>43192</v>
      </c>
      <c r="B170" t="s">
        <v>502</v>
      </c>
      <c r="C170">
        <f t="shared" si="8"/>
        <v>40</v>
      </c>
      <c r="D170">
        <v>0.3</v>
      </c>
      <c r="E170" t="s">
        <v>336</v>
      </c>
      <c r="F170" t="s">
        <v>527</v>
      </c>
      <c r="G170">
        <f t="shared" si="10"/>
        <v>12</v>
      </c>
      <c r="H170" t="str">
        <f t="shared" si="9"/>
        <v>Processed Food</v>
      </c>
    </row>
    <row r="171" spans="1:8 16379:16381">
      <c r="A171" s="17">
        <v>43192</v>
      </c>
      <c r="B171" t="s">
        <v>385</v>
      </c>
      <c r="C171">
        <f t="shared" si="8"/>
        <v>36</v>
      </c>
      <c r="D171">
        <v>0.501</v>
      </c>
      <c r="E171" t="s">
        <v>543</v>
      </c>
      <c r="F171" t="s">
        <v>527</v>
      </c>
      <c r="G171">
        <f t="shared" si="10"/>
        <v>18.036000000000001</v>
      </c>
      <c r="H171" t="str">
        <f t="shared" si="9"/>
        <v>Dairy</v>
      </c>
    </row>
    <row r="172" spans="1:8 16379:16381">
      <c r="A172" s="17">
        <v>43192</v>
      </c>
      <c r="B172" t="s">
        <v>449</v>
      </c>
      <c r="C172">
        <f t="shared" si="8"/>
        <v>20</v>
      </c>
      <c r="D172">
        <v>4.7</v>
      </c>
      <c r="E172" t="s">
        <v>543</v>
      </c>
      <c r="F172" t="s">
        <v>527</v>
      </c>
      <c r="G172">
        <f t="shared" si="10"/>
        <v>94</v>
      </c>
      <c r="H172" t="str">
        <f t="shared" si="9"/>
        <v>Fruits</v>
      </c>
    </row>
    <row r="173" spans="1:8 16379:16381">
      <c r="A173" s="17">
        <v>43192</v>
      </c>
      <c r="B173" t="s">
        <v>447</v>
      </c>
      <c r="C173">
        <f t="shared" si="8"/>
        <v>30</v>
      </c>
      <c r="D173">
        <v>0.62</v>
      </c>
      <c r="E173" t="s">
        <v>543</v>
      </c>
      <c r="F173" t="s">
        <v>527</v>
      </c>
      <c r="G173">
        <f t="shared" si="10"/>
        <v>18.600000000000001</v>
      </c>
      <c r="H173" t="str">
        <f t="shared" si="9"/>
        <v>Fruits</v>
      </c>
    </row>
    <row r="174" spans="1:8 16379:16381">
      <c r="A174" s="17">
        <v>43192</v>
      </c>
      <c r="B174" t="s">
        <v>446</v>
      </c>
      <c r="C174">
        <f t="shared" si="8"/>
        <v>50</v>
      </c>
      <c r="D174">
        <v>2</v>
      </c>
      <c r="E174" t="s">
        <v>543</v>
      </c>
      <c r="F174" t="s">
        <v>527</v>
      </c>
      <c r="G174">
        <f t="shared" si="10"/>
        <v>100</v>
      </c>
      <c r="H174" t="str">
        <f t="shared" si="9"/>
        <v>Fruits</v>
      </c>
    </row>
    <row r="175" spans="1:8 16379:16381">
      <c r="A175" s="17">
        <v>43192</v>
      </c>
      <c r="B175" t="s">
        <v>444</v>
      </c>
      <c r="C175">
        <f t="shared" si="8"/>
        <v>50</v>
      </c>
      <c r="D175">
        <v>3.6</v>
      </c>
      <c r="E175" t="s">
        <v>543</v>
      </c>
      <c r="F175" t="s">
        <v>527</v>
      </c>
      <c r="G175">
        <f t="shared" si="10"/>
        <v>180</v>
      </c>
      <c r="H175" t="str">
        <f t="shared" si="9"/>
        <v>Fruits</v>
      </c>
    </row>
    <row r="176" spans="1:8 16379:16381">
      <c r="A176" s="17">
        <v>43192</v>
      </c>
      <c r="B176" t="s">
        <v>434</v>
      </c>
      <c r="C176">
        <f t="shared" si="8"/>
        <v>125</v>
      </c>
      <c r="D176">
        <v>0.1</v>
      </c>
      <c r="E176" t="s">
        <v>528</v>
      </c>
      <c r="F176" t="s">
        <v>527</v>
      </c>
      <c r="G176">
        <f t="shared" si="10"/>
        <v>12.5</v>
      </c>
      <c r="H176" t="str">
        <f t="shared" si="9"/>
        <v>Vegetable</v>
      </c>
    </row>
    <row r="177" spans="1:8">
      <c r="A177" s="17">
        <v>43192</v>
      </c>
      <c r="B177" t="s">
        <v>378</v>
      </c>
      <c r="C177">
        <f t="shared" si="8"/>
        <v>25</v>
      </c>
      <c r="D177">
        <v>0.315</v>
      </c>
      <c r="E177" t="s">
        <v>528</v>
      </c>
      <c r="F177" t="s">
        <v>527</v>
      </c>
      <c r="G177">
        <f t="shared" si="10"/>
        <v>7.875</v>
      </c>
      <c r="H177" t="str">
        <f t="shared" si="9"/>
        <v>Vegetable</v>
      </c>
    </row>
    <row r="178" spans="1:8">
      <c r="A178" s="17">
        <v>43192</v>
      </c>
      <c r="B178" t="s">
        <v>430</v>
      </c>
      <c r="C178">
        <f t="shared" si="8"/>
        <v>30</v>
      </c>
      <c r="D178">
        <v>0.35</v>
      </c>
      <c r="E178" t="s">
        <v>528</v>
      </c>
      <c r="F178" t="s">
        <v>527</v>
      </c>
      <c r="G178">
        <f t="shared" si="10"/>
        <v>10.5</v>
      </c>
      <c r="H178" t="str">
        <f t="shared" si="9"/>
        <v>Vegetable</v>
      </c>
    </row>
    <row r="179" spans="1:8">
      <c r="A179" s="17">
        <v>43192</v>
      </c>
      <c r="B179" t="s">
        <v>429</v>
      </c>
      <c r="C179">
        <f t="shared" si="8"/>
        <v>40</v>
      </c>
      <c r="D179">
        <v>0.05</v>
      </c>
      <c r="E179" t="s">
        <v>528</v>
      </c>
      <c r="F179" t="s">
        <v>527</v>
      </c>
      <c r="G179">
        <f t="shared" si="10"/>
        <v>2</v>
      </c>
      <c r="H179" t="str">
        <f t="shared" si="9"/>
        <v>Vegetable</v>
      </c>
    </row>
    <row r="180" spans="1:8">
      <c r="A180" s="17">
        <v>43192</v>
      </c>
      <c r="B180" t="s">
        <v>381</v>
      </c>
      <c r="C180">
        <f t="shared" si="8"/>
        <v>7</v>
      </c>
      <c r="D180">
        <v>0.04</v>
      </c>
      <c r="E180" t="s">
        <v>528</v>
      </c>
      <c r="F180" t="s">
        <v>527</v>
      </c>
      <c r="G180">
        <f t="shared" si="10"/>
        <v>0.28000000000000003</v>
      </c>
      <c r="H180" t="str">
        <f t="shared" si="9"/>
        <v>Dry Grocery</v>
      </c>
    </row>
    <row r="181" spans="1:8">
      <c r="A181" s="17">
        <v>43192</v>
      </c>
      <c r="B181" t="s">
        <v>387</v>
      </c>
      <c r="C181">
        <f t="shared" si="8"/>
        <v>187.41</v>
      </c>
      <c r="D181">
        <v>0.1</v>
      </c>
      <c r="E181" t="s">
        <v>528</v>
      </c>
      <c r="F181" t="s">
        <v>527</v>
      </c>
      <c r="G181">
        <f t="shared" si="10"/>
        <v>18.741</v>
      </c>
      <c r="H181" t="str">
        <f t="shared" si="9"/>
        <v>Dry Grocery</v>
      </c>
    </row>
    <row r="182" spans="1:8">
      <c r="A182" s="17">
        <v>43192</v>
      </c>
      <c r="B182" t="s">
        <v>383</v>
      </c>
      <c r="C182">
        <f t="shared" si="8"/>
        <v>230</v>
      </c>
      <c r="D182">
        <v>0.01</v>
      </c>
      <c r="E182" t="s">
        <v>528</v>
      </c>
      <c r="F182" t="s">
        <v>527</v>
      </c>
      <c r="G182">
        <f t="shared" si="10"/>
        <v>2.3000000000000003</v>
      </c>
      <c r="H182" t="str">
        <f t="shared" si="9"/>
        <v>Dry Grocery</v>
      </c>
    </row>
    <row r="183" spans="1:8">
      <c r="A183" s="17">
        <v>43192</v>
      </c>
      <c r="B183" t="s">
        <v>425</v>
      </c>
      <c r="C183">
        <f t="shared" si="8"/>
        <v>580</v>
      </c>
      <c r="D183">
        <v>1.4999999999999999E-2</v>
      </c>
      <c r="E183" t="s">
        <v>528</v>
      </c>
      <c r="F183" t="s">
        <v>527</v>
      </c>
      <c r="G183">
        <f t="shared" si="10"/>
        <v>8.6999999999999993</v>
      </c>
      <c r="H183" t="str">
        <f t="shared" si="9"/>
        <v>Dry Grocery</v>
      </c>
    </row>
    <row r="184" spans="1:8">
      <c r="A184" s="17">
        <v>43192</v>
      </c>
      <c r="B184" t="s">
        <v>414</v>
      </c>
      <c r="C184">
        <f t="shared" si="8"/>
        <v>48</v>
      </c>
      <c r="D184">
        <v>0.4</v>
      </c>
      <c r="E184" t="s">
        <v>528</v>
      </c>
      <c r="F184" t="s">
        <v>527</v>
      </c>
      <c r="G184">
        <f t="shared" si="10"/>
        <v>19.200000000000003</v>
      </c>
      <c r="H184" t="str">
        <f t="shared" si="9"/>
        <v>Dry Grocery</v>
      </c>
    </row>
    <row r="185" spans="1:8">
      <c r="A185" s="17">
        <v>43192</v>
      </c>
      <c r="B185" t="s">
        <v>384</v>
      </c>
      <c r="C185">
        <f t="shared" si="8"/>
        <v>3</v>
      </c>
      <c r="D185">
        <v>20</v>
      </c>
      <c r="E185" t="s">
        <v>543</v>
      </c>
      <c r="F185" t="s">
        <v>527</v>
      </c>
      <c r="G185">
        <f t="shared" si="10"/>
        <v>60</v>
      </c>
      <c r="H185" t="str">
        <f t="shared" si="9"/>
        <v>Vegetable</v>
      </c>
    </row>
    <row r="186" spans="1:8">
      <c r="A186" s="17">
        <v>43192</v>
      </c>
      <c r="B186" t="s">
        <v>432</v>
      </c>
      <c r="C186">
        <f t="shared" si="8"/>
        <v>14</v>
      </c>
      <c r="D186">
        <v>0.5</v>
      </c>
      <c r="E186" t="s">
        <v>528</v>
      </c>
      <c r="F186" t="s">
        <v>527</v>
      </c>
      <c r="G186">
        <f t="shared" si="10"/>
        <v>7</v>
      </c>
      <c r="H186" t="str">
        <f t="shared" si="9"/>
        <v>Vegetable</v>
      </c>
    </row>
    <row r="187" spans="1:8">
      <c r="A187" s="17">
        <v>43192</v>
      </c>
      <c r="B187" t="s">
        <v>476</v>
      </c>
      <c r="C187">
        <f t="shared" si="8"/>
        <v>14.75</v>
      </c>
      <c r="D187">
        <v>0.37</v>
      </c>
      <c r="E187" t="s">
        <v>528</v>
      </c>
      <c r="F187" t="s">
        <v>527</v>
      </c>
      <c r="G187">
        <f t="shared" si="10"/>
        <v>5.4574999999999996</v>
      </c>
      <c r="H187" t="str">
        <f t="shared" si="9"/>
        <v>Vegetable</v>
      </c>
    </row>
    <row r="188" spans="1:8">
      <c r="A188" s="17">
        <v>43192</v>
      </c>
      <c r="B188" t="s">
        <v>391</v>
      </c>
      <c r="C188">
        <f t="shared" si="8"/>
        <v>27.97</v>
      </c>
      <c r="D188">
        <v>0.25</v>
      </c>
      <c r="E188" t="s">
        <v>528</v>
      </c>
      <c r="F188" t="s">
        <v>527</v>
      </c>
      <c r="G188">
        <f t="shared" si="10"/>
        <v>6.9924999999999997</v>
      </c>
      <c r="H188" t="str">
        <f t="shared" si="9"/>
        <v>Vegetable</v>
      </c>
    </row>
    <row r="189" spans="1:8">
      <c r="A189" s="17">
        <v>43192</v>
      </c>
      <c r="B189" t="s">
        <v>382</v>
      </c>
      <c r="C189">
        <f t="shared" si="8"/>
        <v>42</v>
      </c>
      <c r="D189">
        <v>0.501</v>
      </c>
      <c r="E189" t="s">
        <v>528</v>
      </c>
      <c r="F189" t="s">
        <v>527</v>
      </c>
      <c r="G189">
        <f t="shared" si="10"/>
        <v>21.042000000000002</v>
      </c>
      <c r="H189" t="str">
        <f t="shared" si="9"/>
        <v>Dairy</v>
      </c>
    </row>
    <row r="190" spans="1:8">
      <c r="A190" s="17">
        <v>43193</v>
      </c>
      <c r="B190" t="s">
        <v>432</v>
      </c>
      <c r="C190">
        <f t="shared" si="8"/>
        <v>14</v>
      </c>
      <c r="D190">
        <v>3</v>
      </c>
      <c r="E190" t="s">
        <v>525</v>
      </c>
      <c r="F190" t="s">
        <v>526</v>
      </c>
      <c r="G190">
        <f t="shared" si="10"/>
        <v>42</v>
      </c>
      <c r="H190" t="str">
        <f t="shared" si="9"/>
        <v>Vegetable</v>
      </c>
    </row>
    <row r="191" spans="1:8">
      <c r="A191" s="17">
        <v>43193</v>
      </c>
      <c r="B191" t="s">
        <v>390</v>
      </c>
      <c r="C191">
        <f t="shared" si="8"/>
        <v>30</v>
      </c>
      <c r="D191">
        <v>1</v>
      </c>
      <c r="E191" t="s">
        <v>525</v>
      </c>
      <c r="F191" t="s">
        <v>526</v>
      </c>
      <c r="G191">
        <f t="shared" si="10"/>
        <v>30</v>
      </c>
      <c r="H191" t="str">
        <f t="shared" si="9"/>
        <v>Vegetable</v>
      </c>
    </row>
    <row r="192" spans="1:8">
      <c r="A192" s="17">
        <v>43193</v>
      </c>
      <c r="B192" t="s">
        <v>430</v>
      </c>
      <c r="C192">
        <f t="shared" si="8"/>
        <v>30</v>
      </c>
      <c r="D192">
        <v>0.5</v>
      </c>
      <c r="E192" t="s">
        <v>525</v>
      </c>
      <c r="F192" t="s">
        <v>526</v>
      </c>
      <c r="G192">
        <f t="shared" si="10"/>
        <v>15</v>
      </c>
      <c r="H192" t="str">
        <f t="shared" si="9"/>
        <v>Vegetable</v>
      </c>
    </row>
    <row r="193" spans="1:8">
      <c r="A193" s="17">
        <v>43193</v>
      </c>
      <c r="B193" t="s">
        <v>452</v>
      </c>
      <c r="C193">
        <f t="shared" si="8"/>
        <v>62</v>
      </c>
      <c r="D193">
        <v>2</v>
      </c>
      <c r="E193" t="s">
        <v>525</v>
      </c>
      <c r="F193" t="s">
        <v>526</v>
      </c>
      <c r="G193">
        <f t="shared" si="10"/>
        <v>124</v>
      </c>
      <c r="H193" t="str">
        <f t="shared" si="9"/>
        <v>Dry Grocery</v>
      </c>
    </row>
    <row r="194" spans="1:8">
      <c r="A194" s="17">
        <v>43193</v>
      </c>
      <c r="B194" t="s">
        <v>476</v>
      </c>
      <c r="C194">
        <f t="shared" ref="C194:C257" si="11">IF(B194="","",VLOOKUP(B194,$XEY$3:$XEZ$156,2,FALSE))</f>
        <v>14.75</v>
      </c>
      <c r="D194">
        <v>0.5</v>
      </c>
      <c r="E194" t="s">
        <v>525</v>
      </c>
      <c r="F194" t="s">
        <v>526</v>
      </c>
      <c r="G194">
        <f t="shared" si="10"/>
        <v>7.375</v>
      </c>
      <c r="H194" t="str">
        <f t="shared" si="9"/>
        <v>Vegetable</v>
      </c>
    </row>
    <row r="195" spans="1:8">
      <c r="A195" s="17">
        <v>43193</v>
      </c>
      <c r="B195" t="s">
        <v>386</v>
      </c>
      <c r="C195">
        <f t="shared" si="11"/>
        <v>82</v>
      </c>
      <c r="D195">
        <v>3</v>
      </c>
      <c r="E195" t="s">
        <v>525</v>
      </c>
      <c r="F195" t="s">
        <v>526</v>
      </c>
      <c r="G195">
        <f t="shared" si="10"/>
        <v>246</v>
      </c>
      <c r="H195" t="str">
        <f t="shared" ref="H195:H258" si="12">IF(B195="","",VLOOKUP(B195,$XEY$3:$XFA$1200,3,FALSE))</f>
        <v>Oil</v>
      </c>
    </row>
    <row r="196" spans="1:8">
      <c r="A196" s="17">
        <v>43193</v>
      </c>
      <c r="B196" t="s">
        <v>420</v>
      </c>
      <c r="C196">
        <f t="shared" si="11"/>
        <v>3</v>
      </c>
      <c r="D196">
        <v>1.1000000000000001</v>
      </c>
      <c r="E196" t="s">
        <v>525</v>
      </c>
      <c r="F196" t="s">
        <v>526</v>
      </c>
      <c r="G196">
        <f t="shared" si="10"/>
        <v>3.3000000000000003</v>
      </c>
      <c r="H196" t="str">
        <f t="shared" si="12"/>
        <v>Vegetable</v>
      </c>
    </row>
    <row r="197" spans="1:8">
      <c r="A197" s="17">
        <v>43193</v>
      </c>
      <c r="B197" t="s">
        <v>491</v>
      </c>
      <c r="C197">
        <f t="shared" si="11"/>
        <v>38</v>
      </c>
      <c r="D197">
        <v>1.7</v>
      </c>
      <c r="E197" t="s">
        <v>525</v>
      </c>
      <c r="F197" t="s">
        <v>526</v>
      </c>
      <c r="G197">
        <f t="shared" si="10"/>
        <v>64.599999999999994</v>
      </c>
      <c r="H197" t="str">
        <f t="shared" si="12"/>
        <v>Vegetable</v>
      </c>
    </row>
    <row r="198" spans="1:8">
      <c r="A198" s="17">
        <v>43193</v>
      </c>
      <c r="B198" t="s">
        <v>473</v>
      </c>
      <c r="C198">
        <f t="shared" si="11"/>
        <v>175</v>
      </c>
      <c r="D198">
        <v>1</v>
      </c>
      <c r="E198" t="s">
        <v>525</v>
      </c>
      <c r="F198" t="s">
        <v>526</v>
      </c>
      <c r="G198">
        <f t="shared" ref="G198:G261" si="13">IF(C198="","",C198*D198)</f>
        <v>175</v>
      </c>
      <c r="H198" t="str">
        <f t="shared" si="12"/>
        <v>Dairy</v>
      </c>
    </row>
    <row r="199" spans="1:8">
      <c r="A199" s="17">
        <v>43193</v>
      </c>
      <c r="B199" t="s">
        <v>436</v>
      </c>
      <c r="C199">
        <f t="shared" si="11"/>
        <v>37</v>
      </c>
      <c r="D199">
        <v>0.6</v>
      </c>
      <c r="E199" t="s">
        <v>525</v>
      </c>
      <c r="F199" t="s">
        <v>526</v>
      </c>
      <c r="G199">
        <f t="shared" si="13"/>
        <v>22.2</v>
      </c>
      <c r="H199" t="str">
        <f t="shared" si="12"/>
        <v>Dry Grocery</v>
      </c>
    </row>
    <row r="200" spans="1:8">
      <c r="A200" s="17">
        <v>43193</v>
      </c>
      <c r="B200" t="s">
        <v>427</v>
      </c>
      <c r="C200">
        <f t="shared" si="11"/>
        <v>28</v>
      </c>
      <c r="D200">
        <v>0.5</v>
      </c>
      <c r="E200" t="s">
        <v>525</v>
      </c>
      <c r="F200" t="s">
        <v>526</v>
      </c>
      <c r="G200">
        <f t="shared" si="13"/>
        <v>14</v>
      </c>
      <c r="H200" t="str">
        <f t="shared" si="12"/>
        <v>Vegetable</v>
      </c>
    </row>
    <row r="201" spans="1:8">
      <c r="A201" s="17">
        <v>43193</v>
      </c>
      <c r="B201" t="s">
        <v>429</v>
      </c>
      <c r="C201">
        <f t="shared" si="11"/>
        <v>40</v>
      </c>
      <c r="D201">
        <v>0.1</v>
      </c>
      <c r="E201" t="s">
        <v>525</v>
      </c>
      <c r="F201" t="s">
        <v>526</v>
      </c>
      <c r="G201">
        <f t="shared" si="13"/>
        <v>4</v>
      </c>
      <c r="H201" t="str">
        <f t="shared" si="12"/>
        <v>Vegetable</v>
      </c>
    </row>
    <row r="202" spans="1:8">
      <c r="A202" s="17">
        <v>43193</v>
      </c>
      <c r="B202" t="s">
        <v>485</v>
      </c>
      <c r="C202">
        <f t="shared" si="11"/>
        <v>96</v>
      </c>
      <c r="D202">
        <v>1</v>
      </c>
      <c r="E202" t="s">
        <v>525</v>
      </c>
      <c r="F202" t="s">
        <v>526</v>
      </c>
      <c r="G202">
        <f t="shared" si="13"/>
        <v>96</v>
      </c>
      <c r="H202" t="str">
        <f t="shared" si="12"/>
        <v>Oil</v>
      </c>
    </row>
    <row r="203" spans="1:8">
      <c r="A203" s="17">
        <v>43193</v>
      </c>
      <c r="B203" t="s">
        <v>454</v>
      </c>
      <c r="C203">
        <f t="shared" si="11"/>
        <v>43.06</v>
      </c>
      <c r="D203">
        <v>0.3</v>
      </c>
      <c r="E203" t="s">
        <v>525</v>
      </c>
      <c r="F203" t="s">
        <v>526</v>
      </c>
      <c r="G203">
        <f t="shared" si="13"/>
        <v>12.918000000000001</v>
      </c>
      <c r="H203" t="str">
        <f t="shared" si="12"/>
        <v>Vegetable</v>
      </c>
    </row>
    <row r="204" spans="1:8">
      <c r="A204" s="17">
        <v>43193</v>
      </c>
      <c r="B204" t="s">
        <v>474</v>
      </c>
      <c r="C204">
        <f t="shared" si="11"/>
        <v>27</v>
      </c>
      <c r="D204">
        <v>2</v>
      </c>
      <c r="E204" t="s">
        <v>525</v>
      </c>
      <c r="F204" t="s">
        <v>526</v>
      </c>
      <c r="G204">
        <f t="shared" si="13"/>
        <v>54</v>
      </c>
      <c r="H204" t="str">
        <f t="shared" si="12"/>
        <v>Dry Grocery</v>
      </c>
    </row>
    <row r="205" spans="1:8">
      <c r="A205" s="17">
        <v>43193</v>
      </c>
      <c r="B205" t="s">
        <v>463</v>
      </c>
      <c r="C205">
        <f t="shared" si="11"/>
        <v>29.51</v>
      </c>
      <c r="D205">
        <v>2</v>
      </c>
      <c r="E205" t="s">
        <v>525</v>
      </c>
      <c r="F205" t="s">
        <v>526</v>
      </c>
      <c r="G205">
        <f t="shared" si="13"/>
        <v>59.02</v>
      </c>
      <c r="H205" t="str">
        <f t="shared" si="12"/>
        <v>Dry Grocery</v>
      </c>
    </row>
    <row r="206" spans="1:8">
      <c r="A206" s="17">
        <v>43193</v>
      </c>
      <c r="B206" t="s">
        <v>478</v>
      </c>
      <c r="C206">
        <f t="shared" si="11"/>
        <v>180</v>
      </c>
      <c r="D206">
        <v>1</v>
      </c>
      <c r="E206" t="s">
        <v>525</v>
      </c>
      <c r="F206" t="s">
        <v>526</v>
      </c>
      <c r="G206">
        <f t="shared" si="13"/>
        <v>180</v>
      </c>
      <c r="H206" t="str">
        <f t="shared" si="12"/>
        <v>Dry Grocery</v>
      </c>
    </row>
    <row r="207" spans="1:8">
      <c r="A207" s="17">
        <v>43193</v>
      </c>
      <c r="B207" t="s">
        <v>475</v>
      </c>
      <c r="C207">
        <f t="shared" si="11"/>
        <v>148</v>
      </c>
      <c r="D207">
        <v>1</v>
      </c>
      <c r="E207" t="s">
        <v>525</v>
      </c>
      <c r="F207" t="s">
        <v>526</v>
      </c>
      <c r="G207">
        <f t="shared" si="13"/>
        <v>148</v>
      </c>
      <c r="H207" t="str">
        <f t="shared" si="12"/>
        <v>Dry Grocery</v>
      </c>
    </row>
    <row r="208" spans="1:8">
      <c r="A208" s="17">
        <v>43193</v>
      </c>
      <c r="B208" t="s">
        <v>398</v>
      </c>
      <c r="C208">
        <f t="shared" si="11"/>
        <v>51</v>
      </c>
      <c r="D208">
        <v>0.1</v>
      </c>
      <c r="E208" t="s">
        <v>525</v>
      </c>
      <c r="F208" t="s">
        <v>526</v>
      </c>
      <c r="G208">
        <f t="shared" si="13"/>
        <v>5.1000000000000005</v>
      </c>
      <c r="H208" t="str">
        <f t="shared" si="12"/>
        <v>Dry Grocery</v>
      </c>
    </row>
    <row r="209" spans="1:8">
      <c r="A209" s="17">
        <v>43193</v>
      </c>
      <c r="B209" t="s">
        <v>487</v>
      </c>
      <c r="C209">
        <f t="shared" si="11"/>
        <v>40</v>
      </c>
      <c r="D209">
        <v>1</v>
      </c>
      <c r="E209" t="s">
        <v>525</v>
      </c>
      <c r="F209" t="s">
        <v>526</v>
      </c>
      <c r="G209">
        <f t="shared" si="13"/>
        <v>40</v>
      </c>
      <c r="H209" t="str">
        <f t="shared" si="12"/>
        <v>Dry Grocery</v>
      </c>
    </row>
    <row r="210" spans="1:8">
      <c r="A210" s="17">
        <v>43193</v>
      </c>
      <c r="B210" t="s">
        <v>376</v>
      </c>
      <c r="C210">
        <f t="shared" si="11"/>
        <v>220</v>
      </c>
      <c r="D210">
        <v>5.0000000000000001E-3</v>
      </c>
      <c r="E210" t="s">
        <v>525</v>
      </c>
      <c r="F210" t="s">
        <v>526</v>
      </c>
      <c r="G210">
        <f t="shared" si="13"/>
        <v>1.1000000000000001</v>
      </c>
      <c r="H210" t="str">
        <f t="shared" si="12"/>
        <v>Spice</v>
      </c>
    </row>
    <row r="211" spans="1:8">
      <c r="A211" s="17">
        <v>43193</v>
      </c>
      <c r="B211" t="s">
        <v>377</v>
      </c>
      <c r="C211">
        <f t="shared" si="11"/>
        <v>740</v>
      </c>
      <c r="D211">
        <v>5.0000000000000001E-3</v>
      </c>
      <c r="E211" t="s">
        <v>525</v>
      </c>
      <c r="F211" t="s">
        <v>526</v>
      </c>
      <c r="G211">
        <f t="shared" si="13"/>
        <v>3.7</v>
      </c>
      <c r="H211" t="str">
        <f t="shared" si="12"/>
        <v>Spice</v>
      </c>
    </row>
    <row r="212" spans="1:8">
      <c r="A212" s="17">
        <v>43193</v>
      </c>
      <c r="B212" t="s">
        <v>461</v>
      </c>
      <c r="C212">
        <f t="shared" si="11"/>
        <v>1450</v>
      </c>
      <c r="D212">
        <v>5.0000000000000001E-3</v>
      </c>
      <c r="E212" t="s">
        <v>525</v>
      </c>
      <c r="F212" t="s">
        <v>526</v>
      </c>
      <c r="G212">
        <f t="shared" si="13"/>
        <v>7.25</v>
      </c>
      <c r="H212" t="str">
        <f t="shared" si="12"/>
        <v>Spice</v>
      </c>
    </row>
    <row r="213" spans="1:8">
      <c r="A213" s="17">
        <v>43193</v>
      </c>
      <c r="B213" t="s">
        <v>464</v>
      </c>
      <c r="C213">
        <f t="shared" si="11"/>
        <v>750</v>
      </c>
      <c r="D213">
        <v>0.1</v>
      </c>
      <c r="E213" t="s">
        <v>525</v>
      </c>
      <c r="F213" t="s">
        <v>526</v>
      </c>
      <c r="G213">
        <f t="shared" si="13"/>
        <v>75</v>
      </c>
      <c r="H213" t="str">
        <f t="shared" si="12"/>
        <v>Spice</v>
      </c>
    </row>
    <row r="214" spans="1:8">
      <c r="A214" s="17">
        <v>43193</v>
      </c>
      <c r="B214" t="s">
        <v>399</v>
      </c>
      <c r="C214">
        <f t="shared" si="11"/>
        <v>1480</v>
      </c>
      <c r="D214">
        <v>5.0000000000000001E-3</v>
      </c>
      <c r="E214" t="s">
        <v>525</v>
      </c>
      <c r="F214" t="s">
        <v>526</v>
      </c>
      <c r="G214">
        <f t="shared" si="13"/>
        <v>7.4</v>
      </c>
      <c r="H214" t="str">
        <f t="shared" si="12"/>
        <v>Spice</v>
      </c>
    </row>
    <row r="215" spans="1:8">
      <c r="A215" s="17">
        <v>43193</v>
      </c>
      <c r="B215" t="s">
        <v>397</v>
      </c>
      <c r="C215">
        <f t="shared" si="11"/>
        <v>75</v>
      </c>
      <c r="D215">
        <v>1.2</v>
      </c>
      <c r="E215" t="s">
        <v>525</v>
      </c>
      <c r="F215" t="s">
        <v>526</v>
      </c>
      <c r="G215">
        <f t="shared" si="13"/>
        <v>90</v>
      </c>
      <c r="H215" t="str">
        <f t="shared" si="12"/>
        <v>Sauce</v>
      </c>
    </row>
    <row r="216" spans="1:8">
      <c r="A216" s="17">
        <v>43193</v>
      </c>
      <c r="B216" t="s">
        <v>502</v>
      </c>
      <c r="C216">
        <f t="shared" si="11"/>
        <v>40</v>
      </c>
      <c r="D216">
        <v>0.2</v>
      </c>
      <c r="E216" t="s">
        <v>336</v>
      </c>
      <c r="F216" t="s">
        <v>527</v>
      </c>
      <c r="G216">
        <f t="shared" si="13"/>
        <v>8</v>
      </c>
      <c r="H216" t="str">
        <f t="shared" si="12"/>
        <v>Processed Food</v>
      </c>
    </row>
    <row r="217" spans="1:8">
      <c r="A217" s="17">
        <v>43193</v>
      </c>
      <c r="B217" t="s">
        <v>468</v>
      </c>
      <c r="C217">
        <f t="shared" si="11"/>
        <v>32</v>
      </c>
      <c r="D217">
        <v>1</v>
      </c>
      <c r="E217" t="s">
        <v>525</v>
      </c>
      <c r="F217" t="s">
        <v>526</v>
      </c>
      <c r="G217">
        <f t="shared" si="13"/>
        <v>32</v>
      </c>
      <c r="H217" t="str">
        <f t="shared" si="12"/>
        <v>Vegetable</v>
      </c>
    </row>
    <row r="218" spans="1:8">
      <c r="A218" s="17">
        <v>43193</v>
      </c>
      <c r="B218" t="s">
        <v>458</v>
      </c>
      <c r="C218">
        <f t="shared" si="11"/>
        <v>140</v>
      </c>
      <c r="D218">
        <v>0.25</v>
      </c>
      <c r="E218" t="s">
        <v>525</v>
      </c>
      <c r="F218" t="s">
        <v>526</v>
      </c>
      <c r="G218">
        <f t="shared" si="13"/>
        <v>35</v>
      </c>
      <c r="H218" t="str">
        <f t="shared" si="12"/>
        <v>Dairy</v>
      </c>
    </row>
    <row r="219" spans="1:8">
      <c r="A219" s="17">
        <v>43193</v>
      </c>
      <c r="B219" t="s">
        <v>451</v>
      </c>
      <c r="C219">
        <f t="shared" si="11"/>
        <v>60</v>
      </c>
      <c r="D219">
        <v>0.5</v>
      </c>
      <c r="E219" t="s">
        <v>525</v>
      </c>
      <c r="F219" t="s">
        <v>526</v>
      </c>
      <c r="G219">
        <f t="shared" si="13"/>
        <v>30</v>
      </c>
      <c r="H219" t="str">
        <f t="shared" si="12"/>
        <v>Vegetable</v>
      </c>
    </row>
    <row r="220" spans="1:8">
      <c r="A220" s="17">
        <v>43193</v>
      </c>
      <c r="B220" t="s">
        <v>518</v>
      </c>
      <c r="C220">
        <f t="shared" si="11"/>
        <v>24</v>
      </c>
      <c r="D220">
        <v>0.86</v>
      </c>
      <c r="E220" t="s">
        <v>525</v>
      </c>
      <c r="F220" t="s">
        <v>526</v>
      </c>
      <c r="G220">
        <f t="shared" si="13"/>
        <v>20.64</v>
      </c>
      <c r="H220" t="str">
        <f t="shared" si="12"/>
        <v>Dry Grocery</v>
      </c>
    </row>
    <row r="221" spans="1:8">
      <c r="A221" s="17">
        <v>43193</v>
      </c>
      <c r="B221" t="s">
        <v>457</v>
      </c>
      <c r="C221">
        <f t="shared" si="11"/>
        <v>64</v>
      </c>
      <c r="D221">
        <v>2.5</v>
      </c>
      <c r="E221" t="s">
        <v>525</v>
      </c>
      <c r="F221" t="s">
        <v>526</v>
      </c>
      <c r="G221">
        <f t="shared" si="13"/>
        <v>160</v>
      </c>
      <c r="H221" t="str">
        <f t="shared" si="12"/>
        <v>Dry Grocery</v>
      </c>
    </row>
    <row r="222" spans="1:8">
      <c r="A222" s="17">
        <v>43193</v>
      </c>
      <c r="B222" t="s">
        <v>427</v>
      </c>
      <c r="C222">
        <f t="shared" si="11"/>
        <v>28</v>
      </c>
      <c r="D222">
        <v>0.1</v>
      </c>
      <c r="E222" t="s">
        <v>528</v>
      </c>
      <c r="F222" t="s">
        <v>527</v>
      </c>
      <c r="G222">
        <f t="shared" si="13"/>
        <v>2.8000000000000003</v>
      </c>
      <c r="H222" t="str">
        <f t="shared" si="12"/>
        <v>Vegetable</v>
      </c>
    </row>
    <row r="223" spans="1:8">
      <c r="A223" s="17">
        <v>43193</v>
      </c>
      <c r="B223" t="s">
        <v>429</v>
      </c>
      <c r="C223">
        <f t="shared" si="11"/>
        <v>40</v>
      </c>
      <c r="D223">
        <v>0.04</v>
      </c>
      <c r="E223" t="s">
        <v>528</v>
      </c>
      <c r="F223" t="s">
        <v>527</v>
      </c>
      <c r="G223">
        <f t="shared" si="13"/>
        <v>1.6</v>
      </c>
      <c r="H223" t="str">
        <f t="shared" si="12"/>
        <v>Vegetable</v>
      </c>
    </row>
    <row r="224" spans="1:8">
      <c r="A224" s="17">
        <v>43193</v>
      </c>
      <c r="B224" t="s">
        <v>434</v>
      </c>
      <c r="C224">
        <f t="shared" si="11"/>
        <v>125</v>
      </c>
      <c r="D224">
        <v>0.04</v>
      </c>
      <c r="E224" t="s">
        <v>528</v>
      </c>
      <c r="F224" t="s">
        <v>527</v>
      </c>
      <c r="G224">
        <f t="shared" si="13"/>
        <v>5</v>
      </c>
      <c r="H224" t="str">
        <f t="shared" si="12"/>
        <v>Vegetable</v>
      </c>
    </row>
    <row r="225" spans="1:8">
      <c r="A225" s="17">
        <v>43193</v>
      </c>
      <c r="B225" t="s">
        <v>378</v>
      </c>
      <c r="C225">
        <f t="shared" si="11"/>
        <v>25</v>
      </c>
      <c r="D225">
        <v>0.1</v>
      </c>
      <c r="E225" t="s">
        <v>528</v>
      </c>
      <c r="F225" t="s">
        <v>527</v>
      </c>
      <c r="G225">
        <f t="shared" si="13"/>
        <v>2.5</v>
      </c>
      <c r="H225" t="str">
        <f t="shared" si="12"/>
        <v>Vegetable</v>
      </c>
    </row>
    <row r="226" spans="1:8">
      <c r="A226" s="17">
        <v>43193</v>
      </c>
      <c r="B226" t="s">
        <v>486</v>
      </c>
      <c r="C226">
        <f t="shared" si="11"/>
        <v>108</v>
      </c>
      <c r="D226">
        <v>0.06</v>
      </c>
      <c r="E226" t="s">
        <v>528</v>
      </c>
      <c r="F226" t="s">
        <v>527</v>
      </c>
      <c r="G226">
        <f t="shared" si="13"/>
        <v>6.4799999999999995</v>
      </c>
      <c r="H226" t="str">
        <f t="shared" si="12"/>
        <v>Dry Grocery</v>
      </c>
    </row>
    <row r="227" spans="1:8">
      <c r="A227" s="17">
        <v>43193</v>
      </c>
      <c r="B227" t="s">
        <v>432</v>
      </c>
      <c r="C227">
        <f t="shared" si="11"/>
        <v>14</v>
      </c>
      <c r="D227">
        <v>0.92500000000000004</v>
      </c>
      <c r="E227" t="s">
        <v>528</v>
      </c>
      <c r="F227" t="s">
        <v>527</v>
      </c>
      <c r="G227">
        <f t="shared" si="13"/>
        <v>12.950000000000001</v>
      </c>
      <c r="H227" t="str">
        <f t="shared" si="12"/>
        <v>Vegetable</v>
      </c>
    </row>
    <row r="228" spans="1:8">
      <c r="A228" s="17">
        <v>43193</v>
      </c>
      <c r="B228" t="s">
        <v>430</v>
      </c>
      <c r="C228">
        <f t="shared" si="11"/>
        <v>30</v>
      </c>
      <c r="D228">
        <v>0.13</v>
      </c>
      <c r="E228" t="s">
        <v>528</v>
      </c>
      <c r="F228" t="s">
        <v>527</v>
      </c>
      <c r="G228">
        <f t="shared" si="13"/>
        <v>3.9000000000000004</v>
      </c>
      <c r="H228" t="str">
        <f t="shared" si="12"/>
        <v>Vegetable</v>
      </c>
    </row>
    <row r="229" spans="1:8">
      <c r="A229" s="17">
        <v>43193</v>
      </c>
      <c r="B229" t="s">
        <v>413</v>
      </c>
      <c r="C229">
        <f t="shared" si="11"/>
        <v>46.4</v>
      </c>
      <c r="D229">
        <v>1.4999999999999999E-2</v>
      </c>
      <c r="E229" t="s">
        <v>528</v>
      </c>
      <c r="F229" t="s">
        <v>527</v>
      </c>
      <c r="G229">
        <f t="shared" si="13"/>
        <v>0.69599999999999995</v>
      </c>
      <c r="H229" t="str">
        <f t="shared" si="12"/>
        <v>Dry Grocery</v>
      </c>
    </row>
    <row r="230" spans="1:8">
      <c r="A230" s="17">
        <v>43193</v>
      </c>
      <c r="B230" t="s">
        <v>482</v>
      </c>
      <c r="C230">
        <f t="shared" si="11"/>
        <v>48</v>
      </c>
      <c r="D230">
        <v>0.02</v>
      </c>
      <c r="E230" t="s">
        <v>528</v>
      </c>
      <c r="F230" t="s">
        <v>527</v>
      </c>
      <c r="G230">
        <f t="shared" si="13"/>
        <v>0.96</v>
      </c>
      <c r="H230" t="str">
        <f t="shared" si="12"/>
        <v>Dry Grocery</v>
      </c>
    </row>
    <row r="231" spans="1:8">
      <c r="A231" s="17">
        <v>43193</v>
      </c>
      <c r="B231" t="s">
        <v>426</v>
      </c>
      <c r="C231">
        <f t="shared" si="11"/>
        <v>57.5</v>
      </c>
      <c r="D231">
        <v>0.02</v>
      </c>
      <c r="E231" t="s">
        <v>528</v>
      </c>
      <c r="F231" t="s">
        <v>527</v>
      </c>
      <c r="G231">
        <f t="shared" si="13"/>
        <v>1.1500000000000001</v>
      </c>
      <c r="H231" t="str">
        <f t="shared" si="12"/>
        <v>Dry Grocery</v>
      </c>
    </row>
    <row r="232" spans="1:8">
      <c r="A232" s="17">
        <v>43193</v>
      </c>
      <c r="B232" t="s">
        <v>395</v>
      </c>
      <c r="C232">
        <f t="shared" si="11"/>
        <v>450</v>
      </c>
      <c r="D232">
        <v>5.0000000000000001E-3</v>
      </c>
      <c r="E232" t="s">
        <v>528</v>
      </c>
      <c r="F232" t="s">
        <v>527</v>
      </c>
      <c r="G232">
        <f t="shared" si="13"/>
        <v>2.25</v>
      </c>
      <c r="H232" t="str">
        <f t="shared" si="12"/>
        <v>Dry Grocery</v>
      </c>
    </row>
    <row r="233" spans="1:8">
      <c r="A233" s="17">
        <v>43193</v>
      </c>
      <c r="B233" t="s">
        <v>381</v>
      </c>
      <c r="C233">
        <f t="shared" si="11"/>
        <v>7</v>
      </c>
      <c r="D233">
        <v>0.45</v>
      </c>
      <c r="E233" t="s">
        <v>528</v>
      </c>
      <c r="F233" t="s">
        <v>527</v>
      </c>
      <c r="G233">
        <f t="shared" si="13"/>
        <v>3.15</v>
      </c>
      <c r="H233" t="str">
        <f t="shared" si="12"/>
        <v>Dry Grocery</v>
      </c>
    </row>
    <row r="234" spans="1:8">
      <c r="A234" s="17">
        <v>43193</v>
      </c>
      <c r="B234" t="s">
        <v>476</v>
      </c>
      <c r="C234">
        <f t="shared" si="11"/>
        <v>14.75</v>
      </c>
      <c r="D234">
        <v>0.4</v>
      </c>
      <c r="E234" t="s">
        <v>528</v>
      </c>
      <c r="F234" t="s">
        <v>527</v>
      </c>
      <c r="G234">
        <f t="shared" si="13"/>
        <v>5.9</v>
      </c>
      <c r="H234" t="str">
        <f t="shared" si="12"/>
        <v>Vegetable</v>
      </c>
    </row>
    <row r="235" spans="1:8">
      <c r="A235" s="17">
        <v>43193</v>
      </c>
      <c r="B235" t="s">
        <v>391</v>
      </c>
      <c r="C235">
        <f t="shared" si="11"/>
        <v>27.97</v>
      </c>
      <c r="D235">
        <v>0.24</v>
      </c>
      <c r="E235" t="s">
        <v>528</v>
      </c>
      <c r="F235" t="s">
        <v>527</v>
      </c>
      <c r="G235">
        <f t="shared" si="13"/>
        <v>6.7127999999999997</v>
      </c>
      <c r="H235" t="str">
        <f t="shared" si="12"/>
        <v>Vegetable</v>
      </c>
    </row>
    <row r="236" spans="1:8">
      <c r="A236" s="17">
        <v>43193</v>
      </c>
      <c r="B236" t="s">
        <v>378</v>
      </c>
      <c r="C236">
        <f t="shared" si="11"/>
        <v>25</v>
      </c>
      <c r="D236">
        <v>0.06</v>
      </c>
      <c r="E236" t="s">
        <v>528</v>
      </c>
      <c r="F236" t="s">
        <v>527</v>
      </c>
      <c r="G236">
        <f t="shared" si="13"/>
        <v>1.5</v>
      </c>
      <c r="H236" t="str">
        <f t="shared" si="12"/>
        <v>Vegetable</v>
      </c>
    </row>
    <row r="237" spans="1:8">
      <c r="A237" s="17">
        <v>43193</v>
      </c>
      <c r="B237" t="s">
        <v>445</v>
      </c>
      <c r="C237">
        <f t="shared" si="11"/>
        <v>20</v>
      </c>
      <c r="D237">
        <v>3</v>
      </c>
      <c r="E237" t="s">
        <v>543</v>
      </c>
      <c r="F237" t="s">
        <v>527</v>
      </c>
      <c r="G237">
        <f t="shared" si="13"/>
        <v>60</v>
      </c>
      <c r="H237" t="str">
        <f t="shared" si="12"/>
        <v>Fruits</v>
      </c>
    </row>
    <row r="238" spans="1:8">
      <c r="A238" s="17">
        <v>43193</v>
      </c>
      <c r="B238" t="s">
        <v>449</v>
      </c>
      <c r="C238">
        <f t="shared" si="11"/>
        <v>20</v>
      </c>
      <c r="D238">
        <v>2</v>
      </c>
      <c r="E238" t="s">
        <v>543</v>
      </c>
      <c r="F238" t="s">
        <v>527</v>
      </c>
      <c r="G238">
        <f t="shared" si="13"/>
        <v>40</v>
      </c>
      <c r="H238" t="str">
        <f t="shared" si="12"/>
        <v>Fruits</v>
      </c>
    </row>
    <row r="239" spans="1:8">
      <c r="A239" s="17">
        <v>43193</v>
      </c>
      <c r="B239" t="s">
        <v>385</v>
      </c>
      <c r="C239">
        <f t="shared" si="11"/>
        <v>36</v>
      </c>
      <c r="D239">
        <v>1.5</v>
      </c>
      <c r="E239" t="s">
        <v>336</v>
      </c>
      <c r="F239" t="s">
        <v>527</v>
      </c>
      <c r="G239">
        <f t="shared" si="13"/>
        <v>54</v>
      </c>
      <c r="H239" t="str">
        <f t="shared" si="12"/>
        <v>Dairy</v>
      </c>
    </row>
    <row r="240" spans="1:8">
      <c r="A240" s="17">
        <v>43193</v>
      </c>
      <c r="B240" t="s">
        <v>382</v>
      </c>
      <c r="C240">
        <f t="shared" si="11"/>
        <v>42</v>
      </c>
      <c r="D240">
        <v>1.5</v>
      </c>
      <c r="E240" t="s">
        <v>336</v>
      </c>
      <c r="F240" t="s">
        <v>527</v>
      </c>
      <c r="G240">
        <f t="shared" si="13"/>
        <v>63</v>
      </c>
      <c r="H240" t="str">
        <f t="shared" si="12"/>
        <v>Dairy</v>
      </c>
    </row>
    <row r="241" spans="1:8">
      <c r="A241" s="17">
        <v>43193</v>
      </c>
      <c r="B241" t="s">
        <v>511</v>
      </c>
      <c r="C241">
        <f t="shared" si="11"/>
        <v>52</v>
      </c>
      <c r="D241">
        <v>4.4000000000000004</v>
      </c>
      <c r="E241" t="s">
        <v>336</v>
      </c>
      <c r="F241" t="s">
        <v>527</v>
      </c>
      <c r="G241">
        <f t="shared" si="13"/>
        <v>228.8</v>
      </c>
      <c r="H241" t="str">
        <f t="shared" si="12"/>
        <v>Dry Grocery</v>
      </c>
    </row>
    <row r="242" spans="1:8">
      <c r="A242" s="17">
        <v>43193</v>
      </c>
      <c r="B242" t="s">
        <v>404</v>
      </c>
      <c r="C242">
        <f t="shared" si="11"/>
        <v>28</v>
      </c>
      <c r="D242">
        <v>2</v>
      </c>
      <c r="E242" t="s">
        <v>336</v>
      </c>
      <c r="F242" t="s">
        <v>527</v>
      </c>
      <c r="G242">
        <f t="shared" si="13"/>
        <v>56</v>
      </c>
      <c r="H242" t="str">
        <f t="shared" si="12"/>
        <v>Vegetable</v>
      </c>
    </row>
    <row r="243" spans="1:8">
      <c r="A243" s="17">
        <v>43193</v>
      </c>
      <c r="B243" t="s">
        <v>436</v>
      </c>
      <c r="C243">
        <f t="shared" si="11"/>
        <v>37</v>
      </c>
      <c r="D243">
        <v>0.3</v>
      </c>
      <c r="E243" t="s">
        <v>336</v>
      </c>
      <c r="F243" t="s">
        <v>527</v>
      </c>
      <c r="G243">
        <f t="shared" si="13"/>
        <v>11.1</v>
      </c>
      <c r="H243" t="str">
        <f t="shared" si="12"/>
        <v>Dry Grocery</v>
      </c>
    </row>
    <row r="244" spans="1:8">
      <c r="A244" s="17">
        <v>43193</v>
      </c>
      <c r="B244" t="s">
        <v>375</v>
      </c>
      <c r="C244">
        <f t="shared" si="11"/>
        <v>280</v>
      </c>
      <c r="D244">
        <v>0.03</v>
      </c>
      <c r="E244" t="s">
        <v>336</v>
      </c>
      <c r="F244" t="s">
        <v>527</v>
      </c>
      <c r="G244">
        <f t="shared" si="13"/>
        <v>8.4</v>
      </c>
      <c r="H244" t="str">
        <f t="shared" si="12"/>
        <v>Dry Grocery</v>
      </c>
    </row>
    <row r="245" spans="1:8">
      <c r="A245" s="17">
        <v>43193</v>
      </c>
      <c r="B245" t="s">
        <v>379</v>
      </c>
      <c r="C245">
        <f t="shared" si="11"/>
        <v>120</v>
      </c>
      <c r="D245">
        <v>0.01</v>
      </c>
      <c r="E245" t="s">
        <v>336</v>
      </c>
      <c r="F245" t="s">
        <v>527</v>
      </c>
      <c r="G245">
        <f t="shared" si="13"/>
        <v>1.2</v>
      </c>
      <c r="H245" t="str">
        <f t="shared" si="12"/>
        <v>Dry Grocery</v>
      </c>
    </row>
    <row r="246" spans="1:8">
      <c r="A246" s="17">
        <v>43193</v>
      </c>
      <c r="B246" t="s">
        <v>381</v>
      </c>
      <c r="C246">
        <f t="shared" si="11"/>
        <v>7</v>
      </c>
      <c r="D246">
        <v>0.48</v>
      </c>
      <c r="E246" t="s">
        <v>336</v>
      </c>
      <c r="F246" t="s">
        <v>527</v>
      </c>
      <c r="G246">
        <f t="shared" si="13"/>
        <v>3.36</v>
      </c>
      <c r="H246" t="str">
        <f t="shared" si="12"/>
        <v>Dry Grocery</v>
      </c>
    </row>
    <row r="247" spans="1:8">
      <c r="A247" s="17">
        <v>43193</v>
      </c>
      <c r="B247" t="s">
        <v>387</v>
      </c>
      <c r="C247">
        <f t="shared" si="11"/>
        <v>187.41</v>
      </c>
      <c r="D247">
        <v>0.02</v>
      </c>
      <c r="E247" t="s">
        <v>336</v>
      </c>
      <c r="F247" t="s">
        <v>527</v>
      </c>
      <c r="G247">
        <f t="shared" si="13"/>
        <v>3.7482000000000002</v>
      </c>
      <c r="H247" t="str">
        <f t="shared" si="12"/>
        <v>Dry Grocery</v>
      </c>
    </row>
    <row r="248" spans="1:8">
      <c r="A248" s="17">
        <v>43193</v>
      </c>
      <c r="B248" t="s">
        <v>485</v>
      </c>
      <c r="C248">
        <f t="shared" si="11"/>
        <v>96</v>
      </c>
      <c r="D248">
        <v>0.09</v>
      </c>
      <c r="E248" t="s">
        <v>336</v>
      </c>
      <c r="F248" t="s">
        <v>527</v>
      </c>
      <c r="G248">
        <f t="shared" si="13"/>
        <v>8.64</v>
      </c>
      <c r="H248" t="str">
        <f t="shared" si="12"/>
        <v>Oil</v>
      </c>
    </row>
    <row r="249" spans="1:8">
      <c r="A249" s="17">
        <v>43193</v>
      </c>
      <c r="B249" t="s">
        <v>386</v>
      </c>
      <c r="C249">
        <f t="shared" si="11"/>
        <v>82</v>
      </c>
      <c r="D249">
        <v>0.91500000000000004</v>
      </c>
      <c r="E249" t="s">
        <v>336</v>
      </c>
      <c r="F249" t="s">
        <v>527</v>
      </c>
      <c r="G249">
        <f t="shared" si="13"/>
        <v>75.03</v>
      </c>
      <c r="H249" t="str">
        <f t="shared" si="12"/>
        <v>Oil</v>
      </c>
    </row>
    <row r="250" spans="1:8">
      <c r="A250" s="17">
        <v>43193</v>
      </c>
      <c r="B250" t="s">
        <v>383</v>
      </c>
      <c r="C250">
        <f t="shared" si="11"/>
        <v>230</v>
      </c>
      <c r="D250">
        <v>2.5000000000000001E-2</v>
      </c>
      <c r="E250" t="s">
        <v>336</v>
      </c>
      <c r="F250" t="s">
        <v>527</v>
      </c>
      <c r="G250">
        <f t="shared" si="13"/>
        <v>5.75</v>
      </c>
      <c r="H250" t="str">
        <f t="shared" si="12"/>
        <v>Dry Grocery</v>
      </c>
    </row>
    <row r="251" spans="1:8">
      <c r="A251" s="17">
        <v>43193</v>
      </c>
      <c r="B251" t="s">
        <v>431</v>
      </c>
      <c r="C251">
        <f t="shared" si="11"/>
        <v>70</v>
      </c>
      <c r="D251">
        <v>4.4999999999999998E-2</v>
      </c>
      <c r="E251" t="s">
        <v>336</v>
      </c>
      <c r="F251" t="s">
        <v>527</v>
      </c>
      <c r="G251">
        <f t="shared" si="13"/>
        <v>3.15</v>
      </c>
      <c r="H251" t="str">
        <f t="shared" si="12"/>
        <v>Dry Grocery</v>
      </c>
    </row>
    <row r="252" spans="1:8">
      <c r="A252" s="17">
        <v>43193</v>
      </c>
      <c r="B252" t="s">
        <v>367</v>
      </c>
      <c r="C252">
        <f t="shared" si="11"/>
        <v>55</v>
      </c>
      <c r="D252">
        <v>0.18</v>
      </c>
      <c r="E252" t="s">
        <v>336</v>
      </c>
      <c r="F252" t="s">
        <v>527</v>
      </c>
      <c r="G252">
        <f t="shared" si="13"/>
        <v>9.9</v>
      </c>
      <c r="H252" t="str">
        <f t="shared" si="12"/>
        <v>Dry Grocery</v>
      </c>
    </row>
    <row r="253" spans="1:8">
      <c r="A253" s="17">
        <v>43193</v>
      </c>
      <c r="B253" t="s">
        <v>461</v>
      </c>
      <c r="C253">
        <f t="shared" si="11"/>
        <v>1450</v>
      </c>
      <c r="D253">
        <v>5.0000000000000001E-3</v>
      </c>
      <c r="E253" t="s">
        <v>336</v>
      </c>
      <c r="F253" t="s">
        <v>527</v>
      </c>
      <c r="G253">
        <f t="shared" si="13"/>
        <v>7.25</v>
      </c>
      <c r="H253" t="str">
        <f t="shared" si="12"/>
        <v>Spice</v>
      </c>
    </row>
    <row r="254" spans="1:8">
      <c r="A254" s="17">
        <v>43193</v>
      </c>
      <c r="B254" t="s">
        <v>432</v>
      </c>
      <c r="C254">
        <f t="shared" si="11"/>
        <v>14</v>
      </c>
      <c r="D254">
        <v>1.74</v>
      </c>
      <c r="E254" t="s">
        <v>336</v>
      </c>
      <c r="F254" t="s">
        <v>527</v>
      </c>
      <c r="G254">
        <f t="shared" si="13"/>
        <v>24.36</v>
      </c>
      <c r="H254" t="str">
        <f t="shared" si="12"/>
        <v>Vegetable</v>
      </c>
    </row>
    <row r="255" spans="1:8">
      <c r="A255" s="17">
        <v>43193</v>
      </c>
      <c r="B255" t="s">
        <v>427</v>
      </c>
      <c r="C255">
        <f t="shared" si="11"/>
        <v>28</v>
      </c>
      <c r="D255">
        <v>0.17499999999999999</v>
      </c>
      <c r="E255" t="s">
        <v>336</v>
      </c>
      <c r="F255" t="s">
        <v>527</v>
      </c>
      <c r="G255">
        <f t="shared" si="13"/>
        <v>4.8999999999999995</v>
      </c>
      <c r="H255" t="str">
        <f t="shared" si="12"/>
        <v>Vegetable</v>
      </c>
    </row>
    <row r="256" spans="1:8">
      <c r="A256" s="17">
        <v>43193</v>
      </c>
      <c r="B256" t="s">
        <v>430</v>
      </c>
      <c r="C256">
        <f t="shared" si="11"/>
        <v>30</v>
      </c>
      <c r="D256">
        <v>0.15</v>
      </c>
      <c r="E256" t="s">
        <v>336</v>
      </c>
      <c r="F256" t="s">
        <v>527</v>
      </c>
      <c r="G256">
        <f t="shared" si="13"/>
        <v>4.5</v>
      </c>
      <c r="H256" t="str">
        <f t="shared" si="12"/>
        <v>Vegetable</v>
      </c>
    </row>
    <row r="257" spans="1:8">
      <c r="A257" s="17">
        <v>43193</v>
      </c>
      <c r="B257" t="s">
        <v>462</v>
      </c>
      <c r="C257">
        <f t="shared" si="11"/>
        <v>138</v>
      </c>
      <c r="D257">
        <v>0.02</v>
      </c>
      <c r="E257" t="s">
        <v>336</v>
      </c>
      <c r="F257" t="s">
        <v>527</v>
      </c>
      <c r="G257">
        <f t="shared" si="13"/>
        <v>2.7600000000000002</v>
      </c>
      <c r="H257" t="str">
        <f t="shared" si="12"/>
        <v>Dry Grocery</v>
      </c>
    </row>
    <row r="258" spans="1:8">
      <c r="A258" s="17">
        <v>43193</v>
      </c>
      <c r="B258" t="s">
        <v>471</v>
      </c>
      <c r="C258">
        <f t="shared" ref="C258:C273" si="14">IF(B258="","",VLOOKUP(B258,$XEY$3:$XEZ$156,2,FALSE))</f>
        <v>160</v>
      </c>
      <c r="D258">
        <v>0.115</v>
      </c>
      <c r="E258" t="s">
        <v>336</v>
      </c>
      <c r="F258" t="s">
        <v>527</v>
      </c>
      <c r="G258">
        <f t="shared" si="13"/>
        <v>18.400000000000002</v>
      </c>
      <c r="H258" t="str">
        <f t="shared" si="12"/>
        <v>Dry Grocery</v>
      </c>
    </row>
    <row r="259" spans="1:8">
      <c r="A259" s="17">
        <v>43193</v>
      </c>
      <c r="B259" t="s">
        <v>510</v>
      </c>
      <c r="C259">
        <f t="shared" si="14"/>
        <v>62.03</v>
      </c>
      <c r="D259">
        <v>7.0000000000000007E-2</v>
      </c>
      <c r="E259" t="s">
        <v>336</v>
      </c>
      <c r="F259" t="s">
        <v>527</v>
      </c>
      <c r="G259">
        <f t="shared" si="13"/>
        <v>4.3421000000000003</v>
      </c>
      <c r="H259" t="str">
        <f t="shared" ref="H259:H322" si="15">IF(B259="","",VLOOKUP(B259,$XEY$3:$XFA$1200,3,FALSE))</f>
        <v>Dry Grocery</v>
      </c>
    </row>
    <row r="260" spans="1:8">
      <c r="A260" s="17">
        <v>43193</v>
      </c>
      <c r="B260" t="s">
        <v>392</v>
      </c>
      <c r="C260">
        <f t="shared" si="14"/>
        <v>840</v>
      </c>
      <c r="D260">
        <v>1.2E-2</v>
      </c>
      <c r="E260" t="s">
        <v>336</v>
      </c>
      <c r="F260" t="s">
        <v>527</v>
      </c>
      <c r="G260">
        <f t="shared" si="13"/>
        <v>10.08</v>
      </c>
      <c r="H260" t="str">
        <f t="shared" si="15"/>
        <v>Dry Grocery</v>
      </c>
    </row>
    <row r="261" spans="1:8">
      <c r="A261" s="17">
        <v>43193</v>
      </c>
      <c r="B261" t="s">
        <v>506</v>
      </c>
      <c r="C261">
        <f t="shared" si="14"/>
        <v>240</v>
      </c>
      <c r="D261">
        <v>1.2999999999999999E-2</v>
      </c>
      <c r="E261" t="s">
        <v>336</v>
      </c>
      <c r="F261" t="s">
        <v>527</v>
      </c>
      <c r="G261">
        <f t="shared" si="13"/>
        <v>3.1199999999999997</v>
      </c>
      <c r="H261" t="str">
        <f t="shared" si="15"/>
        <v>Dry Grocery</v>
      </c>
    </row>
    <row r="262" spans="1:8">
      <c r="A262" s="17">
        <v>43193</v>
      </c>
      <c r="B262" t="s">
        <v>409</v>
      </c>
      <c r="C262">
        <f t="shared" si="14"/>
        <v>64.069999999999993</v>
      </c>
      <c r="D262">
        <v>0.35</v>
      </c>
      <c r="E262" t="s">
        <v>336</v>
      </c>
      <c r="F262" t="s">
        <v>527</v>
      </c>
      <c r="G262">
        <f t="shared" ref="G262:G325" si="16">IF(C262="","",C262*D262)</f>
        <v>22.424499999999995</v>
      </c>
      <c r="H262" t="str">
        <f t="shared" si="15"/>
        <v>Dry Grocery</v>
      </c>
    </row>
    <row r="263" spans="1:8">
      <c r="A263" s="17">
        <v>43193</v>
      </c>
      <c r="B263" t="s">
        <v>426</v>
      </c>
      <c r="C263">
        <f t="shared" si="14"/>
        <v>57.5</v>
      </c>
      <c r="D263">
        <v>0.02</v>
      </c>
      <c r="E263" t="s">
        <v>336</v>
      </c>
      <c r="F263" t="s">
        <v>527</v>
      </c>
      <c r="G263">
        <f t="shared" si="16"/>
        <v>1.1500000000000001</v>
      </c>
      <c r="H263" t="str">
        <f t="shared" si="15"/>
        <v>Dry Grocery</v>
      </c>
    </row>
    <row r="264" spans="1:8">
      <c r="A264" s="17">
        <v>43193</v>
      </c>
      <c r="B264" t="s">
        <v>509</v>
      </c>
      <c r="C264">
        <f t="shared" si="14"/>
        <v>500</v>
      </c>
      <c r="D264">
        <v>0.06</v>
      </c>
      <c r="E264" t="s">
        <v>336</v>
      </c>
      <c r="F264" t="s">
        <v>527</v>
      </c>
      <c r="G264">
        <f t="shared" si="16"/>
        <v>30</v>
      </c>
      <c r="H264" t="str">
        <f t="shared" si="15"/>
        <v>Dry Grocery</v>
      </c>
    </row>
    <row r="265" spans="1:8">
      <c r="A265" s="17">
        <v>43193</v>
      </c>
      <c r="B265" t="s">
        <v>479</v>
      </c>
      <c r="C265">
        <f t="shared" si="14"/>
        <v>312.14</v>
      </c>
      <c r="D265">
        <v>0.04</v>
      </c>
      <c r="E265" t="s">
        <v>336</v>
      </c>
      <c r="F265" t="s">
        <v>527</v>
      </c>
      <c r="G265">
        <f t="shared" si="16"/>
        <v>12.4856</v>
      </c>
      <c r="H265" t="str">
        <f t="shared" si="15"/>
        <v>Vegetable</v>
      </c>
    </row>
    <row r="266" spans="1:8">
      <c r="A266" s="17">
        <v>43193</v>
      </c>
      <c r="B266" t="s">
        <v>378</v>
      </c>
      <c r="C266">
        <f t="shared" si="14"/>
        <v>25</v>
      </c>
      <c r="D266">
        <v>0.05</v>
      </c>
      <c r="E266" t="s">
        <v>336</v>
      </c>
      <c r="F266" t="s">
        <v>527</v>
      </c>
      <c r="G266">
        <f t="shared" si="16"/>
        <v>1.25</v>
      </c>
      <c r="H266" t="str">
        <f t="shared" si="15"/>
        <v>Vegetable</v>
      </c>
    </row>
    <row r="267" spans="1:8">
      <c r="A267" s="17">
        <v>43193</v>
      </c>
      <c r="B267" t="s">
        <v>434</v>
      </c>
      <c r="C267">
        <f t="shared" si="14"/>
        <v>125</v>
      </c>
      <c r="D267">
        <v>0.05</v>
      </c>
      <c r="E267" t="s">
        <v>336</v>
      </c>
      <c r="F267" t="s">
        <v>527</v>
      </c>
      <c r="G267">
        <f t="shared" si="16"/>
        <v>6.25</v>
      </c>
      <c r="H267" t="str">
        <f t="shared" si="15"/>
        <v>Vegetable</v>
      </c>
    </row>
    <row r="268" spans="1:8">
      <c r="A268" s="17">
        <v>43193</v>
      </c>
      <c r="B268" t="s">
        <v>429</v>
      </c>
      <c r="C268">
        <f t="shared" si="14"/>
        <v>40</v>
      </c>
      <c r="D268">
        <v>0.05</v>
      </c>
      <c r="E268" t="s">
        <v>336</v>
      </c>
      <c r="F268" t="s">
        <v>527</v>
      </c>
      <c r="G268">
        <f t="shared" si="16"/>
        <v>2</v>
      </c>
      <c r="H268" t="str">
        <f t="shared" si="15"/>
        <v>Vegetable</v>
      </c>
    </row>
    <row r="269" spans="1:8">
      <c r="A269" s="17">
        <v>43193</v>
      </c>
      <c r="B269" t="s">
        <v>454</v>
      </c>
      <c r="C269">
        <f t="shared" si="14"/>
        <v>43.06</v>
      </c>
      <c r="D269">
        <v>0.6</v>
      </c>
      <c r="E269" t="s">
        <v>336</v>
      </c>
      <c r="F269" t="s">
        <v>527</v>
      </c>
      <c r="G269">
        <f t="shared" si="16"/>
        <v>25.836000000000002</v>
      </c>
      <c r="H269" t="str">
        <f t="shared" si="15"/>
        <v>Vegetable</v>
      </c>
    </row>
    <row r="270" spans="1:8">
      <c r="A270" s="17">
        <v>43193</v>
      </c>
      <c r="B270" t="s">
        <v>519</v>
      </c>
      <c r="C270">
        <f t="shared" si="14"/>
        <v>35</v>
      </c>
      <c r="D270">
        <v>0.64</v>
      </c>
      <c r="E270" t="s">
        <v>336</v>
      </c>
      <c r="F270" t="s">
        <v>527</v>
      </c>
      <c r="G270">
        <f t="shared" si="16"/>
        <v>22.400000000000002</v>
      </c>
      <c r="H270" t="str">
        <f t="shared" si="15"/>
        <v>Vegetable</v>
      </c>
    </row>
    <row r="271" spans="1:8">
      <c r="A271" s="17">
        <v>43193</v>
      </c>
      <c r="B271" t="s">
        <v>508</v>
      </c>
      <c r="C271">
        <f t="shared" si="14"/>
        <v>86</v>
      </c>
      <c r="D271">
        <v>0.185</v>
      </c>
      <c r="E271" t="s">
        <v>336</v>
      </c>
      <c r="F271" t="s">
        <v>527</v>
      </c>
      <c r="G271">
        <f t="shared" si="16"/>
        <v>15.91</v>
      </c>
      <c r="H271" t="str">
        <f t="shared" si="15"/>
        <v>Dry Grocery</v>
      </c>
    </row>
    <row r="272" spans="1:8">
      <c r="A272" s="17">
        <v>43193</v>
      </c>
      <c r="B272" t="s">
        <v>512</v>
      </c>
      <c r="C272">
        <f t="shared" si="14"/>
        <v>170</v>
      </c>
      <c r="D272">
        <v>0.05</v>
      </c>
      <c r="E272" t="s">
        <v>336</v>
      </c>
      <c r="F272" t="s">
        <v>527</v>
      </c>
      <c r="G272">
        <f t="shared" si="16"/>
        <v>8.5</v>
      </c>
      <c r="H272" t="str">
        <f t="shared" si="15"/>
        <v>Dry Grocery</v>
      </c>
    </row>
    <row r="273" spans="1:8">
      <c r="A273" s="17">
        <v>43193</v>
      </c>
      <c r="B273" t="s">
        <v>437</v>
      </c>
      <c r="C273">
        <f t="shared" si="14"/>
        <v>34</v>
      </c>
      <c r="D273">
        <v>0.6</v>
      </c>
      <c r="E273" t="s">
        <v>336</v>
      </c>
      <c r="F273" t="s">
        <v>527</v>
      </c>
      <c r="G273">
        <f t="shared" si="16"/>
        <v>20.399999999999999</v>
      </c>
      <c r="H273" t="str">
        <f t="shared" si="15"/>
        <v>Dry Grocery</v>
      </c>
    </row>
    <row r="274" spans="1:8">
      <c r="A274" s="17">
        <v>43193</v>
      </c>
      <c r="B274" t="s">
        <v>551</v>
      </c>
      <c r="C274">
        <f>IF(B274="","",VLOOKUP(B274,$XEY$3:$XEZ$1158,2,FALSE))</f>
        <v>120</v>
      </c>
      <c r="D274">
        <v>1</v>
      </c>
      <c r="E274" t="s">
        <v>543</v>
      </c>
      <c r="F274" t="s">
        <v>527</v>
      </c>
      <c r="G274">
        <f t="shared" si="16"/>
        <v>120</v>
      </c>
      <c r="H274" t="str">
        <f t="shared" si="15"/>
        <v>Fruits</v>
      </c>
    </row>
    <row r="275" spans="1:8">
      <c r="A275" s="17">
        <v>43193</v>
      </c>
      <c r="B275" t="s">
        <v>552</v>
      </c>
      <c r="C275">
        <f t="shared" ref="C275:C338" si="17">IF(B275="","",VLOOKUP(B275,$XEY$3:$XEZ$1158,2,FALSE))</f>
        <v>40</v>
      </c>
      <c r="D275">
        <v>2</v>
      </c>
      <c r="E275" t="s">
        <v>543</v>
      </c>
      <c r="F275" t="s">
        <v>527</v>
      </c>
      <c r="G275">
        <f t="shared" si="16"/>
        <v>80</v>
      </c>
      <c r="H275" t="str">
        <f t="shared" si="15"/>
        <v>Fruits</v>
      </c>
    </row>
    <row r="276" spans="1:8">
      <c r="A276" s="17">
        <v>43194</v>
      </c>
      <c r="B276" t="s">
        <v>393</v>
      </c>
      <c r="C276">
        <f t="shared" si="17"/>
        <v>26</v>
      </c>
      <c r="D276">
        <f>5.4+3.2+5</f>
        <v>13.600000000000001</v>
      </c>
      <c r="E276" t="s">
        <v>525</v>
      </c>
      <c r="F276" t="s">
        <v>526</v>
      </c>
      <c r="G276">
        <f t="shared" si="16"/>
        <v>353.6</v>
      </c>
      <c r="H276" t="str">
        <f t="shared" si="15"/>
        <v>Heating</v>
      </c>
    </row>
    <row r="277" spans="1:8">
      <c r="A277" s="17">
        <v>43194</v>
      </c>
      <c r="B277" t="s">
        <v>410</v>
      </c>
      <c r="C277">
        <f t="shared" si="17"/>
        <v>76</v>
      </c>
      <c r="D277">
        <v>1</v>
      </c>
      <c r="E277" t="s">
        <v>525</v>
      </c>
      <c r="F277" t="s">
        <v>526</v>
      </c>
      <c r="G277">
        <f t="shared" si="16"/>
        <v>76</v>
      </c>
      <c r="H277" t="str">
        <f t="shared" si="15"/>
        <v>Dry Grocery</v>
      </c>
    </row>
    <row r="278" spans="1:8">
      <c r="A278" s="17">
        <v>43194</v>
      </c>
      <c r="B278" t="s">
        <v>432</v>
      </c>
      <c r="C278">
        <f t="shared" si="17"/>
        <v>14</v>
      </c>
      <c r="D278">
        <v>4.25</v>
      </c>
      <c r="E278" t="s">
        <v>525</v>
      </c>
      <c r="F278" t="s">
        <v>526</v>
      </c>
      <c r="G278">
        <f t="shared" si="16"/>
        <v>59.5</v>
      </c>
      <c r="H278" t="str">
        <f t="shared" si="15"/>
        <v>Vegetable</v>
      </c>
    </row>
    <row r="279" spans="1:8">
      <c r="A279" s="17">
        <v>43194</v>
      </c>
      <c r="B279" t="s">
        <v>390</v>
      </c>
      <c r="C279">
        <f t="shared" si="17"/>
        <v>30</v>
      </c>
      <c r="D279">
        <v>1</v>
      </c>
      <c r="E279" t="s">
        <v>525</v>
      </c>
      <c r="F279" t="s">
        <v>526</v>
      </c>
      <c r="G279">
        <f t="shared" si="16"/>
        <v>30</v>
      </c>
      <c r="H279" t="str">
        <f t="shared" si="15"/>
        <v>Vegetable</v>
      </c>
    </row>
    <row r="280" spans="1:8">
      <c r="A280" s="17">
        <v>43194</v>
      </c>
      <c r="B280" t="s">
        <v>436</v>
      </c>
      <c r="C280">
        <f t="shared" si="17"/>
        <v>37</v>
      </c>
      <c r="D280">
        <v>0.6</v>
      </c>
      <c r="E280" t="s">
        <v>525</v>
      </c>
      <c r="F280" t="s">
        <v>526</v>
      </c>
      <c r="G280">
        <f t="shared" si="16"/>
        <v>22.2</v>
      </c>
      <c r="H280" t="str">
        <f t="shared" si="15"/>
        <v>Dry Grocery</v>
      </c>
    </row>
    <row r="281" spans="1:8">
      <c r="A281" s="17">
        <v>43194</v>
      </c>
      <c r="B281" t="s">
        <v>441</v>
      </c>
      <c r="C281">
        <f t="shared" si="17"/>
        <v>390</v>
      </c>
      <c r="D281">
        <v>0.25</v>
      </c>
      <c r="E281" t="s">
        <v>542</v>
      </c>
      <c r="F281" t="s">
        <v>554</v>
      </c>
      <c r="G281">
        <f t="shared" si="16"/>
        <v>97.5</v>
      </c>
      <c r="H281" t="str">
        <f t="shared" si="15"/>
        <v>Hot Beverage</v>
      </c>
    </row>
    <row r="282" spans="1:8">
      <c r="A282" s="17">
        <v>43194</v>
      </c>
      <c r="B282" t="s">
        <v>474</v>
      </c>
      <c r="C282">
        <f t="shared" si="17"/>
        <v>27</v>
      </c>
      <c r="D282">
        <v>3</v>
      </c>
      <c r="E282" t="s">
        <v>525</v>
      </c>
      <c r="F282" t="s">
        <v>526</v>
      </c>
      <c r="G282">
        <f t="shared" si="16"/>
        <v>81</v>
      </c>
      <c r="H282" t="str">
        <f t="shared" si="15"/>
        <v>Dry Grocery</v>
      </c>
    </row>
    <row r="283" spans="1:8">
      <c r="A283" s="17">
        <v>43194</v>
      </c>
      <c r="B283" t="s">
        <v>463</v>
      </c>
      <c r="C283">
        <f t="shared" si="17"/>
        <v>29.51</v>
      </c>
      <c r="D283">
        <v>4.5</v>
      </c>
      <c r="E283" t="s">
        <v>525</v>
      </c>
      <c r="F283" t="s">
        <v>526</v>
      </c>
      <c r="G283">
        <f t="shared" si="16"/>
        <v>132.79500000000002</v>
      </c>
      <c r="H283" t="str">
        <f t="shared" si="15"/>
        <v>Dry Grocery</v>
      </c>
    </row>
    <row r="284" spans="1:8">
      <c r="A284" s="17">
        <v>43194</v>
      </c>
      <c r="B284" t="s">
        <v>458</v>
      </c>
      <c r="C284">
        <f t="shared" si="17"/>
        <v>140</v>
      </c>
      <c r="D284">
        <v>0.5</v>
      </c>
      <c r="E284" t="s">
        <v>525</v>
      </c>
      <c r="F284" t="s">
        <v>526</v>
      </c>
      <c r="G284">
        <f t="shared" si="16"/>
        <v>70</v>
      </c>
      <c r="H284" t="str">
        <f t="shared" si="15"/>
        <v>Dairy</v>
      </c>
    </row>
    <row r="285" spans="1:8">
      <c r="A285" s="17">
        <v>43194</v>
      </c>
      <c r="B285" t="s">
        <v>430</v>
      </c>
      <c r="C285">
        <f t="shared" si="17"/>
        <v>30</v>
      </c>
      <c r="D285">
        <v>0.5</v>
      </c>
      <c r="E285" t="s">
        <v>525</v>
      </c>
      <c r="F285" t="s">
        <v>526</v>
      </c>
      <c r="G285">
        <f t="shared" si="16"/>
        <v>15</v>
      </c>
      <c r="H285" t="str">
        <f t="shared" si="15"/>
        <v>Vegetable</v>
      </c>
    </row>
    <row r="286" spans="1:8">
      <c r="A286" s="17">
        <v>43194</v>
      </c>
      <c r="B286" t="s">
        <v>378</v>
      </c>
      <c r="C286">
        <f t="shared" si="17"/>
        <v>25</v>
      </c>
      <c r="D286">
        <v>0.56999999999999995</v>
      </c>
      <c r="E286" t="s">
        <v>525</v>
      </c>
      <c r="F286" t="s">
        <v>526</v>
      </c>
      <c r="G286">
        <f t="shared" si="16"/>
        <v>14.249999999999998</v>
      </c>
      <c r="H286" t="str">
        <f t="shared" si="15"/>
        <v>Vegetable</v>
      </c>
    </row>
    <row r="287" spans="1:8">
      <c r="A287" s="17">
        <v>43194</v>
      </c>
      <c r="B287" t="s">
        <v>427</v>
      </c>
      <c r="C287">
        <f t="shared" si="17"/>
        <v>28</v>
      </c>
      <c r="D287">
        <v>0.5</v>
      </c>
      <c r="E287" t="s">
        <v>525</v>
      </c>
      <c r="F287" t="s">
        <v>526</v>
      </c>
      <c r="G287">
        <f t="shared" si="16"/>
        <v>14</v>
      </c>
      <c r="H287" t="str">
        <f t="shared" si="15"/>
        <v>Vegetable</v>
      </c>
    </row>
    <row r="288" spans="1:8">
      <c r="A288" s="17">
        <v>43194</v>
      </c>
      <c r="B288" t="s">
        <v>432</v>
      </c>
      <c r="C288">
        <f t="shared" si="17"/>
        <v>14</v>
      </c>
      <c r="D288">
        <v>1</v>
      </c>
      <c r="E288" t="s">
        <v>525</v>
      </c>
      <c r="F288" t="s">
        <v>526</v>
      </c>
      <c r="G288">
        <f t="shared" si="16"/>
        <v>14</v>
      </c>
      <c r="H288" t="str">
        <f t="shared" si="15"/>
        <v>Vegetable</v>
      </c>
    </row>
    <row r="289" spans="1:8">
      <c r="A289" s="17">
        <v>43194</v>
      </c>
      <c r="B289" t="s">
        <v>391</v>
      </c>
      <c r="C289">
        <f t="shared" si="17"/>
        <v>27.97</v>
      </c>
      <c r="D289">
        <v>1.5</v>
      </c>
      <c r="E289" t="s">
        <v>525</v>
      </c>
      <c r="F289" t="s">
        <v>526</v>
      </c>
      <c r="G289">
        <f t="shared" si="16"/>
        <v>41.954999999999998</v>
      </c>
      <c r="H289" t="str">
        <f t="shared" si="15"/>
        <v>Vegetable</v>
      </c>
    </row>
    <row r="290" spans="1:8">
      <c r="A290" s="17">
        <v>43194</v>
      </c>
      <c r="B290" t="s">
        <v>386</v>
      </c>
      <c r="C290">
        <f t="shared" si="17"/>
        <v>82</v>
      </c>
      <c r="D290">
        <v>4</v>
      </c>
      <c r="E290" t="s">
        <v>525</v>
      </c>
      <c r="F290" t="s">
        <v>526</v>
      </c>
      <c r="G290">
        <f t="shared" si="16"/>
        <v>328</v>
      </c>
      <c r="H290" t="str">
        <f t="shared" si="15"/>
        <v>Oil</v>
      </c>
    </row>
    <row r="291" spans="1:8">
      <c r="A291" s="17">
        <v>43194</v>
      </c>
      <c r="B291" t="s">
        <v>451</v>
      </c>
      <c r="C291">
        <f t="shared" si="17"/>
        <v>60</v>
      </c>
      <c r="D291">
        <v>0.5</v>
      </c>
      <c r="E291" t="s">
        <v>525</v>
      </c>
      <c r="F291" t="s">
        <v>526</v>
      </c>
      <c r="G291">
        <f t="shared" si="16"/>
        <v>30</v>
      </c>
      <c r="H291" t="str">
        <f t="shared" si="15"/>
        <v>Vegetable</v>
      </c>
    </row>
    <row r="292" spans="1:8">
      <c r="A292" s="17">
        <v>43194</v>
      </c>
      <c r="B292" t="s">
        <v>476</v>
      </c>
      <c r="C292">
        <f t="shared" si="17"/>
        <v>14.75</v>
      </c>
      <c r="D292">
        <v>1.6</v>
      </c>
      <c r="E292" t="s">
        <v>525</v>
      </c>
      <c r="F292" t="s">
        <v>526</v>
      </c>
      <c r="G292">
        <f t="shared" si="16"/>
        <v>23.6</v>
      </c>
      <c r="H292" t="str">
        <f t="shared" si="15"/>
        <v>Vegetable</v>
      </c>
    </row>
    <row r="293" spans="1:8">
      <c r="A293" s="17">
        <v>43194</v>
      </c>
      <c r="B293" t="s">
        <v>375</v>
      </c>
      <c r="C293">
        <f t="shared" si="17"/>
        <v>280</v>
      </c>
      <c r="D293">
        <v>0.7</v>
      </c>
      <c r="E293" t="s">
        <v>525</v>
      </c>
      <c r="F293" t="s">
        <v>526</v>
      </c>
      <c r="G293">
        <f t="shared" si="16"/>
        <v>196</v>
      </c>
      <c r="H293" t="str">
        <f t="shared" si="15"/>
        <v>Dry Grocery</v>
      </c>
    </row>
    <row r="294" spans="1:8">
      <c r="A294" s="17">
        <v>43194</v>
      </c>
      <c r="B294" t="s">
        <v>435</v>
      </c>
      <c r="C294">
        <f t="shared" si="17"/>
        <v>17</v>
      </c>
      <c r="D294">
        <v>1</v>
      </c>
      <c r="E294" t="s">
        <v>525</v>
      </c>
      <c r="F294" t="s">
        <v>526</v>
      </c>
      <c r="G294">
        <f t="shared" si="16"/>
        <v>17</v>
      </c>
      <c r="H294" t="str">
        <f t="shared" si="15"/>
        <v>Dry Grocery</v>
      </c>
    </row>
    <row r="295" spans="1:8">
      <c r="A295" s="17">
        <v>43194</v>
      </c>
      <c r="B295" t="s">
        <v>434</v>
      </c>
      <c r="C295">
        <f t="shared" si="17"/>
        <v>125</v>
      </c>
      <c r="D295">
        <v>0.05</v>
      </c>
      <c r="E295" t="s">
        <v>525</v>
      </c>
      <c r="F295" t="s">
        <v>526</v>
      </c>
      <c r="G295">
        <f t="shared" si="16"/>
        <v>6.25</v>
      </c>
      <c r="H295" t="str">
        <f t="shared" si="15"/>
        <v>Vegetable</v>
      </c>
    </row>
    <row r="296" spans="1:8">
      <c r="A296" s="17">
        <v>43194</v>
      </c>
      <c r="B296" t="s">
        <v>468</v>
      </c>
      <c r="C296">
        <f t="shared" si="17"/>
        <v>32</v>
      </c>
      <c r="D296">
        <v>3</v>
      </c>
      <c r="E296" t="s">
        <v>525</v>
      </c>
      <c r="F296" t="s">
        <v>526</v>
      </c>
      <c r="G296">
        <f t="shared" si="16"/>
        <v>96</v>
      </c>
      <c r="H296" t="str">
        <f t="shared" si="15"/>
        <v>Vegetable</v>
      </c>
    </row>
    <row r="297" spans="1:8">
      <c r="A297" s="17">
        <v>43194</v>
      </c>
      <c r="B297" t="s">
        <v>473</v>
      </c>
      <c r="C297">
        <f t="shared" si="17"/>
        <v>175</v>
      </c>
      <c r="D297">
        <v>1</v>
      </c>
      <c r="E297" t="s">
        <v>525</v>
      </c>
      <c r="F297" t="s">
        <v>526</v>
      </c>
      <c r="G297">
        <f t="shared" si="16"/>
        <v>175</v>
      </c>
      <c r="H297" t="str">
        <f t="shared" si="15"/>
        <v>Dairy</v>
      </c>
    </row>
    <row r="298" spans="1:8">
      <c r="A298" s="17">
        <v>43194</v>
      </c>
      <c r="B298" t="s">
        <v>482</v>
      </c>
      <c r="C298">
        <f t="shared" si="17"/>
        <v>48</v>
      </c>
      <c r="D298">
        <v>0.1</v>
      </c>
      <c r="E298" t="s">
        <v>525</v>
      </c>
      <c r="F298" t="s">
        <v>526</v>
      </c>
      <c r="G298">
        <f t="shared" si="16"/>
        <v>4.8000000000000007</v>
      </c>
      <c r="H298" t="str">
        <f t="shared" si="15"/>
        <v>Dry Grocery</v>
      </c>
    </row>
    <row r="299" spans="1:8">
      <c r="A299" s="17">
        <v>43194</v>
      </c>
      <c r="B299" t="s">
        <v>479</v>
      </c>
      <c r="C299">
        <f t="shared" si="17"/>
        <v>312.14</v>
      </c>
      <c r="D299">
        <v>0.02</v>
      </c>
      <c r="E299" t="s">
        <v>525</v>
      </c>
      <c r="F299" t="s">
        <v>526</v>
      </c>
      <c r="G299">
        <f t="shared" si="16"/>
        <v>6.2427999999999999</v>
      </c>
      <c r="H299" t="str">
        <f t="shared" si="15"/>
        <v>Vegetable</v>
      </c>
    </row>
    <row r="300" spans="1:8">
      <c r="A300" s="17">
        <v>43194</v>
      </c>
      <c r="B300" t="s">
        <v>460</v>
      </c>
      <c r="C300">
        <f t="shared" si="17"/>
        <v>43.98</v>
      </c>
      <c r="D300">
        <v>0.15</v>
      </c>
      <c r="E300" t="s">
        <v>525</v>
      </c>
      <c r="F300" t="s">
        <v>526</v>
      </c>
      <c r="G300">
        <f t="shared" si="16"/>
        <v>6.5969999999999995</v>
      </c>
      <c r="H300" t="str">
        <f t="shared" si="15"/>
        <v>Vegetable</v>
      </c>
    </row>
    <row r="301" spans="1:8">
      <c r="A301" s="17">
        <v>43194</v>
      </c>
      <c r="B301" t="s">
        <v>457</v>
      </c>
      <c r="C301">
        <f t="shared" si="17"/>
        <v>64</v>
      </c>
      <c r="D301">
        <v>2</v>
      </c>
      <c r="E301" t="s">
        <v>525</v>
      </c>
      <c r="F301" t="s">
        <v>526</v>
      </c>
      <c r="G301">
        <f t="shared" si="16"/>
        <v>128</v>
      </c>
      <c r="H301" t="str">
        <f t="shared" si="15"/>
        <v>Dry Grocery</v>
      </c>
    </row>
    <row r="302" spans="1:8">
      <c r="A302" s="17">
        <v>43194</v>
      </c>
      <c r="B302" t="s">
        <v>432</v>
      </c>
      <c r="C302">
        <f t="shared" si="17"/>
        <v>14</v>
      </c>
      <c r="D302">
        <v>2.5</v>
      </c>
      <c r="E302" t="s">
        <v>525</v>
      </c>
      <c r="F302" t="s">
        <v>526</v>
      </c>
      <c r="G302">
        <f t="shared" si="16"/>
        <v>35</v>
      </c>
      <c r="H302" t="str">
        <f t="shared" si="15"/>
        <v>Vegetable</v>
      </c>
    </row>
    <row r="303" spans="1:8">
      <c r="A303" s="17">
        <v>43194</v>
      </c>
      <c r="B303" t="s">
        <v>500</v>
      </c>
      <c r="C303">
        <f t="shared" si="17"/>
        <v>72</v>
      </c>
      <c r="D303">
        <v>0.2</v>
      </c>
      <c r="E303" t="s">
        <v>525</v>
      </c>
      <c r="F303" t="s">
        <v>526</v>
      </c>
      <c r="G303">
        <f t="shared" si="16"/>
        <v>14.4</v>
      </c>
      <c r="H303" t="str">
        <f t="shared" si="15"/>
        <v>Dry Grocery</v>
      </c>
    </row>
    <row r="304" spans="1:8">
      <c r="A304" s="17">
        <v>43194</v>
      </c>
      <c r="B304" t="s">
        <v>384</v>
      </c>
      <c r="C304">
        <f t="shared" si="17"/>
        <v>3</v>
      </c>
      <c r="D304">
        <v>5</v>
      </c>
      <c r="E304" t="s">
        <v>525</v>
      </c>
      <c r="F304" t="s">
        <v>526</v>
      </c>
      <c r="G304">
        <f t="shared" si="16"/>
        <v>15</v>
      </c>
      <c r="H304" t="str">
        <f t="shared" si="15"/>
        <v>Vegetable</v>
      </c>
    </row>
    <row r="305" spans="1:8">
      <c r="A305" s="17">
        <v>43194</v>
      </c>
      <c r="B305" t="s">
        <v>397</v>
      </c>
      <c r="C305">
        <f t="shared" si="17"/>
        <v>75</v>
      </c>
      <c r="D305">
        <v>1.2</v>
      </c>
      <c r="E305" t="s">
        <v>525</v>
      </c>
      <c r="F305" t="s">
        <v>526</v>
      </c>
      <c r="G305">
        <f t="shared" si="16"/>
        <v>90</v>
      </c>
      <c r="H305" t="str">
        <f t="shared" si="15"/>
        <v>Sauce</v>
      </c>
    </row>
    <row r="306" spans="1:8">
      <c r="A306" s="17">
        <v>43194</v>
      </c>
      <c r="B306" t="s">
        <v>433</v>
      </c>
      <c r="C306">
        <f t="shared" si="17"/>
        <v>20</v>
      </c>
      <c r="D306">
        <v>0.5</v>
      </c>
      <c r="E306" t="s">
        <v>525</v>
      </c>
      <c r="F306" t="s">
        <v>526</v>
      </c>
      <c r="G306">
        <f t="shared" si="16"/>
        <v>10</v>
      </c>
      <c r="H306" t="str">
        <f t="shared" si="15"/>
        <v>Vegetable</v>
      </c>
    </row>
    <row r="307" spans="1:8">
      <c r="A307" s="17">
        <v>43194</v>
      </c>
      <c r="B307" t="s">
        <v>487</v>
      </c>
      <c r="C307">
        <f t="shared" si="17"/>
        <v>40</v>
      </c>
      <c r="D307">
        <v>1</v>
      </c>
      <c r="E307" t="s">
        <v>525</v>
      </c>
      <c r="F307" t="s">
        <v>526</v>
      </c>
      <c r="G307">
        <f t="shared" si="16"/>
        <v>40</v>
      </c>
      <c r="H307" t="str">
        <f t="shared" si="15"/>
        <v>Dry Grocery</v>
      </c>
    </row>
    <row r="308" spans="1:8">
      <c r="A308" s="17">
        <v>43194</v>
      </c>
      <c r="B308" t="s">
        <v>420</v>
      </c>
      <c r="C308">
        <f t="shared" si="17"/>
        <v>3</v>
      </c>
      <c r="D308">
        <v>0.9</v>
      </c>
      <c r="E308" t="s">
        <v>525</v>
      </c>
      <c r="F308" t="s">
        <v>526</v>
      </c>
      <c r="G308">
        <f t="shared" si="16"/>
        <v>2.7</v>
      </c>
      <c r="H308" t="str">
        <f t="shared" si="15"/>
        <v>Vegetable</v>
      </c>
    </row>
    <row r="309" spans="1:8">
      <c r="A309" s="17">
        <v>43194</v>
      </c>
      <c r="B309" t="s">
        <v>391</v>
      </c>
      <c r="C309">
        <f t="shared" si="17"/>
        <v>27.97</v>
      </c>
      <c r="D309">
        <v>0.44</v>
      </c>
      <c r="E309" t="s">
        <v>525</v>
      </c>
      <c r="F309" t="s">
        <v>526</v>
      </c>
      <c r="G309">
        <f t="shared" si="16"/>
        <v>12.306799999999999</v>
      </c>
      <c r="H309" t="str">
        <f t="shared" si="15"/>
        <v>Vegetable</v>
      </c>
    </row>
    <row r="310" spans="1:8">
      <c r="A310" s="17">
        <v>43194</v>
      </c>
      <c r="B310" t="s">
        <v>429</v>
      </c>
      <c r="C310">
        <f t="shared" si="17"/>
        <v>40</v>
      </c>
      <c r="D310">
        <v>0.14000000000000001</v>
      </c>
      <c r="E310" t="s">
        <v>525</v>
      </c>
      <c r="F310" t="s">
        <v>526</v>
      </c>
      <c r="G310">
        <f t="shared" si="16"/>
        <v>5.6000000000000005</v>
      </c>
      <c r="H310" t="str">
        <f t="shared" si="15"/>
        <v>Vegetable</v>
      </c>
    </row>
    <row r="311" spans="1:8">
      <c r="A311" s="17">
        <v>43194</v>
      </c>
      <c r="B311" t="s">
        <v>468</v>
      </c>
      <c r="C311">
        <f t="shared" si="17"/>
        <v>32</v>
      </c>
      <c r="D311">
        <v>2</v>
      </c>
      <c r="E311" t="s">
        <v>525</v>
      </c>
      <c r="F311" t="s">
        <v>526</v>
      </c>
      <c r="G311">
        <f t="shared" si="16"/>
        <v>64</v>
      </c>
      <c r="H311" t="str">
        <f t="shared" si="15"/>
        <v>Vegetable</v>
      </c>
    </row>
    <row r="312" spans="1:8">
      <c r="A312" s="17">
        <v>43194</v>
      </c>
      <c r="B312" t="s">
        <v>451</v>
      </c>
      <c r="C312">
        <f t="shared" si="17"/>
        <v>60</v>
      </c>
      <c r="D312">
        <v>0.2</v>
      </c>
      <c r="E312" t="s">
        <v>525</v>
      </c>
      <c r="F312" t="s">
        <v>526</v>
      </c>
      <c r="G312">
        <f t="shared" si="16"/>
        <v>12</v>
      </c>
      <c r="H312" t="str">
        <f t="shared" si="15"/>
        <v>Vegetable</v>
      </c>
    </row>
    <row r="313" spans="1:8">
      <c r="A313" s="17">
        <v>43194</v>
      </c>
      <c r="B313" t="s">
        <v>386</v>
      </c>
      <c r="C313">
        <f t="shared" si="17"/>
        <v>82</v>
      </c>
      <c r="D313">
        <f>0.915*2</f>
        <v>1.83</v>
      </c>
      <c r="E313" t="s">
        <v>525</v>
      </c>
      <c r="F313" t="s">
        <v>526</v>
      </c>
      <c r="G313">
        <f t="shared" si="16"/>
        <v>150.06</v>
      </c>
      <c r="H313" t="str">
        <f t="shared" si="15"/>
        <v>Oil</v>
      </c>
    </row>
    <row r="314" spans="1:8">
      <c r="A314" s="17">
        <v>43194</v>
      </c>
      <c r="B314" t="s">
        <v>398</v>
      </c>
      <c r="C314">
        <f t="shared" si="17"/>
        <v>51</v>
      </c>
      <c r="D314">
        <v>0.1</v>
      </c>
      <c r="E314" t="s">
        <v>525</v>
      </c>
      <c r="F314" t="s">
        <v>526</v>
      </c>
      <c r="G314">
        <f t="shared" si="16"/>
        <v>5.1000000000000005</v>
      </c>
      <c r="H314" t="str">
        <f t="shared" si="15"/>
        <v>Dry Grocery</v>
      </c>
    </row>
    <row r="315" spans="1:8">
      <c r="A315" s="17">
        <v>43194</v>
      </c>
      <c r="B315" t="s">
        <v>395</v>
      </c>
      <c r="C315">
        <f t="shared" si="17"/>
        <v>450</v>
      </c>
      <c r="D315">
        <v>0.05</v>
      </c>
      <c r="E315" t="s">
        <v>525</v>
      </c>
      <c r="F315" t="s">
        <v>526</v>
      </c>
      <c r="G315">
        <f t="shared" si="16"/>
        <v>22.5</v>
      </c>
      <c r="H315" t="str">
        <f t="shared" si="15"/>
        <v>Dry Grocery</v>
      </c>
    </row>
    <row r="316" spans="1:8">
      <c r="A316" s="17">
        <v>43194</v>
      </c>
      <c r="B316" t="s">
        <v>436</v>
      </c>
      <c r="C316">
        <f t="shared" si="17"/>
        <v>37</v>
      </c>
      <c r="D316">
        <v>4</v>
      </c>
      <c r="E316" t="s">
        <v>543</v>
      </c>
      <c r="F316" t="s">
        <v>527</v>
      </c>
      <c r="G316">
        <f t="shared" si="16"/>
        <v>148</v>
      </c>
      <c r="H316" t="str">
        <f t="shared" si="15"/>
        <v>Dry Grocery</v>
      </c>
    </row>
    <row r="317" spans="1:8">
      <c r="A317" s="17">
        <v>43194</v>
      </c>
      <c r="B317" t="s">
        <v>384</v>
      </c>
      <c r="C317">
        <f t="shared" si="17"/>
        <v>3</v>
      </c>
      <c r="D317">
        <v>20</v>
      </c>
      <c r="E317" t="s">
        <v>543</v>
      </c>
      <c r="F317" t="s">
        <v>527</v>
      </c>
      <c r="G317">
        <f t="shared" si="16"/>
        <v>60</v>
      </c>
      <c r="H317" t="str">
        <f t="shared" si="15"/>
        <v>Vegetable</v>
      </c>
    </row>
    <row r="318" spans="1:8">
      <c r="A318" s="17">
        <v>43194</v>
      </c>
      <c r="B318" t="s">
        <v>432</v>
      </c>
      <c r="C318">
        <f t="shared" si="17"/>
        <v>14</v>
      </c>
      <c r="D318">
        <v>0.7</v>
      </c>
      <c r="E318" t="s">
        <v>528</v>
      </c>
      <c r="F318" t="s">
        <v>527</v>
      </c>
      <c r="G318">
        <f t="shared" si="16"/>
        <v>9.7999999999999989</v>
      </c>
      <c r="H318" t="str">
        <f t="shared" si="15"/>
        <v>Vegetable</v>
      </c>
    </row>
    <row r="319" spans="1:8">
      <c r="A319" s="17">
        <v>43194</v>
      </c>
      <c r="B319" t="s">
        <v>476</v>
      </c>
      <c r="C319">
        <f t="shared" si="17"/>
        <v>14.75</v>
      </c>
      <c r="D319">
        <v>0.43</v>
      </c>
      <c r="E319" t="s">
        <v>528</v>
      </c>
      <c r="F319" t="s">
        <v>527</v>
      </c>
      <c r="G319">
        <f t="shared" si="16"/>
        <v>6.3425000000000002</v>
      </c>
      <c r="H319" t="str">
        <f t="shared" si="15"/>
        <v>Vegetable</v>
      </c>
    </row>
    <row r="320" spans="1:8">
      <c r="A320" s="17">
        <v>43194</v>
      </c>
      <c r="B320" t="s">
        <v>391</v>
      </c>
      <c r="C320">
        <f t="shared" si="17"/>
        <v>27.97</v>
      </c>
      <c r="D320">
        <v>0.2</v>
      </c>
      <c r="E320" t="s">
        <v>528</v>
      </c>
      <c r="F320" t="s">
        <v>527</v>
      </c>
      <c r="G320">
        <f t="shared" si="16"/>
        <v>5.5940000000000003</v>
      </c>
      <c r="H320" t="str">
        <f t="shared" si="15"/>
        <v>Vegetable</v>
      </c>
    </row>
    <row r="321" spans="1:8">
      <c r="A321" s="17">
        <v>43194</v>
      </c>
      <c r="B321" t="s">
        <v>378</v>
      </c>
      <c r="C321">
        <f t="shared" si="17"/>
        <v>25</v>
      </c>
      <c r="D321">
        <v>0.06</v>
      </c>
      <c r="E321" t="s">
        <v>528</v>
      </c>
      <c r="F321" t="s">
        <v>527</v>
      </c>
      <c r="G321">
        <f t="shared" si="16"/>
        <v>1.5</v>
      </c>
      <c r="H321" t="str">
        <f t="shared" si="15"/>
        <v>Vegetable</v>
      </c>
    </row>
    <row r="322" spans="1:8">
      <c r="A322" s="17">
        <v>43194</v>
      </c>
      <c r="B322" t="s">
        <v>435</v>
      </c>
      <c r="C322">
        <f t="shared" si="17"/>
        <v>17</v>
      </c>
      <c r="D322">
        <v>0.3</v>
      </c>
      <c r="E322" t="s">
        <v>528</v>
      </c>
      <c r="F322" t="s">
        <v>527</v>
      </c>
      <c r="G322">
        <f t="shared" si="16"/>
        <v>5.0999999999999996</v>
      </c>
      <c r="H322" t="str">
        <f t="shared" si="15"/>
        <v>Dry Grocery</v>
      </c>
    </row>
    <row r="323" spans="1:8">
      <c r="A323" s="17">
        <v>43194</v>
      </c>
      <c r="B323" t="s">
        <v>482</v>
      </c>
      <c r="C323">
        <f t="shared" si="17"/>
        <v>48</v>
      </c>
      <c r="D323">
        <v>0.1</v>
      </c>
      <c r="E323" t="s">
        <v>528</v>
      </c>
      <c r="F323" t="s">
        <v>527</v>
      </c>
      <c r="G323">
        <f t="shared" si="16"/>
        <v>4.8000000000000007</v>
      </c>
      <c r="H323" t="str">
        <f t="shared" ref="H323:H386" si="18">IF(B323="","",VLOOKUP(B323,$XEY$3:$XFA$1200,3,FALSE))</f>
        <v>Dry Grocery</v>
      </c>
    </row>
    <row r="324" spans="1:8">
      <c r="A324" s="17">
        <v>43194</v>
      </c>
      <c r="B324" t="s">
        <v>449</v>
      </c>
      <c r="C324">
        <f t="shared" si="17"/>
        <v>20</v>
      </c>
      <c r="D324">
        <v>1.88</v>
      </c>
      <c r="E324" t="s">
        <v>543</v>
      </c>
      <c r="F324" t="s">
        <v>527</v>
      </c>
      <c r="G324">
        <f t="shared" si="16"/>
        <v>37.599999999999994</v>
      </c>
      <c r="H324" t="str">
        <f t="shared" si="18"/>
        <v>Fruits</v>
      </c>
    </row>
    <row r="325" spans="1:8">
      <c r="A325" s="17">
        <v>43194</v>
      </c>
      <c r="B325" t="s">
        <v>444</v>
      </c>
      <c r="C325">
        <f t="shared" si="17"/>
        <v>50</v>
      </c>
      <c r="D325">
        <v>4</v>
      </c>
      <c r="E325" t="s">
        <v>543</v>
      </c>
      <c r="F325" t="s">
        <v>527</v>
      </c>
      <c r="G325">
        <f t="shared" si="16"/>
        <v>200</v>
      </c>
      <c r="H325" t="str">
        <f t="shared" si="18"/>
        <v>Fruits</v>
      </c>
    </row>
    <row r="326" spans="1:8">
      <c r="A326" s="17">
        <v>43194</v>
      </c>
      <c r="B326" t="s">
        <v>432</v>
      </c>
      <c r="C326">
        <f t="shared" si="17"/>
        <v>14</v>
      </c>
      <c r="D326">
        <v>1.5</v>
      </c>
      <c r="E326" t="s">
        <v>336</v>
      </c>
      <c r="F326" t="s">
        <v>527</v>
      </c>
      <c r="G326">
        <f t="shared" ref="G326:G389" si="19">IF(C326="","",C326*D326)</f>
        <v>21</v>
      </c>
      <c r="H326" t="str">
        <f t="shared" si="18"/>
        <v>Vegetable</v>
      </c>
    </row>
    <row r="327" spans="1:8">
      <c r="A327" s="17">
        <v>43194</v>
      </c>
      <c r="B327" t="s">
        <v>427</v>
      </c>
      <c r="C327">
        <f t="shared" si="17"/>
        <v>28</v>
      </c>
      <c r="D327">
        <v>0.115</v>
      </c>
      <c r="E327" t="s">
        <v>336</v>
      </c>
      <c r="F327" t="s">
        <v>527</v>
      </c>
      <c r="G327">
        <f t="shared" si="19"/>
        <v>3.22</v>
      </c>
      <c r="H327" t="str">
        <f t="shared" si="18"/>
        <v>Vegetable</v>
      </c>
    </row>
    <row r="328" spans="1:8">
      <c r="A328" s="17">
        <v>43194</v>
      </c>
      <c r="B328" t="s">
        <v>429</v>
      </c>
      <c r="C328">
        <f t="shared" si="17"/>
        <v>40</v>
      </c>
      <c r="D328">
        <v>0.04</v>
      </c>
      <c r="E328" t="s">
        <v>336</v>
      </c>
      <c r="F328" t="s">
        <v>527</v>
      </c>
      <c r="G328">
        <f t="shared" si="19"/>
        <v>1.6</v>
      </c>
      <c r="H328" t="str">
        <f t="shared" si="18"/>
        <v>Vegetable</v>
      </c>
    </row>
    <row r="329" spans="1:8">
      <c r="A329" s="17">
        <v>43194</v>
      </c>
      <c r="B329" t="s">
        <v>519</v>
      </c>
      <c r="C329">
        <f t="shared" si="17"/>
        <v>35</v>
      </c>
      <c r="D329">
        <v>1.2</v>
      </c>
      <c r="E329" t="s">
        <v>336</v>
      </c>
      <c r="F329" t="s">
        <v>527</v>
      </c>
      <c r="G329">
        <f t="shared" si="19"/>
        <v>42</v>
      </c>
      <c r="H329" t="str">
        <f t="shared" si="18"/>
        <v>Vegetable</v>
      </c>
    </row>
    <row r="330" spans="1:8">
      <c r="A330" s="17">
        <v>43194</v>
      </c>
      <c r="B330" t="s">
        <v>409</v>
      </c>
      <c r="C330">
        <f t="shared" si="17"/>
        <v>64.069999999999993</v>
      </c>
      <c r="D330">
        <v>0.35</v>
      </c>
      <c r="E330" t="s">
        <v>336</v>
      </c>
      <c r="F330" t="s">
        <v>527</v>
      </c>
      <c r="G330">
        <f t="shared" si="19"/>
        <v>22.424499999999995</v>
      </c>
      <c r="H330" t="str">
        <f t="shared" si="18"/>
        <v>Dry Grocery</v>
      </c>
    </row>
    <row r="331" spans="1:8">
      <c r="A331" s="17">
        <v>43194</v>
      </c>
      <c r="B331" t="s">
        <v>436</v>
      </c>
      <c r="C331">
        <f t="shared" si="17"/>
        <v>37</v>
      </c>
      <c r="D331">
        <v>0.3</v>
      </c>
      <c r="E331" t="s">
        <v>336</v>
      </c>
      <c r="F331" t="s">
        <v>527</v>
      </c>
      <c r="G331">
        <f t="shared" si="19"/>
        <v>11.1</v>
      </c>
      <c r="H331" t="str">
        <f t="shared" si="18"/>
        <v>Dry Grocery</v>
      </c>
    </row>
    <row r="332" spans="1:8">
      <c r="A332" s="17">
        <v>43194</v>
      </c>
      <c r="B332" t="s">
        <v>514</v>
      </c>
      <c r="C332">
        <f t="shared" si="17"/>
        <v>61.08</v>
      </c>
      <c r="D332">
        <v>0.22500000000000001</v>
      </c>
      <c r="E332" t="s">
        <v>336</v>
      </c>
      <c r="F332" t="s">
        <v>527</v>
      </c>
      <c r="G332">
        <f t="shared" si="19"/>
        <v>13.743</v>
      </c>
      <c r="H332" t="str">
        <f t="shared" si="18"/>
        <v>Dry Grocery</v>
      </c>
    </row>
    <row r="333" spans="1:8">
      <c r="A333" s="17">
        <v>43194</v>
      </c>
      <c r="B333" t="s">
        <v>386</v>
      </c>
      <c r="C333">
        <f t="shared" si="17"/>
        <v>82</v>
      </c>
      <c r="D333">
        <v>0.91500000000000004</v>
      </c>
      <c r="E333" t="s">
        <v>336</v>
      </c>
      <c r="F333" t="s">
        <v>527</v>
      </c>
      <c r="G333">
        <f t="shared" si="19"/>
        <v>75.03</v>
      </c>
      <c r="H333" t="str">
        <f t="shared" si="18"/>
        <v>Oil</v>
      </c>
    </row>
    <row r="334" spans="1:8">
      <c r="A334" s="17">
        <v>43194</v>
      </c>
      <c r="B334" t="s">
        <v>385</v>
      </c>
      <c r="C334">
        <f t="shared" si="17"/>
        <v>36</v>
      </c>
      <c r="D334">
        <v>2</v>
      </c>
      <c r="E334" t="s">
        <v>336</v>
      </c>
      <c r="F334" t="s">
        <v>527</v>
      </c>
      <c r="G334">
        <f t="shared" si="19"/>
        <v>72</v>
      </c>
      <c r="H334" t="str">
        <f t="shared" si="18"/>
        <v>Dairy</v>
      </c>
    </row>
    <row r="335" spans="1:8">
      <c r="A335" s="17">
        <v>43194</v>
      </c>
      <c r="B335" t="s">
        <v>382</v>
      </c>
      <c r="C335">
        <f t="shared" si="17"/>
        <v>42</v>
      </c>
      <c r="D335">
        <v>1.5</v>
      </c>
      <c r="E335" t="s">
        <v>336</v>
      </c>
      <c r="F335" t="s">
        <v>527</v>
      </c>
      <c r="G335">
        <f t="shared" si="19"/>
        <v>63</v>
      </c>
      <c r="H335" t="str">
        <f t="shared" si="18"/>
        <v>Dairy</v>
      </c>
    </row>
    <row r="336" spans="1:8">
      <c r="A336" s="17">
        <v>43194</v>
      </c>
      <c r="B336" t="s">
        <v>404</v>
      </c>
      <c r="C336">
        <f t="shared" si="17"/>
        <v>28</v>
      </c>
      <c r="D336">
        <v>2</v>
      </c>
      <c r="E336" t="s">
        <v>336</v>
      </c>
      <c r="F336" t="s">
        <v>527</v>
      </c>
      <c r="G336">
        <f t="shared" si="19"/>
        <v>56</v>
      </c>
      <c r="H336" t="str">
        <f t="shared" si="18"/>
        <v>Vegetable</v>
      </c>
    </row>
    <row r="337" spans="1:8">
      <c r="A337" s="17">
        <v>43194</v>
      </c>
      <c r="B337" t="s">
        <v>512</v>
      </c>
      <c r="C337">
        <f t="shared" si="17"/>
        <v>170</v>
      </c>
      <c r="D337">
        <v>0.05</v>
      </c>
      <c r="E337" t="s">
        <v>336</v>
      </c>
      <c r="F337" t="s">
        <v>527</v>
      </c>
      <c r="G337">
        <f t="shared" si="19"/>
        <v>8.5</v>
      </c>
      <c r="H337" t="str">
        <f t="shared" si="18"/>
        <v>Dry Grocery</v>
      </c>
    </row>
    <row r="338" spans="1:8">
      <c r="A338" s="17">
        <v>43194</v>
      </c>
      <c r="B338" t="s">
        <v>476</v>
      </c>
      <c r="C338">
        <f t="shared" si="17"/>
        <v>14.75</v>
      </c>
      <c r="D338">
        <v>0.9</v>
      </c>
      <c r="E338" t="s">
        <v>336</v>
      </c>
      <c r="F338" t="s">
        <v>527</v>
      </c>
      <c r="G338">
        <f t="shared" si="19"/>
        <v>13.275</v>
      </c>
      <c r="H338" t="str">
        <f t="shared" si="18"/>
        <v>Vegetable</v>
      </c>
    </row>
    <row r="339" spans="1:8">
      <c r="A339" s="17">
        <v>43194</v>
      </c>
      <c r="B339" t="s">
        <v>378</v>
      </c>
      <c r="C339">
        <f t="shared" ref="C339:C402" si="20">IF(B339="","",VLOOKUP(B339,$XEY$3:$XEZ$1158,2,FALSE))</f>
        <v>25</v>
      </c>
      <c r="D339">
        <v>0.1</v>
      </c>
      <c r="E339" t="s">
        <v>336</v>
      </c>
      <c r="F339" t="s">
        <v>527</v>
      </c>
      <c r="G339">
        <f t="shared" si="19"/>
        <v>2.5</v>
      </c>
      <c r="H339" t="str">
        <f t="shared" si="18"/>
        <v>Vegetable</v>
      </c>
    </row>
    <row r="340" spans="1:8">
      <c r="A340" s="17">
        <v>43194</v>
      </c>
      <c r="B340" t="s">
        <v>479</v>
      </c>
      <c r="C340">
        <f t="shared" si="20"/>
        <v>312.14</v>
      </c>
      <c r="D340">
        <v>0.4</v>
      </c>
      <c r="E340" t="s">
        <v>336</v>
      </c>
      <c r="F340" t="s">
        <v>527</v>
      </c>
      <c r="G340">
        <f t="shared" si="19"/>
        <v>124.85599999999999</v>
      </c>
      <c r="H340" t="str">
        <f t="shared" si="18"/>
        <v>Vegetable</v>
      </c>
    </row>
    <row r="341" spans="1:8">
      <c r="A341" s="17">
        <v>43194</v>
      </c>
      <c r="B341" t="s">
        <v>511</v>
      </c>
      <c r="C341">
        <f t="shared" si="20"/>
        <v>52</v>
      </c>
      <c r="D341">
        <v>4</v>
      </c>
      <c r="E341" t="s">
        <v>336</v>
      </c>
      <c r="F341" t="s">
        <v>527</v>
      </c>
      <c r="G341">
        <f t="shared" si="19"/>
        <v>208</v>
      </c>
      <c r="H341" t="str">
        <f t="shared" si="18"/>
        <v>Dry Grocery</v>
      </c>
    </row>
    <row r="342" spans="1:8">
      <c r="A342" s="17">
        <v>43194</v>
      </c>
      <c r="B342" t="s">
        <v>375</v>
      </c>
      <c r="C342">
        <f t="shared" si="20"/>
        <v>280</v>
      </c>
      <c r="D342">
        <v>0.03</v>
      </c>
      <c r="E342" t="s">
        <v>336</v>
      </c>
      <c r="F342" t="s">
        <v>527</v>
      </c>
      <c r="G342">
        <f t="shared" si="19"/>
        <v>8.4</v>
      </c>
      <c r="H342" t="str">
        <f t="shared" si="18"/>
        <v>Dry Grocery</v>
      </c>
    </row>
    <row r="343" spans="1:8">
      <c r="A343" s="17">
        <v>43194</v>
      </c>
      <c r="B343" t="s">
        <v>379</v>
      </c>
      <c r="C343">
        <f t="shared" si="20"/>
        <v>120</v>
      </c>
      <c r="D343">
        <v>0.01</v>
      </c>
      <c r="E343" t="s">
        <v>336</v>
      </c>
      <c r="F343" t="s">
        <v>527</v>
      </c>
      <c r="G343">
        <f t="shared" si="19"/>
        <v>1.2</v>
      </c>
      <c r="H343" t="str">
        <f t="shared" si="18"/>
        <v>Dry Grocery</v>
      </c>
    </row>
    <row r="344" spans="1:8">
      <c r="A344" s="17">
        <v>43194</v>
      </c>
      <c r="B344" t="s">
        <v>435</v>
      </c>
      <c r="C344">
        <f t="shared" si="20"/>
        <v>17</v>
      </c>
      <c r="D344">
        <v>0.02</v>
      </c>
      <c r="E344" t="s">
        <v>336</v>
      </c>
      <c r="F344" t="s">
        <v>527</v>
      </c>
      <c r="G344">
        <f t="shared" si="19"/>
        <v>0.34</v>
      </c>
      <c r="H344" t="str">
        <f t="shared" si="18"/>
        <v>Dry Grocery</v>
      </c>
    </row>
    <row r="345" spans="1:8">
      <c r="A345" s="17">
        <v>43194</v>
      </c>
      <c r="B345" t="s">
        <v>381</v>
      </c>
      <c r="C345">
        <f t="shared" si="20"/>
        <v>7</v>
      </c>
      <c r="D345">
        <v>0.38</v>
      </c>
      <c r="E345" t="s">
        <v>336</v>
      </c>
      <c r="F345" t="s">
        <v>527</v>
      </c>
      <c r="G345">
        <f t="shared" si="19"/>
        <v>2.66</v>
      </c>
      <c r="H345" t="str">
        <f t="shared" si="18"/>
        <v>Dry Grocery</v>
      </c>
    </row>
    <row r="346" spans="1:8">
      <c r="A346" s="17">
        <v>43194</v>
      </c>
      <c r="B346" t="s">
        <v>485</v>
      </c>
      <c r="C346">
        <f t="shared" si="20"/>
        <v>96</v>
      </c>
      <c r="D346">
        <v>0.09</v>
      </c>
      <c r="E346" t="s">
        <v>336</v>
      </c>
      <c r="F346" t="s">
        <v>527</v>
      </c>
      <c r="G346">
        <f t="shared" si="19"/>
        <v>8.64</v>
      </c>
      <c r="H346" t="str">
        <f t="shared" si="18"/>
        <v>Oil</v>
      </c>
    </row>
    <row r="347" spans="1:8">
      <c r="A347" s="17">
        <v>43194</v>
      </c>
      <c r="B347" t="s">
        <v>383</v>
      </c>
      <c r="C347">
        <f t="shared" si="20"/>
        <v>230</v>
      </c>
      <c r="D347">
        <v>0.02</v>
      </c>
      <c r="E347" t="s">
        <v>336</v>
      </c>
      <c r="F347" t="s">
        <v>527</v>
      </c>
      <c r="G347">
        <f t="shared" si="19"/>
        <v>4.6000000000000005</v>
      </c>
      <c r="H347" t="str">
        <f t="shared" si="18"/>
        <v>Dry Grocery</v>
      </c>
    </row>
    <row r="348" spans="1:8">
      <c r="A348" s="17">
        <v>43194</v>
      </c>
      <c r="B348" t="s">
        <v>431</v>
      </c>
      <c r="C348">
        <f t="shared" si="20"/>
        <v>70</v>
      </c>
      <c r="D348">
        <v>0.04</v>
      </c>
      <c r="E348" t="s">
        <v>336</v>
      </c>
      <c r="F348" t="s">
        <v>527</v>
      </c>
      <c r="G348">
        <f t="shared" si="19"/>
        <v>2.8000000000000003</v>
      </c>
      <c r="H348" t="str">
        <f t="shared" si="18"/>
        <v>Dry Grocery</v>
      </c>
    </row>
    <row r="349" spans="1:8">
      <c r="A349" s="17">
        <v>43194</v>
      </c>
      <c r="B349" t="s">
        <v>367</v>
      </c>
      <c r="C349">
        <f t="shared" si="20"/>
        <v>55</v>
      </c>
      <c r="D349">
        <v>0.14000000000000001</v>
      </c>
      <c r="E349" t="s">
        <v>336</v>
      </c>
      <c r="F349" t="s">
        <v>527</v>
      </c>
      <c r="G349">
        <f t="shared" si="19"/>
        <v>7.7000000000000011</v>
      </c>
      <c r="H349" t="str">
        <f t="shared" si="18"/>
        <v>Dry Grocery</v>
      </c>
    </row>
    <row r="350" spans="1:8">
      <c r="A350" s="17">
        <v>43194</v>
      </c>
      <c r="B350" t="s">
        <v>461</v>
      </c>
      <c r="C350">
        <f t="shared" si="20"/>
        <v>1450</v>
      </c>
      <c r="D350">
        <v>5.0000000000000001E-3</v>
      </c>
      <c r="E350" t="s">
        <v>336</v>
      </c>
      <c r="F350" t="s">
        <v>527</v>
      </c>
      <c r="G350">
        <f t="shared" si="19"/>
        <v>7.25</v>
      </c>
      <c r="H350" t="str">
        <f t="shared" si="18"/>
        <v>Spice</v>
      </c>
    </row>
    <row r="351" spans="1:8">
      <c r="A351" s="17">
        <v>43194</v>
      </c>
      <c r="B351" t="s">
        <v>430</v>
      </c>
      <c r="C351">
        <f t="shared" si="20"/>
        <v>30</v>
      </c>
      <c r="D351">
        <v>0.12</v>
      </c>
      <c r="E351" t="s">
        <v>336</v>
      </c>
      <c r="F351" t="s">
        <v>527</v>
      </c>
      <c r="G351">
        <f t="shared" si="19"/>
        <v>3.5999999999999996</v>
      </c>
      <c r="H351" t="str">
        <f t="shared" si="18"/>
        <v>Vegetable</v>
      </c>
    </row>
    <row r="352" spans="1:8">
      <c r="A352" s="17">
        <v>43194</v>
      </c>
      <c r="B352" t="s">
        <v>462</v>
      </c>
      <c r="C352">
        <f t="shared" si="20"/>
        <v>138</v>
      </c>
      <c r="D352">
        <v>0.02</v>
      </c>
      <c r="E352" t="s">
        <v>336</v>
      </c>
      <c r="F352" t="s">
        <v>527</v>
      </c>
      <c r="G352">
        <f t="shared" si="19"/>
        <v>2.7600000000000002</v>
      </c>
      <c r="H352" t="str">
        <f t="shared" si="18"/>
        <v>Dry Grocery</v>
      </c>
    </row>
    <row r="353" spans="1:8">
      <c r="A353" s="17">
        <v>43194</v>
      </c>
      <c r="B353" t="s">
        <v>471</v>
      </c>
      <c r="C353">
        <f t="shared" si="20"/>
        <v>160</v>
      </c>
      <c r="D353">
        <v>0.1</v>
      </c>
      <c r="E353" t="s">
        <v>336</v>
      </c>
      <c r="F353" t="s">
        <v>527</v>
      </c>
      <c r="G353">
        <f t="shared" si="19"/>
        <v>16</v>
      </c>
      <c r="H353" t="str">
        <f t="shared" si="18"/>
        <v>Dry Grocery</v>
      </c>
    </row>
    <row r="354" spans="1:8">
      <c r="A354" s="17">
        <v>43194</v>
      </c>
      <c r="B354" t="s">
        <v>510</v>
      </c>
      <c r="C354">
        <f t="shared" si="20"/>
        <v>62.03</v>
      </c>
      <c r="D354">
        <v>7.0000000000000007E-2</v>
      </c>
      <c r="E354" t="s">
        <v>336</v>
      </c>
      <c r="F354" t="s">
        <v>527</v>
      </c>
      <c r="G354">
        <f t="shared" si="19"/>
        <v>4.3421000000000003</v>
      </c>
      <c r="H354" t="str">
        <f t="shared" si="18"/>
        <v>Dry Grocery</v>
      </c>
    </row>
    <row r="355" spans="1:8">
      <c r="A355" s="17">
        <v>43194</v>
      </c>
      <c r="B355" t="s">
        <v>392</v>
      </c>
      <c r="C355">
        <f t="shared" si="20"/>
        <v>840</v>
      </c>
      <c r="D355">
        <v>1.2E-2</v>
      </c>
      <c r="E355" t="s">
        <v>336</v>
      </c>
      <c r="F355" t="s">
        <v>527</v>
      </c>
      <c r="G355">
        <f t="shared" si="19"/>
        <v>10.08</v>
      </c>
      <c r="H355" t="str">
        <f t="shared" si="18"/>
        <v>Dry Grocery</v>
      </c>
    </row>
    <row r="356" spans="1:8">
      <c r="A356" s="17">
        <v>43194</v>
      </c>
      <c r="B356" t="s">
        <v>506</v>
      </c>
      <c r="C356">
        <f t="shared" si="20"/>
        <v>240</v>
      </c>
      <c r="D356">
        <v>1.2999999999999999E-2</v>
      </c>
      <c r="E356" t="s">
        <v>336</v>
      </c>
      <c r="F356" t="s">
        <v>527</v>
      </c>
      <c r="G356">
        <f t="shared" si="19"/>
        <v>3.1199999999999997</v>
      </c>
      <c r="H356" t="str">
        <f t="shared" si="18"/>
        <v>Dry Grocery</v>
      </c>
    </row>
    <row r="357" spans="1:8">
      <c r="A357" s="17">
        <v>43194</v>
      </c>
      <c r="B357" t="s">
        <v>426</v>
      </c>
      <c r="C357">
        <f t="shared" si="20"/>
        <v>57.5</v>
      </c>
      <c r="D357">
        <v>0.03</v>
      </c>
      <c r="E357" t="s">
        <v>336</v>
      </c>
      <c r="F357" t="s">
        <v>527</v>
      </c>
      <c r="G357">
        <f t="shared" si="19"/>
        <v>1.7249999999999999</v>
      </c>
      <c r="H357" t="str">
        <f t="shared" si="18"/>
        <v>Dry Grocery</v>
      </c>
    </row>
    <row r="358" spans="1:8">
      <c r="A358" s="17">
        <v>43194</v>
      </c>
      <c r="B358" t="s">
        <v>509</v>
      </c>
      <c r="C358">
        <f t="shared" si="20"/>
        <v>500</v>
      </c>
      <c r="D358">
        <v>0.05</v>
      </c>
      <c r="E358" t="s">
        <v>336</v>
      </c>
      <c r="F358" t="s">
        <v>527</v>
      </c>
      <c r="G358">
        <f t="shared" si="19"/>
        <v>25</v>
      </c>
      <c r="H358" t="str">
        <f t="shared" si="18"/>
        <v>Dry Grocery</v>
      </c>
    </row>
    <row r="359" spans="1:8">
      <c r="A359" s="17">
        <v>43194</v>
      </c>
      <c r="B359" t="s">
        <v>507</v>
      </c>
      <c r="C359">
        <f t="shared" si="20"/>
        <v>340</v>
      </c>
      <c r="D359">
        <v>0.02</v>
      </c>
      <c r="E359" t="s">
        <v>336</v>
      </c>
      <c r="F359" t="s">
        <v>527</v>
      </c>
      <c r="G359">
        <f t="shared" si="19"/>
        <v>6.8</v>
      </c>
      <c r="H359" t="str">
        <f t="shared" si="18"/>
        <v>Dry Grocery</v>
      </c>
    </row>
    <row r="360" spans="1:8">
      <c r="A360" s="17">
        <v>43194</v>
      </c>
      <c r="B360" t="s">
        <v>501</v>
      </c>
      <c r="C360">
        <f t="shared" si="20"/>
        <v>78</v>
      </c>
      <c r="D360">
        <v>0.2</v>
      </c>
      <c r="E360" t="s">
        <v>336</v>
      </c>
      <c r="F360" t="s">
        <v>527</v>
      </c>
      <c r="G360">
        <f t="shared" si="19"/>
        <v>15.600000000000001</v>
      </c>
      <c r="H360" t="str">
        <f t="shared" si="18"/>
        <v>Dry Grocery</v>
      </c>
    </row>
    <row r="361" spans="1:8">
      <c r="A361" s="17">
        <v>43194</v>
      </c>
      <c r="B361" t="s">
        <v>402</v>
      </c>
      <c r="C361">
        <f t="shared" si="20"/>
        <v>76</v>
      </c>
      <c r="D361">
        <v>0.1</v>
      </c>
      <c r="E361" t="s">
        <v>336</v>
      </c>
      <c r="F361" t="s">
        <v>527</v>
      </c>
      <c r="G361">
        <f t="shared" si="19"/>
        <v>7.6000000000000005</v>
      </c>
      <c r="H361" t="str">
        <f t="shared" si="18"/>
        <v>Dry Grocery</v>
      </c>
    </row>
    <row r="362" spans="1:8">
      <c r="A362" s="17">
        <v>43194</v>
      </c>
      <c r="B362" t="s">
        <v>406</v>
      </c>
      <c r="C362">
        <f t="shared" si="20"/>
        <v>78</v>
      </c>
      <c r="D362">
        <v>0.1</v>
      </c>
      <c r="E362" t="s">
        <v>336</v>
      </c>
      <c r="F362" t="s">
        <v>527</v>
      </c>
      <c r="G362">
        <f t="shared" si="19"/>
        <v>7.8000000000000007</v>
      </c>
      <c r="H362" t="str">
        <f t="shared" si="18"/>
        <v>Dry Grocery</v>
      </c>
    </row>
    <row r="363" spans="1:8">
      <c r="A363" s="17">
        <v>43194</v>
      </c>
      <c r="B363" t="s">
        <v>384</v>
      </c>
      <c r="C363">
        <f t="shared" si="20"/>
        <v>3</v>
      </c>
      <c r="D363">
        <v>16</v>
      </c>
      <c r="E363" t="s">
        <v>555</v>
      </c>
      <c r="F363" t="s">
        <v>556</v>
      </c>
      <c r="G363">
        <f t="shared" si="19"/>
        <v>48</v>
      </c>
      <c r="H363" t="str">
        <f t="shared" si="18"/>
        <v>Vegetable</v>
      </c>
    </row>
    <row r="364" spans="1:8">
      <c r="A364" s="17">
        <v>43194</v>
      </c>
      <c r="B364" t="s">
        <v>432</v>
      </c>
      <c r="C364">
        <f t="shared" si="20"/>
        <v>14</v>
      </c>
      <c r="D364">
        <v>0.3</v>
      </c>
      <c r="E364" t="s">
        <v>555</v>
      </c>
      <c r="F364" t="s">
        <v>556</v>
      </c>
      <c r="G364">
        <f t="shared" si="19"/>
        <v>4.2</v>
      </c>
      <c r="H364" t="str">
        <f t="shared" si="18"/>
        <v>Vegetable</v>
      </c>
    </row>
    <row r="365" spans="1:8">
      <c r="A365" s="17">
        <v>43194</v>
      </c>
      <c r="B365" t="s">
        <v>397</v>
      </c>
      <c r="C365">
        <f t="shared" si="20"/>
        <v>75</v>
      </c>
      <c r="D365">
        <v>1.2</v>
      </c>
      <c r="E365" t="s">
        <v>555</v>
      </c>
      <c r="F365" t="s">
        <v>556</v>
      </c>
      <c r="G365">
        <f t="shared" si="19"/>
        <v>90</v>
      </c>
      <c r="H365" t="str">
        <f t="shared" si="18"/>
        <v>Sauce</v>
      </c>
    </row>
    <row r="366" spans="1:8">
      <c r="A366" s="17">
        <v>43194</v>
      </c>
      <c r="B366" t="s">
        <v>428</v>
      </c>
      <c r="C366">
        <f t="shared" si="20"/>
        <v>78.95</v>
      </c>
      <c r="D366">
        <v>19</v>
      </c>
      <c r="E366" t="s">
        <v>531</v>
      </c>
      <c r="F366" t="s">
        <v>530</v>
      </c>
      <c r="G366">
        <f t="shared" si="19"/>
        <v>1500.05</v>
      </c>
      <c r="H366" t="str">
        <f t="shared" si="18"/>
        <v>Gas</v>
      </c>
    </row>
    <row r="367" spans="1:8">
      <c r="A367" s="17">
        <v>43193</v>
      </c>
      <c r="B367" t="s">
        <v>428</v>
      </c>
      <c r="C367">
        <f t="shared" si="20"/>
        <v>78.95</v>
      </c>
      <c r="D367">
        <v>19</v>
      </c>
      <c r="E367" t="s">
        <v>531</v>
      </c>
      <c r="F367" t="s">
        <v>530</v>
      </c>
      <c r="G367">
        <f t="shared" si="19"/>
        <v>1500.05</v>
      </c>
      <c r="H367" t="str">
        <f t="shared" si="18"/>
        <v>Gas</v>
      </c>
    </row>
    <row r="368" spans="1:8">
      <c r="A368" s="17">
        <v>43195</v>
      </c>
      <c r="B368" t="s">
        <v>428</v>
      </c>
      <c r="C368">
        <f t="shared" si="20"/>
        <v>78.95</v>
      </c>
      <c r="D368">
        <v>19</v>
      </c>
      <c r="E368" t="s">
        <v>531</v>
      </c>
      <c r="F368" t="s">
        <v>530</v>
      </c>
      <c r="G368">
        <f t="shared" si="19"/>
        <v>1500.05</v>
      </c>
      <c r="H368" t="str">
        <f t="shared" si="18"/>
        <v>Gas</v>
      </c>
    </row>
    <row r="369" spans="1:8">
      <c r="A369" s="17">
        <v>43195</v>
      </c>
      <c r="B369" t="s">
        <v>432</v>
      </c>
      <c r="C369">
        <f t="shared" si="20"/>
        <v>14</v>
      </c>
      <c r="D369">
        <v>4</v>
      </c>
      <c r="E369" t="s">
        <v>525</v>
      </c>
      <c r="F369" t="s">
        <v>526</v>
      </c>
      <c r="G369">
        <f t="shared" si="19"/>
        <v>56</v>
      </c>
      <c r="H369" t="str">
        <f t="shared" si="18"/>
        <v>Vegetable</v>
      </c>
    </row>
    <row r="370" spans="1:8">
      <c r="A370" s="17">
        <v>43195</v>
      </c>
      <c r="B370" t="s">
        <v>473</v>
      </c>
      <c r="C370">
        <f t="shared" si="20"/>
        <v>175</v>
      </c>
      <c r="D370">
        <v>2</v>
      </c>
      <c r="E370" t="s">
        <v>525</v>
      </c>
      <c r="F370" t="s">
        <v>526</v>
      </c>
      <c r="G370">
        <f t="shared" si="19"/>
        <v>350</v>
      </c>
      <c r="H370" t="str">
        <f t="shared" si="18"/>
        <v>Dairy</v>
      </c>
    </row>
    <row r="371" spans="1:8">
      <c r="A371" s="17">
        <v>43195</v>
      </c>
      <c r="B371" t="s">
        <v>491</v>
      </c>
      <c r="C371">
        <f t="shared" si="20"/>
        <v>38</v>
      </c>
      <c r="D371">
        <v>1.2</v>
      </c>
      <c r="E371" t="s">
        <v>525</v>
      </c>
      <c r="F371" t="s">
        <v>526</v>
      </c>
      <c r="G371">
        <f t="shared" si="19"/>
        <v>45.6</v>
      </c>
      <c r="H371" t="str">
        <f t="shared" si="18"/>
        <v>Vegetable</v>
      </c>
    </row>
    <row r="372" spans="1:8">
      <c r="A372" s="17">
        <v>43195</v>
      </c>
      <c r="B372" t="s">
        <v>420</v>
      </c>
      <c r="C372">
        <f t="shared" si="20"/>
        <v>3</v>
      </c>
      <c r="D372">
        <v>0.8</v>
      </c>
      <c r="E372" t="s">
        <v>525</v>
      </c>
      <c r="F372" t="s">
        <v>526</v>
      </c>
      <c r="G372">
        <f t="shared" si="19"/>
        <v>2.4000000000000004</v>
      </c>
      <c r="H372" t="str">
        <f t="shared" si="18"/>
        <v>Vegetable</v>
      </c>
    </row>
    <row r="373" spans="1:8">
      <c r="A373" s="17">
        <v>43195</v>
      </c>
      <c r="B373" t="s">
        <v>393</v>
      </c>
      <c r="C373">
        <f t="shared" si="20"/>
        <v>26</v>
      </c>
      <c r="D373">
        <v>13.8</v>
      </c>
      <c r="E373" t="s">
        <v>525</v>
      </c>
      <c r="F373" t="s">
        <v>526</v>
      </c>
      <c r="G373">
        <f t="shared" si="19"/>
        <v>358.8</v>
      </c>
      <c r="H373" t="str">
        <f t="shared" si="18"/>
        <v>Heating</v>
      </c>
    </row>
    <row r="374" spans="1:8">
      <c r="A374" s="17">
        <v>43195</v>
      </c>
      <c r="B374" t="s">
        <v>452</v>
      </c>
      <c r="C374">
        <f t="shared" si="20"/>
        <v>62</v>
      </c>
      <c r="D374">
        <v>3</v>
      </c>
      <c r="E374" t="s">
        <v>525</v>
      </c>
      <c r="F374" t="s">
        <v>526</v>
      </c>
      <c r="G374">
        <f t="shared" si="19"/>
        <v>186</v>
      </c>
      <c r="H374" t="str">
        <f t="shared" si="18"/>
        <v>Dry Grocery</v>
      </c>
    </row>
    <row r="375" spans="1:8">
      <c r="A375" s="17">
        <v>43195</v>
      </c>
      <c r="B375" t="s">
        <v>391</v>
      </c>
      <c r="C375">
        <f t="shared" si="20"/>
        <v>27.97</v>
      </c>
      <c r="D375">
        <v>1.4</v>
      </c>
      <c r="E375" t="s">
        <v>525</v>
      </c>
      <c r="F375" t="s">
        <v>526</v>
      </c>
      <c r="G375">
        <f t="shared" si="19"/>
        <v>39.157999999999994</v>
      </c>
      <c r="H375" t="str">
        <f t="shared" si="18"/>
        <v>Vegetable</v>
      </c>
    </row>
    <row r="376" spans="1:8">
      <c r="A376" s="17">
        <v>43195</v>
      </c>
      <c r="B376" t="s">
        <v>458</v>
      </c>
      <c r="C376">
        <f t="shared" si="20"/>
        <v>140</v>
      </c>
      <c r="D376">
        <v>1</v>
      </c>
      <c r="E376" t="s">
        <v>525</v>
      </c>
      <c r="F376" t="s">
        <v>526</v>
      </c>
      <c r="G376">
        <f t="shared" si="19"/>
        <v>140</v>
      </c>
      <c r="H376" t="str">
        <f t="shared" si="18"/>
        <v>Dairy</v>
      </c>
    </row>
    <row r="377" spans="1:8">
      <c r="A377" s="17">
        <v>43195</v>
      </c>
      <c r="B377" t="s">
        <v>430</v>
      </c>
      <c r="C377">
        <f t="shared" si="20"/>
        <v>30</v>
      </c>
      <c r="D377">
        <v>0.9</v>
      </c>
      <c r="E377" t="s">
        <v>525</v>
      </c>
      <c r="F377" t="s">
        <v>526</v>
      </c>
      <c r="G377">
        <f t="shared" si="19"/>
        <v>27</v>
      </c>
      <c r="H377" t="str">
        <f t="shared" si="18"/>
        <v>Vegetable</v>
      </c>
    </row>
    <row r="378" spans="1:8">
      <c r="A378" s="17">
        <v>43195</v>
      </c>
      <c r="B378" t="s">
        <v>378</v>
      </c>
      <c r="C378">
        <f t="shared" si="20"/>
        <v>25</v>
      </c>
      <c r="D378">
        <v>0.5</v>
      </c>
      <c r="E378" t="s">
        <v>525</v>
      </c>
      <c r="F378" t="s">
        <v>526</v>
      </c>
      <c r="G378">
        <f t="shared" si="19"/>
        <v>12.5</v>
      </c>
      <c r="H378" t="str">
        <f t="shared" si="18"/>
        <v>Vegetable</v>
      </c>
    </row>
    <row r="379" spans="1:8">
      <c r="A379" s="17">
        <v>43195</v>
      </c>
      <c r="B379" t="s">
        <v>478</v>
      </c>
      <c r="C379">
        <f t="shared" si="20"/>
        <v>180</v>
      </c>
      <c r="D379">
        <v>0.5</v>
      </c>
      <c r="E379" t="s">
        <v>525</v>
      </c>
      <c r="F379" t="s">
        <v>526</v>
      </c>
      <c r="G379">
        <f t="shared" si="19"/>
        <v>90</v>
      </c>
      <c r="H379" t="str">
        <f t="shared" si="18"/>
        <v>Dry Grocery</v>
      </c>
    </row>
    <row r="380" spans="1:8">
      <c r="A380" s="17">
        <v>43195</v>
      </c>
      <c r="B380" t="s">
        <v>427</v>
      </c>
      <c r="C380">
        <f t="shared" si="20"/>
        <v>28</v>
      </c>
      <c r="D380">
        <v>0.7</v>
      </c>
      <c r="E380" t="s">
        <v>525</v>
      </c>
      <c r="F380" t="s">
        <v>526</v>
      </c>
      <c r="G380">
        <f t="shared" si="19"/>
        <v>19.599999999999998</v>
      </c>
      <c r="H380" t="str">
        <f t="shared" si="18"/>
        <v>Vegetable</v>
      </c>
    </row>
    <row r="381" spans="1:8">
      <c r="A381" s="17">
        <v>43195</v>
      </c>
      <c r="B381" t="s">
        <v>376</v>
      </c>
      <c r="C381">
        <f t="shared" si="20"/>
        <v>220</v>
      </c>
      <c r="D381">
        <v>0.01</v>
      </c>
      <c r="E381" t="s">
        <v>525</v>
      </c>
      <c r="F381" t="s">
        <v>526</v>
      </c>
      <c r="G381">
        <f t="shared" si="19"/>
        <v>2.2000000000000002</v>
      </c>
      <c r="H381" t="str">
        <f t="shared" si="18"/>
        <v>Spice</v>
      </c>
    </row>
    <row r="382" spans="1:8">
      <c r="A382" s="17">
        <v>43195</v>
      </c>
      <c r="B382" t="s">
        <v>377</v>
      </c>
      <c r="C382">
        <f t="shared" si="20"/>
        <v>740</v>
      </c>
      <c r="D382">
        <v>0.01</v>
      </c>
      <c r="E382" t="s">
        <v>525</v>
      </c>
      <c r="F382" t="s">
        <v>526</v>
      </c>
      <c r="G382">
        <f t="shared" si="19"/>
        <v>7.4</v>
      </c>
      <c r="H382" t="str">
        <f t="shared" si="18"/>
        <v>Spice</v>
      </c>
    </row>
    <row r="383" spans="1:8">
      <c r="A383" s="17">
        <v>43195</v>
      </c>
      <c r="B383" t="s">
        <v>461</v>
      </c>
      <c r="C383">
        <f t="shared" si="20"/>
        <v>1450</v>
      </c>
      <c r="D383">
        <v>0.01</v>
      </c>
      <c r="E383" t="s">
        <v>525</v>
      </c>
      <c r="F383" t="s">
        <v>526</v>
      </c>
      <c r="G383">
        <f t="shared" si="19"/>
        <v>14.5</v>
      </c>
      <c r="H383" t="str">
        <f t="shared" si="18"/>
        <v>Spice</v>
      </c>
    </row>
    <row r="384" spans="1:8">
      <c r="A384" s="17">
        <v>43195</v>
      </c>
      <c r="B384" t="s">
        <v>399</v>
      </c>
      <c r="C384">
        <f t="shared" si="20"/>
        <v>1480</v>
      </c>
      <c r="D384">
        <v>0.01</v>
      </c>
      <c r="E384" t="s">
        <v>525</v>
      </c>
      <c r="F384" t="s">
        <v>526</v>
      </c>
      <c r="G384">
        <f t="shared" si="19"/>
        <v>14.8</v>
      </c>
      <c r="H384" t="str">
        <f t="shared" si="18"/>
        <v>Spice</v>
      </c>
    </row>
    <row r="385" spans="1:8">
      <c r="A385" s="17">
        <v>43195</v>
      </c>
      <c r="B385" s="16" t="s">
        <v>487</v>
      </c>
      <c r="C385">
        <f t="shared" si="20"/>
        <v>40</v>
      </c>
      <c r="D385">
        <v>2</v>
      </c>
      <c r="E385" t="s">
        <v>525</v>
      </c>
      <c r="F385" t="s">
        <v>526</v>
      </c>
      <c r="G385">
        <f t="shared" si="19"/>
        <v>80</v>
      </c>
      <c r="H385" t="str">
        <f t="shared" si="18"/>
        <v>Dry Grocery</v>
      </c>
    </row>
    <row r="386" spans="1:8">
      <c r="A386" s="17">
        <v>43195</v>
      </c>
      <c r="B386" s="16" t="s">
        <v>386</v>
      </c>
      <c r="C386">
        <f t="shared" si="20"/>
        <v>82</v>
      </c>
      <c r="D386">
        <v>3</v>
      </c>
      <c r="E386" t="s">
        <v>525</v>
      </c>
      <c r="F386" t="s">
        <v>526</v>
      </c>
      <c r="G386">
        <f t="shared" si="19"/>
        <v>246</v>
      </c>
      <c r="H386" t="str">
        <f t="shared" si="18"/>
        <v>Oil</v>
      </c>
    </row>
    <row r="387" spans="1:8">
      <c r="A387" s="17">
        <v>43195</v>
      </c>
      <c r="B387" t="s">
        <v>451</v>
      </c>
      <c r="C387">
        <f t="shared" si="20"/>
        <v>60</v>
      </c>
      <c r="D387">
        <v>0.8</v>
      </c>
      <c r="E387" t="s">
        <v>525</v>
      </c>
      <c r="F387" t="s">
        <v>526</v>
      </c>
      <c r="G387">
        <f t="shared" si="19"/>
        <v>48</v>
      </c>
      <c r="H387" t="str">
        <f t="shared" ref="H387:H450" si="21">IF(B387="","",VLOOKUP(B387,$XEY$3:$XFA$1200,3,FALSE))</f>
        <v>Vegetable</v>
      </c>
    </row>
    <row r="388" spans="1:8">
      <c r="A388" s="17">
        <v>43195</v>
      </c>
      <c r="B388" t="s">
        <v>463</v>
      </c>
      <c r="C388">
        <f t="shared" si="20"/>
        <v>29.51</v>
      </c>
      <c r="D388">
        <v>3.25</v>
      </c>
      <c r="E388" t="s">
        <v>525</v>
      </c>
      <c r="F388" t="s">
        <v>526</v>
      </c>
      <c r="G388">
        <f t="shared" si="19"/>
        <v>95.907499999999999</v>
      </c>
      <c r="H388" t="str">
        <f t="shared" si="21"/>
        <v>Dry Grocery</v>
      </c>
    </row>
    <row r="389" spans="1:8">
      <c r="A389" s="17">
        <v>43195</v>
      </c>
      <c r="B389" t="s">
        <v>468</v>
      </c>
      <c r="C389">
        <f t="shared" si="20"/>
        <v>32</v>
      </c>
      <c r="D389">
        <v>4</v>
      </c>
      <c r="E389" t="s">
        <v>525</v>
      </c>
      <c r="F389" t="s">
        <v>526</v>
      </c>
      <c r="G389">
        <f t="shared" si="19"/>
        <v>128</v>
      </c>
      <c r="H389" t="str">
        <f t="shared" si="21"/>
        <v>Vegetable</v>
      </c>
    </row>
    <row r="390" spans="1:8">
      <c r="A390" s="17">
        <v>43195</v>
      </c>
      <c r="B390" t="s">
        <v>394</v>
      </c>
      <c r="C390">
        <f t="shared" si="20"/>
        <v>45</v>
      </c>
      <c r="D390">
        <v>1</v>
      </c>
      <c r="E390" t="s">
        <v>525</v>
      </c>
      <c r="F390" t="s">
        <v>526</v>
      </c>
      <c r="G390">
        <f t="shared" ref="G390:G453" si="22">IF(C390="","",C390*D390)</f>
        <v>45</v>
      </c>
      <c r="H390" t="str">
        <f t="shared" si="21"/>
        <v>Dry Grocery</v>
      </c>
    </row>
    <row r="391" spans="1:8">
      <c r="A391" s="17">
        <v>43195</v>
      </c>
      <c r="B391" t="s">
        <v>458</v>
      </c>
      <c r="C391">
        <f t="shared" si="20"/>
        <v>140</v>
      </c>
      <c r="D391">
        <v>0.5</v>
      </c>
      <c r="E391" t="s">
        <v>525</v>
      </c>
      <c r="F391" t="s">
        <v>526</v>
      </c>
      <c r="G391">
        <f t="shared" si="22"/>
        <v>70</v>
      </c>
      <c r="H391" t="str">
        <f t="shared" si="21"/>
        <v>Dairy</v>
      </c>
    </row>
    <row r="392" spans="1:8">
      <c r="A392" s="17">
        <v>43195</v>
      </c>
      <c r="B392" t="s">
        <v>436</v>
      </c>
      <c r="C392">
        <f t="shared" si="20"/>
        <v>37</v>
      </c>
      <c r="D392">
        <v>0.36</v>
      </c>
      <c r="E392" t="s">
        <v>525</v>
      </c>
      <c r="F392" t="s">
        <v>526</v>
      </c>
      <c r="G392">
        <f t="shared" si="22"/>
        <v>13.32</v>
      </c>
      <c r="H392" t="str">
        <f t="shared" si="21"/>
        <v>Dry Grocery</v>
      </c>
    </row>
    <row r="393" spans="1:8">
      <c r="A393" s="17">
        <v>43195</v>
      </c>
      <c r="B393" t="s">
        <v>474</v>
      </c>
      <c r="C393">
        <f t="shared" si="20"/>
        <v>27</v>
      </c>
      <c r="D393">
        <v>3.1</v>
      </c>
      <c r="E393" t="s">
        <v>525</v>
      </c>
      <c r="F393" t="s">
        <v>526</v>
      </c>
      <c r="G393">
        <f t="shared" si="22"/>
        <v>83.7</v>
      </c>
      <c r="H393" t="str">
        <f t="shared" si="21"/>
        <v>Dry Grocery</v>
      </c>
    </row>
    <row r="394" spans="1:8">
      <c r="A394" s="17">
        <v>43195</v>
      </c>
      <c r="B394" t="s">
        <v>465</v>
      </c>
      <c r="C394">
        <f t="shared" si="20"/>
        <v>272</v>
      </c>
      <c r="D394">
        <v>0.25</v>
      </c>
      <c r="E394" t="s">
        <v>525</v>
      </c>
      <c r="F394" t="s">
        <v>526</v>
      </c>
      <c r="G394">
        <f t="shared" si="22"/>
        <v>68</v>
      </c>
      <c r="H394" t="str">
        <f t="shared" si="21"/>
        <v>Dry Grocery</v>
      </c>
    </row>
    <row r="395" spans="1:8">
      <c r="A395" s="17">
        <v>43195</v>
      </c>
      <c r="B395" t="s">
        <v>395</v>
      </c>
      <c r="C395">
        <f t="shared" si="20"/>
        <v>450</v>
      </c>
      <c r="D395">
        <v>0.05</v>
      </c>
      <c r="E395" t="s">
        <v>525</v>
      </c>
      <c r="F395" t="s">
        <v>526</v>
      </c>
      <c r="G395">
        <f t="shared" si="22"/>
        <v>22.5</v>
      </c>
      <c r="H395" t="str">
        <f t="shared" si="21"/>
        <v>Dry Grocery</v>
      </c>
    </row>
    <row r="396" spans="1:8">
      <c r="A396" s="17">
        <v>43195</v>
      </c>
      <c r="B396" t="s">
        <v>462</v>
      </c>
      <c r="C396">
        <f t="shared" si="20"/>
        <v>138</v>
      </c>
      <c r="D396">
        <v>0.15</v>
      </c>
      <c r="E396" t="s">
        <v>525</v>
      </c>
      <c r="F396" t="s">
        <v>526</v>
      </c>
      <c r="G396">
        <f t="shared" si="22"/>
        <v>20.7</v>
      </c>
      <c r="H396" t="str">
        <f t="shared" si="21"/>
        <v>Dry Grocery</v>
      </c>
    </row>
    <row r="397" spans="1:8">
      <c r="A397" s="17">
        <v>43195</v>
      </c>
      <c r="B397" t="s">
        <v>389</v>
      </c>
      <c r="C397">
        <f t="shared" si="20"/>
        <v>280</v>
      </c>
      <c r="D397">
        <v>0.08</v>
      </c>
      <c r="E397" t="s">
        <v>525</v>
      </c>
      <c r="F397" t="s">
        <v>526</v>
      </c>
      <c r="G397">
        <f t="shared" si="22"/>
        <v>22.400000000000002</v>
      </c>
      <c r="H397" t="str">
        <f t="shared" si="21"/>
        <v>Dry Grocery</v>
      </c>
    </row>
    <row r="398" spans="1:8">
      <c r="A398" s="17">
        <v>43195</v>
      </c>
      <c r="B398" t="s">
        <v>468</v>
      </c>
      <c r="C398">
        <f t="shared" si="20"/>
        <v>32</v>
      </c>
      <c r="D398">
        <v>1</v>
      </c>
      <c r="E398" t="s">
        <v>525</v>
      </c>
      <c r="F398" t="s">
        <v>526</v>
      </c>
      <c r="G398">
        <f t="shared" si="22"/>
        <v>32</v>
      </c>
      <c r="H398" t="str">
        <f t="shared" si="21"/>
        <v>Vegetable</v>
      </c>
    </row>
    <row r="399" spans="1:8">
      <c r="A399" s="17">
        <v>43195</v>
      </c>
      <c r="B399" t="s">
        <v>390</v>
      </c>
      <c r="C399">
        <f t="shared" si="20"/>
        <v>30</v>
      </c>
      <c r="D399">
        <v>1</v>
      </c>
      <c r="E399" t="s">
        <v>525</v>
      </c>
      <c r="F399" t="s">
        <v>526</v>
      </c>
      <c r="G399">
        <f t="shared" si="22"/>
        <v>30</v>
      </c>
      <c r="H399" t="str">
        <f t="shared" si="21"/>
        <v>Vegetable</v>
      </c>
    </row>
    <row r="400" spans="1:8">
      <c r="A400" s="17">
        <v>43195</v>
      </c>
      <c r="B400" t="s">
        <v>455</v>
      </c>
      <c r="C400">
        <f t="shared" si="20"/>
        <v>380</v>
      </c>
      <c r="D400">
        <v>0.08</v>
      </c>
      <c r="E400" t="s">
        <v>525</v>
      </c>
      <c r="F400" t="s">
        <v>526</v>
      </c>
      <c r="G400">
        <f t="shared" si="22"/>
        <v>30.400000000000002</v>
      </c>
      <c r="H400" t="str">
        <f t="shared" si="21"/>
        <v>Dry Grocery</v>
      </c>
    </row>
    <row r="401" spans="1:8">
      <c r="A401" s="17">
        <v>43195</v>
      </c>
      <c r="B401" t="s">
        <v>429</v>
      </c>
      <c r="C401">
        <f t="shared" si="20"/>
        <v>40</v>
      </c>
      <c r="D401">
        <v>0.125</v>
      </c>
      <c r="E401" t="s">
        <v>525</v>
      </c>
      <c r="F401" t="s">
        <v>526</v>
      </c>
      <c r="G401">
        <f t="shared" si="22"/>
        <v>5</v>
      </c>
      <c r="H401" t="str">
        <f t="shared" si="21"/>
        <v>Vegetable</v>
      </c>
    </row>
    <row r="402" spans="1:8">
      <c r="A402" s="17">
        <v>43195</v>
      </c>
      <c r="B402" t="s">
        <v>371</v>
      </c>
      <c r="C402">
        <f t="shared" si="20"/>
        <v>23.33</v>
      </c>
      <c r="D402">
        <v>1.1000000000000001</v>
      </c>
      <c r="E402" t="s">
        <v>525</v>
      </c>
      <c r="F402" t="s">
        <v>526</v>
      </c>
      <c r="G402">
        <f t="shared" si="22"/>
        <v>25.663</v>
      </c>
      <c r="H402" t="str">
        <f t="shared" si="21"/>
        <v>Vegetable</v>
      </c>
    </row>
    <row r="403" spans="1:8">
      <c r="A403" s="17">
        <v>43195</v>
      </c>
      <c r="B403" t="s">
        <v>386</v>
      </c>
      <c r="C403">
        <f t="shared" ref="C403:C466" si="23">IF(B403="","",VLOOKUP(B403,$XEY$3:$XEZ$1158,2,FALSE))</f>
        <v>82</v>
      </c>
      <c r="D403">
        <v>1</v>
      </c>
      <c r="E403" t="s">
        <v>525</v>
      </c>
      <c r="F403" t="s">
        <v>526</v>
      </c>
      <c r="G403">
        <f t="shared" si="22"/>
        <v>82</v>
      </c>
      <c r="H403" t="str">
        <f t="shared" si="21"/>
        <v>Oil</v>
      </c>
    </row>
    <row r="404" spans="1:8">
      <c r="A404" s="17">
        <v>43195</v>
      </c>
      <c r="B404" t="s">
        <v>398</v>
      </c>
      <c r="C404">
        <f t="shared" si="23"/>
        <v>51</v>
      </c>
      <c r="D404">
        <v>0.1</v>
      </c>
      <c r="E404" t="s">
        <v>525</v>
      </c>
      <c r="F404" t="s">
        <v>526</v>
      </c>
      <c r="G404">
        <f t="shared" si="22"/>
        <v>5.1000000000000005</v>
      </c>
      <c r="H404" t="str">
        <f t="shared" si="21"/>
        <v>Dry Grocery</v>
      </c>
    </row>
    <row r="405" spans="1:8">
      <c r="A405" s="17">
        <v>43195</v>
      </c>
      <c r="B405" t="s">
        <v>475</v>
      </c>
      <c r="C405">
        <f t="shared" si="23"/>
        <v>148</v>
      </c>
      <c r="D405">
        <v>0.5</v>
      </c>
      <c r="E405" t="s">
        <v>525</v>
      </c>
      <c r="F405" t="s">
        <v>526</v>
      </c>
      <c r="G405">
        <f t="shared" si="22"/>
        <v>74</v>
      </c>
      <c r="H405" t="str">
        <f t="shared" si="21"/>
        <v>Dry Grocery</v>
      </c>
    </row>
    <row r="406" spans="1:8">
      <c r="A406" s="17">
        <v>43195</v>
      </c>
      <c r="B406" t="s">
        <v>449</v>
      </c>
      <c r="C406">
        <f t="shared" si="23"/>
        <v>20</v>
      </c>
      <c r="D406">
        <f>1.62+2.88</f>
        <v>4.5</v>
      </c>
      <c r="E406" t="s">
        <v>543</v>
      </c>
      <c r="F406" t="s">
        <v>527</v>
      </c>
      <c r="G406">
        <f t="shared" si="22"/>
        <v>90</v>
      </c>
      <c r="H406" t="str">
        <f t="shared" si="21"/>
        <v>Fruits</v>
      </c>
    </row>
    <row r="407" spans="1:8">
      <c r="A407" s="17">
        <v>43195</v>
      </c>
      <c r="B407" t="s">
        <v>512</v>
      </c>
      <c r="C407">
        <f t="shared" si="23"/>
        <v>170</v>
      </c>
      <c r="D407">
        <v>0.185</v>
      </c>
      <c r="E407" t="s">
        <v>528</v>
      </c>
      <c r="F407" t="s">
        <v>527</v>
      </c>
      <c r="G407">
        <f t="shared" si="22"/>
        <v>31.45</v>
      </c>
      <c r="H407" t="str">
        <f t="shared" si="21"/>
        <v>Dry Grocery</v>
      </c>
    </row>
    <row r="408" spans="1:8">
      <c r="A408" s="17">
        <v>43195</v>
      </c>
      <c r="B408" t="s">
        <v>384</v>
      </c>
      <c r="C408">
        <f t="shared" si="23"/>
        <v>3</v>
      </c>
      <c r="D408">
        <v>24</v>
      </c>
      <c r="E408" t="s">
        <v>543</v>
      </c>
      <c r="F408" t="s">
        <v>527</v>
      </c>
      <c r="G408">
        <f t="shared" si="22"/>
        <v>72</v>
      </c>
      <c r="H408" t="str">
        <f t="shared" si="21"/>
        <v>Vegetable</v>
      </c>
    </row>
    <row r="409" spans="1:8">
      <c r="A409" s="17">
        <v>43195</v>
      </c>
      <c r="B409" t="s">
        <v>446</v>
      </c>
      <c r="C409">
        <f t="shared" si="23"/>
        <v>50</v>
      </c>
      <c r="D409">
        <v>3</v>
      </c>
      <c r="E409" t="s">
        <v>543</v>
      </c>
      <c r="F409" t="s">
        <v>527</v>
      </c>
      <c r="G409">
        <f t="shared" si="22"/>
        <v>150</v>
      </c>
      <c r="H409" t="str">
        <f t="shared" si="21"/>
        <v>Fruits</v>
      </c>
    </row>
    <row r="410" spans="1:8">
      <c r="A410" s="17">
        <v>43195</v>
      </c>
      <c r="B410" t="s">
        <v>447</v>
      </c>
      <c r="C410">
        <f t="shared" si="23"/>
        <v>30</v>
      </c>
      <c r="D410">
        <v>0.88</v>
      </c>
      <c r="E410" t="s">
        <v>543</v>
      </c>
      <c r="F410" t="s">
        <v>527</v>
      </c>
      <c r="G410">
        <f t="shared" si="22"/>
        <v>26.4</v>
      </c>
      <c r="H410" t="str">
        <f t="shared" si="21"/>
        <v>Fruits</v>
      </c>
    </row>
    <row r="411" spans="1:8">
      <c r="A411" s="17">
        <v>43195</v>
      </c>
      <c r="B411" t="s">
        <v>427</v>
      </c>
      <c r="C411">
        <f t="shared" si="23"/>
        <v>28</v>
      </c>
      <c r="D411">
        <v>0.29499999999999998</v>
      </c>
      <c r="E411" t="s">
        <v>528</v>
      </c>
      <c r="F411" t="s">
        <v>527</v>
      </c>
      <c r="G411">
        <f t="shared" si="22"/>
        <v>8.26</v>
      </c>
      <c r="H411" t="str">
        <f t="shared" si="21"/>
        <v>Vegetable</v>
      </c>
    </row>
    <row r="412" spans="1:8">
      <c r="A412" s="17">
        <v>43195</v>
      </c>
      <c r="B412" t="s">
        <v>429</v>
      </c>
      <c r="C412">
        <f t="shared" si="23"/>
        <v>40</v>
      </c>
      <c r="D412">
        <v>0.02</v>
      </c>
      <c r="E412" t="s">
        <v>528</v>
      </c>
      <c r="F412" t="s">
        <v>527</v>
      </c>
      <c r="G412">
        <f t="shared" si="22"/>
        <v>0.8</v>
      </c>
      <c r="H412" t="str">
        <f t="shared" si="21"/>
        <v>Vegetable</v>
      </c>
    </row>
    <row r="413" spans="1:8">
      <c r="A413" s="17">
        <v>43195</v>
      </c>
      <c r="B413" t="s">
        <v>389</v>
      </c>
      <c r="C413">
        <f t="shared" si="23"/>
        <v>280</v>
      </c>
      <c r="D413">
        <v>0.13</v>
      </c>
      <c r="E413" t="s">
        <v>528</v>
      </c>
      <c r="F413" t="s">
        <v>527</v>
      </c>
      <c r="G413">
        <f t="shared" si="22"/>
        <v>36.4</v>
      </c>
      <c r="H413" t="str">
        <f t="shared" si="21"/>
        <v>Dry Grocery</v>
      </c>
    </row>
    <row r="414" spans="1:8">
      <c r="A414" s="17">
        <v>43195</v>
      </c>
      <c r="B414" t="s">
        <v>462</v>
      </c>
      <c r="C414">
        <f t="shared" si="23"/>
        <v>138</v>
      </c>
      <c r="D414">
        <v>2.5000000000000001E-2</v>
      </c>
      <c r="E414" t="s">
        <v>528</v>
      </c>
      <c r="F414" t="s">
        <v>527</v>
      </c>
      <c r="G414">
        <f t="shared" si="22"/>
        <v>3.45</v>
      </c>
      <c r="H414" t="str">
        <f t="shared" si="21"/>
        <v>Dry Grocery</v>
      </c>
    </row>
    <row r="415" spans="1:8">
      <c r="A415" s="17">
        <v>43195</v>
      </c>
      <c r="B415" t="s">
        <v>486</v>
      </c>
      <c r="C415">
        <f t="shared" si="23"/>
        <v>108</v>
      </c>
      <c r="D415">
        <v>0.12</v>
      </c>
      <c r="E415" t="s">
        <v>528</v>
      </c>
      <c r="F415" t="s">
        <v>527</v>
      </c>
      <c r="G415">
        <f t="shared" si="22"/>
        <v>12.959999999999999</v>
      </c>
      <c r="H415" t="str">
        <f t="shared" si="21"/>
        <v>Dry Grocery</v>
      </c>
    </row>
    <row r="416" spans="1:8">
      <c r="A416" s="17">
        <v>43195</v>
      </c>
      <c r="B416" t="s">
        <v>383</v>
      </c>
      <c r="C416">
        <f t="shared" si="23"/>
        <v>230</v>
      </c>
      <c r="D416">
        <v>0.01</v>
      </c>
      <c r="E416" t="s">
        <v>528</v>
      </c>
      <c r="F416" t="s">
        <v>527</v>
      </c>
      <c r="G416">
        <f t="shared" si="22"/>
        <v>2.3000000000000003</v>
      </c>
      <c r="H416" t="str">
        <f t="shared" si="21"/>
        <v>Dry Grocery</v>
      </c>
    </row>
    <row r="417" spans="1:8">
      <c r="A417" s="17">
        <v>43195</v>
      </c>
      <c r="B417" t="s">
        <v>381</v>
      </c>
      <c r="C417">
        <f t="shared" si="23"/>
        <v>7</v>
      </c>
      <c r="D417">
        <v>4.4999999999999998E-2</v>
      </c>
      <c r="E417" t="s">
        <v>528</v>
      </c>
      <c r="F417" t="s">
        <v>527</v>
      </c>
      <c r="G417">
        <f t="shared" si="22"/>
        <v>0.315</v>
      </c>
      <c r="H417" t="str">
        <f t="shared" si="21"/>
        <v>Dry Grocery</v>
      </c>
    </row>
    <row r="418" spans="1:8">
      <c r="A418" s="17">
        <v>43195</v>
      </c>
      <c r="B418" t="s">
        <v>461</v>
      </c>
      <c r="C418">
        <f t="shared" si="23"/>
        <v>1450</v>
      </c>
      <c r="D418">
        <v>5.0000000000000001E-3</v>
      </c>
      <c r="E418" t="s">
        <v>528</v>
      </c>
      <c r="F418" t="s">
        <v>527</v>
      </c>
      <c r="G418">
        <f t="shared" si="22"/>
        <v>7.25</v>
      </c>
      <c r="H418" t="str">
        <f t="shared" si="21"/>
        <v>Spice</v>
      </c>
    </row>
    <row r="419" spans="1:8">
      <c r="A419" s="17">
        <v>43195</v>
      </c>
      <c r="B419" t="s">
        <v>377</v>
      </c>
      <c r="C419">
        <f t="shared" si="23"/>
        <v>740</v>
      </c>
      <c r="D419">
        <v>5.0000000000000001E-3</v>
      </c>
      <c r="E419" t="s">
        <v>528</v>
      </c>
      <c r="F419" t="s">
        <v>527</v>
      </c>
      <c r="G419">
        <f t="shared" si="22"/>
        <v>3.7</v>
      </c>
      <c r="H419" t="str">
        <f t="shared" si="21"/>
        <v>Spice</v>
      </c>
    </row>
    <row r="420" spans="1:8">
      <c r="A420" s="17">
        <v>43195</v>
      </c>
      <c r="B420" t="s">
        <v>376</v>
      </c>
      <c r="C420">
        <f t="shared" si="23"/>
        <v>220</v>
      </c>
      <c r="D420">
        <v>5.0000000000000001E-3</v>
      </c>
      <c r="E420" t="s">
        <v>528</v>
      </c>
      <c r="F420" t="s">
        <v>527</v>
      </c>
      <c r="G420">
        <f t="shared" si="22"/>
        <v>1.1000000000000001</v>
      </c>
      <c r="H420" t="str">
        <f t="shared" si="21"/>
        <v>Spice</v>
      </c>
    </row>
    <row r="421" spans="1:8">
      <c r="A421" s="17">
        <v>43195</v>
      </c>
      <c r="B421" t="s">
        <v>432</v>
      </c>
      <c r="C421">
        <f t="shared" si="23"/>
        <v>14</v>
      </c>
      <c r="D421">
        <v>0.61</v>
      </c>
      <c r="E421" t="s">
        <v>528</v>
      </c>
      <c r="F421" t="s">
        <v>527</v>
      </c>
      <c r="G421">
        <f t="shared" si="22"/>
        <v>8.5399999999999991</v>
      </c>
      <c r="H421" t="str">
        <f t="shared" si="21"/>
        <v>Vegetable</v>
      </c>
    </row>
    <row r="422" spans="1:8">
      <c r="A422" s="17">
        <v>43195</v>
      </c>
      <c r="B422" t="s">
        <v>449</v>
      </c>
      <c r="C422">
        <f t="shared" si="23"/>
        <v>20</v>
      </c>
      <c r="D422">
        <v>5.5</v>
      </c>
      <c r="E422" t="s">
        <v>543</v>
      </c>
      <c r="F422" t="s">
        <v>527</v>
      </c>
      <c r="G422">
        <f t="shared" si="22"/>
        <v>110</v>
      </c>
      <c r="H422" t="str">
        <f t="shared" si="21"/>
        <v>Fruits</v>
      </c>
    </row>
    <row r="423" spans="1:8">
      <c r="A423" s="17">
        <v>43195</v>
      </c>
      <c r="B423" t="s">
        <v>384</v>
      </c>
      <c r="C423">
        <f t="shared" si="23"/>
        <v>3</v>
      </c>
      <c r="D423">
        <v>20</v>
      </c>
      <c r="E423" t="s">
        <v>543</v>
      </c>
      <c r="F423" t="s">
        <v>527</v>
      </c>
      <c r="G423">
        <f t="shared" si="22"/>
        <v>60</v>
      </c>
      <c r="H423" t="str">
        <f t="shared" si="21"/>
        <v>Vegetable</v>
      </c>
    </row>
    <row r="424" spans="1:8">
      <c r="A424" s="17">
        <v>43195</v>
      </c>
      <c r="B424" t="s">
        <v>511</v>
      </c>
      <c r="C424">
        <f t="shared" si="23"/>
        <v>52</v>
      </c>
      <c r="D424">
        <v>5.75</v>
      </c>
      <c r="E424" t="s">
        <v>336</v>
      </c>
      <c r="F424" t="s">
        <v>527</v>
      </c>
      <c r="G424">
        <f t="shared" si="22"/>
        <v>299</v>
      </c>
      <c r="H424" t="str">
        <f t="shared" si="21"/>
        <v>Dry Grocery</v>
      </c>
    </row>
    <row r="425" spans="1:8">
      <c r="A425" s="17">
        <v>43195</v>
      </c>
      <c r="B425" t="s">
        <v>437</v>
      </c>
      <c r="C425">
        <f t="shared" si="23"/>
        <v>34</v>
      </c>
      <c r="D425">
        <v>0.71</v>
      </c>
      <c r="E425" t="s">
        <v>336</v>
      </c>
      <c r="F425" t="s">
        <v>527</v>
      </c>
      <c r="G425">
        <f t="shared" si="22"/>
        <v>24.14</v>
      </c>
      <c r="H425" t="str">
        <f t="shared" si="21"/>
        <v>Dry Grocery</v>
      </c>
    </row>
    <row r="426" spans="1:8">
      <c r="A426" s="17">
        <v>43195</v>
      </c>
      <c r="B426" t="s">
        <v>405</v>
      </c>
      <c r="C426">
        <f t="shared" si="23"/>
        <v>110</v>
      </c>
      <c r="D426">
        <v>0.32</v>
      </c>
      <c r="E426" t="s">
        <v>336</v>
      </c>
      <c r="F426" t="s">
        <v>527</v>
      </c>
      <c r="G426">
        <f t="shared" si="22"/>
        <v>35.200000000000003</v>
      </c>
      <c r="H426" t="str">
        <f t="shared" si="21"/>
        <v>Vegetable</v>
      </c>
    </row>
    <row r="427" spans="1:8">
      <c r="A427" s="17">
        <v>43195</v>
      </c>
      <c r="B427" t="s">
        <v>382</v>
      </c>
      <c r="C427">
        <f t="shared" si="23"/>
        <v>42</v>
      </c>
      <c r="D427">
        <v>1.5</v>
      </c>
      <c r="E427" t="s">
        <v>336</v>
      </c>
      <c r="F427" t="s">
        <v>527</v>
      </c>
      <c r="G427">
        <f t="shared" si="22"/>
        <v>63</v>
      </c>
      <c r="H427" t="str">
        <f t="shared" si="21"/>
        <v>Dairy</v>
      </c>
    </row>
    <row r="428" spans="1:8">
      <c r="A428" s="17">
        <v>43195</v>
      </c>
      <c r="B428" t="s">
        <v>385</v>
      </c>
      <c r="C428">
        <f t="shared" si="23"/>
        <v>36</v>
      </c>
      <c r="D428">
        <v>1.5</v>
      </c>
      <c r="E428" t="s">
        <v>336</v>
      </c>
      <c r="F428" t="s">
        <v>527</v>
      </c>
      <c r="G428">
        <f t="shared" si="22"/>
        <v>54</v>
      </c>
      <c r="H428" t="str">
        <f t="shared" si="21"/>
        <v>Dairy</v>
      </c>
    </row>
    <row r="429" spans="1:8">
      <c r="A429" s="17">
        <v>43195</v>
      </c>
      <c r="B429" t="s">
        <v>404</v>
      </c>
      <c r="C429">
        <f t="shared" si="23"/>
        <v>28</v>
      </c>
      <c r="D429">
        <v>2</v>
      </c>
      <c r="E429" t="s">
        <v>336</v>
      </c>
      <c r="F429" t="s">
        <v>527</v>
      </c>
      <c r="G429">
        <f t="shared" si="22"/>
        <v>56</v>
      </c>
      <c r="H429" t="str">
        <f t="shared" si="21"/>
        <v>Vegetable</v>
      </c>
    </row>
    <row r="430" spans="1:8">
      <c r="A430" s="17">
        <v>43195</v>
      </c>
      <c r="B430" t="s">
        <v>436</v>
      </c>
      <c r="C430">
        <f t="shared" si="23"/>
        <v>37</v>
      </c>
      <c r="D430">
        <v>0.05</v>
      </c>
      <c r="E430" t="s">
        <v>336</v>
      </c>
      <c r="F430" t="s">
        <v>527</v>
      </c>
      <c r="G430">
        <f t="shared" si="22"/>
        <v>1.85</v>
      </c>
      <c r="H430" t="str">
        <f t="shared" si="21"/>
        <v>Dry Grocery</v>
      </c>
    </row>
    <row r="431" spans="1:8">
      <c r="A431" s="17">
        <v>43195</v>
      </c>
      <c r="B431" t="s">
        <v>375</v>
      </c>
      <c r="C431">
        <f t="shared" si="23"/>
        <v>280</v>
      </c>
      <c r="D431">
        <v>0.05</v>
      </c>
      <c r="E431" t="s">
        <v>336</v>
      </c>
      <c r="F431" t="s">
        <v>527</v>
      </c>
      <c r="G431">
        <f t="shared" si="22"/>
        <v>14</v>
      </c>
      <c r="H431" t="str">
        <f t="shared" si="21"/>
        <v>Dry Grocery</v>
      </c>
    </row>
    <row r="432" spans="1:8">
      <c r="A432" s="17">
        <v>43195</v>
      </c>
      <c r="B432" t="s">
        <v>379</v>
      </c>
      <c r="C432">
        <f t="shared" si="23"/>
        <v>120</v>
      </c>
      <c r="D432">
        <v>1.4999999999999999E-2</v>
      </c>
      <c r="E432" t="s">
        <v>336</v>
      </c>
      <c r="F432" t="s">
        <v>527</v>
      </c>
      <c r="G432">
        <f t="shared" si="22"/>
        <v>1.7999999999999998</v>
      </c>
      <c r="H432" t="str">
        <f t="shared" si="21"/>
        <v>Dry Grocery</v>
      </c>
    </row>
    <row r="433" spans="1:8">
      <c r="A433" s="17">
        <v>43195</v>
      </c>
      <c r="B433" t="s">
        <v>381</v>
      </c>
      <c r="C433">
        <f t="shared" si="23"/>
        <v>7</v>
      </c>
      <c r="D433">
        <v>0.38500000000000001</v>
      </c>
      <c r="E433" t="s">
        <v>336</v>
      </c>
      <c r="F433" t="s">
        <v>527</v>
      </c>
      <c r="G433">
        <f t="shared" si="22"/>
        <v>2.6950000000000003</v>
      </c>
      <c r="H433" t="str">
        <f t="shared" si="21"/>
        <v>Dry Grocery</v>
      </c>
    </row>
    <row r="434" spans="1:8">
      <c r="A434" s="17">
        <v>43195</v>
      </c>
      <c r="B434" t="s">
        <v>387</v>
      </c>
      <c r="C434">
        <f t="shared" si="23"/>
        <v>187.41</v>
      </c>
      <c r="D434">
        <v>1.4999999999999999E-2</v>
      </c>
      <c r="E434" t="s">
        <v>336</v>
      </c>
      <c r="F434" t="s">
        <v>527</v>
      </c>
      <c r="G434">
        <f t="shared" si="22"/>
        <v>2.81115</v>
      </c>
      <c r="H434" t="str">
        <f t="shared" si="21"/>
        <v>Dry Grocery</v>
      </c>
    </row>
    <row r="435" spans="1:8">
      <c r="A435" s="17">
        <v>43195</v>
      </c>
      <c r="B435" t="s">
        <v>485</v>
      </c>
      <c r="C435">
        <f t="shared" si="23"/>
        <v>96</v>
      </c>
      <c r="D435">
        <v>0.16500000000000001</v>
      </c>
      <c r="E435" t="s">
        <v>336</v>
      </c>
      <c r="F435" t="s">
        <v>527</v>
      </c>
      <c r="G435">
        <f t="shared" si="22"/>
        <v>15.84</v>
      </c>
      <c r="H435" t="str">
        <f t="shared" si="21"/>
        <v>Oil</v>
      </c>
    </row>
    <row r="436" spans="1:8">
      <c r="A436" s="17">
        <v>43195</v>
      </c>
      <c r="B436" t="s">
        <v>386</v>
      </c>
      <c r="C436">
        <f t="shared" si="23"/>
        <v>82</v>
      </c>
      <c r="D436">
        <v>1</v>
      </c>
      <c r="E436" t="s">
        <v>336</v>
      </c>
      <c r="F436" t="s">
        <v>527</v>
      </c>
      <c r="G436">
        <f t="shared" si="22"/>
        <v>82</v>
      </c>
      <c r="H436" t="str">
        <f t="shared" si="21"/>
        <v>Oil</v>
      </c>
    </row>
    <row r="437" spans="1:8">
      <c r="A437" s="17">
        <v>43195</v>
      </c>
      <c r="B437" t="s">
        <v>367</v>
      </c>
      <c r="C437">
        <f t="shared" si="23"/>
        <v>55</v>
      </c>
      <c r="D437">
        <v>0.04</v>
      </c>
      <c r="E437" t="s">
        <v>336</v>
      </c>
      <c r="F437" t="s">
        <v>527</v>
      </c>
      <c r="G437">
        <f t="shared" si="22"/>
        <v>2.2000000000000002</v>
      </c>
      <c r="H437" t="str">
        <f t="shared" si="21"/>
        <v>Dry Grocery</v>
      </c>
    </row>
    <row r="438" spans="1:8">
      <c r="A438" s="17">
        <v>43195</v>
      </c>
      <c r="B438" t="s">
        <v>461</v>
      </c>
      <c r="C438">
        <f t="shared" si="23"/>
        <v>1450</v>
      </c>
      <c r="D438">
        <v>5.0000000000000001E-3</v>
      </c>
      <c r="E438" t="s">
        <v>336</v>
      </c>
      <c r="F438" t="s">
        <v>527</v>
      </c>
      <c r="G438">
        <f t="shared" si="22"/>
        <v>7.25</v>
      </c>
      <c r="H438" t="str">
        <f t="shared" si="21"/>
        <v>Spice</v>
      </c>
    </row>
    <row r="439" spans="1:8">
      <c r="A439" s="17">
        <v>43195</v>
      </c>
      <c r="B439" t="s">
        <v>432</v>
      </c>
      <c r="C439">
        <f t="shared" si="23"/>
        <v>14</v>
      </c>
      <c r="D439">
        <v>1.57</v>
      </c>
      <c r="E439" t="s">
        <v>336</v>
      </c>
      <c r="F439" t="s">
        <v>527</v>
      </c>
      <c r="G439">
        <f t="shared" si="22"/>
        <v>21.98</v>
      </c>
      <c r="H439" t="str">
        <f t="shared" si="21"/>
        <v>Vegetable</v>
      </c>
    </row>
    <row r="440" spans="1:8">
      <c r="A440" s="17">
        <v>43195</v>
      </c>
      <c r="B440" t="s">
        <v>427</v>
      </c>
      <c r="C440">
        <f t="shared" si="23"/>
        <v>28</v>
      </c>
      <c r="D440">
        <v>0.13500000000000001</v>
      </c>
      <c r="E440" t="s">
        <v>336</v>
      </c>
      <c r="F440" t="s">
        <v>527</v>
      </c>
      <c r="G440">
        <f t="shared" si="22"/>
        <v>3.7800000000000002</v>
      </c>
      <c r="H440" t="str">
        <f t="shared" si="21"/>
        <v>Vegetable</v>
      </c>
    </row>
    <row r="441" spans="1:8">
      <c r="A441" s="17">
        <v>43195</v>
      </c>
      <c r="B441" t="s">
        <v>430</v>
      </c>
      <c r="C441">
        <f t="shared" si="23"/>
        <v>30</v>
      </c>
      <c r="D441">
        <v>0.13</v>
      </c>
      <c r="E441" t="s">
        <v>336</v>
      </c>
      <c r="F441" t="s">
        <v>527</v>
      </c>
      <c r="G441">
        <f t="shared" si="22"/>
        <v>3.9000000000000004</v>
      </c>
      <c r="H441" t="str">
        <f t="shared" si="21"/>
        <v>Vegetable</v>
      </c>
    </row>
    <row r="442" spans="1:8">
      <c r="A442" s="17">
        <v>43195</v>
      </c>
      <c r="B442" t="s">
        <v>462</v>
      </c>
      <c r="C442">
        <f t="shared" si="23"/>
        <v>138</v>
      </c>
      <c r="D442">
        <v>0.02</v>
      </c>
      <c r="E442" t="s">
        <v>336</v>
      </c>
      <c r="F442" t="s">
        <v>527</v>
      </c>
      <c r="G442">
        <f t="shared" si="22"/>
        <v>2.7600000000000002</v>
      </c>
      <c r="H442" t="str">
        <f t="shared" si="21"/>
        <v>Dry Grocery</v>
      </c>
    </row>
    <row r="443" spans="1:8">
      <c r="A443" s="17">
        <v>43195</v>
      </c>
      <c r="B443" t="s">
        <v>471</v>
      </c>
      <c r="C443">
        <f t="shared" si="23"/>
        <v>160</v>
      </c>
      <c r="D443">
        <v>0.105</v>
      </c>
      <c r="E443" t="s">
        <v>336</v>
      </c>
      <c r="F443" t="s">
        <v>527</v>
      </c>
      <c r="G443">
        <f t="shared" si="22"/>
        <v>16.8</v>
      </c>
      <c r="H443" t="str">
        <f t="shared" si="21"/>
        <v>Dry Grocery</v>
      </c>
    </row>
    <row r="444" spans="1:8">
      <c r="A444" s="17">
        <v>43195</v>
      </c>
      <c r="B444" t="s">
        <v>510</v>
      </c>
      <c r="C444">
        <f t="shared" si="23"/>
        <v>62.03</v>
      </c>
      <c r="D444">
        <v>0.115</v>
      </c>
      <c r="E444" t="s">
        <v>336</v>
      </c>
      <c r="F444" t="s">
        <v>527</v>
      </c>
      <c r="G444">
        <f t="shared" si="22"/>
        <v>7.1334500000000007</v>
      </c>
      <c r="H444" t="str">
        <f t="shared" si="21"/>
        <v>Dry Grocery</v>
      </c>
    </row>
    <row r="445" spans="1:8">
      <c r="A445" s="17">
        <v>43195</v>
      </c>
      <c r="B445" t="s">
        <v>392</v>
      </c>
      <c r="C445">
        <f t="shared" si="23"/>
        <v>840</v>
      </c>
      <c r="D445">
        <v>1.2E-2</v>
      </c>
      <c r="E445" t="s">
        <v>336</v>
      </c>
      <c r="F445" t="s">
        <v>527</v>
      </c>
      <c r="G445">
        <f t="shared" si="22"/>
        <v>10.08</v>
      </c>
      <c r="H445" t="str">
        <f t="shared" si="21"/>
        <v>Dry Grocery</v>
      </c>
    </row>
    <row r="446" spans="1:8">
      <c r="A446" s="17">
        <v>43195</v>
      </c>
      <c r="B446" t="s">
        <v>506</v>
      </c>
      <c r="C446">
        <f t="shared" si="23"/>
        <v>240</v>
      </c>
      <c r="D446">
        <v>1.2999999999999999E-2</v>
      </c>
      <c r="E446" t="s">
        <v>336</v>
      </c>
      <c r="F446" t="s">
        <v>527</v>
      </c>
      <c r="G446">
        <f t="shared" si="22"/>
        <v>3.1199999999999997</v>
      </c>
      <c r="H446" t="str">
        <f t="shared" si="21"/>
        <v>Dry Grocery</v>
      </c>
    </row>
    <row r="447" spans="1:8">
      <c r="A447" s="17">
        <v>43195</v>
      </c>
      <c r="B447" t="s">
        <v>409</v>
      </c>
      <c r="C447">
        <f t="shared" si="23"/>
        <v>64.069999999999993</v>
      </c>
      <c r="D447">
        <v>0.3</v>
      </c>
      <c r="E447" t="s">
        <v>336</v>
      </c>
      <c r="F447" t="s">
        <v>527</v>
      </c>
      <c r="G447">
        <f t="shared" si="22"/>
        <v>19.220999999999997</v>
      </c>
      <c r="H447" t="str">
        <f t="shared" si="21"/>
        <v>Dry Grocery</v>
      </c>
    </row>
    <row r="448" spans="1:8">
      <c r="A448" s="17">
        <v>43195</v>
      </c>
      <c r="B448" t="s">
        <v>476</v>
      </c>
      <c r="C448">
        <f t="shared" si="23"/>
        <v>14.75</v>
      </c>
      <c r="D448">
        <v>0.88</v>
      </c>
      <c r="E448" t="s">
        <v>336</v>
      </c>
      <c r="F448" t="s">
        <v>527</v>
      </c>
      <c r="G448">
        <f t="shared" si="22"/>
        <v>12.98</v>
      </c>
      <c r="H448" t="str">
        <f t="shared" si="21"/>
        <v>Vegetable</v>
      </c>
    </row>
    <row r="449" spans="1:8">
      <c r="A449" s="17">
        <v>43195</v>
      </c>
      <c r="B449" t="s">
        <v>426</v>
      </c>
      <c r="C449">
        <f t="shared" si="23"/>
        <v>57.5</v>
      </c>
      <c r="D449">
        <v>0.02</v>
      </c>
      <c r="E449" t="s">
        <v>336</v>
      </c>
      <c r="F449" t="s">
        <v>527</v>
      </c>
      <c r="G449">
        <f t="shared" si="22"/>
        <v>1.1500000000000001</v>
      </c>
      <c r="H449" t="str">
        <f t="shared" si="21"/>
        <v>Dry Grocery</v>
      </c>
    </row>
    <row r="450" spans="1:8">
      <c r="A450" s="17">
        <v>43195</v>
      </c>
      <c r="B450" t="s">
        <v>509</v>
      </c>
      <c r="C450">
        <f t="shared" si="23"/>
        <v>500</v>
      </c>
      <c r="D450">
        <v>7.0000000000000007E-2</v>
      </c>
      <c r="E450" t="s">
        <v>336</v>
      </c>
      <c r="F450" t="s">
        <v>527</v>
      </c>
      <c r="G450">
        <f t="shared" si="22"/>
        <v>35</v>
      </c>
      <c r="H450" t="str">
        <f t="shared" si="21"/>
        <v>Dry Grocery</v>
      </c>
    </row>
    <row r="451" spans="1:8">
      <c r="A451" s="17">
        <v>43195</v>
      </c>
      <c r="B451" t="s">
        <v>378</v>
      </c>
      <c r="C451">
        <f t="shared" si="23"/>
        <v>25</v>
      </c>
      <c r="D451">
        <v>0.1</v>
      </c>
      <c r="E451" t="s">
        <v>336</v>
      </c>
      <c r="F451" t="s">
        <v>527</v>
      </c>
      <c r="G451">
        <f t="shared" si="22"/>
        <v>2.5</v>
      </c>
      <c r="H451" t="str">
        <f t="shared" ref="H451:H514" si="24">IF(B451="","",VLOOKUP(B451,$XEY$3:$XFA$1200,3,FALSE))</f>
        <v>Vegetable</v>
      </c>
    </row>
    <row r="452" spans="1:8">
      <c r="A452" s="17">
        <v>43195</v>
      </c>
      <c r="B452" t="s">
        <v>479</v>
      </c>
      <c r="C452">
        <f t="shared" si="23"/>
        <v>312.14</v>
      </c>
      <c r="D452">
        <v>0.04</v>
      </c>
      <c r="E452" t="s">
        <v>336</v>
      </c>
      <c r="F452" t="s">
        <v>527</v>
      </c>
      <c r="G452">
        <f t="shared" si="22"/>
        <v>12.4856</v>
      </c>
      <c r="H452" t="str">
        <f t="shared" si="24"/>
        <v>Vegetable</v>
      </c>
    </row>
    <row r="453" spans="1:8">
      <c r="A453" s="17">
        <v>43195</v>
      </c>
      <c r="B453" t="s">
        <v>429</v>
      </c>
      <c r="C453">
        <f t="shared" si="23"/>
        <v>40</v>
      </c>
      <c r="D453">
        <v>0.04</v>
      </c>
      <c r="E453" t="s">
        <v>336</v>
      </c>
      <c r="F453" t="s">
        <v>527</v>
      </c>
      <c r="G453">
        <f t="shared" si="22"/>
        <v>1.6</v>
      </c>
      <c r="H453" t="str">
        <f t="shared" si="24"/>
        <v>Vegetable</v>
      </c>
    </row>
    <row r="454" spans="1:8">
      <c r="A454" s="17">
        <v>43195</v>
      </c>
      <c r="B454" t="s">
        <v>512</v>
      </c>
      <c r="C454">
        <f t="shared" si="23"/>
        <v>170</v>
      </c>
      <c r="D454">
        <v>0.05</v>
      </c>
      <c r="E454" t="s">
        <v>336</v>
      </c>
      <c r="F454" t="s">
        <v>527</v>
      </c>
      <c r="G454">
        <f t="shared" ref="G454:G517" si="25">IF(C454="","",C454*D454)</f>
        <v>8.5</v>
      </c>
      <c r="H454" t="str">
        <f t="shared" si="24"/>
        <v>Dry Grocery</v>
      </c>
    </row>
    <row r="455" spans="1:8">
      <c r="A455" s="17">
        <v>43195</v>
      </c>
      <c r="B455" t="s">
        <v>437</v>
      </c>
      <c r="C455">
        <f t="shared" si="23"/>
        <v>34</v>
      </c>
      <c r="D455">
        <v>0.7</v>
      </c>
      <c r="E455" t="s">
        <v>336</v>
      </c>
      <c r="F455" t="s">
        <v>527</v>
      </c>
      <c r="G455">
        <f t="shared" si="25"/>
        <v>23.799999999999997</v>
      </c>
      <c r="H455" t="str">
        <f t="shared" si="24"/>
        <v>Dry Grocery</v>
      </c>
    </row>
    <row r="456" spans="1:8">
      <c r="A456" s="17">
        <v>43195</v>
      </c>
      <c r="B456" t="s">
        <v>519</v>
      </c>
      <c r="C456">
        <f t="shared" si="23"/>
        <v>35</v>
      </c>
      <c r="D456">
        <v>1</v>
      </c>
      <c r="E456" t="s">
        <v>336</v>
      </c>
      <c r="F456" t="s">
        <v>527</v>
      </c>
      <c r="G456">
        <f t="shared" si="25"/>
        <v>35</v>
      </c>
      <c r="H456" t="str">
        <f t="shared" si="24"/>
        <v>Vegetable</v>
      </c>
    </row>
    <row r="457" spans="1:8">
      <c r="A457" s="17">
        <v>43195</v>
      </c>
      <c r="B457" t="s">
        <v>454</v>
      </c>
      <c r="C457">
        <f t="shared" si="23"/>
        <v>43.06</v>
      </c>
      <c r="D457">
        <v>0.9</v>
      </c>
      <c r="E457" t="s">
        <v>336</v>
      </c>
      <c r="F457" t="s">
        <v>527</v>
      </c>
      <c r="G457">
        <f t="shared" si="25"/>
        <v>38.754000000000005</v>
      </c>
      <c r="H457" t="str">
        <f t="shared" si="24"/>
        <v>Vegetable</v>
      </c>
    </row>
    <row r="458" spans="1:8">
      <c r="A458" s="17">
        <v>43195</v>
      </c>
      <c r="B458" t="s">
        <v>391</v>
      </c>
      <c r="C458">
        <f t="shared" si="23"/>
        <v>27.97</v>
      </c>
      <c r="D458">
        <v>0.435</v>
      </c>
      <c r="E458" t="s">
        <v>336</v>
      </c>
      <c r="F458" t="s">
        <v>527</v>
      </c>
      <c r="G458">
        <f t="shared" si="25"/>
        <v>12.16695</v>
      </c>
      <c r="H458" t="str">
        <f t="shared" si="24"/>
        <v>Vegetable</v>
      </c>
    </row>
    <row r="459" spans="1:8">
      <c r="A459" s="17">
        <v>43195</v>
      </c>
      <c r="B459" t="s">
        <v>371</v>
      </c>
      <c r="C459">
        <f t="shared" si="23"/>
        <v>23.33</v>
      </c>
      <c r="D459">
        <v>9.5000000000000001E-2</v>
      </c>
      <c r="E459" t="s">
        <v>336</v>
      </c>
      <c r="F459" t="s">
        <v>527</v>
      </c>
      <c r="G459">
        <f t="shared" si="25"/>
        <v>2.2163499999999998</v>
      </c>
      <c r="H459" t="str">
        <f t="shared" si="24"/>
        <v>Vegetable</v>
      </c>
    </row>
    <row r="460" spans="1:8">
      <c r="A460" s="17">
        <v>43195</v>
      </c>
      <c r="B460" t="s">
        <v>486</v>
      </c>
      <c r="C460">
        <f t="shared" si="23"/>
        <v>108</v>
      </c>
      <c r="D460">
        <v>0.105</v>
      </c>
      <c r="E460" t="s">
        <v>336</v>
      </c>
      <c r="F460" t="s">
        <v>527</v>
      </c>
      <c r="G460">
        <f t="shared" si="25"/>
        <v>11.34</v>
      </c>
      <c r="H460" t="str">
        <f t="shared" si="24"/>
        <v>Dry Grocery</v>
      </c>
    </row>
    <row r="461" spans="1:8">
      <c r="A461" s="17">
        <v>43195</v>
      </c>
      <c r="B461" t="s">
        <v>499</v>
      </c>
      <c r="C461">
        <f t="shared" si="23"/>
        <v>60</v>
      </c>
      <c r="D461">
        <v>0.05</v>
      </c>
      <c r="E461" t="s">
        <v>336</v>
      </c>
      <c r="F461" t="s">
        <v>527</v>
      </c>
      <c r="G461">
        <f t="shared" si="25"/>
        <v>3</v>
      </c>
      <c r="H461" t="str">
        <f t="shared" si="24"/>
        <v>Dry Grocery</v>
      </c>
    </row>
    <row r="462" spans="1:8">
      <c r="A462" s="17">
        <v>43195</v>
      </c>
      <c r="B462" t="s">
        <v>383</v>
      </c>
      <c r="C462">
        <f t="shared" si="23"/>
        <v>230</v>
      </c>
      <c r="D462">
        <v>0.08</v>
      </c>
      <c r="E462" t="s">
        <v>336</v>
      </c>
      <c r="F462" t="s">
        <v>527</v>
      </c>
      <c r="G462">
        <f t="shared" si="25"/>
        <v>18.400000000000002</v>
      </c>
      <c r="H462" t="str">
        <f t="shared" si="24"/>
        <v>Dry Grocery</v>
      </c>
    </row>
    <row r="463" spans="1:8">
      <c r="A463" s="17">
        <v>43195</v>
      </c>
      <c r="B463" t="s">
        <v>431</v>
      </c>
      <c r="C463">
        <f t="shared" si="23"/>
        <v>70</v>
      </c>
      <c r="D463">
        <v>0.04</v>
      </c>
      <c r="E463" t="s">
        <v>336</v>
      </c>
      <c r="F463" t="s">
        <v>527</v>
      </c>
      <c r="G463">
        <f t="shared" si="25"/>
        <v>2.8000000000000003</v>
      </c>
      <c r="H463" t="str">
        <f t="shared" si="24"/>
        <v>Dry Grocery</v>
      </c>
    </row>
    <row r="464" spans="1:8">
      <c r="A464" s="17">
        <v>43195</v>
      </c>
      <c r="B464" t="s">
        <v>384</v>
      </c>
      <c r="C464">
        <f t="shared" si="23"/>
        <v>3</v>
      </c>
      <c r="D464">
        <v>15</v>
      </c>
      <c r="E464" t="s">
        <v>555</v>
      </c>
      <c r="F464" t="s">
        <v>556</v>
      </c>
      <c r="G464">
        <f t="shared" si="25"/>
        <v>45</v>
      </c>
      <c r="H464" t="str">
        <f t="shared" si="24"/>
        <v>Vegetable</v>
      </c>
    </row>
    <row r="465" spans="1:8">
      <c r="A465" s="17">
        <v>43195</v>
      </c>
      <c r="B465" t="s">
        <v>432</v>
      </c>
      <c r="C465">
        <f t="shared" si="23"/>
        <v>14</v>
      </c>
      <c r="D465">
        <v>0.8</v>
      </c>
      <c r="E465" t="s">
        <v>555</v>
      </c>
      <c r="F465" t="s">
        <v>556</v>
      </c>
      <c r="G465">
        <f t="shared" si="25"/>
        <v>11.200000000000001</v>
      </c>
      <c r="H465" t="str">
        <f t="shared" si="24"/>
        <v>Vegetable</v>
      </c>
    </row>
    <row r="466" spans="1:8">
      <c r="A466" s="17">
        <v>43196</v>
      </c>
      <c r="B466" t="s">
        <v>428</v>
      </c>
      <c r="C466">
        <f t="shared" si="23"/>
        <v>78.95</v>
      </c>
      <c r="D466">
        <v>19</v>
      </c>
      <c r="E466" t="s">
        <v>531</v>
      </c>
      <c r="F466" t="s">
        <v>530</v>
      </c>
      <c r="G466">
        <f t="shared" si="25"/>
        <v>1500.05</v>
      </c>
      <c r="H466" t="str">
        <f t="shared" si="24"/>
        <v>Gas</v>
      </c>
    </row>
    <row r="467" spans="1:8">
      <c r="A467" s="17">
        <v>43196</v>
      </c>
      <c r="B467" t="s">
        <v>432</v>
      </c>
      <c r="C467">
        <f t="shared" ref="C467:C530" si="26">IF(B467="","",VLOOKUP(B467,$XEY$3:$XEZ$1158,2,FALSE))</f>
        <v>14</v>
      </c>
      <c r="D467">
        <v>8</v>
      </c>
      <c r="E467" t="s">
        <v>525</v>
      </c>
      <c r="F467" t="s">
        <v>526</v>
      </c>
      <c r="G467">
        <f t="shared" si="25"/>
        <v>112</v>
      </c>
      <c r="H467" t="str">
        <f t="shared" si="24"/>
        <v>Vegetable</v>
      </c>
    </row>
    <row r="468" spans="1:8">
      <c r="A468" s="17">
        <v>43196</v>
      </c>
      <c r="B468" t="s">
        <v>393</v>
      </c>
      <c r="C468">
        <f t="shared" si="26"/>
        <v>26</v>
      </c>
      <c r="D468">
        <v>13.4</v>
      </c>
      <c r="E468" t="s">
        <v>525</v>
      </c>
      <c r="F468" t="s">
        <v>526</v>
      </c>
      <c r="G468">
        <f t="shared" si="25"/>
        <v>348.40000000000003</v>
      </c>
      <c r="H468" t="str">
        <f t="shared" si="24"/>
        <v>Heating</v>
      </c>
    </row>
    <row r="469" spans="1:8">
      <c r="A469" s="17">
        <v>43196</v>
      </c>
      <c r="B469" t="s">
        <v>390</v>
      </c>
      <c r="C469">
        <f t="shared" si="26"/>
        <v>30</v>
      </c>
      <c r="D469">
        <v>1.25</v>
      </c>
      <c r="E469" t="s">
        <v>525</v>
      </c>
      <c r="F469" t="s">
        <v>526</v>
      </c>
      <c r="G469">
        <f t="shared" si="25"/>
        <v>37.5</v>
      </c>
      <c r="H469" t="str">
        <f t="shared" si="24"/>
        <v>Vegetable</v>
      </c>
    </row>
    <row r="470" spans="1:8">
      <c r="A470" s="17">
        <v>43196</v>
      </c>
      <c r="B470" t="s">
        <v>491</v>
      </c>
      <c r="C470">
        <f t="shared" si="26"/>
        <v>38</v>
      </c>
      <c r="D470">
        <v>1.85</v>
      </c>
      <c r="E470" t="s">
        <v>525</v>
      </c>
      <c r="F470" t="s">
        <v>526</v>
      </c>
      <c r="G470">
        <f t="shared" si="25"/>
        <v>70.3</v>
      </c>
      <c r="H470" t="str">
        <f t="shared" si="24"/>
        <v>Vegetable</v>
      </c>
    </row>
    <row r="471" spans="1:8">
      <c r="A471" s="17">
        <v>43196</v>
      </c>
      <c r="B471" t="s">
        <v>476</v>
      </c>
      <c r="C471">
        <f t="shared" si="26"/>
        <v>14.75</v>
      </c>
      <c r="D471">
        <v>2.5</v>
      </c>
      <c r="E471" t="s">
        <v>525</v>
      </c>
      <c r="F471" t="s">
        <v>526</v>
      </c>
      <c r="G471">
        <f t="shared" si="25"/>
        <v>36.875</v>
      </c>
      <c r="H471" t="str">
        <f t="shared" si="24"/>
        <v>Vegetable</v>
      </c>
    </row>
    <row r="472" spans="1:8">
      <c r="A472" s="17">
        <v>43196</v>
      </c>
      <c r="B472" t="s">
        <v>435</v>
      </c>
      <c r="C472">
        <f t="shared" si="26"/>
        <v>17</v>
      </c>
      <c r="D472">
        <v>1</v>
      </c>
      <c r="E472" t="s">
        <v>525</v>
      </c>
      <c r="F472" t="s">
        <v>526</v>
      </c>
      <c r="G472">
        <f t="shared" si="25"/>
        <v>17</v>
      </c>
      <c r="H472" t="str">
        <f t="shared" si="24"/>
        <v>Dry Grocery</v>
      </c>
    </row>
    <row r="473" spans="1:8">
      <c r="A473" s="17">
        <v>43196</v>
      </c>
      <c r="B473" t="s">
        <v>430</v>
      </c>
      <c r="C473">
        <f t="shared" si="26"/>
        <v>30</v>
      </c>
      <c r="D473">
        <v>0.6</v>
      </c>
      <c r="E473" t="s">
        <v>525</v>
      </c>
      <c r="F473" t="s">
        <v>526</v>
      </c>
      <c r="G473">
        <f t="shared" si="25"/>
        <v>18</v>
      </c>
      <c r="H473" t="str">
        <f t="shared" si="24"/>
        <v>Vegetable</v>
      </c>
    </row>
    <row r="474" spans="1:8">
      <c r="A474" s="17">
        <v>43196</v>
      </c>
      <c r="B474" t="s">
        <v>473</v>
      </c>
      <c r="C474">
        <f t="shared" si="26"/>
        <v>175</v>
      </c>
      <c r="D474">
        <v>1</v>
      </c>
      <c r="E474" t="s">
        <v>525</v>
      </c>
      <c r="F474" t="s">
        <v>526</v>
      </c>
      <c r="G474">
        <f t="shared" si="25"/>
        <v>175</v>
      </c>
      <c r="H474" t="str">
        <f t="shared" si="24"/>
        <v>Dairy</v>
      </c>
    </row>
    <row r="475" spans="1:8">
      <c r="A475" s="17">
        <v>43196</v>
      </c>
      <c r="B475" t="s">
        <v>378</v>
      </c>
      <c r="C475">
        <f t="shared" si="26"/>
        <v>25</v>
      </c>
      <c r="D475">
        <f>0.26+0.45</f>
        <v>0.71</v>
      </c>
      <c r="E475" t="s">
        <v>525</v>
      </c>
      <c r="F475" t="s">
        <v>526</v>
      </c>
      <c r="G475">
        <f t="shared" si="25"/>
        <v>17.75</v>
      </c>
      <c r="H475" t="str">
        <f t="shared" si="24"/>
        <v>Vegetable</v>
      </c>
    </row>
    <row r="476" spans="1:8">
      <c r="A476" s="17">
        <v>43196</v>
      </c>
      <c r="B476" t="s">
        <v>457</v>
      </c>
      <c r="C476">
        <f t="shared" si="26"/>
        <v>64</v>
      </c>
      <c r="D476">
        <v>2.5</v>
      </c>
      <c r="E476" t="s">
        <v>525</v>
      </c>
      <c r="F476" t="s">
        <v>526</v>
      </c>
      <c r="G476">
        <f t="shared" si="25"/>
        <v>160</v>
      </c>
      <c r="H476" t="str">
        <f t="shared" si="24"/>
        <v>Dry Grocery</v>
      </c>
    </row>
    <row r="477" spans="1:8">
      <c r="A477" s="17">
        <v>43196</v>
      </c>
      <c r="B477" t="s">
        <v>479</v>
      </c>
      <c r="C477">
        <f t="shared" si="26"/>
        <v>312.14</v>
      </c>
      <c r="D477">
        <v>0.04</v>
      </c>
      <c r="E477" t="s">
        <v>525</v>
      </c>
      <c r="F477" t="s">
        <v>526</v>
      </c>
      <c r="G477">
        <f t="shared" si="25"/>
        <v>12.4856</v>
      </c>
      <c r="H477" t="str">
        <f t="shared" si="24"/>
        <v>Vegetable</v>
      </c>
    </row>
    <row r="478" spans="1:8">
      <c r="A478" s="17">
        <v>43196</v>
      </c>
      <c r="B478" t="s">
        <v>463</v>
      </c>
      <c r="C478">
        <f t="shared" si="26"/>
        <v>29.51</v>
      </c>
      <c r="D478">
        <v>0.5</v>
      </c>
      <c r="E478" t="s">
        <v>525</v>
      </c>
      <c r="F478" t="s">
        <v>526</v>
      </c>
      <c r="G478">
        <f t="shared" si="25"/>
        <v>14.755000000000001</v>
      </c>
      <c r="H478" t="str">
        <f t="shared" si="24"/>
        <v>Dry Grocery</v>
      </c>
    </row>
    <row r="479" spans="1:8">
      <c r="A479" s="17">
        <v>43196</v>
      </c>
      <c r="B479" t="s">
        <v>394</v>
      </c>
      <c r="C479">
        <f t="shared" si="26"/>
        <v>45</v>
      </c>
      <c r="D479">
        <v>1</v>
      </c>
      <c r="E479" t="s">
        <v>525</v>
      </c>
      <c r="F479" t="s">
        <v>526</v>
      </c>
      <c r="G479">
        <f t="shared" si="25"/>
        <v>45</v>
      </c>
      <c r="H479" t="str">
        <f t="shared" si="24"/>
        <v>Dry Grocery</v>
      </c>
    </row>
    <row r="480" spans="1:8">
      <c r="A480" s="17">
        <v>43196</v>
      </c>
      <c r="B480" t="s">
        <v>474</v>
      </c>
      <c r="C480">
        <f t="shared" si="26"/>
        <v>27</v>
      </c>
      <c r="D480">
        <v>3</v>
      </c>
      <c r="E480" t="s">
        <v>525</v>
      </c>
      <c r="F480" t="s">
        <v>526</v>
      </c>
      <c r="G480">
        <f t="shared" si="25"/>
        <v>81</v>
      </c>
      <c r="H480" t="str">
        <f t="shared" si="24"/>
        <v>Dry Grocery</v>
      </c>
    </row>
    <row r="481" spans="1:8">
      <c r="A481" s="17">
        <v>43196</v>
      </c>
      <c r="B481" t="s">
        <v>386</v>
      </c>
      <c r="C481">
        <f t="shared" si="26"/>
        <v>82</v>
      </c>
      <c r="D481">
        <v>2</v>
      </c>
      <c r="E481" t="s">
        <v>525</v>
      </c>
      <c r="F481" t="s">
        <v>526</v>
      </c>
      <c r="G481">
        <f t="shared" si="25"/>
        <v>164</v>
      </c>
      <c r="H481" t="str">
        <f t="shared" si="24"/>
        <v>Oil</v>
      </c>
    </row>
    <row r="482" spans="1:8">
      <c r="A482" s="17">
        <v>43196</v>
      </c>
      <c r="B482" t="s">
        <v>395</v>
      </c>
      <c r="C482">
        <f t="shared" si="26"/>
        <v>450</v>
      </c>
      <c r="D482">
        <v>0.05</v>
      </c>
      <c r="E482" t="s">
        <v>525</v>
      </c>
      <c r="F482" t="s">
        <v>526</v>
      </c>
      <c r="G482">
        <f t="shared" si="25"/>
        <v>22.5</v>
      </c>
      <c r="H482" t="str">
        <f t="shared" si="24"/>
        <v>Dry Grocery</v>
      </c>
    </row>
    <row r="483" spans="1:8">
      <c r="A483" s="17">
        <v>43196</v>
      </c>
      <c r="B483" t="s">
        <v>458</v>
      </c>
      <c r="C483">
        <f t="shared" si="26"/>
        <v>140</v>
      </c>
      <c r="D483">
        <v>0.5</v>
      </c>
      <c r="E483" t="s">
        <v>525</v>
      </c>
      <c r="F483" t="s">
        <v>526</v>
      </c>
      <c r="G483">
        <f t="shared" si="25"/>
        <v>70</v>
      </c>
      <c r="H483" t="str">
        <f t="shared" si="24"/>
        <v>Dairy</v>
      </c>
    </row>
    <row r="484" spans="1:8">
      <c r="A484" s="17">
        <v>43196</v>
      </c>
      <c r="B484" t="s">
        <v>379</v>
      </c>
      <c r="C484">
        <f t="shared" si="26"/>
        <v>120</v>
      </c>
      <c r="D484">
        <v>0.05</v>
      </c>
      <c r="E484" t="s">
        <v>525</v>
      </c>
      <c r="F484" t="s">
        <v>526</v>
      </c>
      <c r="G484">
        <f t="shared" si="25"/>
        <v>6</v>
      </c>
      <c r="H484" t="str">
        <f t="shared" si="24"/>
        <v>Dry Grocery</v>
      </c>
    </row>
    <row r="485" spans="1:8">
      <c r="A485" s="17">
        <v>43196</v>
      </c>
      <c r="B485" t="s">
        <v>467</v>
      </c>
      <c r="C485">
        <f t="shared" si="26"/>
        <v>75</v>
      </c>
      <c r="D485">
        <v>1.38</v>
      </c>
      <c r="E485" t="s">
        <v>525</v>
      </c>
      <c r="F485" t="s">
        <v>526</v>
      </c>
      <c r="G485">
        <f t="shared" si="25"/>
        <v>103.49999999999999</v>
      </c>
      <c r="H485" t="str">
        <f t="shared" si="24"/>
        <v>Dry Grocery</v>
      </c>
    </row>
    <row r="486" spans="1:8">
      <c r="A486" s="17">
        <v>43196</v>
      </c>
      <c r="B486" t="s">
        <v>429</v>
      </c>
      <c r="C486">
        <f t="shared" si="26"/>
        <v>40</v>
      </c>
      <c r="D486">
        <v>0.16</v>
      </c>
      <c r="E486" t="s">
        <v>525</v>
      </c>
      <c r="F486" t="s">
        <v>526</v>
      </c>
      <c r="G486">
        <f t="shared" si="25"/>
        <v>6.4</v>
      </c>
      <c r="H486" t="str">
        <f t="shared" si="24"/>
        <v>Vegetable</v>
      </c>
    </row>
    <row r="487" spans="1:8">
      <c r="A487" s="17">
        <v>43196</v>
      </c>
      <c r="B487" t="s">
        <v>420</v>
      </c>
      <c r="C487">
        <f t="shared" si="26"/>
        <v>3</v>
      </c>
      <c r="D487">
        <v>1.7</v>
      </c>
      <c r="E487" t="s">
        <v>525</v>
      </c>
      <c r="F487" t="s">
        <v>526</v>
      </c>
      <c r="G487">
        <f t="shared" si="25"/>
        <v>5.0999999999999996</v>
      </c>
      <c r="H487" t="str">
        <f t="shared" si="24"/>
        <v>Vegetable</v>
      </c>
    </row>
    <row r="488" spans="1:8">
      <c r="A488" s="17">
        <v>43196</v>
      </c>
      <c r="B488" t="s">
        <v>435</v>
      </c>
      <c r="C488">
        <f t="shared" si="26"/>
        <v>17</v>
      </c>
      <c r="D488">
        <v>1</v>
      </c>
      <c r="E488" t="s">
        <v>525</v>
      </c>
      <c r="F488" t="s">
        <v>526</v>
      </c>
      <c r="G488">
        <f t="shared" si="25"/>
        <v>17</v>
      </c>
      <c r="H488" t="str">
        <f t="shared" si="24"/>
        <v>Dry Grocery</v>
      </c>
    </row>
    <row r="489" spans="1:8">
      <c r="A489" s="17">
        <v>43196</v>
      </c>
      <c r="B489" t="s">
        <v>391</v>
      </c>
      <c r="C489">
        <f t="shared" si="26"/>
        <v>27.97</v>
      </c>
      <c r="D489">
        <v>1.5</v>
      </c>
      <c r="E489" t="s">
        <v>525</v>
      </c>
      <c r="F489" t="s">
        <v>526</v>
      </c>
      <c r="G489">
        <f t="shared" si="25"/>
        <v>41.954999999999998</v>
      </c>
      <c r="H489" t="str">
        <f t="shared" si="24"/>
        <v>Vegetable</v>
      </c>
    </row>
    <row r="490" spans="1:8">
      <c r="A490" s="17">
        <v>43196</v>
      </c>
      <c r="B490" t="s">
        <v>451</v>
      </c>
      <c r="C490">
        <f t="shared" si="26"/>
        <v>60</v>
      </c>
      <c r="D490">
        <v>0.5</v>
      </c>
      <c r="E490" t="s">
        <v>525</v>
      </c>
      <c r="F490" t="s">
        <v>526</v>
      </c>
      <c r="G490">
        <f t="shared" si="25"/>
        <v>30</v>
      </c>
      <c r="H490" t="str">
        <f t="shared" si="24"/>
        <v>Vegetable</v>
      </c>
    </row>
    <row r="491" spans="1:8">
      <c r="A491" s="17">
        <v>43196</v>
      </c>
      <c r="B491" t="s">
        <v>427</v>
      </c>
      <c r="C491">
        <f t="shared" si="26"/>
        <v>28</v>
      </c>
      <c r="D491">
        <v>0.55000000000000004</v>
      </c>
      <c r="E491" t="s">
        <v>525</v>
      </c>
      <c r="F491" t="s">
        <v>526</v>
      </c>
      <c r="G491">
        <f t="shared" si="25"/>
        <v>15.400000000000002</v>
      </c>
      <c r="H491" t="str">
        <f t="shared" si="24"/>
        <v>Vegetable</v>
      </c>
    </row>
    <row r="492" spans="1:8">
      <c r="A492" s="17">
        <v>43196</v>
      </c>
      <c r="B492" t="s">
        <v>468</v>
      </c>
      <c r="C492">
        <f t="shared" si="26"/>
        <v>32</v>
      </c>
      <c r="D492">
        <v>1</v>
      </c>
      <c r="E492" t="s">
        <v>525</v>
      </c>
      <c r="F492" t="s">
        <v>526</v>
      </c>
      <c r="G492">
        <f t="shared" si="25"/>
        <v>32</v>
      </c>
      <c r="H492" t="str">
        <f t="shared" si="24"/>
        <v>Vegetable</v>
      </c>
    </row>
    <row r="493" spans="1:8">
      <c r="A493" s="17">
        <v>43196</v>
      </c>
      <c r="B493" t="s">
        <v>386</v>
      </c>
      <c r="C493">
        <f t="shared" si="26"/>
        <v>82</v>
      </c>
      <c r="D493">
        <v>2</v>
      </c>
      <c r="E493" t="s">
        <v>525</v>
      </c>
      <c r="F493" t="s">
        <v>526</v>
      </c>
      <c r="G493">
        <f t="shared" si="25"/>
        <v>164</v>
      </c>
      <c r="H493" t="str">
        <f t="shared" si="24"/>
        <v>Oil</v>
      </c>
    </row>
    <row r="494" spans="1:8">
      <c r="A494" s="17">
        <v>43196</v>
      </c>
      <c r="B494" t="s">
        <v>500</v>
      </c>
      <c r="C494">
        <f t="shared" si="26"/>
        <v>72</v>
      </c>
      <c r="D494">
        <v>0.2</v>
      </c>
      <c r="E494" t="s">
        <v>525</v>
      </c>
      <c r="F494" t="s">
        <v>526</v>
      </c>
      <c r="G494">
        <f t="shared" si="25"/>
        <v>14.4</v>
      </c>
      <c r="H494" t="str">
        <f t="shared" si="24"/>
        <v>Dry Grocery</v>
      </c>
    </row>
    <row r="495" spans="1:8">
      <c r="A495" s="17">
        <v>43196</v>
      </c>
      <c r="B495" t="s">
        <v>454</v>
      </c>
      <c r="C495">
        <f t="shared" si="26"/>
        <v>43.06</v>
      </c>
      <c r="D495">
        <v>1</v>
      </c>
      <c r="E495" t="s">
        <v>525</v>
      </c>
      <c r="F495" t="s">
        <v>526</v>
      </c>
      <c r="G495">
        <f t="shared" si="25"/>
        <v>43.06</v>
      </c>
      <c r="H495" t="str">
        <f t="shared" si="24"/>
        <v>Vegetable</v>
      </c>
    </row>
    <row r="496" spans="1:8">
      <c r="A496" s="17">
        <v>43196</v>
      </c>
      <c r="B496" t="s">
        <v>390</v>
      </c>
      <c r="C496">
        <f t="shared" si="26"/>
        <v>30</v>
      </c>
      <c r="D496">
        <v>0.6</v>
      </c>
      <c r="E496" t="s">
        <v>525</v>
      </c>
      <c r="F496" t="s">
        <v>526</v>
      </c>
      <c r="G496">
        <f t="shared" si="25"/>
        <v>18</v>
      </c>
      <c r="H496" t="str">
        <f t="shared" si="24"/>
        <v>Vegetable</v>
      </c>
    </row>
    <row r="497" spans="1:8">
      <c r="A497" s="17">
        <v>43196</v>
      </c>
      <c r="B497" t="s">
        <v>432</v>
      </c>
      <c r="C497">
        <f t="shared" si="26"/>
        <v>14</v>
      </c>
      <c r="D497">
        <v>3</v>
      </c>
      <c r="E497" t="s">
        <v>525</v>
      </c>
      <c r="F497" t="s">
        <v>526</v>
      </c>
      <c r="G497">
        <f t="shared" si="25"/>
        <v>42</v>
      </c>
      <c r="H497" t="str">
        <f t="shared" si="24"/>
        <v>Vegetable</v>
      </c>
    </row>
    <row r="498" spans="1:8">
      <c r="A498" s="17">
        <v>43196</v>
      </c>
      <c r="B498" t="s">
        <v>372</v>
      </c>
      <c r="C498">
        <f t="shared" si="26"/>
        <v>33</v>
      </c>
      <c r="D498">
        <v>0.81499999999999995</v>
      </c>
      <c r="E498" t="s">
        <v>525</v>
      </c>
      <c r="F498" t="s">
        <v>526</v>
      </c>
      <c r="G498">
        <f t="shared" si="25"/>
        <v>26.895</v>
      </c>
      <c r="H498" t="str">
        <f t="shared" si="24"/>
        <v>Sauce</v>
      </c>
    </row>
    <row r="499" spans="1:8">
      <c r="A499" s="17">
        <v>43196</v>
      </c>
      <c r="B499" t="s">
        <v>484</v>
      </c>
      <c r="C499">
        <f t="shared" si="26"/>
        <v>430</v>
      </c>
      <c r="D499">
        <v>0.5</v>
      </c>
      <c r="E499" t="s">
        <v>525</v>
      </c>
      <c r="F499" t="s">
        <v>526</v>
      </c>
      <c r="G499">
        <f t="shared" si="25"/>
        <v>215</v>
      </c>
      <c r="H499" t="str">
        <f t="shared" si="24"/>
        <v>Dairy</v>
      </c>
    </row>
    <row r="500" spans="1:8">
      <c r="A500" s="17">
        <v>43196</v>
      </c>
      <c r="B500" t="s">
        <v>459</v>
      </c>
      <c r="C500">
        <f t="shared" si="26"/>
        <v>190</v>
      </c>
      <c r="D500">
        <v>1</v>
      </c>
      <c r="E500" t="s">
        <v>525</v>
      </c>
      <c r="F500" t="s">
        <v>526</v>
      </c>
      <c r="G500">
        <f t="shared" si="25"/>
        <v>190</v>
      </c>
      <c r="H500" t="str">
        <f t="shared" si="24"/>
        <v>Dairy</v>
      </c>
    </row>
    <row r="501" spans="1:8">
      <c r="A501" s="17">
        <v>43196</v>
      </c>
      <c r="B501" s="16" t="s">
        <v>487</v>
      </c>
      <c r="C501">
        <f t="shared" si="26"/>
        <v>40</v>
      </c>
      <c r="D501">
        <v>2</v>
      </c>
      <c r="E501" t="s">
        <v>525</v>
      </c>
      <c r="F501" t="s">
        <v>526</v>
      </c>
      <c r="G501">
        <f t="shared" si="25"/>
        <v>80</v>
      </c>
      <c r="H501" t="str">
        <f t="shared" si="24"/>
        <v>Dry Grocery</v>
      </c>
    </row>
    <row r="502" spans="1:8">
      <c r="A502" s="17">
        <v>43196</v>
      </c>
      <c r="B502" t="s">
        <v>511</v>
      </c>
      <c r="C502">
        <f t="shared" si="26"/>
        <v>52</v>
      </c>
      <c r="D502">
        <v>4.45</v>
      </c>
      <c r="E502" t="s">
        <v>336</v>
      </c>
      <c r="F502" t="s">
        <v>527</v>
      </c>
      <c r="G502">
        <f t="shared" si="25"/>
        <v>231.4</v>
      </c>
      <c r="H502" t="str">
        <f t="shared" si="24"/>
        <v>Dry Grocery</v>
      </c>
    </row>
    <row r="503" spans="1:8">
      <c r="A503" s="17">
        <v>43196</v>
      </c>
      <c r="B503" t="s">
        <v>434</v>
      </c>
      <c r="C503">
        <f t="shared" si="26"/>
        <v>125</v>
      </c>
      <c r="D503">
        <v>0.16</v>
      </c>
      <c r="E503" t="s">
        <v>336</v>
      </c>
      <c r="F503" t="s">
        <v>527</v>
      </c>
      <c r="G503">
        <f t="shared" si="25"/>
        <v>20</v>
      </c>
      <c r="H503" t="str">
        <f t="shared" si="24"/>
        <v>Vegetable</v>
      </c>
    </row>
    <row r="504" spans="1:8">
      <c r="A504" s="17">
        <v>43196</v>
      </c>
      <c r="B504" t="s">
        <v>437</v>
      </c>
      <c r="C504">
        <f t="shared" si="26"/>
        <v>34</v>
      </c>
      <c r="D504">
        <v>0.8</v>
      </c>
      <c r="E504" t="s">
        <v>336</v>
      </c>
      <c r="F504" t="s">
        <v>527</v>
      </c>
      <c r="G504">
        <f t="shared" si="25"/>
        <v>27.200000000000003</v>
      </c>
      <c r="H504" t="str">
        <f t="shared" si="24"/>
        <v>Dry Grocery</v>
      </c>
    </row>
    <row r="505" spans="1:8">
      <c r="A505" s="17">
        <v>43196</v>
      </c>
      <c r="B505" t="s">
        <v>438</v>
      </c>
      <c r="C505">
        <f t="shared" si="26"/>
        <v>50</v>
      </c>
      <c r="D505">
        <f>2.48+0.755</f>
        <v>3.2349999999999999</v>
      </c>
      <c r="E505" t="s">
        <v>336</v>
      </c>
      <c r="F505" t="s">
        <v>527</v>
      </c>
      <c r="G505">
        <f t="shared" si="25"/>
        <v>161.75</v>
      </c>
      <c r="H505" t="str">
        <f t="shared" si="24"/>
        <v>Dry Grocery</v>
      </c>
    </row>
    <row r="506" spans="1:8">
      <c r="A506" s="17">
        <v>43196</v>
      </c>
      <c r="B506" t="s">
        <v>414</v>
      </c>
      <c r="C506">
        <f t="shared" si="26"/>
        <v>48</v>
      </c>
      <c r="D506">
        <v>0.25</v>
      </c>
      <c r="E506" t="s">
        <v>336</v>
      </c>
      <c r="F506" t="s">
        <v>527</v>
      </c>
      <c r="G506">
        <f t="shared" si="25"/>
        <v>12</v>
      </c>
      <c r="H506" t="str">
        <f t="shared" si="24"/>
        <v>Dry Grocery</v>
      </c>
    </row>
    <row r="507" spans="1:8">
      <c r="A507" s="17">
        <v>43196</v>
      </c>
      <c r="B507" t="s">
        <v>485</v>
      </c>
      <c r="C507">
        <f t="shared" si="26"/>
        <v>96</v>
      </c>
      <c r="D507">
        <v>0.24</v>
      </c>
      <c r="E507" t="s">
        <v>336</v>
      </c>
      <c r="F507" t="s">
        <v>527</v>
      </c>
      <c r="G507">
        <f t="shared" si="25"/>
        <v>23.04</v>
      </c>
      <c r="H507" t="str">
        <f t="shared" si="24"/>
        <v>Oil</v>
      </c>
    </row>
    <row r="508" spans="1:8">
      <c r="A508" s="17">
        <v>43196</v>
      </c>
      <c r="B508" t="s">
        <v>386</v>
      </c>
      <c r="C508">
        <f t="shared" si="26"/>
        <v>82</v>
      </c>
      <c r="D508">
        <v>1</v>
      </c>
      <c r="E508" t="s">
        <v>336</v>
      </c>
      <c r="F508" t="s">
        <v>527</v>
      </c>
      <c r="G508">
        <f t="shared" si="25"/>
        <v>82</v>
      </c>
      <c r="H508" t="str">
        <f t="shared" si="24"/>
        <v>Oil</v>
      </c>
    </row>
    <row r="509" spans="1:8">
      <c r="A509" s="17">
        <v>43196</v>
      </c>
      <c r="B509" t="s">
        <v>404</v>
      </c>
      <c r="C509">
        <f t="shared" si="26"/>
        <v>28</v>
      </c>
      <c r="D509">
        <v>2</v>
      </c>
      <c r="E509" t="s">
        <v>336</v>
      </c>
      <c r="F509" t="s">
        <v>527</v>
      </c>
      <c r="G509">
        <f t="shared" si="25"/>
        <v>56</v>
      </c>
      <c r="H509" t="str">
        <f t="shared" si="24"/>
        <v>Vegetable</v>
      </c>
    </row>
    <row r="510" spans="1:8">
      <c r="A510" s="17">
        <v>43196</v>
      </c>
      <c r="B510" t="s">
        <v>454</v>
      </c>
      <c r="C510">
        <f t="shared" si="26"/>
        <v>43.06</v>
      </c>
      <c r="D510">
        <v>0.5</v>
      </c>
      <c r="E510" t="s">
        <v>336</v>
      </c>
      <c r="F510" t="s">
        <v>527</v>
      </c>
      <c r="G510">
        <f t="shared" si="25"/>
        <v>21.53</v>
      </c>
      <c r="H510" t="str">
        <f t="shared" si="24"/>
        <v>Vegetable</v>
      </c>
    </row>
    <row r="511" spans="1:8">
      <c r="A511" s="17">
        <v>43196</v>
      </c>
      <c r="B511" t="s">
        <v>382</v>
      </c>
      <c r="C511">
        <f t="shared" si="26"/>
        <v>42</v>
      </c>
      <c r="D511">
        <v>2</v>
      </c>
      <c r="E511" t="s">
        <v>336</v>
      </c>
      <c r="F511" t="s">
        <v>527</v>
      </c>
      <c r="G511">
        <f t="shared" si="25"/>
        <v>84</v>
      </c>
      <c r="H511" t="str">
        <f t="shared" si="24"/>
        <v>Dairy</v>
      </c>
    </row>
    <row r="512" spans="1:8">
      <c r="A512" s="17">
        <v>43196</v>
      </c>
      <c r="B512" t="s">
        <v>436</v>
      </c>
      <c r="C512">
        <f t="shared" si="26"/>
        <v>37</v>
      </c>
      <c r="D512">
        <v>0.7</v>
      </c>
      <c r="E512" t="s">
        <v>336</v>
      </c>
      <c r="F512" t="s">
        <v>527</v>
      </c>
      <c r="G512">
        <f t="shared" si="25"/>
        <v>25.9</v>
      </c>
      <c r="H512" t="str">
        <f t="shared" si="24"/>
        <v>Dry Grocery</v>
      </c>
    </row>
    <row r="513" spans="1:8">
      <c r="A513" s="17">
        <v>43196</v>
      </c>
      <c r="B513" t="s">
        <v>375</v>
      </c>
      <c r="C513">
        <f t="shared" si="26"/>
        <v>280</v>
      </c>
      <c r="D513">
        <v>0.04</v>
      </c>
      <c r="E513" t="s">
        <v>336</v>
      </c>
      <c r="F513" t="s">
        <v>527</v>
      </c>
      <c r="G513">
        <f t="shared" si="25"/>
        <v>11.200000000000001</v>
      </c>
      <c r="H513" t="str">
        <f t="shared" si="24"/>
        <v>Dry Grocery</v>
      </c>
    </row>
    <row r="514" spans="1:8">
      <c r="A514" s="17">
        <v>43196</v>
      </c>
      <c r="B514" t="s">
        <v>379</v>
      </c>
      <c r="C514">
        <f t="shared" si="26"/>
        <v>120</v>
      </c>
      <c r="D514">
        <v>0.03</v>
      </c>
      <c r="E514" t="s">
        <v>336</v>
      </c>
      <c r="F514" t="s">
        <v>527</v>
      </c>
      <c r="G514">
        <f t="shared" si="25"/>
        <v>3.5999999999999996</v>
      </c>
      <c r="H514" t="str">
        <f t="shared" si="24"/>
        <v>Dry Grocery</v>
      </c>
    </row>
    <row r="515" spans="1:8">
      <c r="A515" s="17">
        <v>43196</v>
      </c>
      <c r="B515" t="s">
        <v>381</v>
      </c>
      <c r="C515">
        <f t="shared" si="26"/>
        <v>7</v>
      </c>
      <c r="D515">
        <v>0.375</v>
      </c>
      <c r="E515" t="s">
        <v>336</v>
      </c>
      <c r="F515" t="s">
        <v>527</v>
      </c>
      <c r="G515">
        <f t="shared" si="25"/>
        <v>2.625</v>
      </c>
      <c r="H515" t="str">
        <f t="shared" ref="H515:H578" si="27">IF(B515="","",VLOOKUP(B515,$XEY$3:$XFA$1200,3,FALSE))</f>
        <v>Dry Grocery</v>
      </c>
    </row>
    <row r="516" spans="1:8">
      <c r="A516" s="17">
        <v>43196</v>
      </c>
      <c r="B516" t="s">
        <v>387</v>
      </c>
      <c r="C516">
        <f t="shared" si="26"/>
        <v>187.41</v>
      </c>
      <c r="D516">
        <v>0.02</v>
      </c>
      <c r="E516" t="s">
        <v>336</v>
      </c>
      <c r="F516" t="s">
        <v>527</v>
      </c>
      <c r="G516">
        <f t="shared" si="25"/>
        <v>3.7482000000000002</v>
      </c>
      <c r="H516" t="str">
        <f t="shared" si="27"/>
        <v>Dry Grocery</v>
      </c>
    </row>
    <row r="517" spans="1:8">
      <c r="A517" s="17">
        <v>43196</v>
      </c>
      <c r="B517" t="s">
        <v>383</v>
      </c>
      <c r="C517">
        <f t="shared" si="26"/>
        <v>230</v>
      </c>
      <c r="D517">
        <v>0.02</v>
      </c>
      <c r="E517" t="s">
        <v>336</v>
      </c>
      <c r="F517" t="s">
        <v>527</v>
      </c>
      <c r="G517">
        <f t="shared" si="25"/>
        <v>4.6000000000000005</v>
      </c>
      <c r="H517" t="str">
        <f t="shared" si="27"/>
        <v>Dry Grocery</v>
      </c>
    </row>
    <row r="518" spans="1:8">
      <c r="A518" s="17">
        <v>43196</v>
      </c>
      <c r="B518" t="s">
        <v>431</v>
      </c>
      <c r="C518">
        <f t="shared" si="26"/>
        <v>70</v>
      </c>
      <c r="D518">
        <v>0.03</v>
      </c>
      <c r="E518" t="s">
        <v>336</v>
      </c>
      <c r="F518" t="s">
        <v>527</v>
      </c>
      <c r="G518">
        <f t="shared" ref="G518:G581" si="28">IF(C518="","",C518*D518)</f>
        <v>2.1</v>
      </c>
      <c r="H518" t="str">
        <f t="shared" si="27"/>
        <v>Dry Grocery</v>
      </c>
    </row>
    <row r="519" spans="1:8">
      <c r="A519" s="17">
        <v>43196</v>
      </c>
      <c r="B519" t="s">
        <v>367</v>
      </c>
      <c r="C519">
        <f t="shared" si="26"/>
        <v>55</v>
      </c>
      <c r="D519">
        <v>0.11</v>
      </c>
      <c r="E519" t="s">
        <v>336</v>
      </c>
      <c r="F519" t="s">
        <v>527</v>
      </c>
      <c r="G519">
        <f t="shared" si="28"/>
        <v>6.05</v>
      </c>
      <c r="H519" t="str">
        <f t="shared" si="27"/>
        <v>Dry Grocery</v>
      </c>
    </row>
    <row r="520" spans="1:8">
      <c r="A520" s="17">
        <v>43196</v>
      </c>
      <c r="B520" t="s">
        <v>461</v>
      </c>
      <c r="C520">
        <f t="shared" si="26"/>
        <v>1450</v>
      </c>
      <c r="D520">
        <v>5.0000000000000001E-3</v>
      </c>
      <c r="E520" t="s">
        <v>336</v>
      </c>
      <c r="F520" t="s">
        <v>527</v>
      </c>
      <c r="G520">
        <f t="shared" si="28"/>
        <v>7.25</v>
      </c>
      <c r="H520" t="str">
        <f t="shared" si="27"/>
        <v>Spice</v>
      </c>
    </row>
    <row r="521" spans="1:8">
      <c r="A521" s="17">
        <v>43196</v>
      </c>
      <c r="B521" t="s">
        <v>432</v>
      </c>
      <c r="C521">
        <f t="shared" si="26"/>
        <v>14</v>
      </c>
      <c r="D521">
        <v>1.5</v>
      </c>
      <c r="E521" t="s">
        <v>336</v>
      </c>
      <c r="F521" t="s">
        <v>527</v>
      </c>
      <c r="G521">
        <f t="shared" si="28"/>
        <v>21</v>
      </c>
      <c r="H521" t="str">
        <f t="shared" si="27"/>
        <v>Vegetable</v>
      </c>
    </row>
    <row r="522" spans="1:8">
      <c r="A522" s="17">
        <v>43196</v>
      </c>
      <c r="B522" t="s">
        <v>427</v>
      </c>
      <c r="C522">
        <f t="shared" si="26"/>
        <v>28</v>
      </c>
      <c r="D522">
        <v>0.13</v>
      </c>
      <c r="E522" t="s">
        <v>336</v>
      </c>
      <c r="F522" t="s">
        <v>527</v>
      </c>
      <c r="G522">
        <f t="shared" si="28"/>
        <v>3.64</v>
      </c>
      <c r="H522" t="str">
        <f t="shared" si="27"/>
        <v>Vegetable</v>
      </c>
    </row>
    <row r="523" spans="1:8">
      <c r="A523" s="17">
        <v>43196</v>
      </c>
      <c r="B523" t="s">
        <v>430</v>
      </c>
      <c r="C523">
        <f t="shared" si="26"/>
        <v>30</v>
      </c>
      <c r="D523">
        <v>0.12</v>
      </c>
      <c r="E523" t="s">
        <v>336</v>
      </c>
      <c r="F523" t="s">
        <v>527</v>
      </c>
      <c r="G523">
        <f t="shared" si="28"/>
        <v>3.5999999999999996</v>
      </c>
      <c r="H523" t="str">
        <f t="shared" si="27"/>
        <v>Vegetable</v>
      </c>
    </row>
    <row r="524" spans="1:8">
      <c r="A524" s="17">
        <v>43196</v>
      </c>
      <c r="B524" t="s">
        <v>462</v>
      </c>
      <c r="C524">
        <f t="shared" si="26"/>
        <v>138</v>
      </c>
      <c r="D524">
        <v>0.02</v>
      </c>
      <c r="E524" t="s">
        <v>336</v>
      </c>
      <c r="F524" t="s">
        <v>527</v>
      </c>
      <c r="G524">
        <f t="shared" si="28"/>
        <v>2.7600000000000002</v>
      </c>
      <c r="H524" t="str">
        <f t="shared" si="27"/>
        <v>Dry Grocery</v>
      </c>
    </row>
    <row r="525" spans="1:8">
      <c r="A525" s="17">
        <v>43196</v>
      </c>
      <c r="B525" t="s">
        <v>471</v>
      </c>
      <c r="C525">
        <f t="shared" si="26"/>
        <v>160</v>
      </c>
      <c r="D525">
        <v>0.11</v>
      </c>
      <c r="E525" t="s">
        <v>336</v>
      </c>
      <c r="F525" t="s">
        <v>527</v>
      </c>
      <c r="G525">
        <f t="shared" si="28"/>
        <v>17.600000000000001</v>
      </c>
      <c r="H525" t="str">
        <f t="shared" si="27"/>
        <v>Dry Grocery</v>
      </c>
    </row>
    <row r="526" spans="1:8">
      <c r="A526" s="17">
        <v>43196</v>
      </c>
      <c r="B526" t="s">
        <v>510</v>
      </c>
      <c r="C526">
        <f t="shared" si="26"/>
        <v>62.03</v>
      </c>
      <c r="D526">
        <v>0.05</v>
      </c>
      <c r="E526" t="s">
        <v>336</v>
      </c>
      <c r="F526" t="s">
        <v>527</v>
      </c>
      <c r="G526">
        <f t="shared" si="28"/>
        <v>3.1015000000000001</v>
      </c>
      <c r="H526" t="str">
        <f t="shared" si="27"/>
        <v>Dry Grocery</v>
      </c>
    </row>
    <row r="527" spans="1:8">
      <c r="A527" s="17">
        <v>43196</v>
      </c>
      <c r="B527" t="s">
        <v>392</v>
      </c>
      <c r="C527">
        <f t="shared" si="26"/>
        <v>840</v>
      </c>
      <c r="D527">
        <v>0.02</v>
      </c>
      <c r="E527" t="s">
        <v>336</v>
      </c>
      <c r="F527" t="s">
        <v>527</v>
      </c>
      <c r="G527">
        <f t="shared" si="28"/>
        <v>16.8</v>
      </c>
      <c r="H527" t="str">
        <f t="shared" si="27"/>
        <v>Dry Grocery</v>
      </c>
    </row>
    <row r="528" spans="1:8">
      <c r="A528" s="17">
        <v>43196</v>
      </c>
      <c r="B528" t="s">
        <v>506</v>
      </c>
      <c r="C528">
        <f t="shared" si="26"/>
        <v>240</v>
      </c>
      <c r="D528">
        <v>0.02</v>
      </c>
      <c r="E528" t="s">
        <v>336</v>
      </c>
      <c r="F528" t="s">
        <v>527</v>
      </c>
      <c r="G528">
        <f t="shared" si="28"/>
        <v>4.8</v>
      </c>
      <c r="H528" t="str">
        <f t="shared" si="27"/>
        <v>Dry Grocery</v>
      </c>
    </row>
    <row r="529" spans="1:8">
      <c r="A529" s="17">
        <v>43196</v>
      </c>
      <c r="B529" t="s">
        <v>409</v>
      </c>
      <c r="C529">
        <f t="shared" si="26"/>
        <v>64.069999999999993</v>
      </c>
      <c r="D529">
        <v>0.35</v>
      </c>
      <c r="E529" t="s">
        <v>336</v>
      </c>
      <c r="F529" t="s">
        <v>527</v>
      </c>
      <c r="G529">
        <f t="shared" si="28"/>
        <v>22.424499999999995</v>
      </c>
      <c r="H529" t="str">
        <f t="shared" si="27"/>
        <v>Dry Grocery</v>
      </c>
    </row>
    <row r="530" spans="1:8">
      <c r="A530" s="17">
        <v>43196</v>
      </c>
      <c r="B530" t="s">
        <v>476</v>
      </c>
      <c r="C530">
        <f t="shared" si="26"/>
        <v>14.75</v>
      </c>
      <c r="D530">
        <v>0.9</v>
      </c>
      <c r="E530" t="s">
        <v>336</v>
      </c>
      <c r="F530" t="s">
        <v>527</v>
      </c>
      <c r="G530">
        <f t="shared" si="28"/>
        <v>13.275</v>
      </c>
      <c r="H530" t="str">
        <f t="shared" si="27"/>
        <v>Vegetable</v>
      </c>
    </row>
    <row r="531" spans="1:8">
      <c r="A531" s="17">
        <v>43196</v>
      </c>
      <c r="B531" t="s">
        <v>426</v>
      </c>
      <c r="C531">
        <f t="shared" ref="C531:C594" si="29">IF(B531="","",VLOOKUP(B531,$XEY$3:$XEZ$1158,2,FALSE))</f>
        <v>57.5</v>
      </c>
      <c r="D531">
        <v>0.03</v>
      </c>
      <c r="E531" t="s">
        <v>336</v>
      </c>
      <c r="F531" t="s">
        <v>527</v>
      </c>
      <c r="G531">
        <f t="shared" si="28"/>
        <v>1.7249999999999999</v>
      </c>
      <c r="H531" t="str">
        <f t="shared" si="27"/>
        <v>Dry Grocery</v>
      </c>
    </row>
    <row r="532" spans="1:8">
      <c r="A532" s="17">
        <v>43196</v>
      </c>
      <c r="B532" t="s">
        <v>509</v>
      </c>
      <c r="C532">
        <f t="shared" si="29"/>
        <v>500</v>
      </c>
      <c r="D532">
        <v>0.05</v>
      </c>
      <c r="E532" t="s">
        <v>336</v>
      </c>
      <c r="F532" t="s">
        <v>527</v>
      </c>
      <c r="G532">
        <f t="shared" si="28"/>
        <v>25</v>
      </c>
      <c r="H532" t="str">
        <f t="shared" si="27"/>
        <v>Dry Grocery</v>
      </c>
    </row>
    <row r="533" spans="1:8">
      <c r="A533" s="17">
        <v>43196</v>
      </c>
      <c r="B533" t="s">
        <v>479</v>
      </c>
      <c r="C533">
        <f t="shared" si="29"/>
        <v>312.14</v>
      </c>
      <c r="D533">
        <v>0.04</v>
      </c>
      <c r="E533" t="s">
        <v>336</v>
      </c>
      <c r="F533" t="s">
        <v>527</v>
      </c>
      <c r="G533">
        <f t="shared" si="28"/>
        <v>12.4856</v>
      </c>
      <c r="H533" t="str">
        <f t="shared" si="27"/>
        <v>Vegetable</v>
      </c>
    </row>
    <row r="534" spans="1:8">
      <c r="A534" s="17">
        <v>43196</v>
      </c>
      <c r="B534" t="s">
        <v>378</v>
      </c>
      <c r="C534">
        <f t="shared" si="29"/>
        <v>25</v>
      </c>
      <c r="D534">
        <v>0.25</v>
      </c>
      <c r="E534" t="s">
        <v>336</v>
      </c>
      <c r="F534" t="s">
        <v>527</v>
      </c>
      <c r="G534">
        <f t="shared" si="28"/>
        <v>6.25</v>
      </c>
      <c r="H534" t="str">
        <f t="shared" si="27"/>
        <v>Vegetable</v>
      </c>
    </row>
    <row r="535" spans="1:8">
      <c r="A535" s="17">
        <v>43196</v>
      </c>
      <c r="B535" t="s">
        <v>429</v>
      </c>
      <c r="C535">
        <f t="shared" si="29"/>
        <v>40</v>
      </c>
      <c r="D535">
        <v>0.04</v>
      </c>
      <c r="E535" t="s">
        <v>336</v>
      </c>
      <c r="F535" t="s">
        <v>527</v>
      </c>
      <c r="G535">
        <f t="shared" si="28"/>
        <v>1.6</v>
      </c>
      <c r="H535" t="str">
        <f t="shared" si="27"/>
        <v>Vegetable</v>
      </c>
    </row>
    <row r="536" spans="1:8">
      <c r="A536" s="17">
        <v>43196</v>
      </c>
      <c r="B536" t="s">
        <v>512</v>
      </c>
      <c r="C536">
        <f t="shared" si="29"/>
        <v>170</v>
      </c>
      <c r="D536">
        <v>0.05</v>
      </c>
      <c r="E536" t="s">
        <v>336</v>
      </c>
      <c r="F536" t="s">
        <v>527</v>
      </c>
      <c r="G536">
        <f t="shared" si="28"/>
        <v>8.5</v>
      </c>
      <c r="H536" t="str">
        <f t="shared" si="27"/>
        <v>Dry Grocery</v>
      </c>
    </row>
    <row r="537" spans="1:8">
      <c r="A537" s="17">
        <v>43196</v>
      </c>
      <c r="B537" t="s">
        <v>447</v>
      </c>
      <c r="C537">
        <f t="shared" si="29"/>
        <v>30</v>
      </c>
      <c r="D537">
        <v>2</v>
      </c>
      <c r="E537" t="s">
        <v>543</v>
      </c>
      <c r="F537" t="s">
        <v>527</v>
      </c>
      <c r="G537">
        <f t="shared" si="28"/>
        <v>60</v>
      </c>
      <c r="H537" t="str">
        <f t="shared" si="27"/>
        <v>Fruits</v>
      </c>
    </row>
    <row r="538" spans="1:8">
      <c r="A538" s="17">
        <v>43196</v>
      </c>
      <c r="B538" t="s">
        <v>444</v>
      </c>
      <c r="C538">
        <f t="shared" si="29"/>
        <v>50</v>
      </c>
      <c r="D538">
        <v>7.64</v>
      </c>
      <c r="E538" t="s">
        <v>543</v>
      </c>
      <c r="F538" t="s">
        <v>527</v>
      </c>
      <c r="G538">
        <f t="shared" si="28"/>
        <v>382</v>
      </c>
      <c r="H538" t="str">
        <f t="shared" si="27"/>
        <v>Fruits</v>
      </c>
    </row>
    <row r="539" spans="1:8">
      <c r="A539" s="17">
        <v>43196</v>
      </c>
      <c r="B539" t="s">
        <v>433</v>
      </c>
      <c r="C539">
        <f t="shared" si="29"/>
        <v>20</v>
      </c>
      <c r="D539">
        <v>0.2</v>
      </c>
      <c r="E539" t="s">
        <v>528</v>
      </c>
      <c r="F539" t="s">
        <v>527</v>
      </c>
      <c r="G539">
        <f t="shared" si="28"/>
        <v>4</v>
      </c>
      <c r="H539" t="str">
        <f t="shared" si="27"/>
        <v>Vegetable</v>
      </c>
    </row>
    <row r="540" spans="1:8">
      <c r="A540" s="17">
        <v>43196</v>
      </c>
      <c r="B540" t="s">
        <v>378</v>
      </c>
      <c r="C540">
        <f t="shared" si="29"/>
        <v>25</v>
      </c>
      <c r="D540">
        <v>0.18</v>
      </c>
      <c r="E540" t="s">
        <v>528</v>
      </c>
      <c r="F540" t="s">
        <v>527</v>
      </c>
      <c r="G540">
        <f t="shared" si="28"/>
        <v>4.5</v>
      </c>
      <c r="H540" t="str">
        <f t="shared" si="27"/>
        <v>Vegetable</v>
      </c>
    </row>
    <row r="541" spans="1:8">
      <c r="A541" s="17">
        <v>43196</v>
      </c>
      <c r="B541" t="s">
        <v>432</v>
      </c>
      <c r="C541">
        <f t="shared" si="29"/>
        <v>14</v>
      </c>
      <c r="D541">
        <v>0.4</v>
      </c>
      <c r="E541" t="s">
        <v>528</v>
      </c>
      <c r="F541" t="s">
        <v>527</v>
      </c>
      <c r="G541">
        <f t="shared" si="28"/>
        <v>5.6000000000000005</v>
      </c>
      <c r="H541" t="str">
        <f t="shared" si="27"/>
        <v>Vegetable</v>
      </c>
    </row>
    <row r="542" spans="1:8">
      <c r="A542" s="17">
        <v>43196</v>
      </c>
      <c r="B542" t="s">
        <v>476</v>
      </c>
      <c r="C542">
        <f t="shared" si="29"/>
        <v>14.75</v>
      </c>
      <c r="D542">
        <v>0.25</v>
      </c>
      <c r="E542" t="s">
        <v>528</v>
      </c>
      <c r="F542" t="s">
        <v>527</v>
      </c>
      <c r="G542">
        <f t="shared" si="28"/>
        <v>3.6875</v>
      </c>
      <c r="H542" t="str">
        <f t="shared" si="27"/>
        <v>Vegetable</v>
      </c>
    </row>
    <row r="543" spans="1:8">
      <c r="A543" s="17">
        <v>43196</v>
      </c>
      <c r="B543" t="s">
        <v>430</v>
      </c>
      <c r="C543">
        <f t="shared" si="29"/>
        <v>30</v>
      </c>
      <c r="D543">
        <v>0.12</v>
      </c>
      <c r="E543" t="s">
        <v>528</v>
      </c>
      <c r="F543" t="s">
        <v>527</v>
      </c>
      <c r="G543">
        <f t="shared" si="28"/>
        <v>3.5999999999999996</v>
      </c>
      <c r="H543" t="str">
        <f t="shared" si="27"/>
        <v>Vegetable</v>
      </c>
    </row>
    <row r="544" spans="1:8">
      <c r="A544" s="17">
        <v>43196</v>
      </c>
      <c r="B544" t="s">
        <v>427</v>
      </c>
      <c r="C544">
        <f t="shared" si="29"/>
        <v>28</v>
      </c>
      <c r="D544">
        <v>0.15</v>
      </c>
      <c r="E544" t="s">
        <v>528</v>
      </c>
      <c r="F544" t="s">
        <v>527</v>
      </c>
      <c r="G544">
        <f t="shared" si="28"/>
        <v>4.2</v>
      </c>
      <c r="H544" t="str">
        <f t="shared" si="27"/>
        <v>Vegetable</v>
      </c>
    </row>
    <row r="545" spans="1:8">
      <c r="A545" s="17">
        <v>43196</v>
      </c>
      <c r="B545" t="s">
        <v>429</v>
      </c>
      <c r="C545">
        <f t="shared" si="29"/>
        <v>40</v>
      </c>
      <c r="D545">
        <v>0.05</v>
      </c>
      <c r="E545" t="s">
        <v>528</v>
      </c>
      <c r="F545" t="s">
        <v>527</v>
      </c>
      <c r="G545">
        <f t="shared" si="28"/>
        <v>2</v>
      </c>
      <c r="H545" t="str">
        <f t="shared" si="27"/>
        <v>Vegetable</v>
      </c>
    </row>
    <row r="546" spans="1:8">
      <c r="A546" s="17">
        <v>43196</v>
      </c>
      <c r="B546" t="s">
        <v>404</v>
      </c>
      <c r="C546">
        <f t="shared" si="29"/>
        <v>28</v>
      </c>
      <c r="D546">
        <v>0.5</v>
      </c>
      <c r="E546" t="s">
        <v>528</v>
      </c>
      <c r="F546" t="s">
        <v>527</v>
      </c>
      <c r="G546">
        <f t="shared" si="28"/>
        <v>14</v>
      </c>
      <c r="H546" t="str">
        <f t="shared" si="27"/>
        <v>Vegetable</v>
      </c>
    </row>
    <row r="547" spans="1:8">
      <c r="A547" s="17">
        <v>43196</v>
      </c>
      <c r="B547" t="s">
        <v>499</v>
      </c>
      <c r="C547">
        <f t="shared" si="29"/>
        <v>60</v>
      </c>
      <c r="D547">
        <v>0.05</v>
      </c>
      <c r="E547" t="s">
        <v>528</v>
      </c>
      <c r="F547" t="s">
        <v>527</v>
      </c>
      <c r="G547">
        <f t="shared" si="28"/>
        <v>3</v>
      </c>
      <c r="H547" t="str">
        <f t="shared" si="27"/>
        <v>Dry Grocery</v>
      </c>
    </row>
    <row r="548" spans="1:8">
      <c r="A548" s="17">
        <v>43196</v>
      </c>
      <c r="B548" t="s">
        <v>379</v>
      </c>
      <c r="C548">
        <f t="shared" si="29"/>
        <v>120</v>
      </c>
      <c r="D548">
        <v>0.03</v>
      </c>
      <c r="E548" t="s">
        <v>528</v>
      </c>
      <c r="F548" t="s">
        <v>527</v>
      </c>
      <c r="G548">
        <f t="shared" si="28"/>
        <v>3.5999999999999996</v>
      </c>
      <c r="H548" t="str">
        <f t="shared" si="27"/>
        <v>Dry Grocery</v>
      </c>
    </row>
    <row r="549" spans="1:8">
      <c r="A549" s="17">
        <v>43196</v>
      </c>
      <c r="B549" t="s">
        <v>375</v>
      </c>
      <c r="C549">
        <f t="shared" si="29"/>
        <v>280</v>
      </c>
      <c r="D549">
        <v>0.02</v>
      </c>
      <c r="E549" t="s">
        <v>528</v>
      </c>
      <c r="F549" t="s">
        <v>527</v>
      </c>
      <c r="G549">
        <f t="shared" si="28"/>
        <v>5.6000000000000005</v>
      </c>
      <c r="H549" t="str">
        <f t="shared" si="27"/>
        <v>Dry Grocery</v>
      </c>
    </row>
    <row r="550" spans="1:8">
      <c r="A550" s="17">
        <v>43196</v>
      </c>
      <c r="B550" t="s">
        <v>381</v>
      </c>
      <c r="C550">
        <f t="shared" si="29"/>
        <v>7</v>
      </c>
      <c r="D550">
        <v>0.05</v>
      </c>
      <c r="E550" t="s">
        <v>528</v>
      </c>
      <c r="F550" t="s">
        <v>527</v>
      </c>
      <c r="G550">
        <f t="shared" si="28"/>
        <v>0.35000000000000003</v>
      </c>
      <c r="H550" t="str">
        <f t="shared" si="27"/>
        <v>Dry Grocery</v>
      </c>
    </row>
    <row r="551" spans="1:8">
      <c r="A551" s="17">
        <v>43196</v>
      </c>
      <c r="B551" t="s">
        <v>387</v>
      </c>
      <c r="C551">
        <f t="shared" si="29"/>
        <v>187.41</v>
      </c>
      <c r="D551">
        <v>0.02</v>
      </c>
      <c r="E551" t="s">
        <v>528</v>
      </c>
      <c r="F551" t="s">
        <v>527</v>
      </c>
      <c r="G551">
        <f t="shared" si="28"/>
        <v>3.7482000000000002</v>
      </c>
      <c r="H551" t="str">
        <f t="shared" si="27"/>
        <v>Dry Grocery</v>
      </c>
    </row>
    <row r="552" spans="1:8">
      <c r="A552" s="17">
        <v>43196</v>
      </c>
      <c r="B552" t="s">
        <v>413</v>
      </c>
      <c r="C552">
        <f t="shared" si="29"/>
        <v>46.4</v>
      </c>
      <c r="D552">
        <v>1.4999999999999999E-2</v>
      </c>
      <c r="E552" t="s">
        <v>528</v>
      </c>
      <c r="F552" t="s">
        <v>527</v>
      </c>
      <c r="G552">
        <f t="shared" si="28"/>
        <v>0.69599999999999995</v>
      </c>
      <c r="H552" t="str">
        <f t="shared" si="27"/>
        <v>Dry Grocery</v>
      </c>
    </row>
    <row r="553" spans="1:8">
      <c r="A553" s="17">
        <v>43196</v>
      </c>
      <c r="B553" t="s">
        <v>482</v>
      </c>
      <c r="C553">
        <f t="shared" si="29"/>
        <v>48</v>
      </c>
      <c r="D553">
        <v>0.04</v>
      </c>
      <c r="E553" t="s">
        <v>528</v>
      </c>
      <c r="F553" t="s">
        <v>527</v>
      </c>
      <c r="G553">
        <f t="shared" si="28"/>
        <v>1.92</v>
      </c>
      <c r="H553" t="str">
        <f t="shared" si="27"/>
        <v>Dry Grocery</v>
      </c>
    </row>
    <row r="554" spans="1:8">
      <c r="A554" s="17">
        <v>43196</v>
      </c>
      <c r="B554" t="s">
        <v>445</v>
      </c>
      <c r="C554">
        <f t="shared" si="29"/>
        <v>20</v>
      </c>
      <c r="D554">
        <v>3</v>
      </c>
      <c r="E554" t="s">
        <v>543</v>
      </c>
      <c r="F554" t="s">
        <v>527</v>
      </c>
      <c r="G554">
        <f t="shared" si="28"/>
        <v>60</v>
      </c>
      <c r="H554" t="str">
        <f t="shared" si="27"/>
        <v>Fruits</v>
      </c>
    </row>
    <row r="555" spans="1:8">
      <c r="A555" s="17">
        <v>43196</v>
      </c>
      <c r="B555" t="s">
        <v>552</v>
      </c>
      <c r="C555">
        <f t="shared" si="29"/>
        <v>40</v>
      </c>
      <c r="D555">
        <v>2</v>
      </c>
      <c r="E555" t="s">
        <v>543</v>
      </c>
      <c r="F555" t="s">
        <v>527</v>
      </c>
      <c r="G555">
        <f t="shared" si="28"/>
        <v>80</v>
      </c>
      <c r="H555" t="str">
        <f t="shared" si="27"/>
        <v>Fruits</v>
      </c>
    </row>
    <row r="556" spans="1:8">
      <c r="A556" s="17">
        <v>43196</v>
      </c>
      <c r="B556" t="s">
        <v>447</v>
      </c>
      <c r="C556">
        <f t="shared" si="29"/>
        <v>30</v>
      </c>
      <c r="D556">
        <v>0.75</v>
      </c>
      <c r="E556" t="s">
        <v>543</v>
      </c>
      <c r="F556" t="s">
        <v>527</v>
      </c>
      <c r="G556">
        <f t="shared" si="28"/>
        <v>22.5</v>
      </c>
      <c r="H556" t="str">
        <f t="shared" si="27"/>
        <v>Fruits</v>
      </c>
    </row>
    <row r="557" spans="1:8">
      <c r="A557" s="17">
        <v>43196</v>
      </c>
      <c r="B557" t="s">
        <v>551</v>
      </c>
      <c r="C557">
        <f t="shared" si="29"/>
        <v>120</v>
      </c>
      <c r="D557">
        <v>1</v>
      </c>
      <c r="E557" t="s">
        <v>543</v>
      </c>
      <c r="F557" t="s">
        <v>527</v>
      </c>
      <c r="G557">
        <f t="shared" si="28"/>
        <v>120</v>
      </c>
      <c r="H557" t="str">
        <f t="shared" si="27"/>
        <v>Fruits</v>
      </c>
    </row>
    <row r="558" spans="1:8">
      <c r="A558" s="17">
        <v>43196</v>
      </c>
      <c r="B558" t="s">
        <v>449</v>
      </c>
      <c r="C558">
        <f t="shared" si="29"/>
        <v>20</v>
      </c>
      <c r="D558">
        <v>3</v>
      </c>
      <c r="E558" t="s">
        <v>543</v>
      </c>
      <c r="F558" t="s">
        <v>527</v>
      </c>
      <c r="G558">
        <f t="shared" si="28"/>
        <v>60</v>
      </c>
      <c r="H558" t="str">
        <f t="shared" si="27"/>
        <v>Fruits</v>
      </c>
    </row>
    <row r="559" spans="1:8">
      <c r="A559" s="17">
        <v>43196</v>
      </c>
      <c r="B559" t="s">
        <v>436</v>
      </c>
      <c r="C559">
        <f t="shared" si="29"/>
        <v>37</v>
      </c>
      <c r="D559">
        <v>3</v>
      </c>
      <c r="E559" t="s">
        <v>543</v>
      </c>
      <c r="F559" t="s">
        <v>527</v>
      </c>
      <c r="G559">
        <f t="shared" si="28"/>
        <v>111</v>
      </c>
      <c r="H559" t="str">
        <f t="shared" si="27"/>
        <v>Dry Grocery</v>
      </c>
    </row>
    <row r="560" spans="1:8">
      <c r="A560" s="17">
        <v>43196</v>
      </c>
      <c r="B560" t="s">
        <v>432</v>
      </c>
      <c r="C560">
        <f t="shared" si="29"/>
        <v>14</v>
      </c>
      <c r="D560">
        <v>0.65</v>
      </c>
      <c r="E560" t="s">
        <v>528</v>
      </c>
      <c r="F560" t="s">
        <v>527</v>
      </c>
      <c r="G560">
        <f t="shared" si="28"/>
        <v>9.1</v>
      </c>
      <c r="H560" t="str">
        <f t="shared" si="27"/>
        <v>Vegetable</v>
      </c>
    </row>
    <row r="561" spans="1:8">
      <c r="A561" s="17">
        <v>43196</v>
      </c>
      <c r="B561" t="s">
        <v>476</v>
      </c>
      <c r="C561">
        <f t="shared" si="29"/>
        <v>14.75</v>
      </c>
      <c r="D561">
        <v>0.4</v>
      </c>
      <c r="E561" t="s">
        <v>528</v>
      </c>
      <c r="F561" t="s">
        <v>527</v>
      </c>
      <c r="G561">
        <f t="shared" si="28"/>
        <v>5.9</v>
      </c>
      <c r="H561" t="str">
        <f t="shared" si="27"/>
        <v>Vegetable</v>
      </c>
    </row>
    <row r="562" spans="1:8">
      <c r="A562" s="17">
        <v>43196</v>
      </c>
      <c r="B562" t="s">
        <v>436</v>
      </c>
      <c r="C562">
        <f t="shared" si="29"/>
        <v>37</v>
      </c>
      <c r="D562">
        <v>0.2</v>
      </c>
      <c r="E562" t="s">
        <v>528</v>
      </c>
      <c r="F562" t="s">
        <v>527</v>
      </c>
      <c r="G562">
        <f t="shared" si="28"/>
        <v>7.4</v>
      </c>
      <c r="H562" t="str">
        <f t="shared" si="27"/>
        <v>Dry Grocery</v>
      </c>
    </row>
    <row r="563" spans="1:8">
      <c r="A563" s="17">
        <v>43196</v>
      </c>
      <c r="B563" t="s">
        <v>391</v>
      </c>
      <c r="C563">
        <f t="shared" si="29"/>
        <v>27.97</v>
      </c>
      <c r="D563">
        <v>0.22</v>
      </c>
      <c r="E563" t="s">
        <v>528</v>
      </c>
      <c r="F563" t="s">
        <v>527</v>
      </c>
      <c r="G563">
        <f t="shared" si="28"/>
        <v>6.1533999999999995</v>
      </c>
      <c r="H563" t="str">
        <f t="shared" si="27"/>
        <v>Vegetable</v>
      </c>
    </row>
    <row r="564" spans="1:8">
      <c r="A564" s="17">
        <v>43196</v>
      </c>
      <c r="B564" t="s">
        <v>397</v>
      </c>
      <c r="C564">
        <f t="shared" si="29"/>
        <v>75</v>
      </c>
      <c r="D564">
        <v>0.6</v>
      </c>
      <c r="E564" t="s">
        <v>555</v>
      </c>
      <c r="F564" t="s">
        <v>556</v>
      </c>
      <c r="G564">
        <f t="shared" si="28"/>
        <v>45</v>
      </c>
      <c r="H564" t="str">
        <f t="shared" si="27"/>
        <v>Sauce</v>
      </c>
    </row>
    <row r="565" spans="1:8">
      <c r="A565" s="17">
        <v>43196</v>
      </c>
      <c r="B565" t="s">
        <v>384</v>
      </c>
      <c r="C565">
        <f t="shared" si="29"/>
        <v>3</v>
      </c>
      <c r="D565">
        <v>5</v>
      </c>
      <c r="E565" t="s">
        <v>555</v>
      </c>
      <c r="F565" t="s">
        <v>556</v>
      </c>
      <c r="G565">
        <f t="shared" si="28"/>
        <v>15</v>
      </c>
      <c r="H565" t="str">
        <f t="shared" si="27"/>
        <v>Vegetable</v>
      </c>
    </row>
    <row r="566" spans="1:8">
      <c r="A566" s="17">
        <v>43196</v>
      </c>
      <c r="B566" t="s">
        <v>432</v>
      </c>
      <c r="C566">
        <f t="shared" si="29"/>
        <v>14</v>
      </c>
      <c r="D566">
        <v>0.4</v>
      </c>
      <c r="E566" t="s">
        <v>555</v>
      </c>
      <c r="F566" t="s">
        <v>556</v>
      </c>
      <c r="G566">
        <f t="shared" si="28"/>
        <v>5.6000000000000005</v>
      </c>
      <c r="H566" t="str">
        <f t="shared" si="27"/>
        <v>Vegetable</v>
      </c>
    </row>
    <row r="567" spans="1:8">
      <c r="A567" s="17">
        <v>43197</v>
      </c>
      <c r="B567" t="s">
        <v>428</v>
      </c>
      <c r="C567">
        <f t="shared" si="29"/>
        <v>78.95</v>
      </c>
      <c r="D567">
        <v>19</v>
      </c>
      <c r="E567" t="s">
        <v>531</v>
      </c>
      <c r="F567" t="s">
        <v>530</v>
      </c>
      <c r="G567">
        <f t="shared" si="28"/>
        <v>1500.05</v>
      </c>
      <c r="H567" t="str">
        <f t="shared" si="27"/>
        <v>Gas</v>
      </c>
    </row>
    <row r="568" spans="1:8">
      <c r="A568" s="17">
        <v>43197</v>
      </c>
      <c r="B568" t="s">
        <v>393</v>
      </c>
      <c r="C568">
        <f t="shared" si="29"/>
        <v>26</v>
      </c>
      <c r="D568">
        <v>9.1</v>
      </c>
      <c r="E568" t="s">
        <v>525</v>
      </c>
      <c r="F568" t="s">
        <v>526</v>
      </c>
      <c r="G568">
        <f t="shared" si="28"/>
        <v>236.6</v>
      </c>
      <c r="H568" t="str">
        <f t="shared" si="27"/>
        <v>Heating</v>
      </c>
    </row>
    <row r="569" spans="1:8">
      <c r="A569" s="17">
        <v>43197</v>
      </c>
      <c r="B569" t="s">
        <v>451</v>
      </c>
      <c r="C569">
        <f t="shared" si="29"/>
        <v>60</v>
      </c>
      <c r="D569">
        <v>1.2</v>
      </c>
      <c r="E569" t="s">
        <v>525</v>
      </c>
      <c r="F569" t="s">
        <v>526</v>
      </c>
      <c r="G569">
        <f t="shared" si="28"/>
        <v>72</v>
      </c>
      <c r="H569" t="str">
        <f t="shared" si="27"/>
        <v>Vegetable</v>
      </c>
    </row>
    <row r="570" spans="1:8">
      <c r="A570" s="17">
        <v>43197</v>
      </c>
      <c r="B570" t="s">
        <v>458</v>
      </c>
      <c r="C570">
        <f t="shared" si="29"/>
        <v>140</v>
      </c>
      <c r="D570">
        <v>0.5</v>
      </c>
      <c r="E570" t="s">
        <v>525</v>
      </c>
      <c r="F570" t="s">
        <v>526</v>
      </c>
      <c r="G570">
        <f t="shared" si="28"/>
        <v>70</v>
      </c>
      <c r="H570" t="str">
        <f t="shared" si="27"/>
        <v>Dairy</v>
      </c>
    </row>
    <row r="571" spans="1:8">
      <c r="A571" s="17">
        <v>43197</v>
      </c>
      <c r="B571" t="s">
        <v>468</v>
      </c>
      <c r="C571">
        <f t="shared" si="29"/>
        <v>32</v>
      </c>
      <c r="D571">
        <v>0.4</v>
      </c>
      <c r="E571" t="s">
        <v>525</v>
      </c>
      <c r="F571" t="s">
        <v>526</v>
      </c>
      <c r="G571">
        <f t="shared" si="28"/>
        <v>12.8</v>
      </c>
      <c r="H571" t="str">
        <f t="shared" si="27"/>
        <v>Vegetable</v>
      </c>
    </row>
    <row r="572" spans="1:8">
      <c r="A572" s="17">
        <v>43197</v>
      </c>
      <c r="B572" t="s">
        <v>430</v>
      </c>
      <c r="C572">
        <f t="shared" si="29"/>
        <v>30</v>
      </c>
      <c r="D572">
        <v>0.5</v>
      </c>
      <c r="E572" t="s">
        <v>525</v>
      </c>
      <c r="F572" t="s">
        <v>526</v>
      </c>
      <c r="G572">
        <f t="shared" si="28"/>
        <v>15</v>
      </c>
      <c r="H572" t="str">
        <f t="shared" si="27"/>
        <v>Vegetable</v>
      </c>
    </row>
    <row r="573" spans="1:8">
      <c r="A573" s="17">
        <v>43197</v>
      </c>
      <c r="B573" t="s">
        <v>434</v>
      </c>
      <c r="C573">
        <f t="shared" si="29"/>
        <v>125</v>
      </c>
      <c r="D573">
        <v>0.12</v>
      </c>
      <c r="E573" t="s">
        <v>525</v>
      </c>
      <c r="F573" t="s">
        <v>526</v>
      </c>
      <c r="G573">
        <f t="shared" si="28"/>
        <v>15</v>
      </c>
      <c r="H573" t="str">
        <f t="shared" si="27"/>
        <v>Vegetable</v>
      </c>
    </row>
    <row r="574" spans="1:8">
      <c r="A574" s="17">
        <v>43197</v>
      </c>
      <c r="B574" t="s">
        <v>390</v>
      </c>
      <c r="C574">
        <f t="shared" si="29"/>
        <v>30</v>
      </c>
      <c r="D574">
        <v>1.3</v>
      </c>
      <c r="E574" t="s">
        <v>525</v>
      </c>
      <c r="F574" t="s">
        <v>526</v>
      </c>
      <c r="G574">
        <f t="shared" si="28"/>
        <v>39</v>
      </c>
      <c r="H574" t="str">
        <f t="shared" si="27"/>
        <v>Vegetable</v>
      </c>
    </row>
    <row r="575" spans="1:8">
      <c r="A575" s="17">
        <v>43197</v>
      </c>
      <c r="B575" t="s">
        <v>378</v>
      </c>
      <c r="C575">
        <f t="shared" si="29"/>
        <v>25</v>
      </c>
      <c r="D575">
        <v>1.2</v>
      </c>
      <c r="E575" t="s">
        <v>525</v>
      </c>
      <c r="F575" t="s">
        <v>526</v>
      </c>
      <c r="G575">
        <f t="shared" si="28"/>
        <v>30</v>
      </c>
      <c r="H575" t="str">
        <f t="shared" si="27"/>
        <v>Vegetable</v>
      </c>
    </row>
    <row r="576" spans="1:8">
      <c r="A576" s="17">
        <v>43197</v>
      </c>
      <c r="B576" t="s">
        <v>458</v>
      </c>
      <c r="C576">
        <f t="shared" si="29"/>
        <v>140</v>
      </c>
      <c r="D576">
        <v>0.5</v>
      </c>
      <c r="E576" t="s">
        <v>525</v>
      </c>
      <c r="F576" t="s">
        <v>526</v>
      </c>
      <c r="G576">
        <f t="shared" si="28"/>
        <v>70</v>
      </c>
      <c r="H576" t="str">
        <f t="shared" si="27"/>
        <v>Dairy</v>
      </c>
    </row>
    <row r="577" spans="1:8">
      <c r="A577" s="17">
        <v>43197</v>
      </c>
      <c r="B577" t="s">
        <v>452</v>
      </c>
      <c r="C577">
        <f t="shared" si="29"/>
        <v>62</v>
      </c>
      <c r="D577">
        <v>2</v>
      </c>
      <c r="E577" t="s">
        <v>525</v>
      </c>
      <c r="F577" t="s">
        <v>526</v>
      </c>
      <c r="G577">
        <f t="shared" si="28"/>
        <v>124</v>
      </c>
      <c r="H577" t="str">
        <f t="shared" si="27"/>
        <v>Dry Grocery</v>
      </c>
    </row>
    <row r="578" spans="1:8">
      <c r="A578" s="17">
        <v>43197</v>
      </c>
      <c r="B578" t="s">
        <v>435</v>
      </c>
      <c r="C578">
        <f t="shared" si="29"/>
        <v>17</v>
      </c>
      <c r="D578">
        <v>1</v>
      </c>
      <c r="E578" t="s">
        <v>525</v>
      </c>
      <c r="F578" t="s">
        <v>526</v>
      </c>
      <c r="G578">
        <f t="shared" si="28"/>
        <v>17</v>
      </c>
      <c r="H578" t="str">
        <f t="shared" si="27"/>
        <v>Dry Grocery</v>
      </c>
    </row>
    <row r="579" spans="1:8">
      <c r="A579" s="17">
        <v>43197</v>
      </c>
      <c r="B579" t="s">
        <v>376</v>
      </c>
      <c r="C579">
        <f t="shared" si="29"/>
        <v>220</v>
      </c>
      <c r="D579">
        <v>5.0000000000000001E-3</v>
      </c>
      <c r="E579" t="s">
        <v>525</v>
      </c>
      <c r="F579" t="s">
        <v>526</v>
      </c>
      <c r="G579">
        <f t="shared" si="28"/>
        <v>1.1000000000000001</v>
      </c>
      <c r="H579" t="str">
        <f t="shared" ref="H579:H642" si="30">IF(B579="","",VLOOKUP(B579,$XEY$3:$XFA$1200,3,FALSE))</f>
        <v>Spice</v>
      </c>
    </row>
    <row r="580" spans="1:8">
      <c r="A580" s="17">
        <v>43197</v>
      </c>
      <c r="B580" t="s">
        <v>377</v>
      </c>
      <c r="C580">
        <f t="shared" si="29"/>
        <v>740</v>
      </c>
      <c r="D580">
        <v>5.0000000000000001E-3</v>
      </c>
      <c r="E580" t="s">
        <v>525</v>
      </c>
      <c r="F580" t="s">
        <v>526</v>
      </c>
      <c r="G580">
        <f t="shared" si="28"/>
        <v>3.7</v>
      </c>
      <c r="H580" t="str">
        <f t="shared" si="30"/>
        <v>Spice</v>
      </c>
    </row>
    <row r="581" spans="1:8">
      <c r="A581" s="17">
        <v>43197</v>
      </c>
      <c r="B581" t="s">
        <v>461</v>
      </c>
      <c r="C581">
        <f t="shared" si="29"/>
        <v>1450</v>
      </c>
      <c r="D581">
        <v>5.0000000000000001E-3</v>
      </c>
      <c r="E581" t="s">
        <v>525</v>
      </c>
      <c r="F581" t="s">
        <v>526</v>
      </c>
      <c r="G581">
        <f t="shared" si="28"/>
        <v>7.25</v>
      </c>
      <c r="H581" t="str">
        <f t="shared" si="30"/>
        <v>Spice</v>
      </c>
    </row>
    <row r="582" spans="1:8">
      <c r="A582" s="17">
        <v>43197</v>
      </c>
      <c r="B582" t="s">
        <v>399</v>
      </c>
      <c r="C582">
        <f t="shared" si="29"/>
        <v>1480</v>
      </c>
      <c r="D582">
        <v>5.0000000000000001E-3</v>
      </c>
      <c r="E582" t="s">
        <v>525</v>
      </c>
      <c r="F582" t="s">
        <v>526</v>
      </c>
      <c r="G582">
        <f t="shared" ref="G582:G645" si="31">IF(C582="","",C582*D582)</f>
        <v>7.4</v>
      </c>
      <c r="H582" t="str">
        <f t="shared" si="30"/>
        <v>Spice</v>
      </c>
    </row>
    <row r="583" spans="1:8">
      <c r="A583" s="17">
        <v>43197</v>
      </c>
      <c r="B583" t="s">
        <v>476</v>
      </c>
      <c r="C583">
        <f t="shared" si="29"/>
        <v>14.75</v>
      </c>
      <c r="D583">
        <v>0.5</v>
      </c>
      <c r="E583" t="s">
        <v>525</v>
      </c>
      <c r="F583" t="s">
        <v>526</v>
      </c>
      <c r="G583">
        <f t="shared" si="31"/>
        <v>7.375</v>
      </c>
      <c r="H583" t="str">
        <f t="shared" si="30"/>
        <v>Vegetable</v>
      </c>
    </row>
    <row r="584" spans="1:8">
      <c r="A584" s="17">
        <v>43197</v>
      </c>
      <c r="B584" t="s">
        <v>463</v>
      </c>
      <c r="C584">
        <f t="shared" si="29"/>
        <v>29.51</v>
      </c>
      <c r="D584">
        <v>3.2</v>
      </c>
      <c r="E584" t="s">
        <v>525</v>
      </c>
      <c r="F584" t="s">
        <v>526</v>
      </c>
      <c r="G584">
        <f t="shared" si="31"/>
        <v>94.432000000000016</v>
      </c>
      <c r="H584" t="str">
        <f t="shared" si="30"/>
        <v>Dry Grocery</v>
      </c>
    </row>
    <row r="585" spans="1:8">
      <c r="A585" s="17">
        <v>43197</v>
      </c>
      <c r="B585" t="s">
        <v>394</v>
      </c>
      <c r="C585">
        <f t="shared" si="29"/>
        <v>45</v>
      </c>
      <c r="D585">
        <v>1</v>
      </c>
      <c r="E585" t="s">
        <v>525</v>
      </c>
      <c r="F585" t="s">
        <v>526</v>
      </c>
      <c r="G585">
        <f t="shared" si="31"/>
        <v>45</v>
      </c>
      <c r="H585" t="str">
        <f t="shared" si="30"/>
        <v>Dry Grocery</v>
      </c>
    </row>
    <row r="586" spans="1:8">
      <c r="A586" s="17">
        <v>43197</v>
      </c>
      <c r="B586" t="s">
        <v>436</v>
      </c>
      <c r="C586">
        <f t="shared" si="29"/>
        <v>37</v>
      </c>
      <c r="D586">
        <v>0.2</v>
      </c>
      <c r="E586" t="s">
        <v>542</v>
      </c>
      <c r="F586" t="s">
        <v>554</v>
      </c>
      <c r="G586">
        <f t="shared" si="31"/>
        <v>7.4</v>
      </c>
      <c r="H586" t="str">
        <f t="shared" si="30"/>
        <v>Dry Grocery</v>
      </c>
    </row>
    <row r="587" spans="1:8">
      <c r="A587" s="17">
        <v>43197</v>
      </c>
      <c r="B587" t="s">
        <v>441</v>
      </c>
      <c r="C587">
        <f t="shared" si="29"/>
        <v>390</v>
      </c>
      <c r="D587">
        <f>0.3+0.36</f>
        <v>0.65999999999999992</v>
      </c>
      <c r="E587" t="s">
        <v>542</v>
      </c>
      <c r="F587" t="s">
        <v>554</v>
      </c>
      <c r="G587">
        <f t="shared" si="31"/>
        <v>257.39999999999998</v>
      </c>
      <c r="H587" t="str">
        <f t="shared" si="30"/>
        <v>Hot Beverage</v>
      </c>
    </row>
    <row r="588" spans="1:8">
      <c r="A588" s="17">
        <v>43197</v>
      </c>
      <c r="B588" t="s">
        <v>473</v>
      </c>
      <c r="C588">
        <f t="shared" si="29"/>
        <v>175</v>
      </c>
      <c r="D588">
        <v>1</v>
      </c>
      <c r="E588" t="s">
        <v>525</v>
      </c>
      <c r="F588" t="s">
        <v>526</v>
      </c>
      <c r="G588">
        <f t="shared" si="31"/>
        <v>175</v>
      </c>
      <c r="H588" t="str">
        <f t="shared" si="30"/>
        <v>Dairy</v>
      </c>
    </row>
    <row r="589" spans="1:8">
      <c r="A589" s="17">
        <v>43197</v>
      </c>
      <c r="B589" t="s">
        <v>386</v>
      </c>
      <c r="C589">
        <f t="shared" si="29"/>
        <v>82</v>
      </c>
      <c r="D589">
        <v>2</v>
      </c>
      <c r="E589" t="s">
        <v>525</v>
      </c>
      <c r="F589" t="s">
        <v>526</v>
      </c>
      <c r="G589">
        <f t="shared" si="31"/>
        <v>164</v>
      </c>
      <c r="H589" t="str">
        <f t="shared" si="30"/>
        <v>Oil</v>
      </c>
    </row>
    <row r="590" spans="1:8">
      <c r="A590" s="17">
        <v>43197</v>
      </c>
      <c r="B590" t="s">
        <v>384</v>
      </c>
      <c r="C590">
        <f t="shared" si="29"/>
        <v>3</v>
      </c>
      <c r="D590">
        <v>8</v>
      </c>
      <c r="E590" t="s">
        <v>525</v>
      </c>
      <c r="F590" t="s">
        <v>526</v>
      </c>
      <c r="G590">
        <f t="shared" si="31"/>
        <v>24</v>
      </c>
      <c r="H590" t="str">
        <f t="shared" si="30"/>
        <v>Vegetable</v>
      </c>
    </row>
    <row r="591" spans="1:8">
      <c r="A591" s="17">
        <v>43197</v>
      </c>
      <c r="B591" t="s">
        <v>478</v>
      </c>
      <c r="C591">
        <f t="shared" si="29"/>
        <v>180</v>
      </c>
      <c r="D591">
        <v>0.5</v>
      </c>
      <c r="E591" t="s">
        <v>525</v>
      </c>
      <c r="F591" t="s">
        <v>526</v>
      </c>
      <c r="G591">
        <f t="shared" si="31"/>
        <v>90</v>
      </c>
      <c r="H591" t="str">
        <f t="shared" si="30"/>
        <v>Dry Grocery</v>
      </c>
    </row>
    <row r="592" spans="1:8">
      <c r="A592" s="17">
        <v>43197</v>
      </c>
      <c r="B592" t="s">
        <v>398</v>
      </c>
      <c r="C592">
        <f t="shared" si="29"/>
        <v>51</v>
      </c>
      <c r="D592">
        <v>0.1</v>
      </c>
      <c r="E592" t="s">
        <v>525</v>
      </c>
      <c r="F592" t="s">
        <v>526</v>
      </c>
      <c r="G592">
        <f t="shared" si="31"/>
        <v>5.1000000000000005</v>
      </c>
      <c r="H592" t="str">
        <f t="shared" si="30"/>
        <v>Dry Grocery</v>
      </c>
    </row>
    <row r="593" spans="1:8">
      <c r="A593" s="17">
        <v>43197</v>
      </c>
      <c r="B593" t="s">
        <v>420</v>
      </c>
      <c r="C593">
        <f t="shared" si="29"/>
        <v>3</v>
      </c>
      <c r="D593">
        <v>1.9</v>
      </c>
      <c r="E593" t="s">
        <v>525</v>
      </c>
      <c r="F593" t="s">
        <v>526</v>
      </c>
      <c r="G593">
        <f t="shared" si="31"/>
        <v>5.6999999999999993</v>
      </c>
      <c r="H593" t="str">
        <f t="shared" si="30"/>
        <v>Vegetable</v>
      </c>
    </row>
    <row r="594" spans="1:8">
      <c r="A594" s="17">
        <v>43197</v>
      </c>
      <c r="B594" t="s">
        <v>379</v>
      </c>
      <c r="C594">
        <f t="shared" si="29"/>
        <v>120</v>
      </c>
      <c r="D594">
        <v>0.4</v>
      </c>
      <c r="E594" t="s">
        <v>525</v>
      </c>
      <c r="F594" t="s">
        <v>526</v>
      </c>
      <c r="G594">
        <f t="shared" si="31"/>
        <v>48</v>
      </c>
      <c r="H594" t="str">
        <f t="shared" si="30"/>
        <v>Dry Grocery</v>
      </c>
    </row>
    <row r="595" spans="1:8">
      <c r="A595" s="17">
        <v>43197</v>
      </c>
      <c r="B595" t="s">
        <v>391</v>
      </c>
      <c r="C595">
        <f t="shared" ref="C595:C666" si="32">IF(B595="","",VLOOKUP(B595,$XEY$3:$XEZ$1158,2,FALSE))</f>
        <v>27.97</v>
      </c>
      <c r="D595">
        <v>0.98</v>
      </c>
      <c r="E595" t="s">
        <v>525</v>
      </c>
      <c r="F595" t="s">
        <v>526</v>
      </c>
      <c r="G595">
        <f t="shared" si="31"/>
        <v>27.410599999999999</v>
      </c>
      <c r="H595" t="str">
        <f t="shared" si="30"/>
        <v>Vegetable</v>
      </c>
    </row>
    <row r="596" spans="1:8">
      <c r="A596" s="17">
        <v>43197</v>
      </c>
      <c r="B596" t="s">
        <v>432</v>
      </c>
      <c r="C596">
        <f t="shared" si="32"/>
        <v>14</v>
      </c>
      <c r="D596">
        <v>5</v>
      </c>
      <c r="E596" t="s">
        <v>525</v>
      </c>
      <c r="F596" t="s">
        <v>526</v>
      </c>
      <c r="G596">
        <f t="shared" si="31"/>
        <v>70</v>
      </c>
      <c r="H596" t="str">
        <f t="shared" si="30"/>
        <v>Vegetable</v>
      </c>
    </row>
    <row r="597" spans="1:8">
      <c r="A597" s="17">
        <v>43197</v>
      </c>
      <c r="B597" t="s">
        <v>502</v>
      </c>
      <c r="C597">
        <f t="shared" si="32"/>
        <v>40</v>
      </c>
      <c r="D597">
        <v>0.2</v>
      </c>
      <c r="E597" t="s">
        <v>525</v>
      </c>
      <c r="F597" t="s">
        <v>526</v>
      </c>
      <c r="G597">
        <f t="shared" si="31"/>
        <v>8</v>
      </c>
      <c r="H597" t="str">
        <f t="shared" si="30"/>
        <v>Processed Food</v>
      </c>
    </row>
    <row r="598" spans="1:8">
      <c r="A598" s="17">
        <v>43197</v>
      </c>
      <c r="B598" t="s">
        <v>427</v>
      </c>
      <c r="C598">
        <f t="shared" si="32"/>
        <v>28</v>
      </c>
      <c r="D598">
        <v>0.5</v>
      </c>
      <c r="E598" t="s">
        <v>525</v>
      </c>
      <c r="F598" t="s">
        <v>526</v>
      </c>
      <c r="G598">
        <f t="shared" si="31"/>
        <v>14</v>
      </c>
      <c r="H598" t="str">
        <f t="shared" si="30"/>
        <v>Vegetable</v>
      </c>
    </row>
    <row r="599" spans="1:8">
      <c r="A599" s="17">
        <v>43197</v>
      </c>
      <c r="B599" t="s">
        <v>491</v>
      </c>
      <c r="C599">
        <f t="shared" si="32"/>
        <v>38</v>
      </c>
      <c r="D599">
        <v>1.5</v>
      </c>
      <c r="E599" t="s">
        <v>525</v>
      </c>
      <c r="F599" t="s">
        <v>526</v>
      </c>
      <c r="G599">
        <f t="shared" si="31"/>
        <v>57</v>
      </c>
      <c r="H599" t="str">
        <f t="shared" si="30"/>
        <v>Vegetable</v>
      </c>
    </row>
    <row r="600" spans="1:8">
      <c r="A600" s="17">
        <v>43197</v>
      </c>
      <c r="B600" t="s">
        <v>386</v>
      </c>
      <c r="C600">
        <f t="shared" si="32"/>
        <v>82</v>
      </c>
      <c r="D600">
        <v>2</v>
      </c>
      <c r="E600" t="s">
        <v>525</v>
      </c>
      <c r="F600" t="s">
        <v>526</v>
      </c>
      <c r="G600">
        <f t="shared" si="31"/>
        <v>164</v>
      </c>
      <c r="H600" t="str">
        <f t="shared" si="30"/>
        <v>Oil</v>
      </c>
    </row>
    <row r="601" spans="1:8">
      <c r="A601" s="17">
        <v>43197</v>
      </c>
      <c r="B601" t="s">
        <v>433</v>
      </c>
      <c r="C601">
        <f t="shared" si="32"/>
        <v>20</v>
      </c>
      <c r="D601">
        <v>6.3</v>
      </c>
      <c r="E601" t="s">
        <v>525</v>
      </c>
      <c r="F601" t="s">
        <v>526</v>
      </c>
      <c r="G601">
        <f t="shared" si="31"/>
        <v>126</v>
      </c>
      <c r="H601" t="str">
        <f t="shared" si="30"/>
        <v>Vegetable</v>
      </c>
    </row>
    <row r="602" spans="1:8">
      <c r="A602" s="17">
        <v>43197</v>
      </c>
      <c r="B602" t="s">
        <v>468</v>
      </c>
      <c r="C602">
        <f t="shared" si="32"/>
        <v>32</v>
      </c>
      <c r="D602">
        <v>5</v>
      </c>
      <c r="E602" t="s">
        <v>525</v>
      </c>
      <c r="F602" t="s">
        <v>526</v>
      </c>
      <c r="G602">
        <f t="shared" si="31"/>
        <v>160</v>
      </c>
      <c r="H602" t="str">
        <f t="shared" si="30"/>
        <v>Vegetable</v>
      </c>
    </row>
    <row r="603" spans="1:8">
      <c r="A603" s="17">
        <v>43197</v>
      </c>
      <c r="B603" t="s">
        <v>474</v>
      </c>
      <c r="C603">
        <f t="shared" si="32"/>
        <v>27</v>
      </c>
      <c r="D603">
        <v>3</v>
      </c>
      <c r="E603" t="s">
        <v>525</v>
      </c>
      <c r="F603" t="s">
        <v>526</v>
      </c>
      <c r="G603">
        <f t="shared" si="31"/>
        <v>81</v>
      </c>
      <c r="H603" t="str">
        <f t="shared" si="30"/>
        <v>Dry Grocery</v>
      </c>
    </row>
    <row r="604" spans="1:8">
      <c r="A604" s="17">
        <v>43197</v>
      </c>
      <c r="B604" t="s">
        <v>371</v>
      </c>
      <c r="C604">
        <f t="shared" si="32"/>
        <v>23.33</v>
      </c>
      <c r="D604">
        <v>1.6</v>
      </c>
      <c r="E604" t="s">
        <v>525</v>
      </c>
      <c r="F604" t="s">
        <v>526</v>
      </c>
      <c r="G604">
        <f t="shared" si="31"/>
        <v>37.327999999999996</v>
      </c>
      <c r="H604" t="str">
        <f t="shared" si="30"/>
        <v>Vegetable</v>
      </c>
    </row>
    <row r="605" spans="1:8">
      <c r="A605" s="17">
        <v>43197</v>
      </c>
      <c r="B605" t="s">
        <v>436</v>
      </c>
      <c r="C605">
        <f t="shared" si="32"/>
        <v>37</v>
      </c>
      <c r="D605">
        <f>0.25+1.175</f>
        <v>1.425</v>
      </c>
      <c r="E605" t="s">
        <v>525</v>
      </c>
      <c r="F605" t="s">
        <v>526</v>
      </c>
      <c r="G605">
        <f t="shared" si="31"/>
        <v>52.725000000000001</v>
      </c>
      <c r="H605" t="str">
        <f t="shared" si="30"/>
        <v>Dry Grocery</v>
      </c>
    </row>
    <row r="606" spans="1:8">
      <c r="A606" s="17">
        <v>43197</v>
      </c>
      <c r="B606" t="s">
        <v>454</v>
      </c>
      <c r="C606">
        <f t="shared" si="32"/>
        <v>43.06</v>
      </c>
      <c r="D606">
        <v>0.3</v>
      </c>
      <c r="E606" t="s">
        <v>525</v>
      </c>
      <c r="F606" t="s">
        <v>526</v>
      </c>
      <c r="G606">
        <f t="shared" si="31"/>
        <v>12.918000000000001</v>
      </c>
      <c r="H606" t="str">
        <f t="shared" si="30"/>
        <v>Vegetable</v>
      </c>
    </row>
    <row r="607" spans="1:8">
      <c r="A607" s="17">
        <v>43197</v>
      </c>
      <c r="B607" t="s">
        <v>457</v>
      </c>
      <c r="C607">
        <f t="shared" si="32"/>
        <v>64</v>
      </c>
      <c r="D607">
        <v>2</v>
      </c>
      <c r="E607" t="s">
        <v>525</v>
      </c>
      <c r="F607" t="s">
        <v>526</v>
      </c>
      <c r="G607">
        <f t="shared" si="31"/>
        <v>128</v>
      </c>
      <c r="H607" t="str">
        <f t="shared" si="30"/>
        <v>Dry Grocery</v>
      </c>
    </row>
    <row r="608" spans="1:8">
      <c r="A608" s="17">
        <v>43197</v>
      </c>
      <c r="B608" t="s">
        <v>462</v>
      </c>
      <c r="C608">
        <f t="shared" si="32"/>
        <v>138</v>
      </c>
      <c r="D608">
        <v>0.28000000000000003</v>
      </c>
      <c r="E608" t="s">
        <v>525</v>
      </c>
      <c r="F608" t="s">
        <v>526</v>
      </c>
      <c r="G608">
        <f t="shared" si="31"/>
        <v>38.64</v>
      </c>
      <c r="H608" t="str">
        <f t="shared" si="30"/>
        <v>Dry Grocery</v>
      </c>
    </row>
    <row r="609" spans="1:8">
      <c r="A609" s="17">
        <v>43197</v>
      </c>
      <c r="B609" t="s">
        <v>419</v>
      </c>
      <c r="C609">
        <f t="shared" si="32"/>
        <v>60</v>
      </c>
      <c r="D609">
        <v>0.2</v>
      </c>
      <c r="E609" t="s">
        <v>525</v>
      </c>
      <c r="F609" t="s">
        <v>526</v>
      </c>
      <c r="G609">
        <f t="shared" si="31"/>
        <v>12</v>
      </c>
      <c r="H609" t="str">
        <f t="shared" si="30"/>
        <v>Sauce</v>
      </c>
    </row>
    <row r="610" spans="1:8">
      <c r="A610" s="17">
        <v>43197</v>
      </c>
      <c r="B610" t="s">
        <v>520</v>
      </c>
      <c r="C610">
        <f t="shared" si="32"/>
        <v>45</v>
      </c>
      <c r="D610">
        <v>0.1</v>
      </c>
      <c r="E610" t="s">
        <v>525</v>
      </c>
      <c r="F610" t="s">
        <v>526</v>
      </c>
      <c r="G610">
        <f t="shared" si="31"/>
        <v>4.5</v>
      </c>
      <c r="H610" t="str">
        <f t="shared" si="30"/>
        <v>Dry Grocery</v>
      </c>
    </row>
    <row r="611" spans="1:8">
      <c r="A611" s="17">
        <v>43197</v>
      </c>
      <c r="B611" t="s">
        <v>397</v>
      </c>
      <c r="C611">
        <f t="shared" si="32"/>
        <v>75</v>
      </c>
      <c r="D611">
        <v>0.6</v>
      </c>
      <c r="E611" t="s">
        <v>525</v>
      </c>
      <c r="F611" t="s">
        <v>526</v>
      </c>
      <c r="G611">
        <f t="shared" si="31"/>
        <v>45</v>
      </c>
      <c r="H611" t="str">
        <f t="shared" si="30"/>
        <v>Sauce</v>
      </c>
    </row>
    <row r="612" spans="1:8">
      <c r="A612" s="17">
        <v>43197</v>
      </c>
      <c r="B612" t="s">
        <v>437</v>
      </c>
      <c r="C612">
        <f t="shared" si="32"/>
        <v>34</v>
      </c>
      <c r="D612">
        <v>0.8</v>
      </c>
      <c r="E612" t="s">
        <v>336</v>
      </c>
      <c r="F612" t="s">
        <v>527</v>
      </c>
      <c r="G612">
        <f t="shared" si="31"/>
        <v>27.200000000000003</v>
      </c>
      <c r="H612" t="str">
        <f t="shared" si="30"/>
        <v>Dry Grocery</v>
      </c>
    </row>
    <row r="613" spans="1:8">
      <c r="A613" s="17">
        <v>43197</v>
      </c>
      <c r="B613" t="s">
        <v>371</v>
      </c>
      <c r="C613">
        <f t="shared" si="32"/>
        <v>23.33</v>
      </c>
      <c r="D613">
        <v>0.1</v>
      </c>
      <c r="E613" t="s">
        <v>336</v>
      </c>
      <c r="F613" t="s">
        <v>527</v>
      </c>
      <c r="G613">
        <f t="shared" si="31"/>
        <v>2.3329999999999997</v>
      </c>
      <c r="H613" t="str">
        <f t="shared" si="30"/>
        <v>Vegetable</v>
      </c>
    </row>
    <row r="614" spans="1:8">
      <c r="A614" s="17">
        <v>43197</v>
      </c>
      <c r="B614" t="s">
        <v>511</v>
      </c>
      <c r="C614">
        <f t="shared" si="32"/>
        <v>52</v>
      </c>
      <c r="D614">
        <v>4.4000000000000004</v>
      </c>
      <c r="E614" t="s">
        <v>336</v>
      </c>
      <c r="F614" t="s">
        <v>527</v>
      </c>
      <c r="G614">
        <f t="shared" si="31"/>
        <v>228.8</v>
      </c>
      <c r="H614" t="str">
        <f t="shared" si="30"/>
        <v>Dry Grocery</v>
      </c>
    </row>
    <row r="615" spans="1:8">
      <c r="A615" s="17">
        <v>43197</v>
      </c>
      <c r="B615" t="s">
        <v>404</v>
      </c>
      <c r="C615">
        <f t="shared" si="32"/>
        <v>28</v>
      </c>
      <c r="D615">
        <v>3</v>
      </c>
      <c r="E615" t="s">
        <v>336</v>
      </c>
      <c r="F615" t="s">
        <v>527</v>
      </c>
      <c r="G615">
        <f t="shared" si="31"/>
        <v>84</v>
      </c>
      <c r="H615" t="str">
        <f t="shared" si="30"/>
        <v>Vegetable</v>
      </c>
    </row>
    <row r="616" spans="1:8">
      <c r="A616" s="17">
        <v>43197</v>
      </c>
      <c r="B616" t="s">
        <v>436</v>
      </c>
      <c r="C616">
        <f t="shared" si="32"/>
        <v>37</v>
      </c>
      <c r="D616">
        <v>0.3</v>
      </c>
      <c r="E616" t="s">
        <v>336</v>
      </c>
      <c r="F616" t="s">
        <v>527</v>
      </c>
      <c r="G616">
        <f t="shared" si="31"/>
        <v>11.1</v>
      </c>
      <c r="H616" t="str">
        <f t="shared" si="30"/>
        <v>Dry Grocery</v>
      </c>
    </row>
    <row r="617" spans="1:8">
      <c r="A617" s="17">
        <v>43197</v>
      </c>
      <c r="B617" t="s">
        <v>375</v>
      </c>
      <c r="C617">
        <f t="shared" si="32"/>
        <v>280</v>
      </c>
      <c r="D617">
        <v>7.0000000000000007E-2</v>
      </c>
      <c r="E617" t="s">
        <v>336</v>
      </c>
      <c r="F617" t="s">
        <v>527</v>
      </c>
      <c r="G617">
        <f t="shared" si="31"/>
        <v>19.600000000000001</v>
      </c>
      <c r="H617" t="str">
        <f t="shared" si="30"/>
        <v>Dry Grocery</v>
      </c>
    </row>
    <row r="618" spans="1:8">
      <c r="A618" s="17">
        <v>43197</v>
      </c>
      <c r="B618" t="s">
        <v>379</v>
      </c>
      <c r="C618">
        <f t="shared" si="32"/>
        <v>120</v>
      </c>
      <c r="D618">
        <v>7.4999999999999997E-2</v>
      </c>
      <c r="E618" t="s">
        <v>336</v>
      </c>
      <c r="F618" t="s">
        <v>527</v>
      </c>
      <c r="G618">
        <f t="shared" si="31"/>
        <v>9</v>
      </c>
      <c r="H618" t="str">
        <f t="shared" si="30"/>
        <v>Dry Grocery</v>
      </c>
    </row>
    <row r="619" spans="1:8">
      <c r="A619" s="17">
        <v>43197</v>
      </c>
      <c r="B619" t="s">
        <v>507</v>
      </c>
      <c r="C619">
        <f t="shared" si="32"/>
        <v>340</v>
      </c>
      <c r="D619">
        <v>0.03</v>
      </c>
      <c r="E619" t="s">
        <v>336</v>
      </c>
      <c r="F619" t="s">
        <v>527</v>
      </c>
      <c r="G619">
        <f t="shared" si="31"/>
        <v>10.199999999999999</v>
      </c>
      <c r="H619" t="str">
        <f t="shared" si="30"/>
        <v>Dry Grocery</v>
      </c>
    </row>
    <row r="620" spans="1:8">
      <c r="A620" s="17">
        <v>43197</v>
      </c>
      <c r="B620" t="s">
        <v>509</v>
      </c>
      <c r="C620">
        <f t="shared" si="32"/>
        <v>500</v>
      </c>
      <c r="D620">
        <v>7.0000000000000007E-2</v>
      </c>
      <c r="E620" t="s">
        <v>336</v>
      </c>
      <c r="F620" t="s">
        <v>527</v>
      </c>
      <c r="G620">
        <f t="shared" si="31"/>
        <v>35</v>
      </c>
      <c r="H620" t="str">
        <f t="shared" si="30"/>
        <v>Dry Grocery</v>
      </c>
    </row>
    <row r="621" spans="1:8">
      <c r="A621" s="17">
        <v>43197</v>
      </c>
      <c r="B621" t="s">
        <v>381</v>
      </c>
      <c r="C621">
        <f t="shared" si="32"/>
        <v>7</v>
      </c>
      <c r="D621">
        <v>0.59</v>
      </c>
      <c r="E621" t="s">
        <v>336</v>
      </c>
      <c r="F621" t="s">
        <v>527</v>
      </c>
      <c r="G621">
        <f t="shared" si="31"/>
        <v>4.13</v>
      </c>
      <c r="H621" t="str">
        <f t="shared" si="30"/>
        <v>Dry Grocery</v>
      </c>
    </row>
    <row r="622" spans="1:8">
      <c r="A622" s="17">
        <v>43197</v>
      </c>
      <c r="B622" t="s">
        <v>387</v>
      </c>
      <c r="C622">
        <f t="shared" si="32"/>
        <v>187.41</v>
      </c>
      <c r="D622">
        <v>0.03</v>
      </c>
      <c r="E622" t="s">
        <v>336</v>
      </c>
      <c r="F622" t="s">
        <v>527</v>
      </c>
      <c r="G622">
        <f t="shared" si="31"/>
        <v>5.6223000000000001</v>
      </c>
      <c r="H622" t="str">
        <f t="shared" si="30"/>
        <v>Dry Grocery</v>
      </c>
    </row>
    <row r="623" spans="1:8">
      <c r="A623" s="17">
        <v>43197</v>
      </c>
      <c r="B623" t="s">
        <v>426</v>
      </c>
      <c r="C623">
        <f t="shared" si="32"/>
        <v>57.5</v>
      </c>
      <c r="D623">
        <v>2.5000000000000001E-2</v>
      </c>
      <c r="E623" t="s">
        <v>336</v>
      </c>
      <c r="F623" t="s">
        <v>527</v>
      </c>
      <c r="G623">
        <f t="shared" si="31"/>
        <v>1.4375</v>
      </c>
      <c r="H623" t="str">
        <f t="shared" si="30"/>
        <v>Dry Grocery</v>
      </c>
    </row>
    <row r="624" spans="1:8">
      <c r="A624" s="17">
        <v>43197</v>
      </c>
      <c r="B624" t="s">
        <v>485</v>
      </c>
      <c r="C624">
        <f t="shared" si="32"/>
        <v>96</v>
      </c>
      <c r="D624">
        <v>0.14000000000000001</v>
      </c>
      <c r="E624" t="s">
        <v>336</v>
      </c>
      <c r="F624" t="s">
        <v>527</v>
      </c>
      <c r="G624">
        <f t="shared" si="31"/>
        <v>13.440000000000001</v>
      </c>
      <c r="H624" t="str">
        <f t="shared" si="30"/>
        <v>Oil</v>
      </c>
    </row>
    <row r="625" spans="1:8">
      <c r="A625" s="17">
        <v>43197</v>
      </c>
      <c r="B625" t="s">
        <v>386</v>
      </c>
      <c r="C625">
        <f t="shared" si="32"/>
        <v>82</v>
      </c>
      <c r="D625">
        <v>1</v>
      </c>
      <c r="E625" t="s">
        <v>336</v>
      </c>
      <c r="F625" t="s">
        <v>527</v>
      </c>
      <c r="G625">
        <f t="shared" si="31"/>
        <v>82</v>
      </c>
      <c r="H625" t="str">
        <f t="shared" si="30"/>
        <v>Oil</v>
      </c>
    </row>
    <row r="626" spans="1:8">
      <c r="A626" s="17">
        <v>43197</v>
      </c>
      <c r="B626" t="s">
        <v>383</v>
      </c>
      <c r="C626">
        <f t="shared" si="32"/>
        <v>230</v>
      </c>
      <c r="D626">
        <v>3.5000000000000003E-2</v>
      </c>
      <c r="E626" t="s">
        <v>336</v>
      </c>
      <c r="F626" t="s">
        <v>527</v>
      </c>
      <c r="G626">
        <f t="shared" si="31"/>
        <v>8.0500000000000007</v>
      </c>
      <c r="H626" t="str">
        <f t="shared" si="30"/>
        <v>Dry Grocery</v>
      </c>
    </row>
    <row r="627" spans="1:8">
      <c r="A627" s="17">
        <v>43197</v>
      </c>
      <c r="B627" t="s">
        <v>431</v>
      </c>
      <c r="C627">
        <f t="shared" si="32"/>
        <v>70</v>
      </c>
      <c r="D627">
        <v>3.5000000000000003E-2</v>
      </c>
      <c r="E627" t="s">
        <v>336</v>
      </c>
      <c r="F627" t="s">
        <v>527</v>
      </c>
      <c r="G627">
        <f t="shared" si="31"/>
        <v>2.4500000000000002</v>
      </c>
      <c r="H627" t="str">
        <f t="shared" si="30"/>
        <v>Dry Grocery</v>
      </c>
    </row>
    <row r="628" spans="1:8">
      <c r="A628" s="17">
        <v>43197</v>
      </c>
      <c r="B628" t="s">
        <v>432</v>
      </c>
      <c r="C628">
        <f t="shared" si="32"/>
        <v>14</v>
      </c>
      <c r="D628">
        <v>2</v>
      </c>
      <c r="E628" t="s">
        <v>336</v>
      </c>
      <c r="F628" t="s">
        <v>527</v>
      </c>
      <c r="G628">
        <f t="shared" si="31"/>
        <v>28</v>
      </c>
      <c r="H628" t="str">
        <f t="shared" si="30"/>
        <v>Vegetable</v>
      </c>
    </row>
    <row r="629" spans="1:8">
      <c r="A629" s="17">
        <v>43197</v>
      </c>
      <c r="B629" t="s">
        <v>367</v>
      </c>
      <c r="C629">
        <f t="shared" si="32"/>
        <v>55</v>
      </c>
      <c r="D629">
        <v>5.5E-2</v>
      </c>
      <c r="E629" t="s">
        <v>336</v>
      </c>
      <c r="F629" t="s">
        <v>527</v>
      </c>
      <c r="G629">
        <f t="shared" si="31"/>
        <v>3.0249999999999999</v>
      </c>
      <c r="H629" t="str">
        <f t="shared" si="30"/>
        <v>Dry Grocery</v>
      </c>
    </row>
    <row r="630" spans="1:8">
      <c r="A630" s="17">
        <v>43197</v>
      </c>
      <c r="B630" t="s">
        <v>427</v>
      </c>
      <c r="C630">
        <f t="shared" si="32"/>
        <v>28</v>
      </c>
      <c r="D630">
        <v>0.245</v>
      </c>
      <c r="E630" t="s">
        <v>336</v>
      </c>
      <c r="F630" t="s">
        <v>527</v>
      </c>
      <c r="G630">
        <f t="shared" si="31"/>
        <v>6.8599999999999994</v>
      </c>
      <c r="H630" t="str">
        <f t="shared" si="30"/>
        <v>Vegetable</v>
      </c>
    </row>
    <row r="631" spans="1:8">
      <c r="A631" s="17">
        <v>43197</v>
      </c>
      <c r="B631" t="s">
        <v>429</v>
      </c>
      <c r="C631">
        <f t="shared" si="32"/>
        <v>40</v>
      </c>
      <c r="D631">
        <v>6.5000000000000002E-2</v>
      </c>
      <c r="E631" t="s">
        <v>336</v>
      </c>
      <c r="F631" t="s">
        <v>527</v>
      </c>
      <c r="G631">
        <f t="shared" si="31"/>
        <v>2.6</v>
      </c>
      <c r="H631" t="str">
        <f t="shared" si="30"/>
        <v>Vegetable</v>
      </c>
    </row>
    <row r="632" spans="1:8">
      <c r="A632" s="17">
        <v>43197</v>
      </c>
      <c r="B632" t="s">
        <v>409</v>
      </c>
      <c r="C632">
        <f t="shared" si="32"/>
        <v>64.069999999999993</v>
      </c>
      <c r="D632">
        <v>0.3</v>
      </c>
      <c r="E632" t="s">
        <v>336</v>
      </c>
      <c r="F632" t="s">
        <v>527</v>
      </c>
      <c r="G632">
        <f t="shared" si="31"/>
        <v>19.220999999999997</v>
      </c>
      <c r="H632" t="str">
        <f t="shared" si="30"/>
        <v>Dry Grocery</v>
      </c>
    </row>
    <row r="633" spans="1:8">
      <c r="A633" s="17">
        <v>43197</v>
      </c>
      <c r="B633" t="s">
        <v>392</v>
      </c>
      <c r="C633">
        <f t="shared" si="32"/>
        <v>840</v>
      </c>
      <c r="D633">
        <f>0.055/2</f>
        <v>2.75E-2</v>
      </c>
      <c r="E633" t="s">
        <v>336</v>
      </c>
      <c r="F633" t="s">
        <v>527</v>
      </c>
      <c r="G633">
        <f t="shared" si="31"/>
        <v>23.1</v>
      </c>
      <c r="H633" t="str">
        <f t="shared" si="30"/>
        <v>Dry Grocery</v>
      </c>
    </row>
    <row r="634" spans="1:8">
      <c r="A634" s="17">
        <v>43197</v>
      </c>
      <c r="B634" t="s">
        <v>506</v>
      </c>
      <c r="C634">
        <f t="shared" si="32"/>
        <v>240</v>
      </c>
      <c r="D634">
        <f>0.055/2</f>
        <v>2.75E-2</v>
      </c>
      <c r="E634" t="s">
        <v>336</v>
      </c>
      <c r="F634" t="s">
        <v>527</v>
      </c>
      <c r="G634">
        <f t="shared" si="31"/>
        <v>6.6</v>
      </c>
      <c r="H634" t="str">
        <f t="shared" si="30"/>
        <v>Dry Grocery</v>
      </c>
    </row>
    <row r="635" spans="1:8">
      <c r="A635" s="17">
        <v>43197</v>
      </c>
      <c r="B635" t="s">
        <v>476</v>
      </c>
      <c r="C635">
        <f t="shared" si="32"/>
        <v>14.75</v>
      </c>
      <c r="D635">
        <v>0.95499999999999996</v>
      </c>
      <c r="E635" t="s">
        <v>336</v>
      </c>
      <c r="F635" t="s">
        <v>527</v>
      </c>
      <c r="G635">
        <f t="shared" si="31"/>
        <v>14.08625</v>
      </c>
      <c r="H635" t="str">
        <f t="shared" si="30"/>
        <v>Vegetable</v>
      </c>
    </row>
    <row r="636" spans="1:8">
      <c r="A636" s="17">
        <v>43197</v>
      </c>
      <c r="B636" t="s">
        <v>378</v>
      </c>
      <c r="C636">
        <f t="shared" si="32"/>
        <v>25</v>
      </c>
      <c r="D636">
        <v>0.315</v>
      </c>
      <c r="E636" t="s">
        <v>336</v>
      </c>
      <c r="F636" t="s">
        <v>527</v>
      </c>
      <c r="G636">
        <f t="shared" si="31"/>
        <v>7.875</v>
      </c>
      <c r="H636" t="str">
        <f t="shared" si="30"/>
        <v>Vegetable</v>
      </c>
    </row>
    <row r="637" spans="1:8">
      <c r="A637" s="17">
        <v>43197</v>
      </c>
      <c r="B637" t="s">
        <v>434</v>
      </c>
      <c r="C637">
        <f t="shared" si="32"/>
        <v>125</v>
      </c>
      <c r="D637">
        <v>0.06</v>
      </c>
      <c r="E637" t="s">
        <v>336</v>
      </c>
      <c r="F637" t="s">
        <v>527</v>
      </c>
      <c r="G637">
        <f t="shared" si="31"/>
        <v>7.5</v>
      </c>
      <c r="H637" t="str">
        <f t="shared" si="30"/>
        <v>Vegetable</v>
      </c>
    </row>
    <row r="638" spans="1:8">
      <c r="A638" s="17">
        <v>43197</v>
      </c>
      <c r="B638" t="s">
        <v>391</v>
      </c>
      <c r="C638">
        <f t="shared" si="32"/>
        <v>27.97</v>
      </c>
      <c r="D638">
        <v>0.75</v>
      </c>
      <c r="E638" t="s">
        <v>336</v>
      </c>
      <c r="F638" t="s">
        <v>527</v>
      </c>
      <c r="G638">
        <f t="shared" si="31"/>
        <v>20.977499999999999</v>
      </c>
      <c r="H638" t="str">
        <f t="shared" si="30"/>
        <v>Vegetable</v>
      </c>
    </row>
    <row r="639" spans="1:8">
      <c r="A639" s="17">
        <v>43197</v>
      </c>
      <c r="B639" t="s">
        <v>454</v>
      </c>
      <c r="C639">
        <f t="shared" si="32"/>
        <v>43.06</v>
      </c>
      <c r="D639">
        <v>0.72499999999999998</v>
      </c>
      <c r="E639" t="s">
        <v>336</v>
      </c>
      <c r="F639" t="s">
        <v>527</v>
      </c>
      <c r="G639">
        <f t="shared" si="31"/>
        <v>31.218500000000002</v>
      </c>
      <c r="H639" t="str">
        <f t="shared" si="30"/>
        <v>Vegetable</v>
      </c>
    </row>
    <row r="640" spans="1:8">
      <c r="A640" s="17">
        <v>43197</v>
      </c>
      <c r="B640" t="s">
        <v>486</v>
      </c>
      <c r="C640">
        <f t="shared" si="32"/>
        <v>108</v>
      </c>
      <c r="D640">
        <v>0.11</v>
      </c>
      <c r="E640" t="s">
        <v>336</v>
      </c>
      <c r="F640" t="s">
        <v>527</v>
      </c>
      <c r="G640">
        <f t="shared" si="31"/>
        <v>11.88</v>
      </c>
      <c r="H640" t="str">
        <f t="shared" si="30"/>
        <v>Dry Grocery</v>
      </c>
    </row>
    <row r="641" spans="1:8">
      <c r="A641" s="17">
        <v>43197</v>
      </c>
      <c r="B641" t="s">
        <v>499</v>
      </c>
      <c r="C641">
        <f t="shared" si="32"/>
        <v>60</v>
      </c>
      <c r="D641">
        <v>0.09</v>
      </c>
      <c r="E641" t="s">
        <v>336</v>
      </c>
      <c r="F641" t="s">
        <v>527</v>
      </c>
      <c r="G641">
        <f t="shared" si="31"/>
        <v>5.3999999999999995</v>
      </c>
      <c r="H641" t="str">
        <f t="shared" si="30"/>
        <v>Dry Grocery</v>
      </c>
    </row>
    <row r="642" spans="1:8">
      <c r="A642" s="17">
        <v>43197</v>
      </c>
      <c r="B642" t="s">
        <v>479</v>
      </c>
      <c r="C642">
        <f t="shared" si="32"/>
        <v>312.14</v>
      </c>
      <c r="D642">
        <v>0.02</v>
      </c>
      <c r="E642" t="s">
        <v>336</v>
      </c>
      <c r="F642" t="s">
        <v>527</v>
      </c>
      <c r="G642">
        <f t="shared" si="31"/>
        <v>6.2427999999999999</v>
      </c>
      <c r="H642" t="str">
        <f t="shared" si="30"/>
        <v>Vegetable</v>
      </c>
    </row>
    <row r="643" spans="1:8">
      <c r="A643" s="17">
        <v>43197</v>
      </c>
      <c r="B643" t="s">
        <v>471</v>
      </c>
      <c r="C643">
        <f t="shared" si="32"/>
        <v>160</v>
      </c>
      <c r="D643">
        <v>0.14499999999999999</v>
      </c>
      <c r="E643" t="s">
        <v>336</v>
      </c>
      <c r="F643" t="s">
        <v>527</v>
      </c>
      <c r="G643">
        <f t="shared" si="31"/>
        <v>23.2</v>
      </c>
      <c r="H643" t="str">
        <f t="shared" ref="H643:H706" si="33">IF(B643="","",VLOOKUP(B643,$XEY$3:$XFA$1200,3,FALSE))</f>
        <v>Dry Grocery</v>
      </c>
    </row>
    <row r="644" spans="1:8">
      <c r="A644" s="17">
        <v>43197</v>
      </c>
      <c r="B644" t="s">
        <v>510</v>
      </c>
      <c r="C644">
        <f t="shared" si="32"/>
        <v>62.03</v>
      </c>
      <c r="D644">
        <v>0.05</v>
      </c>
      <c r="E644" t="s">
        <v>336</v>
      </c>
      <c r="F644" t="s">
        <v>527</v>
      </c>
      <c r="G644">
        <f t="shared" si="31"/>
        <v>3.1015000000000001</v>
      </c>
      <c r="H644" t="str">
        <f t="shared" si="33"/>
        <v>Dry Grocery</v>
      </c>
    </row>
    <row r="645" spans="1:8">
      <c r="A645" s="17">
        <v>43197</v>
      </c>
      <c r="B645" t="s">
        <v>461</v>
      </c>
      <c r="C645">
        <f t="shared" si="32"/>
        <v>1450</v>
      </c>
      <c r="D645">
        <v>5.0000000000000001E-3</v>
      </c>
      <c r="E645" t="s">
        <v>336</v>
      </c>
      <c r="F645" t="s">
        <v>527</v>
      </c>
      <c r="G645">
        <f t="shared" si="31"/>
        <v>7.25</v>
      </c>
      <c r="H645" t="str">
        <f t="shared" si="33"/>
        <v>Spice</v>
      </c>
    </row>
    <row r="646" spans="1:8">
      <c r="A646" s="17">
        <v>43197</v>
      </c>
      <c r="B646" t="s">
        <v>514</v>
      </c>
      <c r="C646">
        <f t="shared" si="32"/>
        <v>61.08</v>
      </c>
      <c r="D646">
        <v>0.17499999999999999</v>
      </c>
      <c r="E646" t="s">
        <v>336</v>
      </c>
      <c r="F646" t="s">
        <v>527</v>
      </c>
      <c r="G646">
        <f t="shared" ref="G646:G822" si="34">IF(C646="","",C646*D646)</f>
        <v>10.688999999999998</v>
      </c>
      <c r="H646" t="str">
        <f t="shared" si="33"/>
        <v>Dry Grocery</v>
      </c>
    </row>
    <row r="647" spans="1:8">
      <c r="A647" s="17">
        <v>43197</v>
      </c>
      <c r="B647" t="s">
        <v>519</v>
      </c>
      <c r="C647">
        <f t="shared" si="32"/>
        <v>35</v>
      </c>
      <c r="D647">
        <v>1.1000000000000001</v>
      </c>
      <c r="E647" t="s">
        <v>336</v>
      </c>
      <c r="F647" t="s">
        <v>527</v>
      </c>
      <c r="G647">
        <f t="shared" si="34"/>
        <v>38.5</v>
      </c>
      <c r="H647" t="str">
        <f t="shared" si="33"/>
        <v>Vegetable</v>
      </c>
    </row>
    <row r="648" spans="1:8">
      <c r="A648" s="17">
        <v>43197</v>
      </c>
      <c r="B648" t="s">
        <v>430</v>
      </c>
      <c r="C648">
        <f t="shared" si="32"/>
        <v>30</v>
      </c>
      <c r="D648">
        <v>0.2</v>
      </c>
      <c r="E648" t="s">
        <v>336</v>
      </c>
      <c r="F648" t="s">
        <v>527</v>
      </c>
      <c r="G648">
        <f t="shared" si="34"/>
        <v>6</v>
      </c>
      <c r="H648" t="str">
        <f t="shared" si="33"/>
        <v>Vegetable</v>
      </c>
    </row>
    <row r="649" spans="1:8">
      <c r="A649" s="17">
        <v>43197</v>
      </c>
      <c r="B649" t="s">
        <v>462</v>
      </c>
      <c r="C649">
        <f t="shared" si="32"/>
        <v>138</v>
      </c>
      <c r="D649">
        <v>0.02</v>
      </c>
      <c r="E649" t="s">
        <v>336</v>
      </c>
      <c r="F649" t="s">
        <v>527</v>
      </c>
      <c r="G649">
        <f t="shared" si="34"/>
        <v>2.7600000000000002</v>
      </c>
      <c r="H649" t="str">
        <f t="shared" si="33"/>
        <v>Dry Grocery</v>
      </c>
    </row>
    <row r="650" spans="1:8">
      <c r="A650" s="17">
        <v>43197</v>
      </c>
      <c r="B650" t="s">
        <v>437</v>
      </c>
      <c r="C650">
        <f t="shared" si="32"/>
        <v>34</v>
      </c>
      <c r="D650">
        <v>0.1</v>
      </c>
      <c r="E650" t="s">
        <v>336</v>
      </c>
      <c r="F650" t="s">
        <v>527</v>
      </c>
      <c r="G650">
        <f t="shared" si="34"/>
        <v>3.4000000000000004</v>
      </c>
      <c r="H650" t="str">
        <f t="shared" si="33"/>
        <v>Dry Grocery</v>
      </c>
    </row>
    <row r="651" spans="1:8">
      <c r="A651" s="17">
        <v>43197</v>
      </c>
      <c r="B651" t="s">
        <v>460</v>
      </c>
      <c r="C651">
        <f t="shared" si="32"/>
        <v>43.98</v>
      </c>
      <c r="D651">
        <v>0.2</v>
      </c>
      <c r="E651" t="s">
        <v>336</v>
      </c>
      <c r="F651" t="s">
        <v>527</v>
      </c>
      <c r="G651">
        <f t="shared" si="34"/>
        <v>8.7959999999999994</v>
      </c>
      <c r="H651" t="str">
        <f t="shared" si="33"/>
        <v>Vegetable</v>
      </c>
    </row>
    <row r="652" spans="1:8">
      <c r="A652" s="17">
        <v>43197</v>
      </c>
      <c r="B652" t="s">
        <v>367</v>
      </c>
      <c r="C652">
        <f t="shared" si="32"/>
        <v>55</v>
      </c>
      <c r="D652">
        <v>0.15</v>
      </c>
      <c r="E652" t="s">
        <v>336</v>
      </c>
      <c r="F652" t="s">
        <v>527</v>
      </c>
      <c r="G652">
        <f t="shared" si="34"/>
        <v>8.25</v>
      </c>
      <c r="H652" t="str">
        <f t="shared" si="33"/>
        <v>Dry Grocery</v>
      </c>
    </row>
    <row r="653" spans="1:8">
      <c r="A653" s="17">
        <v>43197</v>
      </c>
      <c r="B653" t="s">
        <v>432</v>
      </c>
      <c r="C653">
        <f t="shared" si="32"/>
        <v>14</v>
      </c>
      <c r="D653">
        <v>0.4</v>
      </c>
      <c r="E653" t="s">
        <v>555</v>
      </c>
      <c r="F653" t="s">
        <v>556</v>
      </c>
      <c r="G653">
        <f t="shared" si="34"/>
        <v>5.6000000000000005</v>
      </c>
      <c r="H653" t="str">
        <f t="shared" si="33"/>
        <v>Vegetable</v>
      </c>
    </row>
    <row r="654" spans="1:8">
      <c r="A654" s="17">
        <v>43197</v>
      </c>
      <c r="B654" t="s">
        <v>384</v>
      </c>
      <c r="C654">
        <f t="shared" si="32"/>
        <v>3</v>
      </c>
      <c r="D654">
        <v>10</v>
      </c>
      <c r="E654" t="s">
        <v>555</v>
      </c>
      <c r="F654" t="s">
        <v>556</v>
      </c>
      <c r="G654">
        <f t="shared" si="34"/>
        <v>30</v>
      </c>
      <c r="H654" t="str">
        <f t="shared" si="33"/>
        <v>Vegetable</v>
      </c>
    </row>
    <row r="655" spans="1:8">
      <c r="A655" s="17">
        <v>43197</v>
      </c>
      <c r="B655" t="s">
        <v>436</v>
      </c>
      <c r="C655">
        <f t="shared" si="32"/>
        <v>37</v>
      </c>
      <c r="D655">
        <v>1.5</v>
      </c>
      <c r="E655" t="s">
        <v>543</v>
      </c>
      <c r="F655" t="s">
        <v>527</v>
      </c>
      <c r="G655">
        <f t="shared" si="34"/>
        <v>55.5</v>
      </c>
      <c r="H655" t="str">
        <f t="shared" si="33"/>
        <v>Dry Grocery</v>
      </c>
    </row>
    <row r="656" spans="1:8">
      <c r="A656" s="17">
        <v>43197</v>
      </c>
      <c r="B656" t="s">
        <v>449</v>
      </c>
      <c r="C656">
        <f t="shared" si="32"/>
        <v>20</v>
      </c>
      <c r="D656">
        <f>2.9+1.5</f>
        <v>4.4000000000000004</v>
      </c>
      <c r="E656" t="s">
        <v>543</v>
      </c>
      <c r="F656" t="s">
        <v>527</v>
      </c>
      <c r="G656">
        <f t="shared" si="34"/>
        <v>88</v>
      </c>
      <c r="H656" t="str">
        <f t="shared" si="33"/>
        <v>Fruits</v>
      </c>
    </row>
    <row r="657" spans="1:9">
      <c r="A657" s="17">
        <v>43197</v>
      </c>
      <c r="B657" t="s">
        <v>432</v>
      </c>
      <c r="C657">
        <f t="shared" si="32"/>
        <v>14</v>
      </c>
      <c r="D657">
        <v>0.5</v>
      </c>
      <c r="E657" t="s">
        <v>528</v>
      </c>
      <c r="F657" t="s">
        <v>527</v>
      </c>
      <c r="G657">
        <f t="shared" si="34"/>
        <v>7</v>
      </c>
      <c r="H657" t="str">
        <f t="shared" si="33"/>
        <v>Vegetable</v>
      </c>
    </row>
    <row r="658" spans="1:9">
      <c r="A658" s="17">
        <v>43197</v>
      </c>
      <c r="B658" t="s">
        <v>476</v>
      </c>
      <c r="C658">
        <f t="shared" si="32"/>
        <v>14.75</v>
      </c>
      <c r="D658">
        <v>0.4</v>
      </c>
      <c r="E658" t="s">
        <v>528</v>
      </c>
      <c r="F658" t="s">
        <v>527</v>
      </c>
      <c r="G658">
        <f t="shared" si="34"/>
        <v>5.9</v>
      </c>
      <c r="H658" t="str">
        <f t="shared" si="33"/>
        <v>Vegetable</v>
      </c>
    </row>
    <row r="659" spans="1:9">
      <c r="A659" s="17">
        <v>43197</v>
      </c>
      <c r="B659" t="s">
        <v>391</v>
      </c>
      <c r="C659">
        <f t="shared" si="32"/>
        <v>27.97</v>
      </c>
      <c r="D659">
        <v>0.315</v>
      </c>
      <c r="E659" t="s">
        <v>528</v>
      </c>
      <c r="F659" t="s">
        <v>527</v>
      </c>
      <c r="G659">
        <f t="shared" si="34"/>
        <v>8.8105499999999992</v>
      </c>
      <c r="H659" t="str">
        <f t="shared" si="33"/>
        <v>Vegetable</v>
      </c>
    </row>
    <row r="660" spans="1:9">
      <c r="A660" s="17">
        <v>43197</v>
      </c>
      <c r="B660" t="s">
        <v>384</v>
      </c>
      <c r="C660">
        <f t="shared" si="32"/>
        <v>3</v>
      </c>
      <c r="D660">
        <v>35</v>
      </c>
      <c r="E660" t="s">
        <v>543</v>
      </c>
      <c r="F660" t="s">
        <v>527</v>
      </c>
      <c r="G660">
        <f t="shared" si="34"/>
        <v>105</v>
      </c>
      <c r="H660" t="str">
        <f t="shared" si="33"/>
        <v>Vegetable</v>
      </c>
    </row>
    <row r="661" spans="1:9">
      <c r="A661" s="17">
        <v>43197</v>
      </c>
      <c r="B661" t="s">
        <v>378</v>
      </c>
      <c r="C661">
        <f t="shared" si="32"/>
        <v>25</v>
      </c>
      <c r="D661">
        <v>0.15</v>
      </c>
      <c r="E661" t="s">
        <v>528</v>
      </c>
      <c r="F661" t="s">
        <v>527</v>
      </c>
      <c r="G661">
        <f t="shared" si="34"/>
        <v>3.75</v>
      </c>
      <c r="H661" t="str">
        <f t="shared" si="33"/>
        <v>Vegetable</v>
      </c>
    </row>
    <row r="662" spans="1:9">
      <c r="A662" s="17">
        <v>43197</v>
      </c>
      <c r="B662" t="s">
        <v>444</v>
      </c>
      <c r="C662">
        <f t="shared" si="32"/>
        <v>50</v>
      </c>
      <c r="D662">
        <v>4</v>
      </c>
      <c r="E662" t="s">
        <v>543</v>
      </c>
      <c r="F662" t="s">
        <v>527</v>
      </c>
      <c r="G662">
        <f t="shared" si="34"/>
        <v>200</v>
      </c>
      <c r="H662" t="str">
        <f t="shared" si="33"/>
        <v>Fruits</v>
      </c>
    </row>
    <row r="663" spans="1:9">
      <c r="A663" s="17">
        <v>43197</v>
      </c>
      <c r="B663" t="s">
        <v>385</v>
      </c>
      <c r="C663">
        <f t="shared" si="32"/>
        <v>36</v>
      </c>
      <c r="D663">
        <v>1.5</v>
      </c>
      <c r="E663" t="s">
        <v>336</v>
      </c>
      <c r="F663" t="s">
        <v>527</v>
      </c>
      <c r="G663">
        <f t="shared" si="34"/>
        <v>54</v>
      </c>
      <c r="H663" t="str">
        <f t="shared" si="33"/>
        <v>Dairy</v>
      </c>
    </row>
    <row r="664" spans="1:9">
      <c r="A664" s="17">
        <v>43197</v>
      </c>
      <c r="B664" t="s">
        <v>382</v>
      </c>
      <c r="C664">
        <f t="shared" si="32"/>
        <v>42</v>
      </c>
      <c r="D664">
        <v>1.5</v>
      </c>
      <c r="E664" t="s">
        <v>336</v>
      </c>
      <c r="F664" t="s">
        <v>527</v>
      </c>
      <c r="G664">
        <f t="shared" si="34"/>
        <v>63</v>
      </c>
      <c r="H664" t="str">
        <f t="shared" si="33"/>
        <v>Dairy</v>
      </c>
    </row>
    <row r="665" spans="1:9">
      <c r="A665" s="17">
        <v>43198</v>
      </c>
      <c r="B665" t="s">
        <v>477</v>
      </c>
      <c r="C665">
        <f t="shared" si="32"/>
        <v>184</v>
      </c>
      <c r="D665">
        <v>0.5</v>
      </c>
      <c r="E665" t="s">
        <v>525</v>
      </c>
      <c r="F665" t="s">
        <v>526</v>
      </c>
      <c r="G665">
        <f t="shared" si="34"/>
        <v>92</v>
      </c>
      <c r="H665" t="str">
        <f t="shared" si="33"/>
        <v>Dry Grocery</v>
      </c>
      <c r="I665" t="s">
        <v>561</v>
      </c>
    </row>
    <row r="666" spans="1:9">
      <c r="A666" s="17">
        <v>43198</v>
      </c>
      <c r="B666" t="s">
        <v>450</v>
      </c>
      <c r="C666">
        <f t="shared" si="32"/>
        <v>580</v>
      </c>
      <c r="D666">
        <v>1</v>
      </c>
      <c r="E666" t="s">
        <v>525</v>
      </c>
      <c r="F666" t="s">
        <v>526</v>
      </c>
      <c r="G666">
        <f t="shared" si="34"/>
        <v>580</v>
      </c>
      <c r="H666" t="str">
        <f t="shared" si="33"/>
        <v>Dry Grocery</v>
      </c>
      <c r="I666" t="s">
        <v>561</v>
      </c>
    </row>
    <row r="667" spans="1:9">
      <c r="A667" s="17">
        <v>43198</v>
      </c>
      <c r="B667" t="s">
        <v>488</v>
      </c>
      <c r="C667">
        <f t="shared" ref="C667:C730" si="35">IF(B667="","",VLOOKUP(B667,$XEY$3:$XEZ$1158,2,FALSE))</f>
        <v>130</v>
      </c>
      <c r="D667">
        <v>0.1</v>
      </c>
      <c r="E667" t="s">
        <v>525</v>
      </c>
      <c r="F667" t="s">
        <v>526</v>
      </c>
      <c r="G667">
        <f t="shared" si="34"/>
        <v>13</v>
      </c>
      <c r="H667" t="str">
        <f t="shared" si="33"/>
        <v>Dry Grocery</v>
      </c>
      <c r="I667" t="s">
        <v>561</v>
      </c>
    </row>
    <row r="668" spans="1:9">
      <c r="A668" s="17">
        <v>43198</v>
      </c>
      <c r="B668" t="s">
        <v>432</v>
      </c>
      <c r="C668">
        <f t="shared" si="35"/>
        <v>14</v>
      </c>
      <c r="D668">
        <v>17</v>
      </c>
      <c r="E668" t="s">
        <v>525</v>
      </c>
      <c r="F668" t="s">
        <v>526</v>
      </c>
      <c r="G668">
        <f t="shared" si="34"/>
        <v>238</v>
      </c>
      <c r="H668" t="str">
        <f t="shared" si="33"/>
        <v>Vegetable</v>
      </c>
      <c r="I668" t="s">
        <v>561</v>
      </c>
    </row>
    <row r="669" spans="1:9">
      <c r="A669" s="17">
        <v>43198</v>
      </c>
      <c r="B669" t="s">
        <v>476</v>
      </c>
      <c r="C669">
        <f t="shared" si="35"/>
        <v>14.75</v>
      </c>
      <c r="D669">
        <v>5.7</v>
      </c>
      <c r="E669" t="s">
        <v>525</v>
      </c>
      <c r="F669" t="s">
        <v>526</v>
      </c>
      <c r="G669">
        <f t="shared" si="34"/>
        <v>84.075000000000003</v>
      </c>
      <c r="H669" t="str">
        <f t="shared" si="33"/>
        <v>Vegetable</v>
      </c>
      <c r="I669" t="s">
        <v>561</v>
      </c>
    </row>
    <row r="670" spans="1:9">
      <c r="A670" s="17">
        <v>43198</v>
      </c>
      <c r="B670" t="s">
        <v>386</v>
      </c>
      <c r="C670">
        <f t="shared" si="35"/>
        <v>82</v>
      </c>
      <c r="D670">
        <v>2</v>
      </c>
      <c r="E670" t="s">
        <v>525</v>
      </c>
      <c r="F670" t="s">
        <v>526</v>
      </c>
      <c r="G670">
        <f t="shared" si="34"/>
        <v>164</v>
      </c>
      <c r="H670" t="str">
        <f t="shared" si="33"/>
        <v>Oil</v>
      </c>
      <c r="I670" t="s">
        <v>561</v>
      </c>
    </row>
    <row r="671" spans="1:9">
      <c r="A671" s="17">
        <v>43198</v>
      </c>
      <c r="B671" t="s">
        <v>376</v>
      </c>
      <c r="C671">
        <f t="shared" si="35"/>
        <v>220</v>
      </c>
      <c r="D671">
        <v>0.01</v>
      </c>
      <c r="E671" t="s">
        <v>525</v>
      </c>
      <c r="F671" t="s">
        <v>526</v>
      </c>
      <c r="G671">
        <f t="shared" si="34"/>
        <v>2.2000000000000002</v>
      </c>
      <c r="H671" t="str">
        <f t="shared" si="33"/>
        <v>Spice</v>
      </c>
      <c r="I671" t="s">
        <v>561</v>
      </c>
    </row>
    <row r="672" spans="1:9">
      <c r="A672" s="17">
        <v>43198</v>
      </c>
      <c r="B672" t="s">
        <v>377</v>
      </c>
      <c r="C672">
        <f t="shared" si="35"/>
        <v>740</v>
      </c>
      <c r="D672">
        <v>0.01</v>
      </c>
      <c r="E672" t="s">
        <v>525</v>
      </c>
      <c r="F672" t="s">
        <v>526</v>
      </c>
      <c r="G672">
        <f t="shared" si="34"/>
        <v>7.4</v>
      </c>
      <c r="H672" t="str">
        <f t="shared" si="33"/>
        <v>Spice</v>
      </c>
      <c r="I672" t="s">
        <v>561</v>
      </c>
    </row>
    <row r="673" spans="1:9">
      <c r="A673" s="17">
        <v>43198</v>
      </c>
      <c r="B673" t="s">
        <v>461</v>
      </c>
      <c r="C673">
        <f t="shared" si="35"/>
        <v>1450</v>
      </c>
      <c r="D673">
        <v>0.01</v>
      </c>
      <c r="E673" t="s">
        <v>525</v>
      </c>
      <c r="F673" t="s">
        <v>526</v>
      </c>
      <c r="G673">
        <f t="shared" si="34"/>
        <v>14.5</v>
      </c>
      <c r="H673" t="str">
        <f t="shared" si="33"/>
        <v>Spice</v>
      </c>
      <c r="I673" t="s">
        <v>561</v>
      </c>
    </row>
    <row r="674" spans="1:9">
      <c r="A674" s="17">
        <v>43198</v>
      </c>
      <c r="B674" t="s">
        <v>399</v>
      </c>
      <c r="C674">
        <f t="shared" si="35"/>
        <v>1480</v>
      </c>
      <c r="D674">
        <v>0.01</v>
      </c>
      <c r="E674" t="s">
        <v>525</v>
      </c>
      <c r="F674" t="s">
        <v>526</v>
      </c>
      <c r="G674">
        <f t="shared" si="34"/>
        <v>14.8</v>
      </c>
      <c r="H674" t="str">
        <f t="shared" si="33"/>
        <v>Spice</v>
      </c>
      <c r="I674" t="s">
        <v>561</v>
      </c>
    </row>
    <row r="675" spans="1:9">
      <c r="A675" s="17">
        <v>43198</v>
      </c>
      <c r="B675" t="s">
        <v>428</v>
      </c>
      <c r="C675">
        <f t="shared" si="35"/>
        <v>78.95</v>
      </c>
      <c r="D675">
        <v>19</v>
      </c>
      <c r="E675" t="s">
        <v>531</v>
      </c>
      <c r="F675" t="s">
        <v>530</v>
      </c>
      <c r="G675">
        <f t="shared" si="34"/>
        <v>1500.05</v>
      </c>
      <c r="H675" t="str">
        <f t="shared" si="33"/>
        <v>Gas</v>
      </c>
    </row>
    <row r="676" spans="1:9">
      <c r="A676" s="17">
        <v>43198</v>
      </c>
      <c r="B676" t="s">
        <v>393</v>
      </c>
      <c r="C676">
        <f t="shared" si="35"/>
        <v>26</v>
      </c>
      <c r="D676">
        <f>9.1+4+5</f>
        <v>18.100000000000001</v>
      </c>
      <c r="E676" t="s">
        <v>525</v>
      </c>
      <c r="F676" t="s">
        <v>526</v>
      </c>
      <c r="G676">
        <f t="shared" si="34"/>
        <v>470.6</v>
      </c>
      <c r="H676" t="str">
        <f t="shared" si="33"/>
        <v>Heating</v>
      </c>
    </row>
    <row r="677" spans="1:9">
      <c r="A677" s="17">
        <v>43198</v>
      </c>
      <c r="B677" t="s">
        <v>378</v>
      </c>
      <c r="C677">
        <f t="shared" si="35"/>
        <v>25</v>
      </c>
      <c r="D677">
        <f>0.25+0.26</f>
        <v>0.51</v>
      </c>
      <c r="E677" t="s">
        <v>525</v>
      </c>
      <c r="F677" t="s">
        <v>526</v>
      </c>
      <c r="G677">
        <f t="shared" si="34"/>
        <v>12.75</v>
      </c>
      <c r="H677" t="str">
        <f t="shared" si="33"/>
        <v>Vegetable</v>
      </c>
    </row>
    <row r="678" spans="1:9">
      <c r="A678" s="17">
        <v>43198</v>
      </c>
      <c r="B678" t="s">
        <v>452</v>
      </c>
      <c r="C678">
        <f t="shared" si="35"/>
        <v>62</v>
      </c>
      <c r="D678">
        <v>1.5</v>
      </c>
      <c r="E678" t="s">
        <v>525</v>
      </c>
      <c r="F678" t="s">
        <v>526</v>
      </c>
      <c r="G678">
        <f t="shared" si="34"/>
        <v>93</v>
      </c>
      <c r="H678" t="str">
        <f t="shared" si="33"/>
        <v>Dry Grocery</v>
      </c>
    </row>
    <row r="679" spans="1:9">
      <c r="A679" s="17">
        <v>43198</v>
      </c>
      <c r="B679" t="s">
        <v>432</v>
      </c>
      <c r="C679">
        <f t="shared" si="35"/>
        <v>14</v>
      </c>
      <c r="D679">
        <v>4</v>
      </c>
      <c r="E679" t="s">
        <v>525</v>
      </c>
      <c r="F679" t="s">
        <v>526</v>
      </c>
      <c r="G679">
        <f t="shared" si="34"/>
        <v>56</v>
      </c>
      <c r="H679" t="str">
        <f t="shared" si="33"/>
        <v>Vegetable</v>
      </c>
    </row>
    <row r="680" spans="1:9">
      <c r="A680" s="17">
        <v>43198</v>
      </c>
      <c r="B680" t="s">
        <v>468</v>
      </c>
      <c r="C680">
        <f t="shared" si="35"/>
        <v>32</v>
      </c>
      <c r="D680">
        <v>2</v>
      </c>
      <c r="E680" t="s">
        <v>525</v>
      </c>
      <c r="F680" t="s">
        <v>526</v>
      </c>
      <c r="G680">
        <f t="shared" si="34"/>
        <v>64</v>
      </c>
      <c r="H680" t="str">
        <f t="shared" si="33"/>
        <v>Vegetable</v>
      </c>
    </row>
    <row r="681" spans="1:9">
      <c r="A681" s="17">
        <v>43198</v>
      </c>
      <c r="B681" t="s">
        <v>441</v>
      </c>
      <c r="C681">
        <f t="shared" si="35"/>
        <v>390</v>
      </c>
      <c r="D681">
        <v>0.4</v>
      </c>
      <c r="E681" t="s">
        <v>542</v>
      </c>
      <c r="F681" t="s">
        <v>554</v>
      </c>
      <c r="G681">
        <f t="shared" si="34"/>
        <v>156</v>
      </c>
      <c r="H681" t="str">
        <f t="shared" si="33"/>
        <v>Hot Beverage</v>
      </c>
    </row>
    <row r="682" spans="1:9">
      <c r="A682" s="17">
        <v>43198</v>
      </c>
      <c r="B682" t="s">
        <v>395</v>
      </c>
      <c r="C682">
        <f t="shared" si="35"/>
        <v>450</v>
      </c>
      <c r="D682">
        <v>0.65</v>
      </c>
      <c r="E682" t="s">
        <v>525</v>
      </c>
      <c r="F682" t="s">
        <v>526</v>
      </c>
      <c r="G682">
        <f t="shared" si="34"/>
        <v>292.5</v>
      </c>
      <c r="H682" t="str">
        <f t="shared" si="33"/>
        <v>Dry Grocery</v>
      </c>
    </row>
    <row r="683" spans="1:9">
      <c r="A683" s="17">
        <v>43198</v>
      </c>
      <c r="B683" t="s">
        <v>436</v>
      </c>
      <c r="C683">
        <f t="shared" si="35"/>
        <v>37</v>
      </c>
      <c r="D683">
        <v>0.7</v>
      </c>
      <c r="E683" t="s">
        <v>542</v>
      </c>
      <c r="F683" t="s">
        <v>554</v>
      </c>
      <c r="G683">
        <f t="shared" si="34"/>
        <v>25.9</v>
      </c>
      <c r="H683" t="str">
        <f t="shared" si="33"/>
        <v>Dry Grocery</v>
      </c>
    </row>
    <row r="684" spans="1:9">
      <c r="A684" s="17">
        <v>43198</v>
      </c>
      <c r="B684" t="s">
        <v>463</v>
      </c>
      <c r="C684">
        <f t="shared" si="35"/>
        <v>29.51</v>
      </c>
      <c r="D684">
        <v>0.3</v>
      </c>
      <c r="E684" t="s">
        <v>525</v>
      </c>
      <c r="F684" t="s">
        <v>526</v>
      </c>
      <c r="G684">
        <f t="shared" si="34"/>
        <v>8.8529999999999998</v>
      </c>
      <c r="H684" t="str">
        <f t="shared" si="33"/>
        <v>Dry Grocery</v>
      </c>
    </row>
    <row r="685" spans="1:9">
      <c r="A685" s="17">
        <v>43198</v>
      </c>
      <c r="B685" t="s">
        <v>492</v>
      </c>
      <c r="C685">
        <f t="shared" si="35"/>
        <v>48</v>
      </c>
      <c r="D685">
        <v>1</v>
      </c>
      <c r="E685" t="s">
        <v>525</v>
      </c>
      <c r="F685" t="s">
        <v>526</v>
      </c>
      <c r="G685">
        <f t="shared" si="34"/>
        <v>48</v>
      </c>
      <c r="H685" t="str">
        <f t="shared" si="33"/>
        <v>Food Color</v>
      </c>
    </row>
    <row r="686" spans="1:9">
      <c r="A686" s="17">
        <v>43198</v>
      </c>
      <c r="B686" t="s">
        <v>502</v>
      </c>
      <c r="C686">
        <f t="shared" si="35"/>
        <v>40</v>
      </c>
      <c r="D686">
        <v>0.2</v>
      </c>
      <c r="E686" t="s">
        <v>525</v>
      </c>
      <c r="F686" t="s">
        <v>526</v>
      </c>
      <c r="G686">
        <f t="shared" si="34"/>
        <v>8</v>
      </c>
      <c r="H686" t="str">
        <f t="shared" si="33"/>
        <v>Processed Food</v>
      </c>
    </row>
    <row r="687" spans="1:9">
      <c r="A687" s="17">
        <v>43198</v>
      </c>
      <c r="B687" t="s">
        <v>376</v>
      </c>
      <c r="C687">
        <f t="shared" si="35"/>
        <v>220</v>
      </c>
      <c r="D687">
        <v>5.0000000000000001E-3</v>
      </c>
      <c r="E687" t="s">
        <v>525</v>
      </c>
      <c r="F687" t="s">
        <v>526</v>
      </c>
      <c r="G687">
        <f t="shared" si="34"/>
        <v>1.1000000000000001</v>
      </c>
      <c r="H687" t="str">
        <f t="shared" si="33"/>
        <v>Spice</v>
      </c>
    </row>
    <row r="688" spans="1:9">
      <c r="A688" s="17">
        <v>43198</v>
      </c>
      <c r="B688" t="s">
        <v>377</v>
      </c>
      <c r="C688">
        <f t="shared" si="35"/>
        <v>740</v>
      </c>
      <c r="D688">
        <v>5.0000000000000001E-3</v>
      </c>
      <c r="E688" t="s">
        <v>525</v>
      </c>
      <c r="F688" t="s">
        <v>526</v>
      </c>
      <c r="G688">
        <f t="shared" si="34"/>
        <v>3.7</v>
      </c>
      <c r="H688" t="str">
        <f t="shared" si="33"/>
        <v>Spice</v>
      </c>
    </row>
    <row r="689" spans="1:8">
      <c r="A689" s="17">
        <v>43198</v>
      </c>
      <c r="B689" t="s">
        <v>461</v>
      </c>
      <c r="C689">
        <f t="shared" si="35"/>
        <v>1450</v>
      </c>
      <c r="D689">
        <v>5.0000000000000001E-3</v>
      </c>
      <c r="E689" t="s">
        <v>525</v>
      </c>
      <c r="F689" t="s">
        <v>526</v>
      </c>
      <c r="G689">
        <f t="shared" si="34"/>
        <v>7.25</v>
      </c>
      <c r="H689" t="str">
        <f t="shared" si="33"/>
        <v>Spice</v>
      </c>
    </row>
    <row r="690" spans="1:8">
      <c r="A690" s="17">
        <v>43198</v>
      </c>
      <c r="B690" t="s">
        <v>464</v>
      </c>
      <c r="C690">
        <f t="shared" si="35"/>
        <v>750</v>
      </c>
      <c r="D690">
        <v>0.01</v>
      </c>
      <c r="E690" t="s">
        <v>525</v>
      </c>
      <c r="F690" t="s">
        <v>526</v>
      </c>
      <c r="G690">
        <f t="shared" si="34"/>
        <v>7.5</v>
      </c>
      <c r="H690" t="str">
        <f t="shared" si="33"/>
        <v>Spice</v>
      </c>
    </row>
    <row r="691" spans="1:8">
      <c r="A691" s="17">
        <v>43198</v>
      </c>
      <c r="B691" t="s">
        <v>434</v>
      </c>
      <c r="C691">
        <f t="shared" si="35"/>
        <v>125</v>
      </c>
      <c r="D691">
        <v>0.06</v>
      </c>
      <c r="E691" t="s">
        <v>525</v>
      </c>
      <c r="F691" t="s">
        <v>526</v>
      </c>
      <c r="G691">
        <f t="shared" si="34"/>
        <v>7.5</v>
      </c>
      <c r="H691" t="str">
        <f t="shared" si="33"/>
        <v>Vegetable</v>
      </c>
    </row>
    <row r="692" spans="1:8">
      <c r="A692" s="17">
        <v>43198</v>
      </c>
      <c r="B692" t="s">
        <v>386</v>
      </c>
      <c r="C692">
        <f t="shared" si="35"/>
        <v>82</v>
      </c>
      <c r="D692">
        <v>2</v>
      </c>
      <c r="E692" t="s">
        <v>525</v>
      </c>
      <c r="F692" t="s">
        <v>526</v>
      </c>
      <c r="G692">
        <f t="shared" si="34"/>
        <v>164</v>
      </c>
      <c r="H692" t="str">
        <f t="shared" si="33"/>
        <v>Oil</v>
      </c>
    </row>
    <row r="693" spans="1:8">
      <c r="A693" s="17">
        <v>43198</v>
      </c>
      <c r="B693" t="s">
        <v>474</v>
      </c>
      <c r="C693">
        <f t="shared" si="35"/>
        <v>27</v>
      </c>
      <c r="D693">
        <v>3</v>
      </c>
      <c r="E693" t="s">
        <v>525</v>
      </c>
      <c r="F693" t="s">
        <v>526</v>
      </c>
      <c r="G693">
        <f t="shared" si="34"/>
        <v>81</v>
      </c>
      <c r="H693" t="str">
        <f t="shared" si="33"/>
        <v>Dry Grocery</v>
      </c>
    </row>
    <row r="694" spans="1:8">
      <c r="A694" s="17">
        <v>43198</v>
      </c>
      <c r="B694" t="s">
        <v>371</v>
      </c>
      <c r="C694">
        <f t="shared" si="35"/>
        <v>23.33</v>
      </c>
      <c r="D694">
        <v>1.1000000000000001</v>
      </c>
      <c r="E694" t="s">
        <v>525</v>
      </c>
      <c r="F694" t="s">
        <v>526</v>
      </c>
      <c r="G694">
        <f t="shared" si="34"/>
        <v>25.663</v>
      </c>
      <c r="H694" t="str">
        <f t="shared" si="33"/>
        <v>Vegetable</v>
      </c>
    </row>
    <row r="695" spans="1:8">
      <c r="A695" s="17">
        <v>43198</v>
      </c>
      <c r="B695" t="s">
        <v>473</v>
      </c>
      <c r="C695">
        <f t="shared" si="35"/>
        <v>175</v>
      </c>
      <c r="D695">
        <v>2</v>
      </c>
      <c r="E695" t="s">
        <v>525</v>
      </c>
      <c r="F695" t="s">
        <v>526</v>
      </c>
      <c r="G695">
        <f t="shared" si="34"/>
        <v>350</v>
      </c>
      <c r="H695" t="str">
        <f t="shared" si="33"/>
        <v>Dairy</v>
      </c>
    </row>
    <row r="696" spans="1:8">
      <c r="A696" s="17">
        <v>43198</v>
      </c>
      <c r="B696" t="s">
        <v>427</v>
      </c>
      <c r="C696">
        <f t="shared" si="35"/>
        <v>28</v>
      </c>
      <c r="D696">
        <v>0.25</v>
      </c>
      <c r="E696" t="s">
        <v>525</v>
      </c>
      <c r="F696" t="s">
        <v>526</v>
      </c>
      <c r="G696">
        <f t="shared" si="34"/>
        <v>7</v>
      </c>
      <c r="H696" t="str">
        <f t="shared" si="33"/>
        <v>Vegetable</v>
      </c>
    </row>
    <row r="697" spans="1:8">
      <c r="A697" s="17">
        <v>43198</v>
      </c>
      <c r="B697" t="s">
        <v>429</v>
      </c>
      <c r="C697">
        <f t="shared" si="35"/>
        <v>40</v>
      </c>
      <c r="D697">
        <v>0.15</v>
      </c>
      <c r="E697" t="s">
        <v>525</v>
      </c>
      <c r="F697" t="s">
        <v>526</v>
      </c>
      <c r="G697">
        <f t="shared" si="34"/>
        <v>6</v>
      </c>
      <c r="H697" t="str">
        <f t="shared" si="33"/>
        <v>Vegetable</v>
      </c>
    </row>
    <row r="698" spans="1:8">
      <c r="A698" s="17">
        <v>43198</v>
      </c>
      <c r="B698" t="s">
        <v>390</v>
      </c>
      <c r="C698">
        <f t="shared" si="35"/>
        <v>30</v>
      </c>
      <c r="D698">
        <v>1.3</v>
      </c>
      <c r="E698" t="s">
        <v>525</v>
      </c>
      <c r="F698" t="s">
        <v>526</v>
      </c>
      <c r="G698">
        <f t="shared" si="34"/>
        <v>39</v>
      </c>
      <c r="H698" t="str">
        <f t="shared" si="33"/>
        <v>Vegetable</v>
      </c>
    </row>
    <row r="699" spans="1:8">
      <c r="A699" s="17">
        <v>43198</v>
      </c>
      <c r="B699" t="s">
        <v>451</v>
      </c>
      <c r="C699">
        <f t="shared" si="35"/>
        <v>60</v>
      </c>
      <c r="D699">
        <v>0.3</v>
      </c>
      <c r="E699" t="s">
        <v>525</v>
      </c>
      <c r="F699" t="s">
        <v>526</v>
      </c>
      <c r="G699">
        <f t="shared" si="34"/>
        <v>18</v>
      </c>
      <c r="H699" t="str">
        <f t="shared" si="33"/>
        <v>Vegetable</v>
      </c>
    </row>
    <row r="700" spans="1:8">
      <c r="A700" s="17">
        <v>43198</v>
      </c>
      <c r="B700" t="s">
        <v>420</v>
      </c>
      <c r="C700">
        <f t="shared" si="35"/>
        <v>3</v>
      </c>
      <c r="D700">
        <v>0.86</v>
      </c>
      <c r="E700" t="s">
        <v>525</v>
      </c>
      <c r="F700" t="s">
        <v>526</v>
      </c>
      <c r="G700">
        <f t="shared" si="34"/>
        <v>2.58</v>
      </c>
      <c r="H700" t="str">
        <f t="shared" si="33"/>
        <v>Vegetable</v>
      </c>
    </row>
    <row r="701" spans="1:8">
      <c r="A701" s="17">
        <v>43198</v>
      </c>
      <c r="B701" t="s">
        <v>391</v>
      </c>
      <c r="C701">
        <f t="shared" si="35"/>
        <v>27.97</v>
      </c>
      <c r="D701">
        <v>0.5</v>
      </c>
      <c r="E701" t="s">
        <v>525</v>
      </c>
      <c r="F701" t="s">
        <v>526</v>
      </c>
      <c r="G701">
        <f t="shared" si="34"/>
        <v>13.984999999999999</v>
      </c>
      <c r="H701" t="str">
        <f t="shared" si="33"/>
        <v>Vegetable</v>
      </c>
    </row>
    <row r="702" spans="1:8">
      <c r="A702" s="17">
        <v>43198</v>
      </c>
      <c r="B702" t="s">
        <v>468</v>
      </c>
      <c r="C702">
        <f t="shared" si="35"/>
        <v>32</v>
      </c>
      <c r="D702">
        <v>1</v>
      </c>
      <c r="E702" t="s">
        <v>525</v>
      </c>
      <c r="F702" t="s">
        <v>526</v>
      </c>
      <c r="G702">
        <f t="shared" si="34"/>
        <v>32</v>
      </c>
      <c r="H702" t="str">
        <f t="shared" si="33"/>
        <v>Vegetable</v>
      </c>
    </row>
    <row r="703" spans="1:8">
      <c r="A703" s="17">
        <v>43198</v>
      </c>
      <c r="B703" t="s">
        <v>491</v>
      </c>
      <c r="C703">
        <f t="shared" si="35"/>
        <v>38</v>
      </c>
      <c r="D703">
        <v>1.6</v>
      </c>
      <c r="E703" t="s">
        <v>525</v>
      </c>
      <c r="F703" t="s">
        <v>526</v>
      </c>
      <c r="G703">
        <f t="shared" si="34"/>
        <v>60.800000000000004</v>
      </c>
      <c r="H703" t="str">
        <f t="shared" si="33"/>
        <v>Vegetable</v>
      </c>
    </row>
    <row r="704" spans="1:8">
      <c r="A704" s="17">
        <v>43198</v>
      </c>
      <c r="B704" t="s">
        <v>398</v>
      </c>
      <c r="C704">
        <f t="shared" si="35"/>
        <v>51</v>
      </c>
      <c r="D704">
        <v>0.1</v>
      </c>
      <c r="E704" t="s">
        <v>525</v>
      </c>
      <c r="F704" t="s">
        <v>526</v>
      </c>
      <c r="G704">
        <f t="shared" si="34"/>
        <v>5.1000000000000005</v>
      </c>
      <c r="H704" t="str">
        <f t="shared" si="33"/>
        <v>Dry Grocery</v>
      </c>
    </row>
    <row r="705" spans="1:8">
      <c r="A705" s="17">
        <v>43198</v>
      </c>
      <c r="B705" t="s">
        <v>426</v>
      </c>
      <c r="C705">
        <f t="shared" si="35"/>
        <v>57.5</v>
      </c>
      <c r="D705">
        <v>0.08</v>
      </c>
      <c r="E705" t="s">
        <v>525</v>
      </c>
      <c r="F705" t="s">
        <v>526</v>
      </c>
      <c r="G705">
        <f t="shared" si="34"/>
        <v>4.6000000000000005</v>
      </c>
      <c r="H705" t="str">
        <f t="shared" si="33"/>
        <v>Dry Grocery</v>
      </c>
    </row>
    <row r="706" spans="1:8">
      <c r="A706" s="17">
        <v>43198</v>
      </c>
      <c r="B706" t="s">
        <v>456</v>
      </c>
      <c r="C706">
        <f t="shared" si="35"/>
        <v>280</v>
      </c>
      <c r="D706">
        <v>0.4</v>
      </c>
      <c r="E706" t="s">
        <v>525</v>
      </c>
      <c r="F706" t="s">
        <v>526</v>
      </c>
      <c r="G706">
        <f t="shared" si="34"/>
        <v>112</v>
      </c>
      <c r="H706" t="str">
        <f t="shared" si="33"/>
        <v>Dry Grocery</v>
      </c>
    </row>
    <row r="707" spans="1:8">
      <c r="A707" s="17">
        <v>43198</v>
      </c>
      <c r="B707" t="s">
        <v>454</v>
      </c>
      <c r="C707">
        <f t="shared" si="35"/>
        <v>43.06</v>
      </c>
      <c r="D707">
        <v>0.27</v>
      </c>
      <c r="E707" t="s">
        <v>525</v>
      </c>
      <c r="F707" t="s">
        <v>526</v>
      </c>
      <c r="G707">
        <f t="shared" si="34"/>
        <v>11.626200000000001</v>
      </c>
      <c r="H707" t="str">
        <f t="shared" ref="H707:H770" si="36">IF(B707="","",VLOOKUP(B707,$XEY$3:$XFA$1200,3,FALSE))</f>
        <v>Vegetable</v>
      </c>
    </row>
    <row r="708" spans="1:8">
      <c r="A708" s="17">
        <v>43198</v>
      </c>
      <c r="B708" t="s">
        <v>383</v>
      </c>
      <c r="C708">
        <f t="shared" si="35"/>
        <v>230</v>
      </c>
      <c r="D708">
        <v>0.01</v>
      </c>
      <c r="E708" t="s">
        <v>525</v>
      </c>
      <c r="F708" t="s">
        <v>526</v>
      </c>
      <c r="G708">
        <f t="shared" si="34"/>
        <v>2.3000000000000003</v>
      </c>
      <c r="H708" t="str">
        <f t="shared" si="36"/>
        <v>Dry Grocery</v>
      </c>
    </row>
    <row r="709" spans="1:8">
      <c r="A709" s="17">
        <v>43198</v>
      </c>
      <c r="B709" t="s">
        <v>401</v>
      </c>
      <c r="C709">
        <f t="shared" si="35"/>
        <v>33</v>
      </c>
      <c r="D709">
        <v>1</v>
      </c>
      <c r="E709" t="s">
        <v>525</v>
      </c>
      <c r="F709" t="s">
        <v>526</v>
      </c>
      <c r="G709">
        <f t="shared" si="34"/>
        <v>33</v>
      </c>
      <c r="H709" t="str">
        <f t="shared" si="36"/>
        <v>Canned Food</v>
      </c>
    </row>
    <row r="710" spans="1:8">
      <c r="A710" s="17">
        <v>43198</v>
      </c>
      <c r="B710" t="s">
        <v>397</v>
      </c>
      <c r="C710">
        <f t="shared" si="35"/>
        <v>75</v>
      </c>
      <c r="D710">
        <v>1.2</v>
      </c>
      <c r="E710" t="s">
        <v>525</v>
      </c>
      <c r="F710" t="s">
        <v>526</v>
      </c>
      <c r="G710">
        <f t="shared" si="34"/>
        <v>90</v>
      </c>
      <c r="H710" t="str">
        <f t="shared" si="36"/>
        <v>Sauce</v>
      </c>
    </row>
    <row r="711" spans="1:8">
      <c r="A711" s="17">
        <v>43198</v>
      </c>
      <c r="B711" t="s">
        <v>394</v>
      </c>
      <c r="C711">
        <f t="shared" si="35"/>
        <v>45</v>
      </c>
      <c r="D711">
        <v>1</v>
      </c>
      <c r="E711" t="s">
        <v>525</v>
      </c>
      <c r="F711" t="s">
        <v>526</v>
      </c>
      <c r="G711">
        <f t="shared" si="34"/>
        <v>45</v>
      </c>
      <c r="H711" t="str">
        <f t="shared" si="36"/>
        <v>Dry Grocery</v>
      </c>
    </row>
    <row r="712" spans="1:8">
      <c r="A712" s="17">
        <v>43198</v>
      </c>
      <c r="B712" t="s">
        <v>463</v>
      </c>
      <c r="C712">
        <f t="shared" si="35"/>
        <v>29.51</v>
      </c>
      <c r="D712">
        <v>2.2000000000000002</v>
      </c>
      <c r="E712" t="s">
        <v>525</v>
      </c>
      <c r="F712" t="s">
        <v>526</v>
      </c>
      <c r="G712">
        <f t="shared" si="34"/>
        <v>64.922000000000011</v>
      </c>
      <c r="H712" t="str">
        <f t="shared" si="36"/>
        <v>Dry Grocery</v>
      </c>
    </row>
    <row r="713" spans="1:8">
      <c r="A713" s="17">
        <v>43198</v>
      </c>
      <c r="B713" t="s">
        <v>386</v>
      </c>
      <c r="C713">
        <f t="shared" si="35"/>
        <v>82</v>
      </c>
      <c r="D713">
        <v>1</v>
      </c>
      <c r="E713" t="s">
        <v>525</v>
      </c>
      <c r="F713" t="s">
        <v>526</v>
      </c>
      <c r="G713">
        <f t="shared" si="34"/>
        <v>82</v>
      </c>
      <c r="H713" t="str">
        <f t="shared" si="36"/>
        <v>Oil</v>
      </c>
    </row>
    <row r="714" spans="1:8">
      <c r="A714" s="17">
        <v>43198</v>
      </c>
      <c r="B714" t="s">
        <v>383</v>
      </c>
      <c r="C714">
        <f t="shared" si="35"/>
        <v>230</v>
      </c>
      <c r="D714">
        <v>0.1</v>
      </c>
      <c r="E714" t="s">
        <v>525</v>
      </c>
      <c r="F714" t="s">
        <v>526</v>
      </c>
      <c r="G714">
        <f t="shared" si="34"/>
        <v>23</v>
      </c>
      <c r="H714" t="str">
        <f t="shared" si="36"/>
        <v>Dry Grocery</v>
      </c>
    </row>
    <row r="715" spans="1:8">
      <c r="A715" s="17">
        <v>43198</v>
      </c>
      <c r="B715" t="s">
        <v>458</v>
      </c>
      <c r="C715">
        <f t="shared" si="35"/>
        <v>140</v>
      </c>
      <c r="D715">
        <v>0.5</v>
      </c>
      <c r="E715" t="s">
        <v>525</v>
      </c>
      <c r="F715" t="s">
        <v>526</v>
      </c>
      <c r="G715">
        <f t="shared" si="34"/>
        <v>70</v>
      </c>
      <c r="H715" t="str">
        <f t="shared" si="36"/>
        <v>Dairy</v>
      </c>
    </row>
    <row r="716" spans="1:8">
      <c r="A716" s="17">
        <v>43198</v>
      </c>
      <c r="B716" t="s">
        <v>385</v>
      </c>
      <c r="C716">
        <f t="shared" si="35"/>
        <v>36</v>
      </c>
      <c r="D716">
        <v>0.25</v>
      </c>
      <c r="E716" t="s">
        <v>525</v>
      </c>
      <c r="F716" t="s">
        <v>526</v>
      </c>
      <c r="G716">
        <f t="shared" si="34"/>
        <v>9</v>
      </c>
      <c r="H716" t="str">
        <f t="shared" si="36"/>
        <v>Dairy</v>
      </c>
    </row>
    <row r="717" spans="1:8">
      <c r="A717" s="17">
        <v>43198</v>
      </c>
      <c r="B717" t="s">
        <v>478</v>
      </c>
      <c r="C717">
        <f t="shared" si="35"/>
        <v>180</v>
      </c>
      <c r="D717">
        <v>0.5</v>
      </c>
      <c r="E717" t="s">
        <v>525</v>
      </c>
      <c r="F717" t="s">
        <v>526</v>
      </c>
      <c r="G717">
        <f t="shared" si="34"/>
        <v>90</v>
      </c>
      <c r="H717" t="str">
        <f t="shared" si="36"/>
        <v>Dry Grocery</v>
      </c>
    </row>
    <row r="718" spans="1:8">
      <c r="A718" s="17">
        <v>43198</v>
      </c>
      <c r="B718" t="s">
        <v>435</v>
      </c>
      <c r="C718">
        <f t="shared" si="35"/>
        <v>17</v>
      </c>
      <c r="D718">
        <v>1</v>
      </c>
      <c r="E718" t="s">
        <v>525</v>
      </c>
      <c r="F718" t="s">
        <v>526</v>
      </c>
      <c r="G718">
        <f t="shared" si="34"/>
        <v>17</v>
      </c>
      <c r="H718" t="str">
        <f t="shared" si="36"/>
        <v>Dry Grocery</v>
      </c>
    </row>
    <row r="719" spans="1:8">
      <c r="A719" s="17">
        <v>43198</v>
      </c>
      <c r="B719" t="s">
        <v>475</v>
      </c>
      <c r="C719">
        <f t="shared" si="35"/>
        <v>148</v>
      </c>
      <c r="D719">
        <v>0.5</v>
      </c>
      <c r="E719" t="s">
        <v>525</v>
      </c>
      <c r="F719" t="s">
        <v>526</v>
      </c>
      <c r="G719">
        <f t="shared" si="34"/>
        <v>74</v>
      </c>
      <c r="H719" t="str">
        <f t="shared" si="36"/>
        <v>Dry Grocery</v>
      </c>
    </row>
    <row r="720" spans="1:8">
      <c r="A720" s="17">
        <v>43198</v>
      </c>
      <c r="B720" t="s">
        <v>490</v>
      </c>
      <c r="C720">
        <f t="shared" si="35"/>
        <v>100</v>
      </c>
      <c r="D720">
        <v>0.5</v>
      </c>
      <c r="E720" t="s">
        <v>525</v>
      </c>
      <c r="F720" t="s">
        <v>526</v>
      </c>
      <c r="G720">
        <f t="shared" si="34"/>
        <v>50</v>
      </c>
      <c r="H720" t="str">
        <f t="shared" si="36"/>
        <v>Processed Food</v>
      </c>
    </row>
    <row r="721" spans="1:8">
      <c r="A721" s="17">
        <v>43198</v>
      </c>
      <c r="B721" t="s">
        <v>384</v>
      </c>
      <c r="C721">
        <f t="shared" si="35"/>
        <v>3</v>
      </c>
      <c r="D721">
        <v>10</v>
      </c>
      <c r="E721" t="s">
        <v>555</v>
      </c>
      <c r="F721" t="s">
        <v>556</v>
      </c>
      <c r="G721">
        <f t="shared" si="34"/>
        <v>30</v>
      </c>
      <c r="H721" t="str">
        <f t="shared" si="36"/>
        <v>Vegetable</v>
      </c>
    </row>
    <row r="722" spans="1:8">
      <c r="A722" s="17">
        <v>43198</v>
      </c>
      <c r="B722" t="s">
        <v>432</v>
      </c>
      <c r="C722">
        <f t="shared" si="35"/>
        <v>14</v>
      </c>
      <c r="D722">
        <v>0.5</v>
      </c>
      <c r="E722" t="s">
        <v>555</v>
      </c>
      <c r="F722" t="s">
        <v>556</v>
      </c>
      <c r="G722">
        <f t="shared" si="34"/>
        <v>7</v>
      </c>
      <c r="H722" t="str">
        <f t="shared" si="36"/>
        <v>Vegetable</v>
      </c>
    </row>
    <row r="723" spans="1:8">
      <c r="A723" s="17">
        <v>43198</v>
      </c>
      <c r="B723" t="s">
        <v>397</v>
      </c>
      <c r="C723">
        <f t="shared" si="35"/>
        <v>75</v>
      </c>
      <c r="D723">
        <v>0.26</v>
      </c>
      <c r="E723" t="s">
        <v>555</v>
      </c>
      <c r="F723" t="s">
        <v>556</v>
      </c>
      <c r="G723">
        <f t="shared" si="34"/>
        <v>19.5</v>
      </c>
      <c r="H723" t="str">
        <f t="shared" si="36"/>
        <v>Sauce</v>
      </c>
    </row>
    <row r="724" spans="1:8">
      <c r="A724" s="17">
        <v>43198</v>
      </c>
      <c r="B724" t="s">
        <v>414</v>
      </c>
      <c r="C724">
        <f t="shared" si="35"/>
        <v>48</v>
      </c>
      <c r="D724">
        <v>0.4</v>
      </c>
      <c r="E724" t="s">
        <v>528</v>
      </c>
      <c r="F724" t="s">
        <v>527</v>
      </c>
      <c r="G724">
        <f t="shared" si="34"/>
        <v>19.200000000000003</v>
      </c>
      <c r="H724" t="str">
        <f t="shared" si="36"/>
        <v>Dry Grocery</v>
      </c>
    </row>
    <row r="725" spans="1:8">
      <c r="A725" s="17">
        <v>43198</v>
      </c>
      <c r="B725" t="s">
        <v>436</v>
      </c>
      <c r="C725">
        <f t="shared" si="35"/>
        <v>37</v>
      </c>
      <c r="D725">
        <v>4.0999999999999996</v>
      </c>
      <c r="E725" t="s">
        <v>543</v>
      </c>
      <c r="F725" t="s">
        <v>527</v>
      </c>
      <c r="G725">
        <f t="shared" si="34"/>
        <v>151.69999999999999</v>
      </c>
      <c r="H725" t="str">
        <f t="shared" si="36"/>
        <v>Dry Grocery</v>
      </c>
    </row>
    <row r="726" spans="1:8">
      <c r="A726" s="17">
        <v>43198</v>
      </c>
      <c r="B726" t="s">
        <v>432</v>
      </c>
      <c r="C726">
        <f t="shared" si="35"/>
        <v>14</v>
      </c>
      <c r="D726">
        <v>0.76500000000000001</v>
      </c>
      <c r="E726" t="s">
        <v>528</v>
      </c>
      <c r="F726" t="s">
        <v>527</v>
      </c>
      <c r="G726">
        <f t="shared" si="34"/>
        <v>10.71</v>
      </c>
      <c r="H726" t="str">
        <f t="shared" si="36"/>
        <v>Vegetable</v>
      </c>
    </row>
    <row r="727" spans="1:8">
      <c r="A727" s="17">
        <v>43198</v>
      </c>
      <c r="B727" t="s">
        <v>391</v>
      </c>
      <c r="C727">
        <f t="shared" si="35"/>
        <v>27.97</v>
      </c>
      <c r="D727">
        <v>0.28999999999999998</v>
      </c>
      <c r="E727" t="s">
        <v>528</v>
      </c>
      <c r="F727" t="s">
        <v>527</v>
      </c>
      <c r="G727">
        <f t="shared" si="34"/>
        <v>8.1113</v>
      </c>
      <c r="H727" t="str">
        <f t="shared" si="36"/>
        <v>Vegetable</v>
      </c>
    </row>
    <row r="728" spans="1:8">
      <c r="A728" s="17">
        <v>43198</v>
      </c>
      <c r="B728" t="s">
        <v>476</v>
      </c>
      <c r="C728">
        <f t="shared" si="35"/>
        <v>14.75</v>
      </c>
      <c r="D728">
        <v>0.44</v>
      </c>
      <c r="E728" t="s">
        <v>528</v>
      </c>
      <c r="F728" t="s">
        <v>527</v>
      </c>
      <c r="G728">
        <f t="shared" si="34"/>
        <v>6.49</v>
      </c>
      <c r="H728" t="str">
        <f t="shared" si="36"/>
        <v>Vegetable</v>
      </c>
    </row>
    <row r="729" spans="1:8">
      <c r="A729" s="17">
        <v>43198</v>
      </c>
      <c r="B729" t="s">
        <v>378</v>
      </c>
      <c r="C729">
        <f t="shared" si="35"/>
        <v>25</v>
      </c>
      <c r="D729">
        <v>4.4999999999999998E-2</v>
      </c>
      <c r="E729" t="s">
        <v>528</v>
      </c>
      <c r="F729" t="s">
        <v>527</v>
      </c>
      <c r="G729">
        <f t="shared" si="34"/>
        <v>1.125</v>
      </c>
      <c r="H729" t="str">
        <f t="shared" si="36"/>
        <v>Vegetable</v>
      </c>
    </row>
    <row r="730" spans="1:8">
      <c r="A730" s="17">
        <v>43198</v>
      </c>
      <c r="B730" t="s">
        <v>414</v>
      </c>
      <c r="C730">
        <f t="shared" si="35"/>
        <v>48</v>
      </c>
      <c r="D730">
        <v>0.4</v>
      </c>
      <c r="E730" t="s">
        <v>528</v>
      </c>
      <c r="F730" t="s">
        <v>527</v>
      </c>
      <c r="G730">
        <f t="shared" si="34"/>
        <v>19.200000000000003</v>
      </c>
      <c r="H730" t="str">
        <f t="shared" si="36"/>
        <v>Dry Grocery</v>
      </c>
    </row>
    <row r="731" spans="1:8">
      <c r="A731" s="17">
        <v>43198</v>
      </c>
      <c r="B731" t="s">
        <v>385</v>
      </c>
      <c r="C731">
        <f t="shared" ref="C731:C794" si="37">IF(B731="","",VLOOKUP(B731,$XEY$3:$XEZ$1158,2,FALSE))</f>
        <v>36</v>
      </c>
      <c r="D731">
        <v>1.5</v>
      </c>
      <c r="E731" t="s">
        <v>336</v>
      </c>
      <c r="F731" t="s">
        <v>527</v>
      </c>
      <c r="G731">
        <f t="shared" si="34"/>
        <v>54</v>
      </c>
      <c r="H731" t="str">
        <f t="shared" si="36"/>
        <v>Dairy</v>
      </c>
    </row>
    <row r="732" spans="1:8">
      <c r="A732" s="17">
        <v>43198</v>
      </c>
      <c r="B732" t="s">
        <v>382</v>
      </c>
      <c r="C732">
        <f t="shared" si="37"/>
        <v>42</v>
      </c>
      <c r="D732">
        <v>1.5</v>
      </c>
      <c r="E732" t="s">
        <v>336</v>
      </c>
      <c r="F732" t="s">
        <v>527</v>
      </c>
      <c r="G732">
        <f t="shared" si="34"/>
        <v>63</v>
      </c>
      <c r="H732" t="str">
        <f t="shared" si="36"/>
        <v>Dairy</v>
      </c>
    </row>
    <row r="733" spans="1:8">
      <c r="A733" s="17">
        <v>43198</v>
      </c>
      <c r="B733" t="s">
        <v>511</v>
      </c>
      <c r="C733">
        <f t="shared" si="37"/>
        <v>52</v>
      </c>
      <c r="D733">
        <v>4</v>
      </c>
      <c r="E733" t="s">
        <v>336</v>
      </c>
      <c r="F733" t="s">
        <v>527</v>
      </c>
      <c r="G733">
        <f t="shared" si="34"/>
        <v>208</v>
      </c>
      <c r="H733" t="str">
        <f t="shared" si="36"/>
        <v>Dry Grocery</v>
      </c>
    </row>
    <row r="734" spans="1:8">
      <c r="A734" s="17">
        <v>43198</v>
      </c>
      <c r="B734" t="s">
        <v>404</v>
      </c>
      <c r="C734">
        <f t="shared" si="37"/>
        <v>28</v>
      </c>
      <c r="D734">
        <v>2</v>
      </c>
      <c r="E734" t="s">
        <v>336</v>
      </c>
      <c r="F734" t="s">
        <v>527</v>
      </c>
      <c r="G734">
        <f t="shared" si="34"/>
        <v>56</v>
      </c>
      <c r="H734" t="str">
        <f t="shared" si="36"/>
        <v>Vegetable</v>
      </c>
    </row>
    <row r="735" spans="1:8">
      <c r="A735" s="17">
        <v>43198</v>
      </c>
      <c r="B735" t="s">
        <v>436</v>
      </c>
      <c r="C735">
        <f t="shared" si="37"/>
        <v>37</v>
      </c>
      <c r="D735">
        <v>0.1</v>
      </c>
      <c r="E735" t="s">
        <v>336</v>
      </c>
      <c r="F735" t="s">
        <v>527</v>
      </c>
      <c r="G735">
        <f t="shared" si="34"/>
        <v>3.7</v>
      </c>
      <c r="H735" t="str">
        <f t="shared" si="36"/>
        <v>Dry Grocery</v>
      </c>
    </row>
    <row r="736" spans="1:8">
      <c r="A736" s="17">
        <v>43198</v>
      </c>
      <c r="B736" t="s">
        <v>375</v>
      </c>
      <c r="C736">
        <f t="shared" si="37"/>
        <v>280</v>
      </c>
      <c r="D736">
        <v>3.5000000000000003E-2</v>
      </c>
      <c r="E736" t="s">
        <v>336</v>
      </c>
      <c r="F736" t="s">
        <v>527</v>
      </c>
      <c r="G736">
        <f t="shared" si="34"/>
        <v>9.8000000000000007</v>
      </c>
      <c r="H736" t="str">
        <f t="shared" si="36"/>
        <v>Dry Grocery</v>
      </c>
    </row>
    <row r="737" spans="1:8">
      <c r="A737" s="17">
        <v>43198</v>
      </c>
      <c r="B737" t="s">
        <v>381</v>
      </c>
      <c r="C737">
        <f t="shared" si="37"/>
        <v>7</v>
      </c>
      <c r="D737">
        <v>0.32500000000000001</v>
      </c>
      <c r="E737" t="s">
        <v>336</v>
      </c>
      <c r="F737" t="s">
        <v>527</v>
      </c>
      <c r="G737">
        <f t="shared" si="34"/>
        <v>2.2749999999999999</v>
      </c>
      <c r="H737" t="str">
        <f t="shared" si="36"/>
        <v>Dry Grocery</v>
      </c>
    </row>
    <row r="738" spans="1:8">
      <c r="A738" s="17">
        <v>43198</v>
      </c>
      <c r="B738" t="s">
        <v>387</v>
      </c>
      <c r="C738">
        <f t="shared" si="37"/>
        <v>187.41</v>
      </c>
      <c r="D738">
        <v>1.4999999999999999E-2</v>
      </c>
      <c r="E738" t="s">
        <v>336</v>
      </c>
      <c r="F738" t="s">
        <v>527</v>
      </c>
      <c r="G738">
        <f t="shared" si="34"/>
        <v>2.81115</v>
      </c>
      <c r="H738" t="str">
        <f t="shared" si="36"/>
        <v>Dry Grocery</v>
      </c>
    </row>
    <row r="739" spans="1:8">
      <c r="A739" s="17">
        <v>43198</v>
      </c>
      <c r="B739" t="s">
        <v>485</v>
      </c>
      <c r="C739">
        <f t="shared" si="37"/>
        <v>96</v>
      </c>
      <c r="D739">
        <v>0.18</v>
      </c>
      <c r="E739" t="s">
        <v>336</v>
      </c>
      <c r="F739" t="s">
        <v>527</v>
      </c>
      <c r="G739">
        <f t="shared" si="34"/>
        <v>17.28</v>
      </c>
      <c r="H739" t="str">
        <f t="shared" si="36"/>
        <v>Oil</v>
      </c>
    </row>
    <row r="740" spans="1:8">
      <c r="A740" s="17">
        <v>43198</v>
      </c>
      <c r="B740" t="s">
        <v>386</v>
      </c>
      <c r="C740">
        <f t="shared" si="37"/>
        <v>82</v>
      </c>
      <c r="D740">
        <v>1</v>
      </c>
      <c r="E740" t="s">
        <v>336</v>
      </c>
      <c r="F740" t="s">
        <v>527</v>
      </c>
      <c r="G740">
        <f t="shared" si="34"/>
        <v>82</v>
      </c>
      <c r="H740" t="str">
        <f t="shared" si="36"/>
        <v>Oil</v>
      </c>
    </row>
    <row r="741" spans="1:8">
      <c r="A741" s="17">
        <v>43198</v>
      </c>
      <c r="B741" t="s">
        <v>383</v>
      </c>
      <c r="C741">
        <f t="shared" si="37"/>
        <v>230</v>
      </c>
      <c r="D741">
        <v>0.03</v>
      </c>
      <c r="E741" t="s">
        <v>336</v>
      </c>
      <c r="F741" t="s">
        <v>527</v>
      </c>
      <c r="G741">
        <f t="shared" si="34"/>
        <v>6.8999999999999995</v>
      </c>
      <c r="H741" t="str">
        <f t="shared" si="36"/>
        <v>Dry Grocery</v>
      </c>
    </row>
    <row r="742" spans="1:8">
      <c r="A742" s="17">
        <v>43198</v>
      </c>
      <c r="B742" t="s">
        <v>431</v>
      </c>
      <c r="C742">
        <f t="shared" si="37"/>
        <v>70</v>
      </c>
      <c r="D742">
        <v>0.05</v>
      </c>
      <c r="E742" t="s">
        <v>336</v>
      </c>
      <c r="F742" t="s">
        <v>527</v>
      </c>
      <c r="G742">
        <f t="shared" si="34"/>
        <v>3.5</v>
      </c>
      <c r="H742" t="str">
        <f t="shared" si="36"/>
        <v>Dry Grocery</v>
      </c>
    </row>
    <row r="743" spans="1:8">
      <c r="A743" s="17">
        <v>43198</v>
      </c>
      <c r="B743" t="s">
        <v>367</v>
      </c>
      <c r="C743">
        <f t="shared" si="37"/>
        <v>55</v>
      </c>
      <c r="D743">
        <v>0.13</v>
      </c>
      <c r="E743" t="s">
        <v>336</v>
      </c>
      <c r="F743" t="s">
        <v>527</v>
      </c>
      <c r="G743">
        <f t="shared" si="34"/>
        <v>7.15</v>
      </c>
      <c r="H743" t="str">
        <f t="shared" si="36"/>
        <v>Dry Grocery</v>
      </c>
    </row>
    <row r="744" spans="1:8">
      <c r="A744" s="17">
        <v>43198</v>
      </c>
      <c r="B744" t="s">
        <v>432</v>
      </c>
      <c r="C744">
        <f t="shared" si="37"/>
        <v>14</v>
      </c>
      <c r="D744">
        <v>0.83499999999999996</v>
      </c>
      <c r="E744" t="s">
        <v>336</v>
      </c>
      <c r="F744" t="s">
        <v>527</v>
      </c>
      <c r="G744">
        <f t="shared" si="34"/>
        <v>11.69</v>
      </c>
      <c r="H744" t="str">
        <f t="shared" si="36"/>
        <v>Vegetable</v>
      </c>
    </row>
    <row r="745" spans="1:8">
      <c r="A745" s="17">
        <v>43198</v>
      </c>
      <c r="B745" t="s">
        <v>427</v>
      </c>
      <c r="C745">
        <f t="shared" si="37"/>
        <v>28</v>
      </c>
      <c r="D745">
        <v>8.5000000000000006E-2</v>
      </c>
      <c r="E745" t="s">
        <v>336</v>
      </c>
      <c r="F745" t="s">
        <v>527</v>
      </c>
      <c r="G745">
        <f t="shared" si="34"/>
        <v>2.3800000000000003</v>
      </c>
      <c r="H745" t="str">
        <f t="shared" si="36"/>
        <v>Vegetable</v>
      </c>
    </row>
    <row r="746" spans="1:8">
      <c r="A746" s="17">
        <v>43198</v>
      </c>
      <c r="B746" t="s">
        <v>409</v>
      </c>
      <c r="C746">
        <f t="shared" si="37"/>
        <v>64.069999999999993</v>
      </c>
      <c r="D746">
        <v>0.3</v>
      </c>
      <c r="E746" t="s">
        <v>336</v>
      </c>
      <c r="F746" t="s">
        <v>527</v>
      </c>
      <c r="G746">
        <f t="shared" si="34"/>
        <v>19.220999999999997</v>
      </c>
      <c r="H746" t="str">
        <f t="shared" si="36"/>
        <v>Dry Grocery</v>
      </c>
    </row>
    <row r="747" spans="1:8">
      <c r="A747" s="17">
        <v>43198</v>
      </c>
      <c r="B747" t="s">
        <v>512</v>
      </c>
      <c r="C747">
        <f t="shared" si="37"/>
        <v>170</v>
      </c>
      <c r="D747">
        <v>0.1</v>
      </c>
      <c r="E747" t="s">
        <v>336</v>
      </c>
      <c r="F747" t="s">
        <v>527</v>
      </c>
      <c r="G747">
        <f t="shared" si="34"/>
        <v>17</v>
      </c>
      <c r="H747" t="str">
        <f t="shared" si="36"/>
        <v>Dry Grocery</v>
      </c>
    </row>
    <row r="748" spans="1:8">
      <c r="A748" s="17">
        <v>43198</v>
      </c>
      <c r="B748" t="s">
        <v>476</v>
      </c>
      <c r="C748">
        <f t="shared" si="37"/>
        <v>14.75</v>
      </c>
      <c r="D748">
        <v>0.875</v>
      </c>
      <c r="E748" t="s">
        <v>336</v>
      </c>
      <c r="F748" t="s">
        <v>527</v>
      </c>
      <c r="G748">
        <f t="shared" si="34"/>
        <v>12.90625</v>
      </c>
      <c r="H748" t="str">
        <f t="shared" si="36"/>
        <v>Vegetable</v>
      </c>
    </row>
    <row r="749" spans="1:8">
      <c r="A749" s="17">
        <v>43198</v>
      </c>
      <c r="B749" t="s">
        <v>479</v>
      </c>
      <c r="C749">
        <f t="shared" si="37"/>
        <v>312.14</v>
      </c>
      <c r="D749">
        <v>0.04</v>
      </c>
      <c r="E749" t="s">
        <v>336</v>
      </c>
      <c r="F749" t="s">
        <v>527</v>
      </c>
      <c r="G749">
        <f t="shared" si="34"/>
        <v>12.4856</v>
      </c>
      <c r="H749" t="str">
        <f t="shared" si="36"/>
        <v>Vegetable</v>
      </c>
    </row>
    <row r="750" spans="1:8">
      <c r="A750" s="17">
        <v>43198</v>
      </c>
      <c r="B750" t="s">
        <v>378</v>
      </c>
      <c r="C750">
        <f t="shared" si="37"/>
        <v>25</v>
      </c>
      <c r="D750">
        <v>0.25</v>
      </c>
      <c r="E750" t="s">
        <v>336</v>
      </c>
      <c r="F750" t="s">
        <v>527</v>
      </c>
      <c r="G750">
        <f t="shared" si="34"/>
        <v>6.25</v>
      </c>
      <c r="H750" t="str">
        <f t="shared" si="36"/>
        <v>Vegetable</v>
      </c>
    </row>
    <row r="751" spans="1:8">
      <c r="A751" s="17">
        <v>43198</v>
      </c>
      <c r="B751" t="s">
        <v>391</v>
      </c>
      <c r="C751">
        <f t="shared" si="37"/>
        <v>27.97</v>
      </c>
      <c r="D751">
        <v>0.255</v>
      </c>
      <c r="E751" t="s">
        <v>336</v>
      </c>
      <c r="F751" t="s">
        <v>527</v>
      </c>
      <c r="G751">
        <f t="shared" si="34"/>
        <v>7.1323499999999997</v>
      </c>
      <c r="H751" t="str">
        <f t="shared" si="36"/>
        <v>Vegetable</v>
      </c>
    </row>
    <row r="752" spans="1:8">
      <c r="A752" s="17">
        <v>43198</v>
      </c>
      <c r="B752" t="s">
        <v>454</v>
      </c>
      <c r="C752">
        <f t="shared" si="37"/>
        <v>43.06</v>
      </c>
      <c r="D752">
        <v>0.28999999999999998</v>
      </c>
      <c r="E752" t="s">
        <v>336</v>
      </c>
      <c r="F752" t="s">
        <v>527</v>
      </c>
      <c r="G752">
        <f t="shared" si="34"/>
        <v>12.487399999999999</v>
      </c>
      <c r="H752" t="str">
        <f t="shared" si="36"/>
        <v>Vegetable</v>
      </c>
    </row>
    <row r="753" spans="1:8">
      <c r="A753" s="17">
        <v>43198</v>
      </c>
      <c r="B753" t="s">
        <v>471</v>
      </c>
      <c r="C753">
        <f t="shared" si="37"/>
        <v>160</v>
      </c>
      <c r="D753">
        <v>0.1</v>
      </c>
      <c r="E753" t="s">
        <v>336</v>
      </c>
      <c r="F753" t="s">
        <v>527</v>
      </c>
      <c r="G753">
        <f t="shared" si="34"/>
        <v>16</v>
      </c>
      <c r="H753" t="str">
        <f t="shared" si="36"/>
        <v>Dry Grocery</v>
      </c>
    </row>
    <row r="754" spans="1:8">
      <c r="A754" s="17">
        <v>43198</v>
      </c>
      <c r="B754" t="s">
        <v>510</v>
      </c>
      <c r="C754">
        <f t="shared" si="37"/>
        <v>62.03</v>
      </c>
      <c r="D754">
        <v>0.06</v>
      </c>
      <c r="E754" t="s">
        <v>336</v>
      </c>
      <c r="F754" t="s">
        <v>527</v>
      </c>
      <c r="G754">
        <f t="shared" si="34"/>
        <v>3.7218</v>
      </c>
      <c r="H754" t="str">
        <f t="shared" si="36"/>
        <v>Dry Grocery</v>
      </c>
    </row>
    <row r="755" spans="1:8">
      <c r="A755" s="17">
        <v>43198</v>
      </c>
      <c r="B755" t="s">
        <v>503</v>
      </c>
      <c r="C755">
        <f t="shared" si="37"/>
        <v>160</v>
      </c>
      <c r="D755">
        <v>0.12</v>
      </c>
      <c r="E755" t="s">
        <v>336</v>
      </c>
      <c r="F755" t="s">
        <v>527</v>
      </c>
      <c r="G755">
        <f t="shared" si="34"/>
        <v>19.2</v>
      </c>
      <c r="H755" t="str">
        <f t="shared" si="36"/>
        <v>Dry Grocery</v>
      </c>
    </row>
    <row r="756" spans="1:8">
      <c r="A756" s="17">
        <v>43198</v>
      </c>
      <c r="B756" t="s">
        <v>430</v>
      </c>
      <c r="C756">
        <f t="shared" si="37"/>
        <v>30</v>
      </c>
      <c r="D756">
        <v>0.01</v>
      </c>
      <c r="E756" t="s">
        <v>336</v>
      </c>
      <c r="F756" t="s">
        <v>527</v>
      </c>
      <c r="G756">
        <f t="shared" si="34"/>
        <v>0.3</v>
      </c>
      <c r="H756" t="str">
        <f t="shared" si="36"/>
        <v>Vegetable</v>
      </c>
    </row>
    <row r="757" spans="1:8">
      <c r="A757" s="17">
        <v>43198</v>
      </c>
      <c r="B757" t="s">
        <v>462</v>
      </c>
      <c r="C757">
        <f t="shared" si="37"/>
        <v>138</v>
      </c>
      <c r="D757">
        <v>0.02</v>
      </c>
      <c r="E757" t="s">
        <v>336</v>
      </c>
      <c r="F757" t="s">
        <v>527</v>
      </c>
      <c r="G757">
        <f t="shared" si="34"/>
        <v>2.7600000000000002</v>
      </c>
      <c r="H757" t="str">
        <f t="shared" si="36"/>
        <v>Dry Grocery</v>
      </c>
    </row>
    <row r="758" spans="1:8">
      <c r="A758" s="17">
        <v>43198</v>
      </c>
      <c r="B758" t="s">
        <v>466</v>
      </c>
      <c r="C758">
        <f t="shared" si="37"/>
        <v>125</v>
      </c>
      <c r="D758">
        <v>0.01</v>
      </c>
      <c r="E758" t="s">
        <v>336</v>
      </c>
      <c r="F758" t="s">
        <v>527</v>
      </c>
      <c r="G758">
        <f t="shared" si="34"/>
        <v>1.25</v>
      </c>
      <c r="H758" t="str">
        <f t="shared" si="36"/>
        <v>Dry Grocery</v>
      </c>
    </row>
    <row r="759" spans="1:8">
      <c r="A759" s="17">
        <v>43198</v>
      </c>
      <c r="B759" t="s">
        <v>410</v>
      </c>
      <c r="C759">
        <f t="shared" si="37"/>
        <v>76</v>
      </c>
      <c r="D759">
        <v>1.4999999999999999E-2</v>
      </c>
      <c r="E759" t="s">
        <v>336</v>
      </c>
      <c r="F759" t="s">
        <v>527</v>
      </c>
      <c r="G759">
        <f t="shared" si="34"/>
        <v>1.1399999999999999</v>
      </c>
      <c r="H759" t="str">
        <f t="shared" si="36"/>
        <v>Dry Grocery</v>
      </c>
    </row>
    <row r="760" spans="1:8">
      <c r="A760" s="17">
        <v>43199</v>
      </c>
      <c r="B760" t="s">
        <v>428</v>
      </c>
      <c r="C760">
        <f t="shared" si="37"/>
        <v>78.95</v>
      </c>
      <c r="D760">
        <v>19</v>
      </c>
      <c r="E760" t="s">
        <v>531</v>
      </c>
      <c r="F760" t="s">
        <v>530</v>
      </c>
      <c r="G760">
        <f t="shared" si="34"/>
        <v>1500.05</v>
      </c>
      <c r="H760" t="str">
        <f t="shared" si="36"/>
        <v>Gas</v>
      </c>
    </row>
    <row r="761" spans="1:8">
      <c r="A761" s="17">
        <v>43199</v>
      </c>
      <c r="B761" t="s">
        <v>427</v>
      </c>
      <c r="C761">
        <f t="shared" si="37"/>
        <v>28</v>
      </c>
      <c r="D761">
        <v>0.25</v>
      </c>
      <c r="E761" t="s">
        <v>525</v>
      </c>
      <c r="F761" t="s">
        <v>526</v>
      </c>
      <c r="G761">
        <f t="shared" si="34"/>
        <v>7</v>
      </c>
      <c r="H761" t="str">
        <f t="shared" si="36"/>
        <v>Vegetable</v>
      </c>
    </row>
    <row r="762" spans="1:8">
      <c r="A762" s="17">
        <v>43199</v>
      </c>
      <c r="B762" t="s">
        <v>436</v>
      </c>
      <c r="C762">
        <f t="shared" si="37"/>
        <v>37</v>
      </c>
      <c r="D762">
        <v>0.25</v>
      </c>
      <c r="E762" t="s">
        <v>525</v>
      </c>
      <c r="F762" t="s">
        <v>526</v>
      </c>
      <c r="G762">
        <f t="shared" si="34"/>
        <v>9.25</v>
      </c>
      <c r="H762" t="str">
        <f t="shared" si="36"/>
        <v>Dry Grocery</v>
      </c>
    </row>
    <row r="763" spans="1:8">
      <c r="A763" s="17">
        <v>43199</v>
      </c>
      <c r="B763" t="s">
        <v>390</v>
      </c>
      <c r="C763">
        <f t="shared" si="37"/>
        <v>30</v>
      </c>
      <c r="D763">
        <v>1</v>
      </c>
      <c r="E763" t="s">
        <v>525</v>
      </c>
      <c r="F763" t="s">
        <v>526</v>
      </c>
      <c r="G763">
        <f t="shared" si="34"/>
        <v>30</v>
      </c>
      <c r="H763" t="str">
        <f t="shared" si="36"/>
        <v>Vegetable</v>
      </c>
    </row>
    <row r="764" spans="1:8">
      <c r="A764" s="17">
        <v>43199</v>
      </c>
      <c r="B764" t="s">
        <v>432</v>
      </c>
      <c r="C764">
        <f t="shared" si="37"/>
        <v>14</v>
      </c>
      <c r="D764">
        <v>9.4</v>
      </c>
      <c r="E764" t="s">
        <v>525</v>
      </c>
      <c r="F764" t="s">
        <v>526</v>
      </c>
      <c r="G764">
        <f t="shared" si="34"/>
        <v>131.6</v>
      </c>
      <c r="H764" t="str">
        <f t="shared" si="36"/>
        <v>Vegetable</v>
      </c>
    </row>
    <row r="765" spans="1:8">
      <c r="A765" s="17">
        <v>43199</v>
      </c>
      <c r="B765" t="s">
        <v>458</v>
      </c>
      <c r="C765">
        <f t="shared" si="37"/>
        <v>140</v>
      </c>
      <c r="D765">
        <v>0.5</v>
      </c>
      <c r="E765" t="s">
        <v>525</v>
      </c>
      <c r="F765" t="s">
        <v>526</v>
      </c>
      <c r="G765">
        <f t="shared" si="34"/>
        <v>70</v>
      </c>
      <c r="H765" t="str">
        <f t="shared" si="36"/>
        <v>Dairy</v>
      </c>
    </row>
    <row r="766" spans="1:8">
      <c r="A766" s="17">
        <v>43199</v>
      </c>
      <c r="B766" t="s">
        <v>430</v>
      </c>
      <c r="C766">
        <f t="shared" si="37"/>
        <v>30</v>
      </c>
      <c r="D766">
        <v>0.6</v>
      </c>
      <c r="E766" t="s">
        <v>525</v>
      </c>
      <c r="F766" t="s">
        <v>526</v>
      </c>
      <c r="G766">
        <f t="shared" si="34"/>
        <v>18</v>
      </c>
      <c r="H766" t="str">
        <f t="shared" si="36"/>
        <v>Vegetable</v>
      </c>
    </row>
    <row r="767" spans="1:8">
      <c r="A767" s="17">
        <v>43199</v>
      </c>
      <c r="B767" t="s">
        <v>463</v>
      </c>
      <c r="C767">
        <f t="shared" si="37"/>
        <v>29.51</v>
      </c>
      <c r="D767">
        <v>1</v>
      </c>
      <c r="E767" t="s">
        <v>525</v>
      </c>
      <c r="F767" t="s">
        <v>526</v>
      </c>
      <c r="G767">
        <f t="shared" si="34"/>
        <v>29.51</v>
      </c>
      <c r="H767" t="str">
        <f t="shared" si="36"/>
        <v>Dry Grocery</v>
      </c>
    </row>
    <row r="768" spans="1:8">
      <c r="A768" s="17">
        <v>43199</v>
      </c>
      <c r="B768" t="s">
        <v>490</v>
      </c>
      <c r="C768">
        <f t="shared" si="37"/>
        <v>100</v>
      </c>
      <c r="D768">
        <v>0.5</v>
      </c>
      <c r="E768" t="s">
        <v>525</v>
      </c>
      <c r="F768" t="s">
        <v>526</v>
      </c>
      <c r="G768">
        <f t="shared" si="34"/>
        <v>50</v>
      </c>
      <c r="H768" t="str">
        <f t="shared" si="36"/>
        <v>Processed Food</v>
      </c>
    </row>
    <row r="769" spans="1:8">
      <c r="A769" s="17">
        <v>43199</v>
      </c>
      <c r="B769" t="s">
        <v>394</v>
      </c>
      <c r="C769">
        <f t="shared" si="37"/>
        <v>45</v>
      </c>
      <c r="D769">
        <v>1</v>
      </c>
      <c r="E769" t="s">
        <v>525</v>
      </c>
      <c r="F769" t="s">
        <v>526</v>
      </c>
      <c r="G769">
        <f t="shared" si="34"/>
        <v>45</v>
      </c>
      <c r="H769" t="str">
        <f t="shared" si="36"/>
        <v>Dry Grocery</v>
      </c>
    </row>
    <row r="770" spans="1:8">
      <c r="A770" s="17">
        <v>43199</v>
      </c>
      <c r="B770" t="s">
        <v>386</v>
      </c>
      <c r="C770">
        <f t="shared" si="37"/>
        <v>82</v>
      </c>
      <c r="D770">
        <v>4</v>
      </c>
      <c r="E770" t="s">
        <v>525</v>
      </c>
      <c r="F770" t="s">
        <v>526</v>
      </c>
      <c r="G770">
        <f t="shared" si="34"/>
        <v>328</v>
      </c>
      <c r="H770" t="str">
        <f t="shared" si="36"/>
        <v>Oil</v>
      </c>
    </row>
    <row r="771" spans="1:8">
      <c r="A771" s="17">
        <v>43199</v>
      </c>
      <c r="B771" t="s">
        <v>420</v>
      </c>
      <c r="C771">
        <f t="shared" si="37"/>
        <v>3</v>
      </c>
      <c r="D771">
        <v>0.75</v>
      </c>
      <c r="E771" t="s">
        <v>525</v>
      </c>
      <c r="F771" t="s">
        <v>526</v>
      </c>
      <c r="G771">
        <f t="shared" si="34"/>
        <v>2.25</v>
      </c>
      <c r="H771" t="str">
        <f t="shared" ref="H771:H834" si="38">IF(B771="","",VLOOKUP(B771,$XEY$3:$XFA$1200,3,FALSE))</f>
        <v>Vegetable</v>
      </c>
    </row>
    <row r="772" spans="1:8">
      <c r="A772" s="17">
        <v>43199</v>
      </c>
      <c r="B772" t="s">
        <v>502</v>
      </c>
      <c r="C772">
        <f t="shared" si="37"/>
        <v>40</v>
      </c>
      <c r="D772">
        <v>0.25</v>
      </c>
      <c r="E772" t="s">
        <v>525</v>
      </c>
      <c r="F772" t="s">
        <v>526</v>
      </c>
      <c r="G772">
        <f t="shared" si="34"/>
        <v>10</v>
      </c>
      <c r="H772" t="str">
        <f t="shared" si="38"/>
        <v>Processed Food</v>
      </c>
    </row>
    <row r="773" spans="1:8">
      <c r="A773" s="17">
        <v>43199</v>
      </c>
      <c r="B773" t="s">
        <v>467</v>
      </c>
      <c r="C773">
        <f t="shared" si="37"/>
        <v>75</v>
      </c>
      <c r="D773">
        <v>1</v>
      </c>
      <c r="E773" t="s">
        <v>525</v>
      </c>
      <c r="F773" t="s">
        <v>526</v>
      </c>
      <c r="G773">
        <f t="shared" si="34"/>
        <v>75</v>
      </c>
      <c r="H773" t="str">
        <f t="shared" si="38"/>
        <v>Dry Grocery</v>
      </c>
    </row>
    <row r="774" spans="1:8">
      <c r="A774" s="17">
        <v>43199</v>
      </c>
      <c r="B774" t="s">
        <v>474</v>
      </c>
      <c r="C774">
        <f t="shared" si="37"/>
        <v>27</v>
      </c>
      <c r="D774">
        <v>2.1</v>
      </c>
      <c r="E774" t="s">
        <v>525</v>
      </c>
      <c r="F774" t="s">
        <v>526</v>
      </c>
      <c r="G774">
        <f t="shared" si="34"/>
        <v>56.7</v>
      </c>
      <c r="H774" t="str">
        <f t="shared" si="38"/>
        <v>Dry Grocery</v>
      </c>
    </row>
    <row r="775" spans="1:8">
      <c r="A775" s="17">
        <v>43199</v>
      </c>
      <c r="B775" t="s">
        <v>457</v>
      </c>
      <c r="C775">
        <f t="shared" si="37"/>
        <v>64</v>
      </c>
      <c r="D775">
        <v>2</v>
      </c>
      <c r="E775" t="s">
        <v>525</v>
      </c>
      <c r="F775" t="s">
        <v>526</v>
      </c>
      <c r="G775">
        <f t="shared" si="34"/>
        <v>128</v>
      </c>
      <c r="H775" t="str">
        <f t="shared" si="38"/>
        <v>Dry Grocery</v>
      </c>
    </row>
    <row r="776" spans="1:8">
      <c r="A776" s="17">
        <v>43199</v>
      </c>
      <c r="B776" t="s">
        <v>452</v>
      </c>
      <c r="C776">
        <f t="shared" si="37"/>
        <v>62</v>
      </c>
      <c r="D776">
        <v>1.5</v>
      </c>
      <c r="E776" t="s">
        <v>525</v>
      </c>
      <c r="F776" t="s">
        <v>526</v>
      </c>
      <c r="G776">
        <f t="shared" si="34"/>
        <v>93</v>
      </c>
      <c r="H776" t="str">
        <f t="shared" si="38"/>
        <v>Dry Grocery</v>
      </c>
    </row>
    <row r="777" spans="1:8">
      <c r="A777" s="17">
        <v>43199</v>
      </c>
      <c r="B777" t="s">
        <v>371</v>
      </c>
      <c r="C777">
        <f t="shared" si="37"/>
        <v>23.33</v>
      </c>
      <c r="D777">
        <v>0.5</v>
      </c>
      <c r="E777" t="s">
        <v>525</v>
      </c>
      <c r="F777" t="s">
        <v>526</v>
      </c>
      <c r="G777">
        <f t="shared" si="34"/>
        <v>11.664999999999999</v>
      </c>
      <c r="H777" t="str">
        <f t="shared" si="38"/>
        <v>Vegetable</v>
      </c>
    </row>
    <row r="778" spans="1:8">
      <c r="A778" s="17">
        <v>43199</v>
      </c>
      <c r="B778" t="s">
        <v>391</v>
      </c>
      <c r="C778">
        <f t="shared" si="37"/>
        <v>27.97</v>
      </c>
      <c r="D778">
        <v>0.28000000000000003</v>
      </c>
      <c r="E778" t="s">
        <v>525</v>
      </c>
      <c r="F778" t="s">
        <v>526</v>
      </c>
      <c r="G778">
        <f t="shared" si="34"/>
        <v>7.8316000000000008</v>
      </c>
      <c r="H778" t="str">
        <f t="shared" si="38"/>
        <v>Vegetable</v>
      </c>
    </row>
    <row r="779" spans="1:8">
      <c r="A779" s="17">
        <v>43199</v>
      </c>
      <c r="B779" t="s">
        <v>434</v>
      </c>
      <c r="C779">
        <f t="shared" si="37"/>
        <v>125</v>
      </c>
      <c r="D779">
        <v>6.5000000000000002E-2</v>
      </c>
      <c r="E779" t="s">
        <v>525</v>
      </c>
      <c r="F779" t="s">
        <v>526</v>
      </c>
      <c r="G779">
        <f t="shared" si="34"/>
        <v>8.125</v>
      </c>
      <c r="H779" t="str">
        <f t="shared" si="38"/>
        <v>Vegetable</v>
      </c>
    </row>
    <row r="780" spans="1:8">
      <c r="A780" s="17">
        <v>43199</v>
      </c>
      <c r="B780" t="s">
        <v>378</v>
      </c>
      <c r="C780">
        <f t="shared" si="37"/>
        <v>25</v>
      </c>
      <c r="D780">
        <v>0.36499999999999999</v>
      </c>
      <c r="E780" t="s">
        <v>525</v>
      </c>
      <c r="F780" t="s">
        <v>526</v>
      </c>
      <c r="G780">
        <f t="shared" si="34"/>
        <v>9.125</v>
      </c>
      <c r="H780" t="str">
        <f t="shared" si="38"/>
        <v>Vegetable</v>
      </c>
    </row>
    <row r="781" spans="1:8">
      <c r="A781" s="17">
        <v>43199</v>
      </c>
      <c r="B781" t="s">
        <v>429</v>
      </c>
      <c r="C781">
        <f t="shared" si="37"/>
        <v>40</v>
      </c>
      <c r="D781">
        <v>0.14000000000000001</v>
      </c>
      <c r="E781" t="s">
        <v>525</v>
      </c>
      <c r="F781" t="s">
        <v>526</v>
      </c>
      <c r="G781">
        <f t="shared" si="34"/>
        <v>5.6000000000000005</v>
      </c>
      <c r="H781" t="str">
        <f t="shared" si="38"/>
        <v>Vegetable</v>
      </c>
    </row>
    <row r="782" spans="1:8">
      <c r="A782" s="17">
        <v>43199</v>
      </c>
      <c r="B782" t="s">
        <v>376</v>
      </c>
      <c r="C782">
        <f t="shared" si="37"/>
        <v>220</v>
      </c>
      <c r="D782">
        <v>5.0000000000000001E-3</v>
      </c>
      <c r="E782" t="s">
        <v>525</v>
      </c>
      <c r="F782" t="s">
        <v>526</v>
      </c>
      <c r="G782">
        <f t="shared" si="34"/>
        <v>1.1000000000000001</v>
      </c>
      <c r="H782" t="str">
        <f t="shared" si="38"/>
        <v>Spice</v>
      </c>
    </row>
    <row r="783" spans="1:8">
      <c r="A783" s="17">
        <v>43199</v>
      </c>
      <c r="B783" t="s">
        <v>377</v>
      </c>
      <c r="C783">
        <f t="shared" si="37"/>
        <v>740</v>
      </c>
      <c r="D783">
        <v>5.0000000000000001E-3</v>
      </c>
      <c r="E783" t="s">
        <v>525</v>
      </c>
      <c r="F783" t="s">
        <v>526</v>
      </c>
      <c r="G783">
        <f t="shared" si="34"/>
        <v>3.7</v>
      </c>
      <c r="H783" t="str">
        <f t="shared" si="38"/>
        <v>Spice</v>
      </c>
    </row>
    <row r="784" spans="1:8">
      <c r="A784" s="17">
        <v>43199</v>
      </c>
      <c r="B784" t="s">
        <v>461</v>
      </c>
      <c r="C784">
        <f t="shared" si="37"/>
        <v>1450</v>
      </c>
      <c r="D784">
        <v>5.0000000000000001E-3</v>
      </c>
      <c r="E784" t="s">
        <v>525</v>
      </c>
      <c r="F784" t="s">
        <v>526</v>
      </c>
      <c r="G784">
        <f t="shared" si="34"/>
        <v>7.25</v>
      </c>
      <c r="H784" t="str">
        <f t="shared" si="38"/>
        <v>Spice</v>
      </c>
    </row>
    <row r="785" spans="1:8">
      <c r="A785" s="17">
        <v>43199</v>
      </c>
      <c r="B785" t="s">
        <v>464</v>
      </c>
      <c r="C785">
        <f t="shared" si="37"/>
        <v>750</v>
      </c>
      <c r="D785">
        <v>5.0000000000000001E-3</v>
      </c>
      <c r="E785" t="s">
        <v>525</v>
      </c>
      <c r="F785" t="s">
        <v>526</v>
      </c>
      <c r="G785">
        <f t="shared" si="34"/>
        <v>3.75</v>
      </c>
      <c r="H785" t="str">
        <f t="shared" si="38"/>
        <v>Spice</v>
      </c>
    </row>
    <row r="786" spans="1:8">
      <c r="A786" s="17">
        <v>43199</v>
      </c>
      <c r="B786" t="s">
        <v>476</v>
      </c>
      <c r="C786">
        <f t="shared" si="37"/>
        <v>14.75</v>
      </c>
      <c r="D786">
        <v>1.62</v>
      </c>
      <c r="E786" t="s">
        <v>525</v>
      </c>
      <c r="F786" t="s">
        <v>526</v>
      </c>
      <c r="G786">
        <f t="shared" si="34"/>
        <v>23.895000000000003</v>
      </c>
      <c r="H786" t="str">
        <f t="shared" si="38"/>
        <v>Vegetable</v>
      </c>
    </row>
    <row r="787" spans="1:8">
      <c r="A787" s="17">
        <v>43199</v>
      </c>
      <c r="B787" t="s">
        <v>426</v>
      </c>
      <c r="C787">
        <f t="shared" si="37"/>
        <v>57.5</v>
      </c>
      <c r="D787">
        <v>0.1</v>
      </c>
      <c r="E787" t="s">
        <v>525</v>
      </c>
      <c r="F787" t="s">
        <v>526</v>
      </c>
      <c r="G787">
        <f t="shared" si="34"/>
        <v>5.75</v>
      </c>
      <c r="H787" t="str">
        <f t="shared" si="38"/>
        <v>Dry Grocery</v>
      </c>
    </row>
    <row r="788" spans="1:8">
      <c r="A788" s="17">
        <v>43199</v>
      </c>
      <c r="B788" t="s">
        <v>474</v>
      </c>
      <c r="C788">
        <f t="shared" si="37"/>
        <v>27</v>
      </c>
      <c r="D788">
        <v>3</v>
      </c>
      <c r="E788" t="s">
        <v>525</v>
      </c>
      <c r="F788" t="s">
        <v>526</v>
      </c>
      <c r="G788">
        <f t="shared" si="34"/>
        <v>81</v>
      </c>
      <c r="H788" t="str">
        <f t="shared" si="38"/>
        <v>Dry Grocery</v>
      </c>
    </row>
    <row r="789" spans="1:8">
      <c r="A789" s="17">
        <v>43199</v>
      </c>
      <c r="B789" t="s">
        <v>454</v>
      </c>
      <c r="C789">
        <f t="shared" si="37"/>
        <v>43.06</v>
      </c>
      <c r="D789">
        <v>0.15</v>
      </c>
      <c r="E789" t="s">
        <v>525</v>
      </c>
      <c r="F789" t="s">
        <v>526</v>
      </c>
      <c r="G789">
        <f t="shared" si="34"/>
        <v>6.4590000000000005</v>
      </c>
      <c r="H789" t="str">
        <f t="shared" si="38"/>
        <v>Vegetable</v>
      </c>
    </row>
    <row r="790" spans="1:8">
      <c r="A790" s="17">
        <v>43199</v>
      </c>
      <c r="B790" t="s">
        <v>391</v>
      </c>
      <c r="C790">
        <f t="shared" si="37"/>
        <v>27.97</v>
      </c>
      <c r="D790">
        <v>0.2</v>
      </c>
      <c r="E790" t="s">
        <v>525</v>
      </c>
      <c r="F790" t="s">
        <v>526</v>
      </c>
      <c r="G790">
        <f t="shared" si="34"/>
        <v>5.5940000000000003</v>
      </c>
      <c r="H790" t="str">
        <f t="shared" si="38"/>
        <v>Vegetable</v>
      </c>
    </row>
    <row r="791" spans="1:8">
      <c r="A791" s="17">
        <v>43199</v>
      </c>
      <c r="B791" t="s">
        <v>482</v>
      </c>
      <c r="C791">
        <f t="shared" si="37"/>
        <v>48</v>
      </c>
      <c r="D791">
        <v>0.1</v>
      </c>
      <c r="E791" t="s">
        <v>525</v>
      </c>
      <c r="F791" t="s">
        <v>526</v>
      </c>
      <c r="G791">
        <f t="shared" si="34"/>
        <v>4.8000000000000007</v>
      </c>
      <c r="H791" t="str">
        <f t="shared" si="38"/>
        <v>Dry Grocery</v>
      </c>
    </row>
    <row r="792" spans="1:8">
      <c r="A792" s="17">
        <v>43199</v>
      </c>
      <c r="B792" t="s">
        <v>487</v>
      </c>
      <c r="C792">
        <f t="shared" si="37"/>
        <v>40</v>
      </c>
      <c r="D792">
        <v>1</v>
      </c>
      <c r="E792" t="s">
        <v>525</v>
      </c>
      <c r="F792" t="s">
        <v>526</v>
      </c>
      <c r="G792">
        <f t="shared" si="34"/>
        <v>40</v>
      </c>
      <c r="H792" t="str">
        <f t="shared" si="38"/>
        <v>Dry Grocery</v>
      </c>
    </row>
    <row r="793" spans="1:8">
      <c r="A793" s="17">
        <v>43199</v>
      </c>
      <c r="B793" t="s">
        <v>473</v>
      </c>
      <c r="C793">
        <f t="shared" si="37"/>
        <v>175</v>
      </c>
      <c r="D793">
        <v>1</v>
      </c>
      <c r="E793" t="s">
        <v>525</v>
      </c>
      <c r="F793" t="s">
        <v>526</v>
      </c>
      <c r="G793">
        <f t="shared" si="34"/>
        <v>175</v>
      </c>
      <c r="H793" t="str">
        <f t="shared" si="38"/>
        <v>Dairy</v>
      </c>
    </row>
    <row r="794" spans="1:8">
      <c r="A794" s="17">
        <v>43199</v>
      </c>
      <c r="B794" t="s">
        <v>398</v>
      </c>
      <c r="C794">
        <f t="shared" si="37"/>
        <v>51</v>
      </c>
      <c r="D794">
        <v>0.1</v>
      </c>
      <c r="E794" t="s">
        <v>525</v>
      </c>
      <c r="F794" t="s">
        <v>526</v>
      </c>
      <c r="G794">
        <f t="shared" si="34"/>
        <v>5.1000000000000005</v>
      </c>
      <c r="H794" t="str">
        <f t="shared" si="38"/>
        <v>Dry Grocery</v>
      </c>
    </row>
    <row r="795" spans="1:8">
      <c r="A795" s="17">
        <v>43199</v>
      </c>
      <c r="B795" t="s">
        <v>468</v>
      </c>
      <c r="C795">
        <f t="shared" ref="C795:C865" si="39">IF(B795="","",VLOOKUP(B795,$XEY$3:$XEZ$1158,2,FALSE))</f>
        <v>32</v>
      </c>
      <c r="D795">
        <v>4</v>
      </c>
      <c r="E795" t="s">
        <v>525</v>
      </c>
      <c r="F795" t="s">
        <v>526</v>
      </c>
      <c r="G795">
        <f t="shared" si="34"/>
        <v>128</v>
      </c>
      <c r="H795" t="str">
        <f t="shared" si="38"/>
        <v>Vegetable</v>
      </c>
    </row>
    <row r="796" spans="1:8">
      <c r="A796" s="17">
        <v>43199</v>
      </c>
      <c r="B796" t="s">
        <v>378</v>
      </c>
      <c r="C796">
        <f t="shared" si="39"/>
        <v>25</v>
      </c>
      <c r="D796">
        <v>0.2</v>
      </c>
      <c r="E796" t="s">
        <v>525</v>
      </c>
      <c r="F796" t="s">
        <v>526</v>
      </c>
      <c r="G796">
        <f t="shared" si="34"/>
        <v>5</v>
      </c>
      <c r="H796" t="str">
        <f t="shared" si="38"/>
        <v>Vegetable</v>
      </c>
    </row>
    <row r="797" spans="1:8">
      <c r="A797" s="17">
        <v>43199</v>
      </c>
      <c r="B797" t="s">
        <v>458</v>
      </c>
      <c r="C797">
        <f t="shared" si="39"/>
        <v>140</v>
      </c>
      <c r="D797">
        <v>0.5</v>
      </c>
      <c r="E797" t="s">
        <v>525</v>
      </c>
      <c r="F797" t="s">
        <v>526</v>
      </c>
      <c r="G797">
        <f t="shared" si="34"/>
        <v>70</v>
      </c>
      <c r="H797" t="str">
        <f t="shared" si="38"/>
        <v>Dairy</v>
      </c>
    </row>
    <row r="798" spans="1:8">
      <c r="A798" s="17">
        <v>43199</v>
      </c>
      <c r="B798" t="s">
        <v>441</v>
      </c>
      <c r="C798">
        <f t="shared" si="39"/>
        <v>390</v>
      </c>
      <c r="D798">
        <v>0.1</v>
      </c>
      <c r="E798" t="s">
        <v>542</v>
      </c>
      <c r="F798" t="s">
        <v>554</v>
      </c>
      <c r="G798">
        <f t="shared" si="34"/>
        <v>39</v>
      </c>
      <c r="H798" t="str">
        <f t="shared" si="38"/>
        <v>Hot Beverage</v>
      </c>
    </row>
    <row r="799" spans="1:8">
      <c r="A799" s="17">
        <v>43199</v>
      </c>
      <c r="B799" t="s">
        <v>451</v>
      </c>
      <c r="C799">
        <f t="shared" si="39"/>
        <v>60</v>
      </c>
      <c r="D799">
        <v>0.7</v>
      </c>
      <c r="E799" t="s">
        <v>525</v>
      </c>
      <c r="F799" t="s">
        <v>526</v>
      </c>
      <c r="G799">
        <f t="shared" si="34"/>
        <v>42</v>
      </c>
      <c r="H799" t="str">
        <f t="shared" si="38"/>
        <v>Vegetable</v>
      </c>
    </row>
    <row r="800" spans="1:8">
      <c r="A800" s="17">
        <v>43199</v>
      </c>
      <c r="B800" t="s">
        <v>386</v>
      </c>
      <c r="C800">
        <f t="shared" si="39"/>
        <v>82</v>
      </c>
      <c r="D800">
        <v>1</v>
      </c>
      <c r="E800" t="s">
        <v>525</v>
      </c>
      <c r="F800" t="s">
        <v>526</v>
      </c>
      <c r="G800">
        <f t="shared" si="34"/>
        <v>82</v>
      </c>
      <c r="H800" t="str">
        <f t="shared" si="38"/>
        <v>Oil</v>
      </c>
    </row>
    <row r="801" spans="1:8">
      <c r="A801" s="17">
        <v>43199</v>
      </c>
      <c r="B801" t="s">
        <v>468</v>
      </c>
      <c r="C801">
        <f t="shared" si="39"/>
        <v>32</v>
      </c>
      <c r="D801">
        <v>1</v>
      </c>
      <c r="E801" t="s">
        <v>525</v>
      </c>
      <c r="F801" t="s">
        <v>526</v>
      </c>
      <c r="G801">
        <f t="shared" si="34"/>
        <v>32</v>
      </c>
      <c r="H801" t="str">
        <f t="shared" si="38"/>
        <v>Vegetable</v>
      </c>
    </row>
    <row r="802" spans="1:8">
      <c r="A802" s="17">
        <v>43199</v>
      </c>
      <c r="B802" t="s">
        <v>397</v>
      </c>
      <c r="C802">
        <f t="shared" si="39"/>
        <v>75</v>
      </c>
      <c r="D802">
        <v>0.8</v>
      </c>
      <c r="E802" t="s">
        <v>525</v>
      </c>
      <c r="F802" t="s">
        <v>526</v>
      </c>
      <c r="G802">
        <f t="shared" si="34"/>
        <v>60</v>
      </c>
      <c r="H802" t="str">
        <f t="shared" si="38"/>
        <v>Sauce</v>
      </c>
    </row>
    <row r="803" spans="1:8">
      <c r="A803" s="17">
        <v>43199</v>
      </c>
      <c r="B803" t="s">
        <v>371</v>
      </c>
      <c r="C803">
        <f t="shared" si="39"/>
        <v>23.33</v>
      </c>
      <c r="D803">
        <v>1</v>
      </c>
      <c r="E803" t="s">
        <v>525</v>
      </c>
      <c r="F803" t="s">
        <v>526</v>
      </c>
      <c r="G803">
        <f t="shared" si="34"/>
        <v>23.33</v>
      </c>
      <c r="H803" t="str">
        <f t="shared" si="38"/>
        <v>Vegetable</v>
      </c>
    </row>
    <row r="804" spans="1:8">
      <c r="A804" s="17">
        <v>43199</v>
      </c>
      <c r="B804" t="s">
        <v>432</v>
      </c>
      <c r="C804">
        <f t="shared" si="39"/>
        <v>14</v>
      </c>
      <c r="D804">
        <v>0.5</v>
      </c>
      <c r="E804" t="s">
        <v>555</v>
      </c>
      <c r="F804" t="s">
        <v>556</v>
      </c>
      <c r="G804">
        <f t="shared" si="34"/>
        <v>7</v>
      </c>
      <c r="H804" t="str">
        <f t="shared" si="38"/>
        <v>Vegetable</v>
      </c>
    </row>
    <row r="805" spans="1:8">
      <c r="A805" s="17">
        <v>43199</v>
      </c>
      <c r="B805" t="s">
        <v>384</v>
      </c>
      <c r="C805">
        <f t="shared" si="39"/>
        <v>3</v>
      </c>
      <c r="D805">
        <v>10</v>
      </c>
      <c r="E805" t="s">
        <v>555</v>
      </c>
      <c r="F805" t="s">
        <v>556</v>
      </c>
      <c r="G805">
        <f t="shared" si="34"/>
        <v>30</v>
      </c>
      <c r="H805" t="str">
        <f t="shared" si="38"/>
        <v>Vegetable</v>
      </c>
    </row>
    <row r="806" spans="1:8">
      <c r="A806" s="17">
        <v>43199</v>
      </c>
      <c r="B806" t="s">
        <v>382</v>
      </c>
      <c r="C806">
        <f t="shared" si="39"/>
        <v>42</v>
      </c>
      <c r="D806">
        <v>1.5</v>
      </c>
      <c r="E806" t="s">
        <v>336</v>
      </c>
      <c r="F806" t="s">
        <v>527</v>
      </c>
      <c r="G806">
        <f t="shared" si="34"/>
        <v>63</v>
      </c>
      <c r="H806" t="str">
        <f t="shared" si="38"/>
        <v>Dairy</v>
      </c>
    </row>
    <row r="807" spans="1:8">
      <c r="A807" s="17">
        <v>43199</v>
      </c>
      <c r="B807" t="s">
        <v>385</v>
      </c>
      <c r="C807">
        <f t="shared" si="39"/>
        <v>36</v>
      </c>
      <c r="D807">
        <v>1.5</v>
      </c>
      <c r="E807" t="s">
        <v>336</v>
      </c>
      <c r="F807" t="s">
        <v>527</v>
      </c>
      <c r="G807">
        <f t="shared" si="34"/>
        <v>54</v>
      </c>
      <c r="H807" t="str">
        <f t="shared" si="38"/>
        <v>Dairy</v>
      </c>
    </row>
    <row r="808" spans="1:8">
      <c r="A808" s="17">
        <v>43199</v>
      </c>
      <c r="B808" t="s">
        <v>511</v>
      </c>
      <c r="C808">
        <f t="shared" si="39"/>
        <v>52</v>
      </c>
      <c r="D808">
        <v>4</v>
      </c>
      <c r="E808" t="s">
        <v>336</v>
      </c>
      <c r="F808" t="s">
        <v>527</v>
      </c>
      <c r="G808">
        <f t="shared" si="34"/>
        <v>208</v>
      </c>
      <c r="H808" t="str">
        <f t="shared" si="38"/>
        <v>Dry Grocery</v>
      </c>
    </row>
    <row r="809" spans="1:8">
      <c r="A809" s="17">
        <v>43199</v>
      </c>
      <c r="B809" t="s">
        <v>404</v>
      </c>
      <c r="C809">
        <f t="shared" si="39"/>
        <v>28</v>
      </c>
      <c r="D809">
        <v>2</v>
      </c>
      <c r="E809" t="s">
        <v>336</v>
      </c>
      <c r="F809" t="s">
        <v>527</v>
      </c>
      <c r="G809">
        <f t="shared" si="34"/>
        <v>56</v>
      </c>
      <c r="H809" t="str">
        <f t="shared" si="38"/>
        <v>Vegetable</v>
      </c>
    </row>
    <row r="810" spans="1:8">
      <c r="A810" s="17">
        <v>43199</v>
      </c>
      <c r="B810" t="s">
        <v>436</v>
      </c>
      <c r="C810">
        <f t="shared" si="39"/>
        <v>37</v>
      </c>
      <c r="D810">
        <v>0.7</v>
      </c>
      <c r="E810" t="s">
        <v>336</v>
      </c>
      <c r="F810" t="s">
        <v>527</v>
      </c>
      <c r="G810">
        <f t="shared" si="34"/>
        <v>25.9</v>
      </c>
      <c r="H810" t="str">
        <f t="shared" si="38"/>
        <v>Dry Grocery</v>
      </c>
    </row>
    <row r="811" spans="1:8">
      <c r="A811" s="17">
        <v>43199</v>
      </c>
      <c r="B811" t="s">
        <v>375</v>
      </c>
      <c r="C811">
        <f t="shared" si="39"/>
        <v>280</v>
      </c>
      <c r="D811">
        <v>0.03</v>
      </c>
      <c r="E811" t="s">
        <v>336</v>
      </c>
      <c r="F811" t="s">
        <v>527</v>
      </c>
      <c r="G811">
        <f t="shared" si="34"/>
        <v>8.4</v>
      </c>
      <c r="H811" t="str">
        <f t="shared" si="38"/>
        <v>Dry Grocery</v>
      </c>
    </row>
    <row r="812" spans="1:8">
      <c r="A812" s="17">
        <v>43199</v>
      </c>
      <c r="B812" t="s">
        <v>381</v>
      </c>
      <c r="C812">
        <f t="shared" si="39"/>
        <v>7</v>
      </c>
      <c r="D812">
        <v>0.39</v>
      </c>
      <c r="E812" t="s">
        <v>336</v>
      </c>
      <c r="F812" t="s">
        <v>527</v>
      </c>
      <c r="G812">
        <f t="shared" si="34"/>
        <v>2.73</v>
      </c>
      <c r="H812" t="str">
        <f t="shared" si="38"/>
        <v>Dry Grocery</v>
      </c>
    </row>
    <row r="813" spans="1:8">
      <c r="A813" s="17">
        <v>43199</v>
      </c>
      <c r="B813" t="s">
        <v>387</v>
      </c>
      <c r="C813">
        <f t="shared" si="39"/>
        <v>187.41</v>
      </c>
      <c r="D813">
        <v>0.01</v>
      </c>
      <c r="E813" t="s">
        <v>336</v>
      </c>
      <c r="F813" t="s">
        <v>527</v>
      </c>
      <c r="G813">
        <f t="shared" si="34"/>
        <v>1.8741000000000001</v>
      </c>
      <c r="H813" t="str">
        <f t="shared" si="38"/>
        <v>Dry Grocery</v>
      </c>
    </row>
    <row r="814" spans="1:8">
      <c r="A814" s="17">
        <v>43199</v>
      </c>
      <c r="B814" t="s">
        <v>485</v>
      </c>
      <c r="C814">
        <f t="shared" si="39"/>
        <v>96</v>
      </c>
      <c r="D814">
        <v>0.16</v>
      </c>
      <c r="E814" t="s">
        <v>336</v>
      </c>
      <c r="F814" t="s">
        <v>527</v>
      </c>
      <c r="G814">
        <f t="shared" si="34"/>
        <v>15.36</v>
      </c>
      <c r="H814" t="str">
        <f t="shared" si="38"/>
        <v>Oil</v>
      </c>
    </row>
    <row r="815" spans="1:8">
      <c r="A815" s="17">
        <v>43199</v>
      </c>
      <c r="B815" t="s">
        <v>386</v>
      </c>
      <c r="C815">
        <f t="shared" si="39"/>
        <v>82</v>
      </c>
      <c r="D815">
        <v>1</v>
      </c>
      <c r="E815" t="s">
        <v>336</v>
      </c>
      <c r="F815" t="s">
        <v>527</v>
      </c>
      <c r="G815">
        <f t="shared" si="34"/>
        <v>82</v>
      </c>
      <c r="H815" t="str">
        <f t="shared" si="38"/>
        <v>Oil</v>
      </c>
    </row>
    <row r="816" spans="1:8">
      <c r="A816" s="17">
        <v>43199</v>
      </c>
      <c r="B816" t="s">
        <v>383</v>
      </c>
      <c r="C816">
        <f t="shared" si="39"/>
        <v>230</v>
      </c>
      <c r="D816">
        <v>0.04</v>
      </c>
      <c r="E816" t="s">
        <v>336</v>
      </c>
      <c r="F816" t="s">
        <v>527</v>
      </c>
      <c r="G816">
        <f t="shared" si="34"/>
        <v>9.2000000000000011</v>
      </c>
      <c r="H816" t="str">
        <f t="shared" si="38"/>
        <v>Dry Grocery</v>
      </c>
    </row>
    <row r="817" spans="1:8">
      <c r="A817" s="17">
        <v>43199</v>
      </c>
      <c r="B817" t="s">
        <v>431</v>
      </c>
      <c r="C817">
        <f t="shared" si="39"/>
        <v>70</v>
      </c>
      <c r="D817">
        <v>5.5E-2</v>
      </c>
      <c r="E817" t="s">
        <v>336</v>
      </c>
      <c r="F817" t="s">
        <v>527</v>
      </c>
      <c r="G817">
        <f t="shared" si="34"/>
        <v>3.85</v>
      </c>
      <c r="H817" t="str">
        <f t="shared" si="38"/>
        <v>Dry Grocery</v>
      </c>
    </row>
    <row r="818" spans="1:8">
      <c r="A818" s="17">
        <v>43199</v>
      </c>
      <c r="B818" t="s">
        <v>367</v>
      </c>
      <c r="C818">
        <f t="shared" si="39"/>
        <v>55</v>
      </c>
      <c r="D818">
        <v>0.1</v>
      </c>
      <c r="E818" t="s">
        <v>336</v>
      </c>
      <c r="F818" t="s">
        <v>527</v>
      </c>
      <c r="G818">
        <f t="shared" si="34"/>
        <v>5.5</v>
      </c>
      <c r="H818" t="str">
        <f t="shared" si="38"/>
        <v>Dry Grocery</v>
      </c>
    </row>
    <row r="819" spans="1:8">
      <c r="A819" s="17">
        <v>43199</v>
      </c>
      <c r="B819" t="s">
        <v>432</v>
      </c>
      <c r="C819">
        <f t="shared" si="39"/>
        <v>14</v>
      </c>
      <c r="D819">
        <v>1.5</v>
      </c>
      <c r="E819" t="s">
        <v>336</v>
      </c>
      <c r="F819" t="s">
        <v>527</v>
      </c>
      <c r="G819">
        <f t="shared" si="34"/>
        <v>21</v>
      </c>
      <c r="H819" t="str">
        <f t="shared" si="38"/>
        <v>Vegetable</v>
      </c>
    </row>
    <row r="820" spans="1:8">
      <c r="A820" s="17">
        <v>43199</v>
      </c>
      <c r="B820" t="s">
        <v>427</v>
      </c>
      <c r="C820">
        <f t="shared" si="39"/>
        <v>28</v>
      </c>
      <c r="D820">
        <v>0.12</v>
      </c>
      <c r="E820" t="s">
        <v>336</v>
      </c>
      <c r="F820" t="s">
        <v>527</v>
      </c>
      <c r="G820">
        <f t="shared" si="34"/>
        <v>3.36</v>
      </c>
      <c r="H820" t="str">
        <f t="shared" si="38"/>
        <v>Vegetable</v>
      </c>
    </row>
    <row r="821" spans="1:8">
      <c r="A821" s="17">
        <v>43199</v>
      </c>
      <c r="B821" t="s">
        <v>437</v>
      </c>
      <c r="C821">
        <f t="shared" si="39"/>
        <v>34</v>
      </c>
      <c r="D821">
        <v>0.75</v>
      </c>
      <c r="E821" t="s">
        <v>336</v>
      </c>
      <c r="F821" t="s">
        <v>527</v>
      </c>
      <c r="G821">
        <f t="shared" si="34"/>
        <v>25.5</v>
      </c>
      <c r="H821" t="str">
        <f t="shared" si="38"/>
        <v>Dry Grocery</v>
      </c>
    </row>
    <row r="822" spans="1:8">
      <c r="A822" s="17">
        <v>43199</v>
      </c>
      <c r="B822" t="s">
        <v>429</v>
      </c>
      <c r="C822">
        <f t="shared" si="39"/>
        <v>40</v>
      </c>
      <c r="D822">
        <v>0.04</v>
      </c>
      <c r="E822" t="s">
        <v>336</v>
      </c>
      <c r="F822" t="s">
        <v>527</v>
      </c>
      <c r="G822">
        <f t="shared" si="34"/>
        <v>1.6</v>
      </c>
      <c r="H822" t="str">
        <f t="shared" si="38"/>
        <v>Vegetable</v>
      </c>
    </row>
    <row r="823" spans="1:8">
      <c r="A823" s="17">
        <v>43199</v>
      </c>
      <c r="B823" t="s">
        <v>392</v>
      </c>
      <c r="C823">
        <f t="shared" si="39"/>
        <v>840</v>
      </c>
      <c r="D823">
        <v>1.4999999999999999E-2</v>
      </c>
      <c r="E823" t="s">
        <v>336</v>
      </c>
      <c r="F823" t="s">
        <v>527</v>
      </c>
      <c r="G823">
        <f t="shared" ref="G823:G905" si="40">IF(C823="","",C823*D823)</f>
        <v>12.6</v>
      </c>
      <c r="H823" t="str">
        <f t="shared" si="38"/>
        <v>Dry Grocery</v>
      </c>
    </row>
    <row r="824" spans="1:8">
      <c r="A824" s="17">
        <v>43199</v>
      </c>
      <c r="B824" t="s">
        <v>506</v>
      </c>
      <c r="C824">
        <f t="shared" si="39"/>
        <v>240</v>
      </c>
      <c r="D824">
        <v>1.4999999999999999E-2</v>
      </c>
      <c r="E824" t="s">
        <v>336</v>
      </c>
      <c r="F824" t="s">
        <v>527</v>
      </c>
      <c r="G824">
        <f t="shared" si="40"/>
        <v>3.5999999999999996</v>
      </c>
      <c r="H824" t="str">
        <f t="shared" si="38"/>
        <v>Dry Grocery</v>
      </c>
    </row>
    <row r="825" spans="1:8">
      <c r="A825" s="17">
        <v>43199</v>
      </c>
      <c r="B825" t="s">
        <v>409</v>
      </c>
      <c r="C825">
        <f t="shared" si="39"/>
        <v>64.069999999999993</v>
      </c>
      <c r="D825">
        <v>0.3</v>
      </c>
      <c r="E825" t="s">
        <v>336</v>
      </c>
      <c r="F825" t="s">
        <v>527</v>
      </c>
      <c r="G825">
        <f t="shared" si="40"/>
        <v>19.220999999999997</v>
      </c>
      <c r="H825" t="str">
        <f t="shared" si="38"/>
        <v>Dry Grocery</v>
      </c>
    </row>
    <row r="826" spans="1:8">
      <c r="A826" s="17">
        <v>43199</v>
      </c>
      <c r="B826" t="s">
        <v>512</v>
      </c>
      <c r="C826">
        <f t="shared" si="39"/>
        <v>170</v>
      </c>
      <c r="D826">
        <v>0.5</v>
      </c>
      <c r="E826" t="s">
        <v>336</v>
      </c>
      <c r="F826" t="s">
        <v>527</v>
      </c>
      <c r="G826">
        <f t="shared" si="40"/>
        <v>85</v>
      </c>
      <c r="H826" t="str">
        <f t="shared" si="38"/>
        <v>Dry Grocery</v>
      </c>
    </row>
    <row r="827" spans="1:8">
      <c r="A827" s="17">
        <v>43199</v>
      </c>
      <c r="B827" t="s">
        <v>476</v>
      </c>
      <c r="C827">
        <f t="shared" si="39"/>
        <v>14.75</v>
      </c>
      <c r="D827">
        <v>0.9</v>
      </c>
      <c r="E827" t="s">
        <v>336</v>
      </c>
      <c r="F827" t="s">
        <v>527</v>
      </c>
      <c r="G827">
        <f t="shared" si="40"/>
        <v>13.275</v>
      </c>
      <c r="H827" t="str">
        <f t="shared" si="38"/>
        <v>Vegetable</v>
      </c>
    </row>
    <row r="828" spans="1:8">
      <c r="A828" s="17">
        <v>43199</v>
      </c>
      <c r="B828" t="s">
        <v>479</v>
      </c>
      <c r="C828">
        <f t="shared" si="39"/>
        <v>312.14</v>
      </c>
      <c r="D828">
        <v>0.04</v>
      </c>
      <c r="E828" t="s">
        <v>336</v>
      </c>
      <c r="F828" t="s">
        <v>527</v>
      </c>
      <c r="G828">
        <f t="shared" si="40"/>
        <v>12.4856</v>
      </c>
      <c r="H828" t="str">
        <f t="shared" si="38"/>
        <v>Vegetable</v>
      </c>
    </row>
    <row r="829" spans="1:8">
      <c r="A829" s="17">
        <v>43199</v>
      </c>
      <c r="B829" t="s">
        <v>378</v>
      </c>
      <c r="C829">
        <f t="shared" si="39"/>
        <v>25</v>
      </c>
      <c r="D829">
        <v>0.15</v>
      </c>
      <c r="E829" t="s">
        <v>336</v>
      </c>
      <c r="F829" t="s">
        <v>527</v>
      </c>
      <c r="G829">
        <f t="shared" si="40"/>
        <v>3.75</v>
      </c>
      <c r="H829" t="str">
        <f t="shared" si="38"/>
        <v>Vegetable</v>
      </c>
    </row>
    <row r="830" spans="1:8">
      <c r="A830" s="17">
        <v>43199</v>
      </c>
      <c r="B830" t="s">
        <v>429</v>
      </c>
      <c r="C830">
        <f t="shared" si="39"/>
        <v>40</v>
      </c>
      <c r="D830">
        <v>0.04</v>
      </c>
      <c r="E830" t="s">
        <v>336</v>
      </c>
      <c r="F830" t="s">
        <v>527</v>
      </c>
      <c r="G830">
        <f t="shared" si="40"/>
        <v>1.6</v>
      </c>
      <c r="H830" t="str">
        <f t="shared" si="38"/>
        <v>Vegetable</v>
      </c>
    </row>
    <row r="831" spans="1:8">
      <c r="A831" s="17">
        <v>43199</v>
      </c>
      <c r="B831" t="s">
        <v>402</v>
      </c>
      <c r="C831">
        <f t="shared" si="39"/>
        <v>76</v>
      </c>
      <c r="D831">
        <v>0.5</v>
      </c>
      <c r="E831" t="s">
        <v>336</v>
      </c>
      <c r="F831" t="s">
        <v>527</v>
      </c>
      <c r="G831">
        <f t="shared" si="40"/>
        <v>38</v>
      </c>
      <c r="H831" t="str">
        <f t="shared" si="38"/>
        <v>Dry Grocery</v>
      </c>
    </row>
    <row r="832" spans="1:8">
      <c r="A832" s="17">
        <v>43199</v>
      </c>
      <c r="B832" t="s">
        <v>461</v>
      </c>
      <c r="C832">
        <f t="shared" si="39"/>
        <v>1450</v>
      </c>
      <c r="D832">
        <v>5.0000000000000001E-3</v>
      </c>
      <c r="E832" t="s">
        <v>336</v>
      </c>
      <c r="F832" t="s">
        <v>527</v>
      </c>
      <c r="G832">
        <f t="shared" si="40"/>
        <v>7.25</v>
      </c>
      <c r="H832" t="str">
        <f t="shared" si="38"/>
        <v>Spice</v>
      </c>
    </row>
    <row r="833" spans="1:8">
      <c r="A833" s="17">
        <v>43199</v>
      </c>
      <c r="B833" t="s">
        <v>430</v>
      </c>
      <c r="C833">
        <f t="shared" si="39"/>
        <v>30</v>
      </c>
      <c r="D833">
        <v>0.12</v>
      </c>
      <c r="E833" t="s">
        <v>336</v>
      </c>
      <c r="F833" t="s">
        <v>527</v>
      </c>
      <c r="G833">
        <f t="shared" si="40"/>
        <v>3.5999999999999996</v>
      </c>
      <c r="H833" t="str">
        <f t="shared" si="38"/>
        <v>Vegetable</v>
      </c>
    </row>
    <row r="834" spans="1:8">
      <c r="A834" s="17">
        <v>43199</v>
      </c>
      <c r="B834" t="s">
        <v>462</v>
      </c>
      <c r="C834">
        <f t="shared" si="39"/>
        <v>138</v>
      </c>
      <c r="D834">
        <v>0.03</v>
      </c>
      <c r="E834" t="s">
        <v>336</v>
      </c>
      <c r="F834" t="s">
        <v>527</v>
      </c>
      <c r="G834">
        <f t="shared" si="40"/>
        <v>4.1399999999999997</v>
      </c>
      <c r="H834" t="str">
        <f t="shared" si="38"/>
        <v>Dry Grocery</v>
      </c>
    </row>
    <row r="835" spans="1:8">
      <c r="A835" s="17">
        <v>43199</v>
      </c>
      <c r="B835" t="s">
        <v>410</v>
      </c>
      <c r="C835">
        <f t="shared" si="39"/>
        <v>76</v>
      </c>
      <c r="D835">
        <v>0.02</v>
      </c>
      <c r="E835" t="s">
        <v>336</v>
      </c>
      <c r="F835" t="s">
        <v>527</v>
      </c>
      <c r="G835">
        <f t="shared" si="40"/>
        <v>1.52</v>
      </c>
      <c r="H835" t="str">
        <f t="shared" ref="H835:H898" si="41">IF(B835="","",VLOOKUP(B835,$XEY$3:$XFA$1200,3,FALSE))</f>
        <v>Dry Grocery</v>
      </c>
    </row>
    <row r="836" spans="1:8">
      <c r="A836" s="17">
        <v>43199</v>
      </c>
      <c r="B836" t="s">
        <v>466</v>
      </c>
      <c r="C836">
        <f t="shared" si="39"/>
        <v>125</v>
      </c>
      <c r="D836">
        <v>0.01</v>
      </c>
      <c r="E836" t="s">
        <v>336</v>
      </c>
      <c r="F836" t="s">
        <v>527</v>
      </c>
      <c r="G836">
        <f t="shared" si="40"/>
        <v>1.25</v>
      </c>
      <c r="H836" t="str">
        <f t="shared" si="41"/>
        <v>Dry Grocery</v>
      </c>
    </row>
    <row r="837" spans="1:8">
      <c r="A837" s="17">
        <v>43199</v>
      </c>
      <c r="B837" t="s">
        <v>510</v>
      </c>
      <c r="C837">
        <f t="shared" si="39"/>
        <v>62.03</v>
      </c>
      <c r="D837">
        <v>7.4999999999999997E-2</v>
      </c>
      <c r="E837" t="s">
        <v>336</v>
      </c>
      <c r="F837" t="s">
        <v>527</v>
      </c>
      <c r="G837">
        <f t="shared" si="40"/>
        <v>4.6522499999999996</v>
      </c>
      <c r="H837" t="str">
        <f t="shared" si="41"/>
        <v>Dry Grocery</v>
      </c>
    </row>
    <row r="838" spans="1:8">
      <c r="A838" s="17">
        <v>43199</v>
      </c>
      <c r="B838" t="s">
        <v>471</v>
      </c>
      <c r="C838">
        <f t="shared" si="39"/>
        <v>160</v>
      </c>
      <c r="D838">
        <v>0.11</v>
      </c>
      <c r="E838" t="s">
        <v>336</v>
      </c>
      <c r="F838" t="s">
        <v>527</v>
      </c>
      <c r="G838">
        <f t="shared" si="40"/>
        <v>17.600000000000001</v>
      </c>
      <c r="H838" t="str">
        <f t="shared" si="41"/>
        <v>Dry Grocery</v>
      </c>
    </row>
    <row r="839" spans="1:8">
      <c r="A839" s="17">
        <v>43199</v>
      </c>
      <c r="B839" t="s">
        <v>467</v>
      </c>
      <c r="C839">
        <f t="shared" si="39"/>
        <v>75</v>
      </c>
      <c r="D839">
        <v>0.25</v>
      </c>
      <c r="E839" t="s">
        <v>336</v>
      </c>
      <c r="F839" t="s">
        <v>527</v>
      </c>
      <c r="G839">
        <f t="shared" si="40"/>
        <v>18.75</v>
      </c>
      <c r="H839" t="str">
        <f t="shared" si="41"/>
        <v>Dry Grocery</v>
      </c>
    </row>
    <row r="840" spans="1:8">
      <c r="A840" s="17">
        <v>43199</v>
      </c>
      <c r="B840" t="s">
        <v>405</v>
      </c>
      <c r="C840">
        <f t="shared" si="39"/>
        <v>110</v>
      </c>
      <c r="D840">
        <v>0.1</v>
      </c>
      <c r="E840" t="s">
        <v>336</v>
      </c>
      <c r="F840" t="s">
        <v>527</v>
      </c>
      <c r="G840">
        <f t="shared" si="40"/>
        <v>11</v>
      </c>
      <c r="H840" t="str">
        <f t="shared" si="41"/>
        <v>Vegetable</v>
      </c>
    </row>
    <row r="841" spans="1:8">
      <c r="A841" s="17">
        <v>43199</v>
      </c>
      <c r="B841" t="s">
        <v>432</v>
      </c>
      <c r="C841">
        <f t="shared" si="39"/>
        <v>14</v>
      </c>
      <c r="D841">
        <v>0.6</v>
      </c>
      <c r="E841" t="s">
        <v>528</v>
      </c>
      <c r="F841" t="s">
        <v>527</v>
      </c>
      <c r="G841">
        <f t="shared" si="40"/>
        <v>8.4</v>
      </c>
      <c r="H841" t="str">
        <f t="shared" si="41"/>
        <v>Vegetable</v>
      </c>
    </row>
    <row r="842" spans="1:8">
      <c r="A842" s="17">
        <v>43199</v>
      </c>
      <c r="B842" t="s">
        <v>476</v>
      </c>
      <c r="C842">
        <f t="shared" si="39"/>
        <v>14.75</v>
      </c>
      <c r="D842">
        <v>0.38</v>
      </c>
      <c r="E842" t="s">
        <v>528</v>
      </c>
      <c r="F842" t="s">
        <v>527</v>
      </c>
      <c r="G842">
        <f t="shared" si="40"/>
        <v>5.6050000000000004</v>
      </c>
      <c r="H842" t="str">
        <f t="shared" si="41"/>
        <v>Vegetable</v>
      </c>
    </row>
    <row r="843" spans="1:8">
      <c r="A843" s="17">
        <v>43199</v>
      </c>
      <c r="B843" t="s">
        <v>378</v>
      </c>
      <c r="C843">
        <f t="shared" si="39"/>
        <v>25</v>
      </c>
      <c r="D843">
        <v>0.09</v>
      </c>
      <c r="E843" t="s">
        <v>528</v>
      </c>
      <c r="F843" t="s">
        <v>527</v>
      </c>
      <c r="G843">
        <f t="shared" si="40"/>
        <v>2.25</v>
      </c>
      <c r="H843" t="str">
        <f t="shared" si="41"/>
        <v>Vegetable</v>
      </c>
    </row>
    <row r="844" spans="1:8">
      <c r="A844" s="17">
        <v>43199</v>
      </c>
      <c r="B844" t="s">
        <v>391</v>
      </c>
      <c r="C844">
        <f t="shared" si="39"/>
        <v>27.97</v>
      </c>
      <c r="D844">
        <v>0.25</v>
      </c>
      <c r="E844" t="s">
        <v>528</v>
      </c>
      <c r="F844" t="s">
        <v>527</v>
      </c>
      <c r="G844">
        <f t="shared" si="40"/>
        <v>6.9924999999999997</v>
      </c>
      <c r="H844" t="str">
        <f t="shared" si="41"/>
        <v>Vegetable</v>
      </c>
    </row>
    <row r="845" spans="1:8">
      <c r="A845" s="17">
        <v>43199</v>
      </c>
      <c r="B845" t="s">
        <v>384</v>
      </c>
      <c r="C845">
        <f t="shared" si="39"/>
        <v>3</v>
      </c>
      <c r="D845">
        <v>20</v>
      </c>
      <c r="E845" t="s">
        <v>543</v>
      </c>
      <c r="F845" t="s">
        <v>527</v>
      </c>
      <c r="G845">
        <f t="shared" si="40"/>
        <v>60</v>
      </c>
      <c r="H845" t="str">
        <f t="shared" si="41"/>
        <v>Vegetable</v>
      </c>
    </row>
    <row r="846" spans="1:8">
      <c r="A846" s="17">
        <v>43199</v>
      </c>
      <c r="B846" t="s">
        <v>449</v>
      </c>
      <c r="C846">
        <f t="shared" si="39"/>
        <v>20</v>
      </c>
      <c r="D846">
        <v>1.45</v>
      </c>
      <c r="E846" t="s">
        <v>543</v>
      </c>
      <c r="F846" t="s">
        <v>527</v>
      </c>
      <c r="G846">
        <f t="shared" si="40"/>
        <v>29</v>
      </c>
      <c r="H846" t="str">
        <f t="shared" si="41"/>
        <v>Fruits</v>
      </c>
    </row>
    <row r="847" spans="1:8">
      <c r="A847" s="17">
        <v>43200</v>
      </c>
      <c r="B847" t="s">
        <v>397</v>
      </c>
      <c r="C847">
        <f t="shared" si="39"/>
        <v>75</v>
      </c>
      <c r="D847">
        <v>0.66</v>
      </c>
      <c r="E847" t="s">
        <v>555</v>
      </c>
      <c r="F847" t="s">
        <v>556</v>
      </c>
      <c r="G847">
        <f t="shared" si="40"/>
        <v>49.5</v>
      </c>
      <c r="H847" t="str">
        <f t="shared" si="41"/>
        <v>Sauce</v>
      </c>
    </row>
    <row r="848" spans="1:8">
      <c r="A848" s="17">
        <v>43200</v>
      </c>
      <c r="B848" t="s">
        <v>428</v>
      </c>
      <c r="C848">
        <f t="shared" si="39"/>
        <v>78.95</v>
      </c>
      <c r="D848">
        <v>19</v>
      </c>
      <c r="E848" t="s">
        <v>531</v>
      </c>
      <c r="F848" t="s">
        <v>530</v>
      </c>
      <c r="G848">
        <f t="shared" si="40"/>
        <v>1500.05</v>
      </c>
      <c r="H848" t="str">
        <f t="shared" si="41"/>
        <v>Gas</v>
      </c>
    </row>
    <row r="849" spans="1:8">
      <c r="A849" s="17">
        <v>43200</v>
      </c>
      <c r="B849" t="s">
        <v>384</v>
      </c>
      <c r="C849">
        <f t="shared" si="39"/>
        <v>3</v>
      </c>
      <c r="D849">
        <v>10</v>
      </c>
      <c r="E849" t="s">
        <v>555</v>
      </c>
      <c r="F849" t="s">
        <v>556</v>
      </c>
      <c r="G849">
        <f t="shared" si="40"/>
        <v>30</v>
      </c>
      <c r="H849" t="str">
        <f t="shared" si="41"/>
        <v>Vegetable</v>
      </c>
    </row>
    <row r="850" spans="1:8">
      <c r="A850" s="17">
        <v>43200</v>
      </c>
      <c r="B850" t="s">
        <v>432</v>
      </c>
      <c r="C850">
        <f t="shared" si="39"/>
        <v>14</v>
      </c>
      <c r="D850">
        <v>0.3</v>
      </c>
      <c r="E850" t="s">
        <v>555</v>
      </c>
      <c r="F850" t="s">
        <v>556</v>
      </c>
      <c r="G850">
        <f t="shared" si="40"/>
        <v>4.2</v>
      </c>
      <c r="H850" t="str">
        <f t="shared" si="41"/>
        <v>Vegetable</v>
      </c>
    </row>
    <row r="851" spans="1:8">
      <c r="A851" s="17">
        <v>43200</v>
      </c>
      <c r="B851" t="s">
        <v>373</v>
      </c>
      <c r="C851">
        <f t="shared" si="39"/>
        <v>33</v>
      </c>
      <c r="D851">
        <v>0.28000000000000003</v>
      </c>
      <c r="E851" t="s">
        <v>555</v>
      </c>
      <c r="F851" t="s">
        <v>556</v>
      </c>
      <c r="G851">
        <f t="shared" si="40"/>
        <v>9.24</v>
      </c>
      <c r="H851" t="str">
        <f t="shared" si="41"/>
        <v>Sauce</v>
      </c>
    </row>
    <row r="852" spans="1:8">
      <c r="A852" s="17">
        <v>43200</v>
      </c>
      <c r="B852" t="s">
        <v>432</v>
      </c>
      <c r="C852">
        <f t="shared" si="39"/>
        <v>14</v>
      </c>
      <c r="D852">
        <v>4</v>
      </c>
      <c r="E852" t="s">
        <v>525</v>
      </c>
      <c r="F852" t="s">
        <v>526</v>
      </c>
      <c r="G852">
        <f t="shared" si="40"/>
        <v>56</v>
      </c>
      <c r="H852" t="str">
        <f t="shared" si="41"/>
        <v>Vegetable</v>
      </c>
    </row>
    <row r="853" spans="1:8">
      <c r="A853" s="17">
        <v>43200</v>
      </c>
      <c r="B853" t="s">
        <v>390</v>
      </c>
      <c r="C853">
        <f t="shared" si="39"/>
        <v>30</v>
      </c>
      <c r="D853">
        <v>1.3</v>
      </c>
      <c r="E853" t="s">
        <v>525</v>
      </c>
      <c r="F853" t="s">
        <v>526</v>
      </c>
      <c r="G853">
        <f t="shared" si="40"/>
        <v>39</v>
      </c>
      <c r="H853" t="str">
        <f t="shared" si="41"/>
        <v>Vegetable</v>
      </c>
    </row>
    <row r="854" spans="1:8">
      <c r="A854" s="17">
        <v>43200</v>
      </c>
      <c r="B854" t="s">
        <v>430</v>
      </c>
      <c r="C854">
        <f t="shared" si="39"/>
        <v>30</v>
      </c>
      <c r="D854">
        <v>0.65</v>
      </c>
      <c r="E854" t="s">
        <v>525</v>
      </c>
      <c r="F854" t="s">
        <v>526</v>
      </c>
      <c r="G854">
        <f t="shared" si="40"/>
        <v>19.5</v>
      </c>
      <c r="H854" t="str">
        <f t="shared" si="41"/>
        <v>Vegetable</v>
      </c>
    </row>
    <row r="855" spans="1:8">
      <c r="A855" s="17">
        <v>43200</v>
      </c>
      <c r="B855" t="s">
        <v>491</v>
      </c>
      <c r="C855">
        <f t="shared" si="39"/>
        <v>38</v>
      </c>
      <c r="D855">
        <v>3.1</v>
      </c>
      <c r="E855" t="s">
        <v>525</v>
      </c>
      <c r="F855" t="s">
        <v>526</v>
      </c>
      <c r="G855">
        <f t="shared" si="40"/>
        <v>117.8</v>
      </c>
      <c r="H855" t="str">
        <f t="shared" si="41"/>
        <v>Vegetable</v>
      </c>
    </row>
    <row r="856" spans="1:8">
      <c r="A856" s="17">
        <v>43200</v>
      </c>
      <c r="B856" t="s">
        <v>378</v>
      </c>
      <c r="C856">
        <f t="shared" si="39"/>
        <v>25</v>
      </c>
      <c r="D856">
        <v>0.32500000000000001</v>
      </c>
      <c r="E856" t="s">
        <v>525</v>
      </c>
      <c r="F856" t="s">
        <v>526</v>
      </c>
      <c r="G856">
        <f t="shared" si="40"/>
        <v>8.125</v>
      </c>
      <c r="H856" t="str">
        <f t="shared" si="41"/>
        <v>Vegetable</v>
      </c>
    </row>
    <row r="857" spans="1:8">
      <c r="A857" s="17">
        <v>43200</v>
      </c>
      <c r="B857" t="s">
        <v>398</v>
      </c>
      <c r="C857">
        <f t="shared" si="39"/>
        <v>51</v>
      </c>
      <c r="D857">
        <v>0.1</v>
      </c>
      <c r="E857" t="s">
        <v>525</v>
      </c>
      <c r="F857" t="s">
        <v>526</v>
      </c>
      <c r="G857">
        <f t="shared" si="40"/>
        <v>5.1000000000000005</v>
      </c>
      <c r="H857" t="str">
        <f t="shared" si="41"/>
        <v>Dry Grocery</v>
      </c>
    </row>
    <row r="858" spans="1:8">
      <c r="A858" s="17">
        <v>43200</v>
      </c>
      <c r="B858" t="s">
        <v>375</v>
      </c>
      <c r="C858">
        <f t="shared" si="39"/>
        <v>280</v>
      </c>
      <c r="D858">
        <v>0.5</v>
      </c>
      <c r="E858" t="s">
        <v>525</v>
      </c>
      <c r="F858" t="s">
        <v>526</v>
      </c>
      <c r="G858">
        <f t="shared" si="40"/>
        <v>140</v>
      </c>
      <c r="H858" t="str">
        <f t="shared" si="41"/>
        <v>Dry Grocery</v>
      </c>
    </row>
    <row r="859" spans="1:8">
      <c r="A859" s="17">
        <v>43200</v>
      </c>
      <c r="B859" t="s">
        <v>474</v>
      </c>
      <c r="C859">
        <f t="shared" si="39"/>
        <v>27</v>
      </c>
      <c r="D859">
        <v>2.5</v>
      </c>
      <c r="E859" t="s">
        <v>525</v>
      </c>
      <c r="F859" t="s">
        <v>526</v>
      </c>
      <c r="G859">
        <f t="shared" si="40"/>
        <v>67.5</v>
      </c>
      <c r="H859" t="str">
        <f t="shared" si="41"/>
        <v>Dry Grocery</v>
      </c>
    </row>
    <row r="860" spans="1:8">
      <c r="A860" s="17">
        <v>43200</v>
      </c>
      <c r="B860" t="s">
        <v>452</v>
      </c>
      <c r="C860">
        <f t="shared" si="39"/>
        <v>62</v>
      </c>
      <c r="D860">
        <v>1</v>
      </c>
      <c r="E860" t="s">
        <v>525</v>
      </c>
      <c r="F860" t="s">
        <v>526</v>
      </c>
      <c r="G860">
        <f t="shared" si="40"/>
        <v>62</v>
      </c>
      <c r="H860" t="str">
        <f t="shared" si="41"/>
        <v>Dry Grocery</v>
      </c>
    </row>
    <row r="861" spans="1:8">
      <c r="A861" s="17">
        <v>43200</v>
      </c>
      <c r="B861" t="s">
        <v>427</v>
      </c>
      <c r="C861">
        <f t="shared" si="39"/>
        <v>28</v>
      </c>
      <c r="D861">
        <v>1.5</v>
      </c>
      <c r="E861" t="s">
        <v>525</v>
      </c>
      <c r="F861" t="s">
        <v>526</v>
      </c>
      <c r="G861">
        <f t="shared" si="40"/>
        <v>42</v>
      </c>
      <c r="H861" t="str">
        <f t="shared" si="41"/>
        <v>Vegetable</v>
      </c>
    </row>
    <row r="862" spans="1:8">
      <c r="A862" s="17">
        <v>43200</v>
      </c>
      <c r="B862" t="s">
        <v>420</v>
      </c>
      <c r="C862">
        <f t="shared" si="39"/>
        <v>3</v>
      </c>
      <c r="D862">
        <v>0.9</v>
      </c>
      <c r="E862" t="s">
        <v>525</v>
      </c>
      <c r="F862" t="s">
        <v>526</v>
      </c>
      <c r="G862">
        <f t="shared" si="40"/>
        <v>2.7</v>
      </c>
      <c r="H862" t="str">
        <f t="shared" si="41"/>
        <v>Vegetable</v>
      </c>
    </row>
    <row r="863" spans="1:8">
      <c r="A863" s="17">
        <v>43200</v>
      </c>
      <c r="B863" t="s">
        <v>393</v>
      </c>
      <c r="C863">
        <f t="shared" si="39"/>
        <v>26</v>
      </c>
      <c r="D863">
        <v>6</v>
      </c>
      <c r="E863" t="s">
        <v>525</v>
      </c>
      <c r="F863" t="s">
        <v>526</v>
      </c>
      <c r="G863">
        <f t="shared" si="40"/>
        <v>156</v>
      </c>
      <c r="H863" t="str">
        <f t="shared" si="41"/>
        <v>Heating</v>
      </c>
    </row>
    <row r="864" spans="1:8">
      <c r="A864" s="17">
        <v>43200</v>
      </c>
      <c r="B864" t="s">
        <v>391</v>
      </c>
      <c r="C864">
        <f t="shared" si="39"/>
        <v>27.97</v>
      </c>
      <c r="D864">
        <v>0.36</v>
      </c>
      <c r="E864" t="s">
        <v>525</v>
      </c>
      <c r="F864" t="s">
        <v>526</v>
      </c>
      <c r="G864">
        <f t="shared" si="40"/>
        <v>10.069199999999999</v>
      </c>
      <c r="H864" t="str">
        <f t="shared" si="41"/>
        <v>Vegetable</v>
      </c>
    </row>
    <row r="865" spans="1:8">
      <c r="A865" s="17">
        <v>43200</v>
      </c>
      <c r="B865" t="s">
        <v>425</v>
      </c>
      <c r="C865">
        <f t="shared" si="39"/>
        <v>580</v>
      </c>
      <c r="D865">
        <v>0.05</v>
      </c>
      <c r="E865" t="s">
        <v>525</v>
      </c>
      <c r="F865" t="s">
        <v>526</v>
      </c>
      <c r="G865">
        <f t="shared" si="40"/>
        <v>29</v>
      </c>
      <c r="H865" t="str">
        <f t="shared" si="41"/>
        <v>Dry Grocery</v>
      </c>
    </row>
    <row r="866" spans="1:8">
      <c r="A866" s="17">
        <v>43200</v>
      </c>
      <c r="B866" t="s">
        <v>376</v>
      </c>
      <c r="C866">
        <f t="shared" ref="C866:C929" si="42">IF(B866="","",VLOOKUP(B866,$XEY$3:$XEZ$1158,2,FALSE))</f>
        <v>220</v>
      </c>
      <c r="D866">
        <v>5.0000000000000001E-3</v>
      </c>
      <c r="E866" t="s">
        <v>525</v>
      </c>
      <c r="F866" t="s">
        <v>526</v>
      </c>
      <c r="G866">
        <f t="shared" si="40"/>
        <v>1.1000000000000001</v>
      </c>
      <c r="H866" t="str">
        <f t="shared" si="41"/>
        <v>Spice</v>
      </c>
    </row>
    <row r="867" spans="1:8">
      <c r="A867" s="17">
        <v>43200</v>
      </c>
      <c r="B867" t="s">
        <v>377</v>
      </c>
      <c r="C867">
        <f t="shared" si="42"/>
        <v>740</v>
      </c>
      <c r="D867">
        <v>5.0000000000000001E-3</v>
      </c>
      <c r="E867" t="s">
        <v>525</v>
      </c>
      <c r="F867" t="s">
        <v>526</v>
      </c>
      <c r="G867">
        <f t="shared" si="40"/>
        <v>3.7</v>
      </c>
      <c r="H867" t="str">
        <f t="shared" si="41"/>
        <v>Spice</v>
      </c>
    </row>
    <row r="868" spans="1:8">
      <c r="A868" s="17">
        <v>43200</v>
      </c>
      <c r="B868" t="s">
        <v>461</v>
      </c>
      <c r="C868">
        <f t="shared" si="42"/>
        <v>1450</v>
      </c>
      <c r="D868">
        <v>5.0000000000000001E-3</v>
      </c>
      <c r="E868" t="s">
        <v>525</v>
      </c>
      <c r="F868" t="s">
        <v>526</v>
      </c>
      <c r="G868">
        <f t="shared" si="40"/>
        <v>7.25</v>
      </c>
      <c r="H868" t="str">
        <f t="shared" si="41"/>
        <v>Spice</v>
      </c>
    </row>
    <row r="869" spans="1:8">
      <c r="A869" s="17">
        <v>43200</v>
      </c>
      <c r="B869" t="s">
        <v>464</v>
      </c>
      <c r="C869">
        <f t="shared" si="42"/>
        <v>750</v>
      </c>
      <c r="D869">
        <v>5.0000000000000001E-3</v>
      </c>
      <c r="E869" t="s">
        <v>525</v>
      </c>
      <c r="F869" t="s">
        <v>526</v>
      </c>
      <c r="G869">
        <f t="shared" si="40"/>
        <v>3.75</v>
      </c>
      <c r="H869" t="str">
        <f t="shared" si="41"/>
        <v>Spice</v>
      </c>
    </row>
    <row r="870" spans="1:8">
      <c r="A870" s="17">
        <v>43200</v>
      </c>
      <c r="B870" t="s">
        <v>399</v>
      </c>
      <c r="C870">
        <f t="shared" si="42"/>
        <v>1480</v>
      </c>
      <c r="D870">
        <v>5.0000000000000001E-3</v>
      </c>
      <c r="E870" t="s">
        <v>525</v>
      </c>
      <c r="F870" t="s">
        <v>526</v>
      </c>
      <c r="G870">
        <f t="shared" si="40"/>
        <v>7.4</v>
      </c>
      <c r="H870" t="str">
        <f t="shared" si="41"/>
        <v>Spice</v>
      </c>
    </row>
    <row r="871" spans="1:8">
      <c r="A871" s="17">
        <v>43200</v>
      </c>
      <c r="B871" t="s">
        <v>389</v>
      </c>
      <c r="C871">
        <f t="shared" si="42"/>
        <v>280</v>
      </c>
      <c r="D871">
        <v>0.13</v>
      </c>
      <c r="E871" t="s">
        <v>525</v>
      </c>
      <c r="F871" t="s">
        <v>526</v>
      </c>
      <c r="G871">
        <f t="shared" si="40"/>
        <v>36.4</v>
      </c>
      <c r="H871" t="str">
        <f t="shared" si="41"/>
        <v>Dry Grocery</v>
      </c>
    </row>
    <row r="872" spans="1:8">
      <c r="A872" s="17">
        <v>43200</v>
      </c>
      <c r="B872" t="s">
        <v>462</v>
      </c>
      <c r="C872">
        <f t="shared" si="42"/>
        <v>138</v>
      </c>
      <c r="D872">
        <v>0.13</v>
      </c>
      <c r="E872" t="s">
        <v>525</v>
      </c>
      <c r="F872" t="s">
        <v>526</v>
      </c>
      <c r="G872">
        <f t="shared" si="40"/>
        <v>17.940000000000001</v>
      </c>
      <c r="H872" t="str">
        <f t="shared" si="41"/>
        <v>Dry Grocery</v>
      </c>
    </row>
    <row r="873" spans="1:8">
      <c r="A873" s="17">
        <v>43200</v>
      </c>
      <c r="B873" t="s">
        <v>473</v>
      </c>
      <c r="C873">
        <f t="shared" si="42"/>
        <v>175</v>
      </c>
      <c r="D873">
        <v>1</v>
      </c>
      <c r="E873" t="s">
        <v>525</v>
      </c>
      <c r="F873" t="s">
        <v>526</v>
      </c>
      <c r="G873">
        <f t="shared" si="40"/>
        <v>175</v>
      </c>
      <c r="H873" t="str">
        <f t="shared" si="41"/>
        <v>Dairy</v>
      </c>
    </row>
    <row r="874" spans="1:8">
      <c r="A874" s="17">
        <v>43200</v>
      </c>
      <c r="B874" t="s">
        <v>429</v>
      </c>
      <c r="C874">
        <f t="shared" si="42"/>
        <v>40</v>
      </c>
      <c r="D874">
        <v>0.25</v>
      </c>
      <c r="E874" t="s">
        <v>525</v>
      </c>
      <c r="F874" t="s">
        <v>526</v>
      </c>
      <c r="G874">
        <f t="shared" si="40"/>
        <v>10</v>
      </c>
      <c r="H874" t="str">
        <f t="shared" si="41"/>
        <v>Vegetable</v>
      </c>
    </row>
    <row r="875" spans="1:8">
      <c r="A875" s="17">
        <v>43200</v>
      </c>
      <c r="B875" t="s">
        <v>463</v>
      </c>
      <c r="C875">
        <f t="shared" si="42"/>
        <v>29.51</v>
      </c>
      <c r="D875">
        <v>0.46</v>
      </c>
      <c r="E875" t="s">
        <v>525</v>
      </c>
      <c r="F875" t="s">
        <v>526</v>
      </c>
      <c r="G875">
        <f t="shared" si="40"/>
        <v>13.574600000000002</v>
      </c>
      <c r="H875" t="str">
        <f t="shared" si="41"/>
        <v>Dry Grocery</v>
      </c>
    </row>
    <row r="876" spans="1:8">
      <c r="A876" s="17">
        <v>43200</v>
      </c>
      <c r="B876" t="s">
        <v>386</v>
      </c>
      <c r="C876">
        <f t="shared" si="42"/>
        <v>82</v>
      </c>
      <c r="D876">
        <v>4</v>
      </c>
      <c r="E876" t="s">
        <v>525</v>
      </c>
      <c r="F876" t="s">
        <v>526</v>
      </c>
      <c r="G876">
        <f t="shared" si="40"/>
        <v>328</v>
      </c>
      <c r="H876" t="str">
        <f t="shared" si="41"/>
        <v>Oil</v>
      </c>
    </row>
    <row r="877" spans="1:8">
      <c r="A877" s="17">
        <v>43200</v>
      </c>
      <c r="B877" t="s">
        <v>454</v>
      </c>
      <c r="C877">
        <f t="shared" si="42"/>
        <v>43.06</v>
      </c>
      <c r="D877">
        <v>0.5</v>
      </c>
      <c r="E877" t="s">
        <v>525</v>
      </c>
      <c r="F877" t="s">
        <v>526</v>
      </c>
      <c r="G877">
        <f t="shared" si="40"/>
        <v>21.53</v>
      </c>
      <c r="H877" t="str">
        <f t="shared" si="41"/>
        <v>Vegetable</v>
      </c>
    </row>
    <row r="878" spans="1:8">
      <c r="A878" s="17">
        <v>43200</v>
      </c>
      <c r="B878" t="s">
        <v>451</v>
      </c>
      <c r="C878">
        <f t="shared" si="42"/>
        <v>60</v>
      </c>
      <c r="D878">
        <v>0.3</v>
      </c>
      <c r="E878" t="s">
        <v>525</v>
      </c>
      <c r="F878" t="s">
        <v>526</v>
      </c>
      <c r="G878">
        <f t="shared" si="40"/>
        <v>18</v>
      </c>
      <c r="H878" t="str">
        <f t="shared" si="41"/>
        <v>Vegetable</v>
      </c>
    </row>
    <row r="879" spans="1:8">
      <c r="A879" s="17">
        <v>43200</v>
      </c>
      <c r="B879" t="s">
        <v>476</v>
      </c>
      <c r="C879">
        <f t="shared" si="42"/>
        <v>14.75</v>
      </c>
      <c r="D879">
        <v>0.2</v>
      </c>
      <c r="E879" t="s">
        <v>525</v>
      </c>
      <c r="F879" t="s">
        <v>526</v>
      </c>
      <c r="G879">
        <f t="shared" si="40"/>
        <v>2.95</v>
      </c>
      <c r="H879" t="str">
        <f t="shared" si="41"/>
        <v>Vegetable</v>
      </c>
    </row>
    <row r="880" spans="1:8">
      <c r="A880" s="17">
        <v>43200</v>
      </c>
      <c r="B880" t="s">
        <v>458</v>
      </c>
      <c r="C880">
        <f t="shared" si="42"/>
        <v>140</v>
      </c>
      <c r="D880">
        <v>0.5</v>
      </c>
      <c r="E880" t="s">
        <v>525</v>
      </c>
      <c r="F880" t="s">
        <v>526</v>
      </c>
      <c r="G880">
        <f t="shared" si="40"/>
        <v>70</v>
      </c>
      <c r="H880" t="str">
        <f t="shared" si="41"/>
        <v>Dairy</v>
      </c>
    </row>
    <row r="881" spans="1:8">
      <c r="A881" s="17">
        <v>43200</v>
      </c>
      <c r="B881" t="s">
        <v>436</v>
      </c>
      <c r="C881">
        <f t="shared" si="42"/>
        <v>37</v>
      </c>
      <c r="D881">
        <v>0.7</v>
      </c>
      <c r="E881" t="s">
        <v>542</v>
      </c>
      <c r="F881" t="s">
        <v>554</v>
      </c>
      <c r="G881">
        <f t="shared" si="40"/>
        <v>25.9</v>
      </c>
      <c r="H881" t="str">
        <f t="shared" si="41"/>
        <v>Dry Grocery</v>
      </c>
    </row>
    <row r="882" spans="1:8">
      <c r="A882" s="17">
        <v>43200</v>
      </c>
      <c r="B882" t="s">
        <v>457</v>
      </c>
      <c r="C882">
        <f t="shared" si="42"/>
        <v>64</v>
      </c>
      <c r="D882">
        <v>2.5</v>
      </c>
      <c r="E882" t="s">
        <v>525</v>
      </c>
      <c r="F882" t="s">
        <v>526</v>
      </c>
      <c r="G882">
        <f t="shared" si="40"/>
        <v>160</v>
      </c>
      <c r="H882" t="str">
        <f t="shared" si="41"/>
        <v>Dry Grocery</v>
      </c>
    </row>
    <row r="883" spans="1:8">
      <c r="A883" s="17">
        <v>43200</v>
      </c>
      <c r="B883" t="s">
        <v>487</v>
      </c>
      <c r="C883">
        <f t="shared" si="42"/>
        <v>40</v>
      </c>
      <c r="D883">
        <v>1</v>
      </c>
      <c r="E883" t="s">
        <v>525</v>
      </c>
      <c r="F883" t="s">
        <v>526</v>
      </c>
      <c r="G883">
        <f t="shared" si="40"/>
        <v>40</v>
      </c>
      <c r="H883" t="str">
        <f t="shared" si="41"/>
        <v>Dry Grocery</v>
      </c>
    </row>
    <row r="884" spans="1:8">
      <c r="A884" s="17">
        <v>43200</v>
      </c>
      <c r="B884" t="s">
        <v>478</v>
      </c>
      <c r="C884">
        <f t="shared" si="42"/>
        <v>180</v>
      </c>
      <c r="D884">
        <v>0.5</v>
      </c>
      <c r="E884" t="s">
        <v>525</v>
      </c>
      <c r="F884" t="s">
        <v>526</v>
      </c>
      <c r="G884">
        <f t="shared" si="40"/>
        <v>90</v>
      </c>
      <c r="H884" t="str">
        <f t="shared" si="41"/>
        <v>Dry Grocery</v>
      </c>
    </row>
    <row r="885" spans="1:8">
      <c r="A885" s="17">
        <v>43200</v>
      </c>
      <c r="B885" t="s">
        <v>475</v>
      </c>
      <c r="C885">
        <f t="shared" si="42"/>
        <v>148</v>
      </c>
      <c r="D885">
        <v>0.5</v>
      </c>
      <c r="E885" t="s">
        <v>525</v>
      </c>
      <c r="F885" t="s">
        <v>526</v>
      </c>
      <c r="G885">
        <f t="shared" si="40"/>
        <v>74</v>
      </c>
      <c r="H885" t="str">
        <f t="shared" si="41"/>
        <v>Dry Grocery</v>
      </c>
    </row>
    <row r="886" spans="1:8">
      <c r="A886" s="17">
        <v>43200</v>
      </c>
      <c r="B886" t="s">
        <v>382</v>
      </c>
      <c r="C886">
        <f t="shared" si="42"/>
        <v>42</v>
      </c>
      <c r="D886">
        <v>1.5</v>
      </c>
      <c r="E886" t="s">
        <v>336</v>
      </c>
      <c r="F886" t="s">
        <v>527</v>
      </c>
      <c r="G886">
        <f t="shared" si="40"/>
        <v>63</v>
      </c>
      <c r="H886" t="str">
        <f t="shared" si="41"/>
        <v>Dairy</v>
      </c>
    </row>
    <row r="887" spans="1:8">
      <c r="A887" s="17">
        <v>43200</v>
      </c>
      <c r="B887" t="s">
        <v>385</v>
      </c>
      <c r="C887">
        <f t="shared" si="42"/>
        <v>36</v>
      </c>
      <c r="D887">
        <v>1.5</v>
      </c>
      <c r="E887" t="s">
        <v>336</v>
      </c>
      <c r="F887" t="s">
        <v>527</v>
      </c>
      <c r="G887">
        <f t="shared" si="40"/>
        <v>54</v>
      </c>
      <c r="H887" t="str">
        <f t="shared" si="41"/>
        <v>Dairy</v>
      </c>
    </row>
    <row r="888" spans="1:8">
      <c r="A888" s="17">
        <v>43200</v>
      </c>
      <c r="B888" t="s">
        <v>511</v>
      </c>
      <c r="C888">
        <f t="shared" si="42"/>
        <v>52</v>
      </c>
      <c r="D888">
        <v>4</v>
      </c>
      <c r="E888" t="s">
        <v>336</v>
      </c>
      <c r="F888" t="s">
        <v>527</v>
      </c>
      <c r="G888">
        <f t="shared" si="40"/>
        <v>208</v>
      </c>
      <c r="H888" t="str">
        <f t="shared" si="41"/>
        <v>Dry Grocery</v>
      </c>
    </row>
    <row r="889" spans="1:8">
      <c r="A889" s="17">
        <v>43200</v>
      </c>
      <c r="B889" t="s">
        <v>404</v>
      </c>
      <c r="C889">
        <f t="shared" si="42"/>
        <v>28</v>
      </c>
      <c r="D889">
        <v>2</v>
      </c>
      <c r="E889" t="s">
        <v>336</v>
      </c>
      <c r="F889" t="s">
        <v>527</v>
      </c>
      <c r="G889">
        <f t="shared" si="40"/>
        <v>56</v>
      </c>
      <c r="H889" t="str">
        <f t="shared" si="41"/>
        <v>Vegetable</v>
      </c>
    </row>
    <row r="890" spans="1:8">
      <c r="A890" s="17">
        <v>43200</v>
      </c>
      <c r="B890" t="s">
        <v>436</v>
      </c>
      <c r="C890">
        <f t="shared" si="42"/>
        <v>37</v>
      </c>
      <c r="D890">
        <v>0.3</v>
      </c>
      <c r="E890" t="s">
        <v>336</v>
      </c>
      <c r="F890" t="s">
        <v>527</v>
      </c>
      <c r="G890">
        <f t="shared" si="40"/>
        <v>11.1</v>
      </c>
      <c r="H890" t="str">
        <f t="shared" si="41"/>
        <v>Dry Grocery</v>
      </c>
    </row>
    <row r="891" spans="1:8">
      <c r="A891" s="17">
        <v>43200</v>
      </c>
      <c r="B891" t="s">
        <v>375</v>
      </c>
      <c r="C891">
        <f t="shared" si="42"/>
        <v>280</v>
      </c>
      <c r="D891">
        <v>0.115</v>
      </c>
      <c r="E891" t="s">
        <v>336</v>
      </c>
      <c r="F891" t="s">
        <v>527</v>
      </c>
      <c r="G891">
        <f t="shared" si="40"/>
        <v>32.200000000000003</v>
      </c>
      <c r="H891" t="str">
        <f t="shared" si="41"/>
        <v>Dry Grocery</v>
      </c>
    </row>
    <row r="892" spans="1:8">
      <c r="A892" s="17">
        <v>43200</v>
      </c>
      <c r="B892" t="s">
        <v>507</v>
      </c>
      <c r="C892">
        <f t="shared" si="42"/>
        <v>340</v>
      </c>
      <c r="D892">
        <v>0.02</v>
      </c>
      <c r="E892" t="s">
        <v>336</v>
      </c>
      <c r="F892" t="s">
        <v>527</v>
      </c>
      <c r="G892">
        <f t="shared" si="40"/>
        <v>6.8</v>
      </c>
      <c r="H892" t="str">
        <f t="shared" si="41"/>
        <v>Dry Grocery</v>
      </c>
    </row>
    <row r="893" spans="1:8">
      <c r="A893" s="17">
        <v>43200</v>
      </c>
      <c r="B893" t="s">
        <v>509</v>
      </c>
      <c r="C893">
        <f t="shared" si="42"/>
        <v>500</v>
      </c>
      <c r="D893">
        <v>0.05</v>
      </c>
      <c r="E893" t="s">
        <v>336</v>
      </c>
      <c r="F893" t="s">
        <v>527</v>
      </c>
      <c r="G893">
        <f t="shared" si="40"/>
        <v>25</v>
      </c>
      <c r="H893" t="str">
        <f t="shared" si="41"/>
        <v>Dry Grocery</v>
      </c>
    </row>
    <row r="894" spans="1:8">
      <c r="A894" s="17">
        <v>43200</v>
      </c>
      <c r="B894" t="s">
        <v>381</v>
      </c>
      <c r="C894">
        <f t="shared" si="42"/>
        <v>7</v>
      </c>
      <c r="D894">
        <v>0.47499999999999998</v>
      </c>
      <c r="E894" t="s">
        <v>336</v>
      </c>
      <c r="F894" t="s">
        <v>527</v>
      </c>
      <c r="G894">
        <f t="shared" si="40"/>
        <v>3.3249999999999997</v>
      </c>
      <c r="H894" t="str">
        <f t="shared" si="41"/>
        <v>Dry Grocery</v>
      </c>
    </row>
    <row r="895" spans="1:8">
      <c r="A895" s="17">
        <v>43200</v>
      </c>
      <c r="B895" t="s">
        <v>387</v>
      </c>
      <c r="C895">
        <f t="shared" si="42"/>
        <v>187.41</v>
      </c>
      <c r="D895">
        <v>2.5000000000000001E-2</v>
      </c>
      <c r="E895" t="s">
        <v>336</v>
      </c>
      <c r="F895" t="s">
        <v>527</v>
      </c>
      <c r="G895">
        <f t="shared" si="40"/>
        <v>4.6852499999999999</v>
      </c>
      <c r="H895" t="str">
        <f t="shared" si="41"/>
        <v>Dry Grocery</v>
      </c>
    </row>
    <row r="896" spans="1:8">
      <c r="A896" s="17">
        <v>43200</v>
      </c>
      <c r="B896" t="s">
        <v>485</v>
      </c>
      <c r="C896">
        <f t="shared" si="42"/>
        <v>96</v>
      </c>
      <c r="D896">
        <v>0.23</v>
      </c>
      <c r="E896" t="s">
        <v>336</v>
      </c>
      <c r="F896" t="s">
        <v>527</v>
      </c>
      <c r="G896">
        <f t="shared" si="40"/>
        <v>22.080000000000002</v>
      </c>
      <c r="H896" t="str">
        <f t="shared" si="41"/>
        <v>Oil</v>
      </c>
    </row>
    <row r="897" spans="1:8">
      <c r="A897" s="17">
        <v>43200</v>
      </c>
      <c r="B897" t="s">
        <v>386</v>
      </c>
      <c r="C897">
        <f t="shared" si="42"/>
        <v>82</v>
      </c>
      <c r="D897">
        <v>1</v>
      </c>
      <c r="E897" t="s">
        <v>336</v>
      </c>
      <c r="F897" t="s">
        <v>527</v>
      </c>
      <c r="G897">
        <f t="shared" si="40"/>
        <v>82</v>
      </c>
      <c r="H897" t="str">
        <f t="shared" si="41"/>
        <v>Oil</v>
      </c>
    </row>
    <row r="898" spans="1:8">
      <c r="A898" s="17">
        <v>43200</v>
      </c>
      <c r="B898" t="s">
        <v>383</v>
      </c>
      <c r="C898">
        <f t="shared" si="42"/>
        <v>230</v>
      </c>
      <c r="D898">
        <v>0.03</v>
      </c>
      <c r="E898" t="s">
        <v>336</v>
      </c>
      <c r="F898" t="s">
        <v>527</v>
      </c>
      <c r="G898">
        <f t="shared" si="40"/>
        <v>6.8999999999999995</v>
      </c>
      <c r="H898" t="str">
        <f t="shared" si="41"/>
        <v>Dry Grocery</v>
      </c>
    </row>
    <row r="899" spans="1:8">
      <c r="A899" s="17">
        <v>43200</v>
      </c>
      <c r="B899" t="s">
        <v>431</v>
      </c>
      <c r="C899">
        <f t="shared" si="42"/>
        <v>70</v>
      </c>
      <c r="D899">
        <v>0.03</v>
      </c>
      <c r="E899" t="s">
        <v>336</v>
      </c>
      <c r="F899" t="s">
        <v>527</v>
      </c>
      <c r="G899">
        <f t="shared" si="40"/>
        <v>2.1</v>
      </c>
      <c r="H899" t="str">
        <f t="shared" ref="H899:H962" si="43">IF(B899="","",VLOOKUP(B899,$XEY$3:$XFA$1200,3,FALSE))</f>
        <v>Dry Grocery</v>
      </c>
    </row>
    <row r="900" spans="1:8">
      <c r="A900" s="17">
        <v>43200</v>
      </c>
      <c r="B900" t="s">
        <v>367</v>
      </c>
      <c r="C900">
        <f t="shared" si="42"/>
        <v>55</v>
      </c>
      <c r="D900">
        <v>6.5000000000000002E-2</v>
      </c>
      <c r="E900" t="s">
        <v>336</v>
      </c>
      <c r="F900" t="s">
        <v>527</v>
      </c>
      <c r="G900">
        <f t="shared" si="40"/>
        <v>3.5750000000000002</v>
      </c>
      <c r="H900" t="str">
        <f t="shared" si="43"/>
        <v>Dry Grocery</v>
      </c>
    </row>
    <row r="901" spans="1:8">
      <c r="A901" s="17">
        <v>43200</v>
      </c>
      <c r="B901" t="s">
        <v>432</v>
      </c>
      <c r="C901">
        <f t="shared" si="42"/>
        <v>14</v>
      </c>
      <c r="D901">
        <v>2</v>
      </c>
      <c r="E901" t="s">
        <v>336</v>
      </c>
      <c r="F901" t="s">
        <v>527</v>
      </c>
      <c r="G901">
        <f t="shared" si="40"/>
        <v>28</v>
      </c>
      <c r="H901" t="str">
        <f t="shared" si="43"/>
        <v>Vegetable</v>
      </c>
    </row>
    <row r="902" spans="1:8">
      <c r="A902" s="17">
        <v>43200</v>
      </c>
      <c r="B902" t="s">
        <v>427</v>
      </c>
      <c r="C902">
        <f t="shared" si="42"/>
        <v>28</v>
      </c>
      <c r="D902">
        <v>0.2</v>
      </c>
      <c r="E902" t="s">
        <v>336</v>
      </c>
      <c r="F902" t="s">
        <v>527</v>
      </c>
      <c r="G902">
        <f t="shared" si="40"/>
        <v>5.6000000000000005</v>
      </c>
      <c r="H902" t="str">
        <f t="shared" si="43"/>
        <v>Vegetable</v>
      </c>
    </row>
    <row r="903" spans="1:8">
      <c r="A903" s="17">
        <v>43200</v>
      </c>
      <c r="B903" t="s">
        <v>437</v>
      </c>
      <c r="C903">
        <f t="shared" si="42"/>
        <v>34</v>
      </c>
      <c r="D903">
        <v>0.7</v>
      </c>
      <c r="E903" t="s">
        <v>336</v>
      </c>
      <c r="F903" t="s">
        <v>527</v>
      </c>
      <c r="G903">
        <f t="shared" si="40"/>
        <v>23.799999999999997</v>
      </c>
      <c r="H903" t="str">
        <f t="shared" si="43"/>
        <v>Dry Grocery</v>
      </c>
    </row>
    <row r="904" spans="1:8">
      <c r="A904" s="17">
        <v>43200</v>
      </c>
      <c r="B904" t="s">
        <v>409</v>
      </c>
      <c r="C904">
        <f t="shared" si="42"/>
        <v>64.069999999999993</v>
      </c>
      <c r="D904">
        <v>0.3</v>
      </c>
      <c r="E904" t="s">
        <v>336</v>
      </c>
      <c r="F904" t="s">
        <v>527</v>
      </c>
      <c r="G904">
        <f t="shared" si="40"/>
        <v>19.220999999999997</v>
      </c>
      <c r="H904" t="str">
        <f t="shared" si="43"/>
        <v>Dry Grocery</v>
      </c>
    </row>
    <row r="905" spans="1:8">
      <c r="A905" s="17">
        <v>43200</v>
      </c>
      <c r="B905" t="s">
        <v>392</v>
      </c>
      <c r="C905">
        <f t="shared" si="42"/>
        <v>840</v>
      </c>
      <c r="D905">
        <v>1.4999999999999999E-2</v>
      </c>
      <c r="E905" t="s">
        <v>336</v>
      </c>
      <c r="F905" t="s">
        <v>527</v>
      </c>
      <c r="G905">
        <f t="shared" si="40"/>
        <v>12.6</v>
      </c>
      <c r="H905" t="str">
        <f t="shared" si="43"/>
        <v>Dry Grocery</v>
      </c>
    </row>
    <row r="906" spans="1:8">
      <c r="A906" s="17">
        <v>43200</v>
      </c>
      <c r="B906" t="s">
        <v>506</v>
      </c>
      <c r="C906">
        <f t="shared" si="42"/>
        <v>240</v>
      </c>
      <c r="D906">
        <v>1.4999999999999999E-2</v>
      </c>
      <c r="E906" t="s">
        <v>336</v>
      </c>
      <c r="F906" t="s">
        <v>527</v>
      </c>
      <c r="G906">
        <f t="shared" ref="G906:G993" si="44">IF(C906="","",C906*D906)</f>
        <v>3.5999999999999996</v>
      </c>
      <c r="H906" t="str">
        <f t="shared" si="43"/>
        <v>Dry Grocery</v>
      </c>
    </row>
    <row r="907" spans="1:8">
      <c r="A907" s="17">
        <v>43200</v>
      </c>
      <c r="B907" t="s">
        <v>512</v>
      </c>
      <c r="C907">
        <f t="shared" si="42"/>
        <v>170</v>
      </c>
      <c r="D907">
        <v>0.05</v>
      </c>
      <c r="E907" t="s">
        <v>336</v>
      </c>
      <c r="F907" t="s">
        <v>527</v>
      </c>
      <c r="G907">
        <f t="shared" si="44"/>
        <v>8.5</v>
      </c>
      <c r="H907" t="str">
        <f t="shared" si="43"/>
        <v>Dry Grocery</v>
      </c>
    </row>
    <row r="908" spans="1:8">
      <c r="A908" s="17">
        <v>43200</v>
      </c>
      <c r="B908" t="s">
        <v>476</v>
      </c>
      <c r="C908">
        <f t="shared" si="42"/>
        <v>14.75</v>
      </c>
      <c r="D908">
        <v>0.9</v>
      </c>
      <c r="E908" t="s">
        <v>336</v>
      </c>
      <c r="F908" t="s">
        <v>527</v>
      </c>
      <c r="G908">
        <f t="shared" si="44"/>
        <v>13.275</v>
      </c>
      <c r="H908" t="str">
        <f t="shared" si="43"/>
        <v>Vegetable</v>
      </c>
    </row>
    <row r="909" spans="1:8">
      <c r="A909" s="17">
        <v>43200</v>
      </c>
      <c r="B909" t="s">
        <v>479</v>
      </c>
      <c r="C909">
        <f t="shared" si="42"/>
        <v>312.14</v>
      </c>
      <c r="D909">
        <v>0.04</v>
      </c>
      <c r="E909" t="s">
        <v>336</v>
      </c>
      <c r="F909" t="s">
        <v>527</v>
      </c>
      <c r="G909">
        <f t="shared" si="44"/>
        <v>12.4856</v>
      </c>
      <c r="H909" t="str">
        <f t="shared" si="43"/>
        <v>Vegetable</v>
      </c>
    </row>
    <row r="910" spans="1:8">
      <c r="A910" s="17">
        <v>43200</v>
      </c>
      <c r="B910" t="s">
        <v>378</v>
      </c>
      <c r="C910">
        <f t="shared" si="42"/>
        <v>25</v>
      </c>
      <c r="D910">
        <v>0.15</v>
      </c>
      <c r="E910" t="s">
        <v>336</v>
      </c>
      <c r="F910" t="s">
        <v>527</v>
      </c>
      <c r="G910">
        <f t="shared" si="44"/>
        <v>3.75</v>
      </c>
      <c r="H910" t="str">
        <f t="shared" si="43"/>
        <v>Vegetable</v>
      </c>
    </row>
    <row r="911" spans="1:8">
      <c r="A911" s="17">
        <v>43200</v>
      </c>
      <c r="B911" t="s">
        <v>434</v>
      </c>
      <c r="C911">
        <f t="shared" si="42"/>
        <v>125</v>
      </c>
      <c r="D911">
        <v>0.06</v>
      </c>
      <c r="E911" t="s">
        <v>336</v>
      </c>
      <c r="F911" t="s">
        <v>527</v>
      </c>
      <c r="G911">
        <f t="shared" si="44"/>
        <v>7.5</v>
      </c>
      <c r="H911" t="str">
        <f t="shared" si="43"/>
        <v>Vegetable</v>
      </c>
    </row>
    <row r="912" spans="1:8">
      <c r="A912" s="17">
        <v>43200</v>
      </c>
      <c r="B912" t="s">
        <v>429</v>
      </c>
      <c r="C912">
        <f t="shared" si="42"/>
        <v>40</v>
      </c>
      <c r="D912">
        <v>0.1</v>
      </c>
      <c r="E912" t="s">
        <v>336</v>
      </c>
      <c r="F912" t="s">
        <v>527</v>
      </c>
      <c r="G912">
        <f t="shared" si="44"/>
        <v>4</v>
      </c>
      <c r="H912" t="str">
        <f t="shared" si="43"/>
        <v>Vegetable</v>
      </c>
    </row>
    <row r="913" spans="1:8">
      <c r="A913" s="17">
        <v>43200</v>
      </c>
      <c r="B913" t="s">
        <v>391</v>
      </c>
      <c r="C913">
        <f t="shared" si="42"/>
        <v>27.97</v>
      </c>
      <c r="D913">
        <v>0.2</v>
      </c>
      <c r="E913" t="s">
        <v>336</v>
      </c>
      <c r="F913" t="s">
        <v>527</v>
      </c>
      <c r="G913">
        <f t="shared" si="44"/>
        <v>5.5940000000000003</v>
      </c>
      <c r="H913" t="str">
        <f t="shared" si="43"/>
        <v>Vegetable</v>
      </c>
    </row>
    <row r="914" spans="1:8">
      <c r="A914" s="17">
        <v>43200</v>
      </c>
      <c r="B914" t="s">
        <v>454</v>
      </c>
      <c r="C914">
        <f t="shared" si="42"/>
        <v>43.06</v>
      </c>
      <c r="D914">
        <v>0.3</v>
      </c>
      <c r="E914" t="s">
        <v>336</v>
      </c>
      <c r="F914" t="s">
        <v>527</v>
      </c>
      <c r="G914">
        <f t="shared" si="44"/>
        <v>12.918000000000001</v>
      </c>
      <c r="H914" t="str">
        <f t="shared" si="43"/>
        <v>Vegetable</v>
      </c>
    </row>
    <row r="915" spans="1:8">
      <c r="A915" s="17">
        <v>43200</v>
      </c>
      <c r="B915" t="s">
        <v>371</v>
      </c>
      <c r="C915">
        <f t="shared" si="42"/>
        <v>23.33</v>
      </c>
      <c r="D915">
        <v>0.1</v>
      </c>
      <c r="E915" t="s">
        <v>336</v>
      </c>
      <c r="F915" t="s">
        <v>527</v>
      </c>
      <c r="G915">
        <f t="shared" si="44"/>
        <v>2.3329999999999997</v>
      </c>
      <c r="H915" t="str">
        <f t="shared" si="43"/>
        <v>Vegetable</v>
      </c>
    </row>
    <row r="916" spans="1:8">
      <c r="A916" s="17">
        <v>43200</v>
      </c>
      <c r="B916" t="s">
        <v>499</v>
      </c>
      <c r="C916">
        <f t="shared" si="42"/>
        <v>60</v>
      </c>
      <c r="D916">
        <v>0.06</v>
      </c>
      <c r="E916" t="s">
        <v>336</v>
      </c>
      <c r="F916" t="s">
        <v>527</v>
      </c>
      <c r="G916">
        <f t="shared" si="44"/>
        <v>3.5999999999999996</v>
      </c>
      <c r="H916" t="str">
        <f t="shared" si="43"/>
        <v>Dry Grocery</v>
      </c>
    </row>
    <row r="917" spans="1:8">
      <c r="A917" s="17">
        <v>43200</v>
      </c>
      <c r="B917" t="s">
        <v>471</v>
      </c>
      <c r="C917">
        <f t="shared" si="42"/>
        <v>160</v>
      </c>
      <c r="D917">
        <v>0.185</v>
      </c>
      <c r="E917" t="s">
        <v>336</v>
      </c>
      <c r="F917" t="s">
        <v>527</v>
      </c>
      <c r="G917">
        <f t="shared" si="44"/>
        <v>29.6</v>
      </c>
      <c r="H917" t="str">
        <f t="shared" si="43"/>
        <v>Dry Grocery</v>
      </c>
    </row>
    <row r="918" spans="1:8">
      <c r="A918" s="17">
        <v>43200</v>
      </c>
      <c r="B918" t="s">
        <v>510</v>
      </c>
      <c r="C918">
        <f t="shared" si="42"/>
        <v>62.03</v>
      </c>
      <c r="D918">
        <v>0.105</v>
      </c>
      <c r="E918" t="s">
        <v>336</v>
      </c>
      <c r="F918" t="s">
        <v>527</v>
      </c>
      <c r="G918">
        <f t="shared" si="44"/>
        <v>6.5131499999999996</v>
      </c>
      <c r="H918" t="str">
        <f t="shared" si="43"/>
        <v>Dry Grocery</v>
      </c>
    </row>
    <row r="919" spans="1:8">
      <c r="A919" s="17">
        <v>43200</v>
      </c>
      <c r="B919" t="s">
        <v>461</v>
      </c>
      <c r="C919">
        <f t="shared" si="42"/>
        <v>1450</v>
      </c>
      <c r="D919">
        <v>1.4999999999999999E-2</v>
      </c>
      <c r="E919" t="s">
        <v>336</v>
      </c>
      <c r="F919" t="s">
        <v>527</v>
      </c>
      <c r="G919">
        <f t="shared" si="44"/>
        <v>21.75</v>
      </c>
      <c r="H919" t="str">
        <f t="shared" si="43"/>
        <v>Spice</v>
      </c>
    </row>
    <row r="920" spans="1:8">
      <c r="A920" s="17">
        <v>43200</v>
      </c>
      <c r="B920" t="s">
        <v>514</v>
      </c>
      <c r="C920">
        <f t="shared" si="42"/>
        <v>61.08</v>
      </c>
      <c r="D920">
        <v>0.2</v>
      </c>
      <c r="E920" t="s">
        <v>336</v>
      </c>
      <c r="F920" t="s">
        <v>527</v>
      </c>
      <c r="G920">
        <f t="shared" si="44"/>
        <v>12.216000000000001</v>
      </c>
      <c r="H920" t="str">
        <f t="shared" si="43"/>
        <v>Dry Grocery</v>
      </c>
    </row>
    <row r="921" spans="1:8">
      <c r="A921" s="17">
        <v>43200</v>
      </c>
      <c r="B921" t="s">
        <v>430</v>
      </c>
      <c r="C921">
        <f t="shared" si="42"/>
        <v>30</v>
      </c>
      <c r="D921">
        <v>0.2</v>
      </c>
      <c r="E921" t="s">
        <v>336</v>
      </c>
      <c r="F921" t="s">
        <v>527</v>
      </c>
      <c r="G921">
        <f t="shared" si="44"/>
        <v>6</v>
      </c>
      <c r="H921" t="str">
        <f t="shared" si="43"/>
        <v>Vegetable</v>
      </c>
    </row>
    <row r="922" spans="1:8">
      <c r="A922" s="17">
        <v>43200</v>
      </c>
      <c r="B922" t="s">
        <v>462</v>
      </c>
      <c r="C922">
        <f t="shared" si="42"/>
        <v>138</v>
      </c>
      <c r="D922">
        <v>0.03</v>
      </c>
      <c r="E922" t="s">
        <v>336</v>
      </c>
      <c r="F922" t="s">
        <v>527</v>
      </c>
      <c r="G922">
        <f t="shared" si="44"/>
        <v>4.1399999999999997</v>
      </c>
      <c r="H922" t="str">
        <f t="shared" si="43"/>
        <v>Dry Grocery</v>
      </c>
    </row>
    <row r="923" spans="1:8">
      <c r="A923" s="17">
        <v>43200</v>
      </c>
      <c r="B923" t="s">
        <v>486</v>
      </c>
      <c r="C923">
        <f t="shared" si="42"/>
        <v>108</v>
      </c>
      <c r="D923">
        <v>0.1</v>
      </c>
      <c r="E923" t="s">
        <v>336</v>
      </c>
      <c r="F923" t="s">
        <v>527</v>
      </c>
      <c r="G923">
        <f t="shared" si="44"/>
        <v>10.8</v>
      </c>
      <c r="H923" t="str">
        <f t="shared" si="43"/>
        <v>Dry Grocery</v>
      </c>
    </row>
    <row r="924" spans="1:8">
      <c r="A924" s="17">
        <v>43200</v>
      </c>
      <c r="B924" t="s">
        <v>519</v>
      </c>
      <c r="C924">
        <f t="shared" si="42"/>
        <v>35</v>
      </c>
      <c r="D924">
        <v>0.7</v>
      </c>
      <c r="E924" t="s">
        <v>336</v>
      </c>
      <c r="F924" t="s">
        <v>527</v>
      </c>
      <c r="G924">
        <f t="shared" si="44"/>
        <v>24.5</v>
      </c>
      <c r="H924" t="str">
        <f t="shared" si="43"/>
        <v>Vegetable</v>
      </c>
    </row>
    <row r="925" spans="1:8">
      <c r="A925" s="17">
        <v>43200</v>
      </c>
      <c r="B925" t="s">
        <v>427</v>
      </c>
      <c r="C925">
        <f t="shared" si="42"/>
        <v>28</v>
      </c>
      <c r="D925">
        <v>0.11</v>
      </c>
      <c r="E925" t="s">
        <v>528</v>
      </c>
      <c r="F925" t="s">
        <v>527</v>
      </c>
      <c r="G925">
        <f t="shared" si="44"/>
        <v>3.08</v>
      </c>
      <c r="H925" t="str">
        <f t="shared" si="43"/>
        <v>Vegetable</v>
      </c>
    </row>
    <row r="926" spans="1:8">
      <c r="A926" s="17">
        <v>43200</v>
      </c>
      <c r="B926" t="s">
        <v>429</v>
      </c>
      <c r="C926">
        <f t="shared" si="42"/>
        <v>40</v>
      </c>
      <c r="D926">
        <v>0.02</v>
      </c>
      <c r="E926" t="s">
        <v>528</v>
      </c>
      <c r="F926" t="s">
        <v>527</v>
      </c>
      <c r="G926">
        <f t="shared" si="44"/>
        <v>0.8</v>
      </c>
      <c r="H926" t="str">
        <f t="shared" si="43"/>
        <v>Vegetable</v>
      </c>
    </row>
    <row r="927" spans="1:8">
      <c r="A927" s="17">
        <v>43200</v>
      </c>
      <c r="B927" t="s">
        <v>476</v>
      </c>
      <c r="C927">
        <f t="shared" si="42"/>
        <v>14.75</v>
      </c>
      <c r="D927">
        <v>0.58499999999999996</v>
      </c>
      <c r="E927" t="s">
        <v>528</v>
      </c>
      <c r="F927" t="s">
        <v>527</v>
      </c>
      <c r="G927">
        <f t="shared" si="44"/>
        <v>8.6287500000000001</v>
      </c>
      <c r="H927" t="str">
        <f t="shared" si="43"/>
        <v>Vegetable</v>
      </c>
    </row>
    <row r="928" spans="1:8">
      <c r="A928" s="17">
        <v>43200</v>
      </c>
      <c r="B928" t="s">
        <v>378</v>
      </c>
      <c r="C928">
        <f t="shared" si="42"/>
        <v>25</v>
      </c>
      <c r="D928">
        <v>0.05</v>
      </c>
      <c r="E928" t="s">
        <v>528</v>
      </c>
      <c r="F928" t="s">
        <v>527</v>
      </c>
      <c r="G928">
        <f t="shared" si="44"/>
        <v>1.25</v>
      </c>
      <c r="H928" t="str">
        <f t="shared" si="43"/>
        <v>Vegetable</v>
      </c>
    </row>
    <row r="929" spans="1:8">
      <c r="A929" s="17">
        <v>43200</v>
      </c>
      <c r="B929" t="s">
        <v>432</v>
      </c>
      <c r="C929">
        <f t="shared" si="42"/>
        <v>14</v>
      </c>
      <c r="D929">
        <v>0.88</v>
      </c>
      <c r="E929" t="s">
        <v>528</v>
      </c>
      <c r="F929" t="s">
        <v>527</v>
      </c>
      <c r="G929">
        <f t="shared" si="44"/>
        <v>12.32</v>
      </c>
      <c r="H929" t="str">
        <f t="shared" si="43"/>
        <v>Vegetable</v>
      </c>
    </row>
    <row r="930" spans="1:8">
      <c r="A930" s="17">
        <v>43200</v>
      </c>
      <c r="B930" t="s">
        <v>499</v>
      </c>
      <c r="C930">
        <f t="shared" ref="C930:C1046" si="45">IF(B930="","",VLOOKUP(B930,$XEY$3:$XEZ$1158,2,FALSE))</f>
        <v>60</v>
      </c>
      <c r="D930">
        <v>7.0000000000000007E-2</v>
      </c>
      <c r="E930" t="s">
        <v>528</v>
      </c>
      <c r="F930" t="s">
        <v>527</v>
      </c>
      <c r="G930">
        <f t="shared" si="44"/>
        <v>4.2</v>
      </c>
      <c r="H930" t="str">
        <f t="shared" si="43"/>
        <v>Dry Grocery</v>
      </c>
    </row>
    <row r="931" spans="1:8">
      <c r="A931" s="17">
        <v>43200</v>
      </c>
      <c r="B931" t="s">
        <v>512</v>
      </c>
      <c r="C931">
        <f t="shared" si="45"/>
        <v>170</v>
      </c>
      <c r="D931">
        <v>5.0000000000000001E-3</v>
      </c>
      <c r="E931" t="s">
        <v>528</v>
      </c>
      <c r="F931" t="s">
        <v>527</v>
      </c>
      <c r="G931">
        <f t="shared" si="44"/>
        <v>0.85</v>
      </c>
      <c r="H931" t="str">
        <f t="shared" si="43"/>
        <v>Dry Grocery</v>
      </c>
    </row>
    <row r="932" spans="1:8">
      <c r="A932" s="17">
        <v>43200</v>
      </c>
      <c r="B932" t="s">
        <v>430</v>
      </c>
      <c r="C932">
        <f t="shared" si="45"/>
        <v>30</v>
      </c>
      <c r="D932">
        <v>0.12</v>
      </c>
      <c r="E932" t="s">
        <v>528</v>
      </c>
      <c r="F932" t="s">
        <v>527</v>
      </c>
      <c r="G932">
        <f t="shared" si="44"/>
        <v>3.5999999999999996</v>
      </c>
      <c r="H932" t="str">
        <f t="shared" si="43"/>
        <v>Vegetable</v>
      </c>
    </row>
    <row r="933" spans="1:8">
      <c r="A933" s="17">
        <v>43200</v>
      </c>
      <c r="B933" t="s">
        <v>433</v>
      </c>
      <c r="C933">
        <f t="shared" si="45"/>
        <v>20</v>
      </c>
      <c r="D933">
        <v>0.25</v>
      </c>
      <c r="E933" t="s">
        <v>528</v>
      </c>
      <c r="F933" t="s">
        <v>527</v>
      </c>
      <c r="G933">
        <f t="shared" si="44"/>
        <v>5</v>
      </c>
      <c r="H933" t="str">
        <f t="shared" si="43"/>
        <v>Vegetable</v>
      </c>
    </row>
    <row r="934" spans="1:8">
      <c r="A934" s="17">
        <v>43200</v>
      </c>
      <c r="B934" t="s">
        <v>379</v>
      </c>
      <c r="C934">
        <f t="shared" si="45"/>
        <v>120</v>
      </c>
      <c r="D934">
        <v>0.84</v>
      </c>
      <c r="E934" t="s">
        <v>528</v>
      </c>
      <c r="F934" t="s">
        <v>527</v>
      </c>
      <c r="G934">
        <f t="shared" si="44"/>
        <v>100.8</v>
      </c>
      <c r="H934" t="str">
        <f t="shared" si="43"/>
        <v>Dry Grocery</v>
      </c>
    </row>
    <row r="935" spans="1:8">
      <c r="A935" s="17">
        <v>43200</v>
      </c>
      <c r="B935" t="s">
        <v>375</v>
      </c>
      <c r="C935">
        <f t="shared" si="45"/>
        <v>280</v>
      </c>
      <c r="D935">
        <v>2.5000000000000001E-2</v>
      </c>
      <c r="E935" t="s">
        <v>528</v>
      </c>
      <c r="F935" t="s">
        <v>527</v>
      </c>
      <c r="G935">
        <f t="shared" si="44"/>
        <v>7</v>
      </c>
      <c r="H935" t="str">
        <f t="shared" si="43"/>
        <v>Dry Grocery</v>
      </c>
    </row>
    <row r="936" spans="1:8">
      <c r="A936" s="17">
        <v>43200</v>
      </c>
      <c r="B936" t="s">
        <v>387</v>
      </c>
      <c r="C936">
        <f t="shared" si="45"/>
        <v>187.41</v>
      </c>
      <c r="D936">
        <v>5.0000000000000001E-3</v>
      </c>
      <c r="E936" t="s">
        <v>528</v>
      </c>
      <c r="F936" t="s">
        <v>527</v>
      </c>
      <c r="G936">
        <f t="shared" si="44"/>
        <v>0.93705000000000005</v>
      </c>
      <c r="H936" t="str">
        <f t="shared" si="43"/>
        <v>Dry Grocery</v>
      </c>
    </row>
    <row r="937" spans="1:8">
      <c r="A937" s="17">
        <v>43200</v>
      </c>
      <c r="B937" t="s">
        <v>426</v>
      </c>
      <c r="C937">
        <f t="shared" si="45"/>
        <v>57.5</v>
      </c>
      <c r="D937">
        <v>1.4999999999999999E-2</v>
      </c>
      <c r="E937" t="s">
        <v>528</v>
      </c>
      <c r="F937" t="s">
        <v>527</v>
      </c>
      <c r="G937">
        <f t="shared" si="44"/>
        <v>0.86249999999999993</v>
      </c>
      <c r="H937" t="str">
        <f t="shared" si="43"/>
        <v>Dry Grocery</v>
      </c>
    </row>
    <row r="938" spans="1:8">
      <c r="A938" s="17">
        <v>43200</v>
      </c>
      <c r="B938" t="s">
        <v>482</v>
      </c>
      <c r="C938">
        <f t="shared" si="45"/>
        <v>48</v>
      </c>
      <c r="D938">
        <v>1.4999999999999999E-2</v>
      </c>
      <c r="E938" t="s">
        <v>528</v>
      </c>
      <c r="F938" t="s">
        <v>527</v>
      </c>
      <c r="G938">
        <f t="shared" si="44"/>
        <v>0.72</v>
      </c>
      <c r="H938" t="str">
        <f t="shared" si="43"/>
        <v>Dry Grocery</v>
      </c>
    </row>
    <row r="939" spans="1:8">
      <c r="A939" s="17">
        <v>43200</v>
      </c>
      <c r="B939" t="s">
        <v>381</v>
      </c>
      <c r="C939">
        <f t="shared" si="45"/>
        <v>7</v>
      </c>
      <c r="D939">
        <v>0.05</v>
      </c>
      <c r="E939" t="s">
        <v>528</v>
      </c>
      <c r="F939" t="s">
        <v>527</v>
      </c>
      <c r="G939">
        <f t="shared" si="44"/>
        <v>0.35000000000000003</v>
      </c>
      <c r="H939" t="str">
        <f t="shared" si="43"/>
        <v>Dry Grocery</v>
      </c>
    </row>
    <row r="940" spans="1:8">
      <c r="A940" s="17">
        <v>43200</v>
      </c>
      <c r="B940" t="s">
        <v>411</v>
      </c>
      <c r="C940">
        <f t="shared" si="45"/>
        <v>49.5</v>
      </c>
      <c r="D940">
        <v>0.01</v>
      </c>
      <c r="E940" t="s">
        <v>528</v>
      </c>
      <c r="F940" t="s">
        <v>527</v>
      </c>
      <c r="G940">
        <f t="shared" si="44"/>
        <v>0.495</v>
      </c>
      <c r="H940" t="str">
        <f t="shared" si="43"/>
        <v>Dry Grocery</v>
      </c>
    </row>
    <row r="941" spans="1:8">
      <c r="A941" s="17">
        <v>43200</v>
      </c>
      <c r="B941" t="s">
        <v>384</v>
      </c>
      <c r="C941">
        <f t="shared" si="45"/>
        <v>3</v>
      </c>
      <c r="D941">
        <v>30</v>
      </c>
      <c r="E941" t="s">
        <v>543</v>
      </c>
      <c r="F941" t="s">
        <v>527</v>
      </c>
      <c r="G941">
        <f t="shared" si="44"/>
        <v>90</v>
      </c>
      <c r="H941" t="str">
        <f t="shared" si="43"/>
        <v>Vegetable</v>
      </c>
    </row>
    <row r="942" spans="1:8">
      <c r="A942" s="17">
        <v>43200</v>
      </c>
      <c r="B942" t="s">
        <v>378</v>
      </c>
      <c r="C942">
        <f t="shared" si="45"/>
        <v>25</v>
      </c>
      <c r="D942">
        <v>0.08</v>
      </c>
      <c r="E942" t="s">
        <v>528</v>
      </c>
      <c r="F942" t="s">
        <v>527</v>
      </c>
      <c r="G942">
        <f t="shared" si="44"/>
        <v>2</v>
      </c>
      <c r="H942" t="str">
        <f t="shared" si="43"/>
        <v>Vegetable</v>
      </c>
    </row>
    <row r="943" spans="1:8">
      <c r="A943" s="17">
        <v>43200</v>
      </c>
      <c r="B943" t="s">
        <v>391</v>
      </c>
      <c r="C943">
        <f t="shared" si="45"/>
        <v>27.97</v>
      </c>
      <c r="D943">
        <v>0.34</v>
      </c>
      <c r="E943" t="s">
        <v>528</v>
      </c>
      <c r="F943" t="s">
        <v>527</v>
      </c>
      <c r="G943">
        <f t="shared" si="44"/>
        <v>9.5098000000000003</v>
      </c>
      <c r="H943" t="str">
        <f t="shared" si="43"/>
        <v>Vegetable</v>
      </c>
    </row>
    <row r="944" spans="1:8">
      <c r="A944" s="17">
        <v>43200</v>
      </c>
      <c r="B944" t="s">
        <v>444</v>
      </c>
      <c r="C944">
        <f t="shared" si="45"/>
        <v>50</v>
      </c>
      <c r="D944">
        <v>1.1399999999999999</v>
      </c>
      <c r="E944" t="s">
        <v>543</v>
      </c>
      <c r="F944" t="s">
        <v>527</v>
      </c>
      <c r="G944">
        <f t="shared" si="44"/>
        <v>56.999999999999993</v>
      </c>
      <c r="H944" t="str">
        <f t="shared" si="43"/>
        <v>Fruits</v>
      </c>
    </row>
    <row r="945" spans="1:8">
      <c r="A945" s="17">
        <v>43201</v>
      </c>
      <c r="B945" t="s">
        <v>432</v>
      </c>
      <c r="C945">
        <f t="shared" si="45"/>
        <v>14</v>
      </c>
      <c r="D945">
        <v>4.8</v>
      </c>
      <c r="E945" t="s">
        <v>525</v>
      </c>
      <c r="F945" t="s">
        <v>526</v>
      </c>
      <c r="G945">
        <f t="shared" si="44"/>
        <v>67.2</v>
      </c>
      <c r="H945" t="str">
        <f t="shared" si="43"/>
        <v>Vegetable</v>
      </c>
    </row>
    <row r="946" spans="1:8">
      <c r="A946" s="17">
        <v>43201</v>
      </c>
      <c r="B946" t="s">
        <v>390</v>
      </c>
      <c r="C946">
        <f t="shared" si="45"/>
        <v>30</v>
      </c>
      <c r="D946">
        <v>3.9</v>
      </c>
      <c r="E946" t="s">
        <v>525</v>
      </c>
      <c r="F946" t="s">
        <v>526</v>
      </c>
      <c r="G946">
        <f t="shared" si="44"/>
        <v>117</v>
      </c>
      <c r="H946" t="str">
        <f t="shared" si="43"/>
        <v>Vegetable</v>
      </c>
    </row>
    <row r="947" spans="1:8">
      <c r="A947" s="17">
        <v>43201</v>
      </c>
      <c r="B947" t="s">
        <v>393</v>
      </c>
      <c r="C947">
        <f t="shared" si="45"/>
        <v>26</v>
      </c>
      <c r="D947">
        <v>11.2</v>
      </c>
      <c r="E947" t="s">
        <v>525</v>
      </c>
      <c r="F947" t="s">
        <v>526</v>
      </c>
      <c r="G947">
        <f t="shared" si="44"/>
        <v>291.2</v>
      </c>
      <c r="H947" t="str">
        <f t="shared" si="43"/>
        <v>Heating</v>
      </c>
    </row>
    <row r="948" spans="1:8">
      <c r="A948" s="17">
        <v>43201</v>
      </c>
      <c r="B948" t="s">
        <v>391</v>
      </c>
      <c r="C948">
        <f t="shared" si="45"/>
        <v>27.97</v>
      </c>
      <c r="D948">
        <v>0.15</v>
      </c>
      <c r="E948" t="s">
        <v>525</v>
      </c>
      <c r="F948" t="s">
        <v>526</v>
      </c>
      <c r="G948">
        <f t="shared" si="44"/>
        <v>4.1955</v>
      </c>
      <c r="H948" t="str">
        <f t="shared" si="43"/>
        <v>Vegetable</v>
      </c>
    </row>
    <row r="949" spans="1:8">
      <c r="A949" s="17">
        <v>43201</v>
      </c>
      <c r="B949" t="s">
        <v>491</v>
      </c>
      <c r="C949">
        <f t="shared" si="45"/>
        <v>38</v>
      </c>
      <c r="D949">
        <v>1.7</v>
      </c>
      <c r="E949" t="s">
        <v>525</v>
      </c>
      <c r="F949" t="s">
        <v>526</v>
      </c>
      <c r="G949">
        <f t="shared" si="44"/>
        <v>64.599999999999994</v>
      </c>
      <c r="H949" t="str">
        <f t="shared" si="43"/>
        <v>Vegetable</v>
      </c>
    </row>
    <row r="950" spans="1:8">
      <c r="A950" s="17">
        <v>43201</v>
      </c>
      <c r="B950" t="s">
        <v>430</v>
      </c>
      <c r="C950">
        <f t="shared" si="45"/>
        <v>30</v>
      </c>
      <c r="D950">
        <v>0.5</v>
      </c>
      <c r="E950" t="s">
        <v>525</v>
      </c>
      <c r="F950" t="s">
        <v>526</v>
      </c>
      <c r="G950">
        <f t="shared" si="44"/>
        <v>15</v>
      </c>
      <c r="H950" t="str">
        <f t="shared" si="43"/>
        <v>Vegetable</v>
      </c>
    </row>
    <row r="951" spans="1:8">
      <c r="A951" s="17">
        <v>43201</v>
      </c>
      <c r="B951" t="s">
        <v>473</v>
      </c>
      <c r="C951">
        <f t="shared" si="45"/>
        <v>175</v>
      </c>
      <c r="D951">
        <v>1</v>
      </c>
      <c r="E951" t="s">
        <v>525</v>
      </c>
      <c r="F951" t="s">
        <v>526</v>
      </c>
      <c r="G951">
        <f t="shared" si="44"/>
        <v>175</v>
      </c>
      <c r="H951" t="str">
        <f t="shared" si="43"/>
        <v>Dairy</v>
      </c>
    </row>
    <row r="952" spans="1:8">
      <c r="A952" s="17">
        <v>43201</v>
      </c>
      <c r="B952" t="s">
        <v>467</v>
      </c>
      <c r="C952">
        <f t="shared" si="45"/>
        <v>75</v>
      </c>
      <c r="D952">
        <v>1</v>
      </c>
      <c r="E952" t="s">
        <v>525</v>
      </c>
      <c r="F952" t="s">
        <v>526</v>
      </c>
      <c r="G952">
        <f t="shared" si="44"/>
        <v>75</v>
      </c>
      <c r="H952" t="str">
        <f t="shared" si="43"/>
        <v>Dry Grocery</v>
      </c>
    </row>
    <row r="953" spans="1:8">
      <c r="A953" s="17">
        <v>43201</v>
      </c>
      <c r="B953" t="s">
        <v>454</v>
      </c>
      <c r="C953">
        <f t="shared" si="45"/>
        <v>43.06</v>
      </c>
      <c r="D953">
        <v>1</v>
      </c>
      <c r="E953" t="s">
        <v>525</v>
      </c>
      <c r="F953" t="s">
        <v>526</v>
      </c>
      <c r="G953">
        <f t="shared" si="44"/>
        <v>43.06</v>
      </c>
      <c r="H953" t="str">
        <f t="shared" si="43"/>
        <v>Vegetable</v>
      </c>
    </row>
    <row r="954" spans="1:8">
      <c r="A954" s="17">
        <v>43201</v>
      </c>
      <c r="B954" t="s">
        <v>391</v>
      </c>
      <c r="C954">
        <f t="shared" si="45"/>
        <v>27.97</v>
      </c>
      <c r="D954">
        <v>0.85</v>
      </c>
      <c r="E954" t="s">
        <v>525</v>
      </c>
      <c r="F954" t="s">
        <v>526</v>
      </c>
      <c r="G954">
        <f t="shared" si="44"/>
        <v>23.7745</v>
      </c>
      <c r="H954" t="str">
        <f t="shared" si="43"/>
        <v>Vegetable</v>
      </c>
    </row>
    <row r="955" spans="1:8">
      <c r="A955" s="17">
        <v>43201</v>
      </c>
      <c r="B955" t="s">
        <v>386</v>
      </c>
      <c r="C955">
        <f t="shared" si="45"/>
        <v>82</v>
      </c>
      <c r="D955">
        <v>5</v>
      </c>
      <c r="E955" t="s">
        <v>525</v>
      </c>
      <c r="F955" t="s">
        <v>526</v>
      </c>
      <c r="G955">
        <f t="shared" si="44"/>
        <v>410</v>
      </c>
      <c r="H955" t="str">
        <f t="shared" si="43"/>
        <v>Oil</v>
      </c>
    </row>
    <row r="956" spans="1:8">
      <c r="A956" s="17">
        <v>43201</v>
      </c>
      <c r="B956" t="s">
        <v>420</v>
      </c>
      <c r="C956">
        <f t="shared" si="45"/>
        <v>3</v>
      </c>
      <c r="D956">
        <v>0.85499999999999998</v>
      </c>
      <c r="E956" t="s">
        <v>525</v>
      </c>
      <c r="F956" t="s">
        <v>526</v>
      </c>
      <c r="G956">
        <f t="shared" si="44"/>
        <v>2.5649999999999999</v>
      </c>
      <c r="H956" t="str">
        <f t="shared" si="43"/>
        <v>Vegetable</v>
      </c>
    </row>
    <row r="957" spans="1:8">
      <c r="A957" s="17">
        <v>43201</v>
      </c>
      <c r="B957" t="s">
        <v>382</v>
      </c>
      <c r="C957">
        <f t="shared" si="45"/>
        <v>42</v>
      </c>
      <c r="D957">
        <v>2</v>
      </c>
      <c r="E957" t="s">
        <v>525</v>
      </c>
      <c r="F957" t="s">
        <v>526</v>
      </c>
      <c r="G957">
        <f t="shared" si="44"/>
        <v>84</v>
      </c>
      <c r="H957" t="str">
        <f t="shared" si="43"/>
        <v>Dairy</v>
      </c>
    </row>
    <row r="958" spans="1:8">
      <c r="A958" s="17">
        <v>43201</v>
      </c>
      <c r="B958" t="s">
        <v>385</v>
      </c>
      <c r="C958">
        <f t="shared" si="45"/>
        <v>36</v>
      </c>
      <c r="D958">
        <v>3</v>
      </c>
      <c r="E958" t="s">
        <v>542</v>
      </c>
      <c r="F958" t="s">
        <v>554</v>
      </c>
      <c r="G958">
        <f t="shared" si="44"/>
        <v>108</v>
      </c>
      <c r="H958" t="str">
        <f t="shared" si="43"/>
        <v>Dairy</v>
      </c>
    </row>
    <row r="959" spans="1:8">
      <c r="A959" s="17">
        <v>43201</v>
      </c>
      <c r="B959" t="s">
        <v>452</v>
      </c>
      <c r="C959">
        <f t="shared" si="45"/>
        <v>62</v>
      </c>
      <c r="D959">
        <v>1.5</v>
      </c>
      <c r="E959" t="s">
        <v>525</v>
      </c>
      <c r="F959" t="s">
        <v>526</v>
      </c>
      <c r="G959">
        <f t="shared" si="44"/>
        <v>93</v>
      </c>
      <c r="H959" t="str">
        <f t="shared" si="43"/>
        <v>Dry Grocery</v>
      </c>
    </row>
    <row r="960" spans="1:8">
      <c r="A960" s="17">
        <v>43201</v>
      </c>
      <c r="B960" t="s">
        <v>502</v>
      </c>
      <c r="C960">
        <f t="shared" si="45"/>
        <v>40</v>
      </c>
      <c r="D960">
        <v>0.4</v>
      </c>
      <c r="E960" t="s">
        <v>525</v>
      </c>
      <c r="F960" t="s">
        <v>526</v>
      </c>
      <c r="G960">
        <f t="shared" si="44"/>
        <v>16</v>
      </c>
      <c r="H960" t="str">
        <f t="shared" si="43"/>
        <v>Processed Food</v>
      </c>
    </row>
    <row r="961" spans="1:8">
      <c r="A961" s="17">
        <v>43201</v>
      </c>
      <c r="B961" t="s">
        <v>394</v>
      </c>
      <c r="C961">
        <f t="shared" si="45"/>
        <v>45</v>
      </c>
      <c r="D961">
        <v>1</v>
      </c>
      <c r="E961" t="s">
        <v>525</v>
      </c>
      <c r="F961" t="s">
        <v>526</v>
      </c>
      <c r="G961">
        <f t="shared" si="44"/>
        <v>45</v>
      </c>
      <c r="H961" t="str">
        <f t="shared" si="43"/>
        <v>Dry Grocery</v>
      </c>
    </row>
    <row r="962" spans="1:8">
      <c r="A962" s="17">
        <v>43201</v>
      </c>
      <c r="B962" t="s">
        <v>463</v>
      </c>
      <c r="C962">
        <f t="shared" si="45"/>
        <v>29.51</v>
      </c>
      <c r="D962">
        <v>3.5449999999999999</v>
      </c>
      <c r="E962" t="s">
        <v>525</v>
      </c>
      <c r="F962" t="s">
        <v>526</v>
      </c>
      <c r="G962">
        <f t="shared" si="44"/>
        <v>104.61295</v>
      </c>
      <c r="H962" t="str">
        <f t="shared" si="43"/>
        <v>Dry Grocery</v>
      </c>
    </row>
    <row r="963" spans="1:8">
      <c r="A963" s="17">
        <v>43201</v>
      </c>
      <c r="B963" t="s">
        <v>458</v>
      </c>
      <c r="C963">
        <f t="shared" si="45"/>
        <v>140</v>
      </c>
      <c r="D963">
        <v>0.5</v>
      </c>
      <c r="E963" t="s">
        <v>525</v>
      </c>
      <c r="F963" t="s">
        <v>526</v>
      </c>
      <c r="G963">
        <f t="shared" si="44"/>
        <v>70</v>
      </c>
      <c r="H963" t="str">
        <f t="shared" ref="H963:H1026" si="46">IF(B963="","",VLOOKUP(B963,$XEY$3:$XFA$1200,3,FALSE))</f>
        <v>Dairy</v>
      </c>
    </row>
    <row r="964" spans="1:8">
      <c r="A964" s="17">
        <v>43201</v>
      </c>
      <c r="B964" t="s">
        <v>378</v>
      </c>
      <c r="C964">
        <f t="shared" si="45"/>
        <v>25</v>
      </c>
      <c r="D964">
        <v>0.3</v>
      </c>
      <c r="E964" t="s">
        <v>525</v>
      </c>
      <c r="F964" t="s">
        <v>526</v>
      </c>
      <c r="G964">
        <f t="shared" si="44"/>
        <v>7.5</v>
      </c>
      <c r="H964" t="str">
        <f t="shared" si="46"/>
        <v>Vegetable</v>
      </c>
    </row>
    <row r="965" spans="1:8">
      <c r="A965" s="17">
        <v>43201</v>
      </c>
      <c r="B965" t="s">
        <v>401</v>
      </c>
      <c r="C965">
        <f t="shared" si="45"/>
        <v>33</v>
      </c>
      <c r="D965">
        <v>1</v>
      </c>
      <c r="E965" t="s">
        <v>525</v>
      </c>
      <c r="F965" t="s">
        <v>526</v>
      </c>
      <c r="G965">
        <f t="shared" si="44"/>
        <v>33</v>
      </c>
      <c r="H965" t="str">
        <f t="shared" si="46"/>
        <v>Canned Food</v>
      </c>
    </row>
    <row r="966" spans="1:8">
      <c r="A966" s="17">
        <v>43201</v>
      </c>
      <c r="B966" t="s">
        <v>382</v>
      </c>
      <c r="C966">
        <f t="shared" si="45"/>
        <v>42</v>
      </c>
      <c r="D966">
        <v>1.5</v>
      </c>
      <c r="E966" t="s">
        <v>525</v>
      </c>
      <c r="F966" t="s">
        <v>526</v>
      </c>
      <c r="G966">
        <f t="shared" si="44"/>
        <v>63</v>
      </c>
      <c r="H966" t="str">
        <f t="shared" si="46"/>
        <v>Dairy</v>
      </c>
    </row>
    <row r="967" spans="1:8">
      <c r="A967" s="17">
        <v>43201</v>
      </c>
      <c r="B967" t="s">
        <v>451</v>
      </c>
      <c r="C967">
        <f t="shared" si="45"/>
        <v>60</v>
      </c>
      <c r="D967">
        <v>0.5</v>
      </c>
      <c r="E967" t="s">
        <v>525</v>
      </c>
      <c r="F967" t="s">
        <v>526</v>
      </c>
      <c r="G967">
        <f t="shared" si="44"/>
        <v>30</v>
      </c>
      <c r="H967" t="str">
        <f t="shared" si="46"/>
        <v>Vegetable</v>
      </c>
    </row>
    <row r="968" spans="1:8">
      <c r="A968" s="17">
        <v>43201</v>
      </c>
      <c r="B968" t="s">
        <v>474</v>
      </c>
      <c r="C968">
        <f t="shared" si="45"/>
        <v>27</v>
      </c>
      <c r="D968">
        <v>2.6</v>
      </c>
      <c r="E968" t="s">
        <v>525</v>
      </c>
      <c r="F968" t="s">
        <v>526</v>
      </c>
      <c r="G968">
        <f t="shared" si="44"/>
        <v>70.2</v>
      </c>
      <c r="H968" t="str">
        <f t="shared" si="46"/>
        <v>Dry Grocery</v>
      </c>
    </row>
    <row r="969" spans="1:8">
      <c r="A969" s="17">
        <v>43201</v>
      </c>
      <c r="B969" t="s">
        <v>429</v>
      </c>
      <c r="C969">
        <f t="shared" si="45"/>
        <v>40</v>
      </c>
      <c r="D969">
        <v>0.1</v>
      </c>
      <c r="E969" t="s">
        <v>525</v>
      </c>
      <c r="F969" t="s">
        <v>526</v>
      </c>
      <c r="G969">
        <f t="shared" si="44"/>
        <v>4</v>
      </c>
      <c r="H969" t="str">
        <f t="shared" si="46"/>
        <v>Vegetable</v>
      </c>
    </row>
    <row r="970" spans="1:8">
      <c r="A970" s="17">
        <v>43201</v>
      </c>
      <c r="B970" t="s">
        <v>385</v>
      </c>
      <c r="C970">
        <f t="shared" si="45"/>
        <v>36</v>
      </c>
      <c r="D970">
        <v>1</v>
      </c>
      <c r="E970" t="s">
        <v>525</v>
      </c>
      <c r="F970" t="s">
        <v>526</v>
      </c>
      <c r="G970">
        <f t="shared" si="44"/>
        <v>36</v>
      </c>
      <c r="H970" t="str">
        <f t="shared" si="46"/>
        <v>Dairy</v>
      </c>
    </row>
    <row r="971" spans="1:8">
      <c r="A971" s="17">
        <v>43201</v>
      </c>
      <c r="B971" t="s">
        <v>436</v>
      </c>
      <c r="C971">
        <f t="shared" si="45"/>
        <v>37</v>
      </c>
      <c r="D971">
        <v>1.0049999999999999</v>
      </c>
      <c r="E971" t="s">
        <v>542</v>
      </c>
      <c r="F971" t="s">
        <v>554</v>
      </c>
      <c r="G971">
        <f t="shared" si="44"/>
        <v>37.184999999999995</v>
      </c>
      <c r="H971" t="str">
        <f t="shared" si="46"/>
        <v>Dry Grocery</v>
      </c>
    </row>
    <row r="972" spans="1:8">
      <c r="A972" s="17">
        <v>43201</v>
      </c>
      <c r="B972" t="s">
        <v>468</v>
      </c>
      <c r="C972">
        <f t="shared" si="45"/>
        <v>32</v>
      </c>
      <c r="D972">
        <v>2</v>
      </c>
      <c r="E972" t="s">
        <v>525</v>
      </c>
      <c r="F972" t="s">
        <v>526</v>
      </c>
      <c r="G972">
        <f t="shared" si="44"/>
        <v>64</v>
      </c>
      <c r="H972" t="str">
        <f t="shared" si="46"/>
        <v>Vegetable</v>
      </c>
    </row>
    <row r="973" spans="1:8">
      <c r="A973" s="17">
        <v>43201</v>
      </c>
      <c r="B973" t="s">
        <v>375</v>
      </c>
      <c r="C973">
        <f t="shared" si="45"/>
        <v>280</v>
      </c>
      <c r="D973">
        <v>0.11</v>
      </c>
      <c r="E973" t="s">
        <v>525</v>
      </c>
      <c r="F973" t="s">
        <v>526</v>
      </c>
      <c r="G973">
        <f t="shared" si="44"/>
        <v>30.8</v>
      </c>
      <c r="H973" t="str">
        <f t="shared" si="46"/>
        <v>Dry Grocery</v>
      </c>
    </row>
    <row r="974" spans="1:8">
      <c r="A974" s="17">
        <v>43201</v>
      </c>
      <c r="B974" t="s">
        <v>426</v>
      </c>
      <c r="C974">
        <f t="shared" si="45"/>
        <v>57.5</v>
      </c>
      <c r="D974">
        <v>0.04</v>
      </c>
      <c r="E974" t="s">
        <v>525</v>
      </c>
      <c r="F974" t="s">
        <v>526</v>
      </c>
      <c r="G974">
        <f t="shared" si="44"/>
        <v>2.3000000000000003</v>
      </c>
      <c r="H974" t="str">
        <f t="shared" si="46"/>
        <v>Dry Grocery</v>
      </c>
    </row>
    <row r="975" spans="1:8">
      <c r="A975" s="17">
        <v>43201</v>
      </c>
      <c r="B975" t="s">
        <v>518</v>
      </c>
      <c r="C975">
        <f t="shared" si="45"/>
        <v>24</v>
      </c>
      <c r="D975">
        <v>1</v>
      </c>
      <c r="E975" t="s">
        <v>525</v>
      </c>
      <c r="F975" t="s">
        <v>526</v>
      </c>
      <c r="G975">
        <f t="shared" si="44"/>
        <v>24</v>
      </c>
      <c r="H975" t="str">
        <f t="shared" si="46"/>
        <v>Dry Grocery</v>
      </c>
    </row>
    <row r="976" spans="1:8">
      <c r="A976" s="17">
        <v>43201</v>
      </c>
      <c r="B976" t="s">
        <v>372</v>
      </c>
      <c r="C976">
        <f t="shared" si="45"/>
        <v>33</v>
      </c>
      <c r="D976">
        <v>9.5000000000000001E-2</v>
      </c>
      <c r="E976" t="s">
        <v>525</v>
      </c>
      <c r="F976" t="s">
        <v>526</v>
      </c>
      <c r="G976">
        <f t="shared" si="44"/>
        <v>3.1350000000000002</v>
      </c>
      <c r="H976" t="str">
        <f t="shared" si="46"/>
        <v>Sauce</v>
      </c>
    </row>
    <row r="977" spans="1:8">
      <c r="A977" s="17">
        <v>43201</v>
      </c>
      <c r="B977" t="s">
        <v>387</v>
      </c>
      <c r="C977">
        <f t="shared" si="45"/>
        <v>187.41</v>
      </c>
      <c r="D977">
        <v>0.01</v>
      </c>
      <c r="E977" t="s">
        <v>525</v>
      </c>
      <c r="F977" t="s">
        <v>526</v>
      </c>
      <c r="G977">
        <f t="shared" si="44"/>
        <v>1.8741000000000001</v>
      </c>
      <c r="H977" t="str">
        <f t="shared" si="46"/>
        <v>Dry Grocery</v>
      </c>
    </row>
    <row r="978" spans="1:8">
      <c r="A978" s="17">
        <v>43201</v>
      </c>
      <c r="B978" t="s">
        <v>482</v>
      </c>
      <c r="C978">
        <f t="shared" si="45"/>
        <v>48</v>
      </c>
      <c r="D978">
        <v>0.03</v>
      </c>
      <c r="E978" t="s">
        <v>525</v>
      </c>
      <c r="F978" t="s">
        <v>526</v>
      </c>
      <c r="G978">
        <f t="shared" si="44"/>
        <v>1.44</v>
      </c>
      <c r="H978" t="str">
        <f t="shared" si="46"/>
        <v>Dry Grocery</v>
      </c>
    </row>
    <row r="979" spans="1:8">
      <c r="A979" s="17">
        <v>43201</v>
      </c>
      <c r="B979" t="s">
        <v>435</v>
      </c>
      <c r="C979">
        <f t="shared" si="45"/>
        <v>17</v>
      </c>
      <c r="D979">
        <v>0.15</v>
      </c>
      <c r="E979" t="s">
        <v>525</v>
      </c>
      <c r="F979" t="s">
        <v>526</v>
      </c>
      <c r="G979">
        <f t="shared" si="44"/>
        <v>2.5499999999999998</v>
      </c>
      <c r="H979" t="str">
        <f t="shared" si="46"/>
        <v>Dry Grocery</v>
      </c>
    </row>
    <row r="980" spans="1:8">
      <c r="A980" s="17">
        <v>43201</v>
      </c>
      <c r="B980" t="s">
        <v>478</v>
      </c>
      <c r="C980">
        <f t="shared" si="45"/>
        <v>180</v>
      </c>
      <c r="D980">
        <v>0.27500000000000002</v>
      </c>
      <c r="E980" t="s">
        <v>525</v>
      </c>
      <c r="F980" t="s">
        <v>526</v>
      </c>
      <c r="G980">
        <f t="shared" si="44"/>
        <v>49.500000000000007</v>
      </c>
      <c r="H980" t="str">
        <f t="shared" si="46"/>
        <v>Dry Grocery</v>
      </c>
    </row>
    <row r="981" spans="1:8">
      <c r="A981" s="17">
        <v>43201</v>
      </c>
      <c r="B981" t="s">
        <v>475</v>
      </c>
      <c r="C981">
        <f t="shared" si="45"/>
        <v>148</v>
      </c>
      <c r="D981">
        <v>0.185</v>
      </c>
      <c r="E981" t="s">
        <v>525</v>
      </c>
      <c r="F981" t="s">
        <v>526</v>
      </c>
      <c r="G981">
        <f t="shared" si="44"/>
        <v>27.38</v>
      </c>
      <c r="H981" t="str">
        <f t="shared" si="46"/>
        <v>Dry Grocery</v>
      </c>
    </row>
    <row r="982" spans="1:8">
      <c r="A982" s="17">
        <v>43201</v>
      </c>
      <c r="B982" t="s">
        <v>379</v>
      </c>
      <c r="C982">
        <f t="shared" si="45"/>
        <v>120</v>
      </c>
      <c r="D982">
        <v>7.0000000000000007E-2</v>
      </c>
      <c r="E982" t="s">
        <v>525</v>
      </c>
      <c r="F982" t="s">
        <v>526</v>
      </c>
      <c r="G982">
        <f t="shared" si="44"/>
        <v>8.4</v>
      </c>
      <c r="H982" t="str">
        <f t="shared" si="46"/>
        <v>Dry Grocery</v>
      </c>
    </row>
    <row r="983" spans="1:8">
      <c r="A983" s="17">
        <v>43201</v>
      </c>
      <c r="B983" t="s">
        <v>398</v>
      </c>
      <c r="C983">
        <f t="shared" si="45"/>
        <v>51</v>
      </c>
      <c r="D983">
        <v>0.2</v>
      </c>
      <c r="E983" t="s">
        <v>525</v>
      </c>
      <c r="F983" t="s">
        <v>526</v>
      </c>
      <c r="G983">
        <f t="shared" si="44"/>
        <v>10.200000000000001</v>
      </c>
      <c r="H983" t="str">
        <f t="shared" si="46"/>
        <v>Dry Grocery</v>
      </c>
    </row>
    <row r="984" spans="1:8">
      <c r="A984" s="17">
        <v>43201</v>
      </c>
      <c r="B984" t="s">
        <v>376</v>
      </c>
      <c r="C984">
        <f t="shared" si="45"/>
        <v>220</v>
      </c>
      <c r="D984">
        <v>5.0000000000000001E-3</v>
      </c>
      <c r="E984" t="s">
        <v>525</v>
      </c>
      <c r="F984" t="s">
        <v>526</v>
      </c>
      <c r="G984">
        <f t="shared" si="44"/>
        <v>1.1000000000000001</v>
      </c>
      <c r="H984" t="str">
        <f t="shared" si="46"/>
        <v>Spice</v>
      </c>
    </row>
    <row r="985" spans="1:8">
      <c r="A985" s="17">
        <v>43201</v>
      </c>
      <c r="B985" t="s">
        <v>377</v>
      </c>
      <c r="C985">
        <f t="shared" si="45"/>
        <v>740</v>
      </c>
      <c r="D985">
        <v>5.0000000000000001E-3</v>
      </c>
      <c r="E985" t="s">
        <v>525</v>
      </c>
      <c r="F985" t="s">
        <v>526</v>
      </c>
      <c r="G985">
        <f t="shared" si="44"/>
        <v>3.7</v>
      </c>
      <c r="H985" t="str">
        <f t="shared" si="46"/>
        <v>Spice</v>
      </c>
    </row>
    <row r="986" spans="1:8">
      <c r="A986" s="17">
        <v>43201</v>
      </c>
      <c r="B986" t="s">
        <v>461</v>
      </c>
      <c r="C986">
        <f t="shared" si="45"/>
        <v>1450</v>
      </c>
      <c r="D986">
        <v>5.0000000000000001E-3</v>
      </c>
      <c r="E986" t="s">
        <v>525</v>
      </c>
      <c r="F986" t="s">
        <v>526</v>
      </c>
      <c r="G986">
        <f t="shared" si="44"/>
        <v>7.25</v>
      </c>
      <c r="H986" t="str">
        <f t="shared" si="46"/>
        <v>Spice</v>
      </c>
    </row>
    <row r="987" spans="1:8">
      <c r="A987" s="17">
        <v>43201</v>
      </c>
      <c r="B987" t="s">
        <v>464</v>
      </c>
      <c r="C987">
        <f t="shared" si="45"/>
        <v>750</v>
      </c>
      <c r="D987">
        <v>5.0000000000000001E-3</v>
      </c>
      <c r="E987" t="s">
        <v>525</v>
      </c>
      <c r="F987" t="s">
        <v>526</v>
      </c>
      <c r="G987">
        <f t="shared" si="44"/>
        <v>3.75</v>
      </c>
      <c r="H987" t="str">
        <f t="shared" si="46"/>
        <v>Spice</v>
      </c>
    </row>
    <row r="988" spans="1:8">
      <c r="A988" s="17">
        <v>43201</v>
      </c>
      <c r="B988" t="s">
        <v>399</v>
      </c>
      <c r="C988">
        <f t="shared" si="45"/>
        <v>1480</v>
      </c>
      <c r="D988">
        <v>5.0000000000000001E-3</v>
      </c>
      <c r="E988" t="s">
        <v>525</v>
      </c>
      <c r="F988" t="s">
        <v>526</v>
      </c>
      <c r="G988">
        <f t="shared" si="44"/>
        <v>7.4</v>
      </c>
      <c r="H988" t="str">
        <f t="shared" si="46"/>
        <v>Spice</v>
      </c>
    </row>
    <row r="989" spans="1:8">
      <c r="A989" s="17">
        <v>43201</v>
      </c>
      <c r="B989" t="s">
        <v>434</v>
      </c>
      <c r="C989">
        <f t="shared" si="45"/>
        <v>125</v>
      </c>
      <c r="D989">
        <v>0.06</v>
      </c>
      <c r="E989" t="s">
        <v>525</v>
      </c>
      <c r="F989" t="s">
        <v>526</v>
      </c>
      <c r="G989">
        <f t="shared" si="44"/>
        <v>7.5</v>
      </c>
      <c r="H989" t="str">
        <f t="shared" si="46"/>
        <v>Vegetable</v>
      </c>
    </row>
    <row r="990" spans="1:8">
      <c r="A990" s="17">
        <v>43201</v>
      </c>
      <c r="B990" t="s">
        <v>385</v>
      </c>
      <c r="C990">
        <f t="shared" si="45"/>
        <v>36</v>
      </c>
      <c r="D990">
        <v>1</v>
      </c>
      <c r="E990" t="s">
        <v>542</v>
      </c>
      <c r="F990" t="s">
        <v>554</v>
      </c>
      <c r="G990">
        <f t="shared" si="44"/>
        <v>36</v>
      </c>
      <c r="H990" t="str">
        <f t="shared" si="46"/>
        <v>Dairy</v>
      </c>
    </row>
    <row r="991" spans="1:8">
      <c r="A991" s="17">
        <v>43201</v>
      </c>
      <c r="B991" t="s">
        <v>384</v>
      </c>
      <c r="C991">
        <f t="shared" si="45"/>
        <v>3</v>
      </c>
      <c r="D991">
        <v>4</v>
      </c>
      <c r="E991" t="s">
        <v>525</v>
      </c>
      <c r="F991" t="s">
        <v>526</v>
      </c>
      <c r="G991">
        <f t="shared" si="44"/>
        <v>12</v>
      </c>
      <c r="H991" t="str">
        <f t="shared" si="46"/>
        <v>Vegetable</v>
      </c>
    </row>
    <row r="992" spans="1:8">
      <c r="A992" s="17">
        <v>43201</v>
      </c>
      <c r="B992" t="s">
        <v>460</v>
      </c>
      <c r="C992">
        <f t="shared" si="45"/>
        <v>43.98</v>
      </c>
      <c r="D992">
        <v>0.1</v>
      </c>
      <c r="E992" t="s">
        <v>525</v>
      </c>
      <c r="F992" t="s">
        <v>526</v>
      </c>
      <c r="G992">
        <f t="shared" si="44"/>
        <v>4.3979999999999997</v>
      </c>
      <c r="H992" t="str">
        <f t="shared" si="46"/>
        <v>Vegetable</v>
      </c>
    </row>
    <row r="993" spans="1:8">
      <c r="A993" s="17">
        <v>43201</v>
      </c>
      <c r="B993" t="s">
        <v>468</v>
      </c>
      <c r="C993">
        <f t="shared" si="45"/>
        <v>32</v>
      </c>
      <c r="D993">
        <v>5</v>
      </c>
      <c r="E993" t="s">
        <v>525</v>
      </c>
      <c r="F993" t="s">
        <v>526</v>
      </c>
      <c r="G993">
        <f t="shared" si="44"/>
        <v>160</v>
      </c>
      <c r="H993" t="str">
        <f t="shared" si="46"/>
        <v>Vegetable</v>
      </c>
    </row>
    <row r="994" spans="1:8">
      <c r="A994" s="17">
        <v>43201</v>
      </c>
      <c r="B994" t="s">
        <v>397</v>
      </c>
      <c r="C994">
        <f t="shared" si="45"/>
        <v>75</v>
      </c>
      <c r="D994">
        <v>0.3</v>
      </c>
      <c r="E994" t="s">
        <v>525</v>
      </c>
      <c r="F994" t="s">
        <v>526</v>
      </c>
      <c r="G994">
        <f t="shared" ref="G994:G1058" si="47">IF(C994="","",C994*D994)</f>
        <v>22.5</v>
      </c>
      <c r="H994" t="str">
        <f t="shared" si="46"/>
        <v>Sauce</v>
      </c>
    </row>
    <row r="995" spans="1:8">
      <c r="A995" s="17">
        <v>43201</v>
      </c>
      <c r="B995" t="s">
        <v>447</v>
      </c>
      <c r="C995">
        <f t="shared" si="45"/>
        <v>30</v>
      </c>
      <c r="D995">
        <v>0.6</v>
      </c>
      <c r="E995" t="s">
        <v>543</v>
      </c>
      <c r="F995" t="s">
        <v>527</v>
      </c>
      <c r="G995">
        <f t="shared" si="47"/>
        <v>18</v>
      </c>
      <c r="H995" t="str">
        <f t="shared" si="46"/>
        <v>Fruits</v>
      </c>
    </row>
    <row r="996" spans="1:8">
      <c r="A996" s="17">
        <v>43201</v>
      </c>
      <c r="B996" t="s">
        <v>445</v>
      </c>
      <c r="C996">
        <f t="shared" si="45"/>
        <v>20</v>
      </c>
      <c r="D996">
        <v>1.6</v>
      </c>
      <c r="E996" t="s">
        <v>543</v>
      </c>
      <c r="F996" t="s">
        <v>527</v>
      </c>
      <c r="G996">
        <f t="shared" si="47"/>
        <v>32</v>
      </c>
      <c r="H996" t="str">
        <f t="shared" si="46"/>
        <v>Fruits</v>
      </c>
    </row>
    <row r="997" spans="1:8">
      <c r="A997" s="17">
        <v>43201</v>
      </c>
      <c r="B997" t="s">
        <v>552</v>
      </c>
      <c r="C997">
        <f t="shared" si="45"/>
        <v>40</v>
      </c>
      <c r="D997">
        <v>0.4</v>
      </c>
      <c r="E997" t="s">
        <v>543</v>
      </c>
      <c r="F997" t="s">
        <v>527</v>
      </c>
      <c r="G997">
        <f t="shared" si="47"/>
        <v>16</v>
      </c>
      <c r="H997" t="str">
        <f t="shared" si="46"/>
        <v>Fruits</v>
      </c>
    </row>
    <row r="998" spans="1:8">
      <c r="A998" s="17">
        <v>43201</v>
      </c>
      <c r="B998" t="s">
        <v>435</v>
      </c>
      <c r="C998">
        <f t="shared" si="45"/>
        <v>17</v>
      </c>
      <c r="D998">
        <v>0.36</v>
      </c>
      <c r="E998" t="s">
        <v>528</v>
      </c>
      <c r="F998" t="s">
        <v>527</v>
      </c>
      <c r="G998">
        <f t="shared" si="47"/>
        <v>6.12</v>
      </c>
      <c r="H998" t="str">
        <f t="shared" si="46"/>
        <v>Dry Grocery</v>
      </c>
    </row>
    <row r="999" spans="1:8">
      <c r="A999" s="17">
        <v>43201</v>
      </c>
      <c r="B999" t="s">
        <v>385</v>
      </c>
      <c r="C999">
        <f t="shared" si="45"/>
        <v>36</v>
      </c>
      <c r="D999">
        <v>3.5</v>
      </c>
      <c r="E999" t="s">
        <v>543</v>
      </c>
      <c r="F999" t="s">
        <v>527</v>
      </c>
      <c r="G999">
        <f t="shared" si="47"/>
        <v>126</v>
      </c>
      <c r="H999" t="str">
        <f t="shared" si="46"/>
        <v>Dairy</v>
      </c>
    </row>
    <row r="1000" spans="1:8">
      <c r="A1000" s="17">
        <v>43201</v>
      </c>
      <c r="B1000" t="s">
        <v>551</v>
      </c>
      <c r="C1000">
        <f t="shared" si="45"/>
        <v>120</v>
      </c>
      <c r="D1000">
        <f>1-0.66</f>
        <v>0.33999999999999997</v>
      </c>
      <c r="E1000" t="s">
        <v>543</v>
      </c>
      <c r="F1000" t="s">
        <v>527</v>
      </c>
      <c r="G1000">
        <f t="shared" si="47"/>
        <v>40.799999999999997</v>
      </c>
      <c r="H1000" t="str">
        <f t="shared" si="46"/>
        <v>Fruits</v>
      </c>
    </row>
    <row r="1001" spans="1:8">
      <c r="A1001" s="17">
        <v>43201</v>
      </c>
      <c r="B1001" t="s">
        <v>482</v>
      </c>
      <c r="C1001">
        <f t="shared" si="45"/>
        <v>48</v>
      </c>
      <c r="D1001">
        <v>0.08</v>
      </c>
      <c r="E1001" t="s">
        <v>528</v>
      </c>
      <c r="F1001" t="s">
        <v>527</v>
      </c>
      <c r="G1001">
        <f t="shared" si="47"/>
        <v>3.84</v>
      </c>
      <c r="H1001" t="str">
        <f t="shared" si="46"/>
        <v>Dry Grocery</v>
      </c>
    </row>
    <row r="1002" spans="1:8">
      <c r="A1002" s="17">
        <v>43201</v>
      </c>
      <c r="B1002" t="s">
        <v>414</v>
      </c>
      <c r="C1002">
        <f t="shared" si="45"/>
        <v>48</v>
      </c>
      <c r="D1002">
        <v>0.4</v>
      </c>
      <c r="E1002" t="s">
        <v>528</v>
      </c>
      <c r="F1002" t="s">
        <v>527</v>
      </c>
      <c r="G1002">
        <f t="shared" si="47"/>
        <v>19.200000000000003</v>
      </c>
      <c r="H1002" t="str">
        <f t="shared" si="46"/>
        <v>Dry Grocery</v>
      </c>
    </row>
    <row r="1003" spans="1:8">
      <c r="A1003" s="17">
        <v>43201</v>
      </c>
      <c r="B1003" t="s">
        <v>436</v>
      </c>
      <c r="C1003">
        <f t="shared" si="45"/>
        <v>37</v>
      </c>
      <c r="D1003">
        <v>3.4</v>
      </c>
      <c r="E1003" t="s">
        <v>543</v>
      </c>
      <c r="F1003" t="s">
        <v>527</v>
      </c>
      <c r="G1003">
        <f t="shared" si="47"/>
        <v>125.8</v>
      </c>
      <c r="H1003" t="str">
        <f t="shared" si="46"/>
        <v>Dry Grocery</v>
      </c>
    </row>
    <row r="1004" spans="1:8">
      <c r="A1004" s="17">
        <v>43201</v>
      </c>
      <c r="B1004" t="s">
        <v>368</v>
      </c>
      <c r="C1004">
        <f t="shared" si="45"/>
        <v>100</v>
      </c>
      <c r="D1004">
        <v>0.24</v>
      </c>
      <c r="E1004" t="s">
        <v>528</v>
      </c>
      <c r="F1004" t="s">
        <v>527</v>
      </c>
      <c r="G1004">
        <f t="shared" si="47"/>
        <v>24</v>
      </c>
      <c r="H1004" t="str">
        <f t="shared" si="46"/>
        <v>Dry Grocery</v>
      </c>
    </row>
    <row r="1005" spans="1:8">
      <c r="A1005" s="17">
        <v>43201</v>
      </c>
      <c r="B1005" t="s">
        <v>432</v>
      </c>
      <c r="C1005">
        <f t="shared" si="45"/>
        <v>14</v>
      </c>
      <c r="D1005">
        <v>0.60499999999999998</v>
      </c>
      <c r="E1005" t="s">
        <v>525</v>
      </c>
      <c r="F1005" t="s">
        <v>527</v>
      </c>
      <c r="G1005">
        <f t="shared" si="47"/>
        <v>8.4699999999999989</v>
      </c>
      <c r="H1005" t="str">
        <f t="shared" si="46"/>
        <v>Vegetable</v>
      </c>
    </row>
    <row r="1006" spans="1:8">
      <c r="A1006" s="17">
        <v>43201</v>
      </c>
      <c r="B1006" t="s">
        <v>476</v>
      </c>
      <c r="C1006">
        <f t="shared" si="45"/>
        <v>14.75</v>
      </c>
      <c r="D1006">
        <v>0.38500000000000001</v>
      </c>
      <c r="E1006" t="s">
        <v>528</v>
      </c>
      <c r="F1006" t="s">
        <v>527</v>
      </c>
      <c r="G1006">
        <f t="shared" si="47"/>
        <v>5.67875</v>
      </c>
      <c r="H1006" t="str">
        <f t="shared" si="46"/>
        <v>Vegetable</v>
      </c>
    </row>
    <row r="1007" spans="1:8">
      <c r="A1007" s="17">
        <v>43201</v>
      </c>
      <c r="B1007" t="s">
        <v>391</v>
      </c>
      <c r="C1007">
        <f t="shared" si="45"/>
        <v>27.97</v>
      </c>
      <c r="D1007">
        <v>0.255</v>
      </c>
      <c r="E1007" t="s">
        <v>528</v>
      </c>
      <c r="F1007" t="s">
        <v>527</v>
      </c>
      <c r="G1007">
        <f t="shared" si="47"/>
        <v>7.1323499999999997</v>
      </c>
      <c r="H1007" t="str">
        <f t="shared" si="46"/>
        <v>Vegetable</v>
      </c>
    </row>
    <row r="1008" spans="1:8">
      <c r="A1008" s="17">
        <v>43201</v>
      </c>
      <c r="B1008" t="s">
        <v>378</v>
      </c>
      <c r="C1008">
        <f t="shared" si="45"/>
        <v>25</v>
      </c>
      <c r="D1008">
        <v>0.08</v>
      </c>
      <c r="E1008" t="s">
        <v>528</v>
      </c>
      <c r="F1008" t="s">
        <v>527</v>
      </c>
      <c r="G1008">
        <f t="shared" si="47"/>
        <v>2</v>
      </c>
      <c r="H1008" t="str">
        <f t="shared" si="46"/>
        <v>Vegetable</v>
      </c>
    </row>
    <row r="1009" spans="1:8">
      <c r="A1009" s="17">
        <v>43201</v>
      </c>
      <c r="B1009" t="s">
        <v>446</v>
      </c>
      <c r="C1009">
        <f t="shared" si="45"/>
        <v>50</v>
      </c>
      <c r="D1009">
        <f>3-2.37</f>
        <v>0.62999999999999989</v>
      </c>
      <c r="E1009" t="s">
        <v>543</v>
      </c>
      <c r="F1009" t="s">
        <v>527</v>
      </c>
      <c r="G1009">
        <f t="shared" si="47"/>
        <v>31.499999999999993</v>
      </c>
      <c r="H1009" t="str">
        <f t="shared" si="46"/>
        <v>Fruits</v>
      </c>
    </row>
    <row r="1010" spans="1:8">
      <c r="A1010" s="17">
        <v>43201</v>
      </c>
      <c r="B1010" t="s">
        <v>444</v>
      </c>
      <c r="C1010">
        <f t="shared" si="45"/>
        <v>50</v>
      </c>
      <c r="D1010">
        <v>1.1399999999999999</v>
      </c>
      <c r="E1010" t="s">
        <v>543</v>
      </c>
      <c r="F1010" t="s">
        <v>527</v>
      </c>
      <c r="G1010">
        <f t="shared" si="47"/>
        <v>56.999999999999993</v>
      </c>
      <c r="H1010" t="str">
        <f t="shared" si="46"/>
        <v>Fruits</v>
      </c>
    </row>
    <row r="1011" spans="1:8">
      <c r="A1011" s="17">
        <v>43201</v>
      </c>
      <c r="B1011" t="s">
        <v>382</v>
      </c>
      <c r="C1011">
        <f t="shared" si="45"/>
        <v>42</v>
      </c>
      <c r="D1011">
        <v>1.5</v>
      </c>
      <c r="E1011" t="s">
        <v>336</v>
      </c>
      <c r="F1011" t="s">
        <v>527</v>
      </c>
      <c r="G1011">
        <f t="shared" si="47"/>
        <v>63</v>
      </c>
      <c r="H1011" t="str">
        <f t="shared" si="46"/>
        <v>Dairy</v>
      </c>
    </row>
    <row r="1012" spans="1:8">
      <c r="A1012" s="17">
        <v>43201</v>
      </c>
      <c r="B1012" t="s">
        <v>385</v>
      </c>
      <c r="C1012">
        <f t="shared" si="45"/>
        <v>36</v>
      </c>
      <c r="D1012">
        <v>1.5</v>
      </c>
      <c r="E1012" t="s">
        <v>336</v>
      </c>
      <c r="F1012" t="s">
        <v>527</v>
      </c>
      <c r="G1012">
        <f t="shared" si="47"/>
        <v>54</v>
      </c>
      <c r="H1012" t="str">
        <f t="shared" si="46"/>
        <v>Dairy</v>
      </c>
    </row>
    <row r="1013" spans="1:8">
      <c r="A1013" s="17">
        <v>43201</v>
      </c>
      <c r="B1013" t="s">
        <v>511</v>
      </c>
      <c r="C1013">
        <f t="shared" si="45"/>
        <v>52</v>
      </c>
      <c r="D1013">
        <v>6</v>
      </c>
      <c r="E1013" t="s">
        <v>336</v>
      </c>
      <c r="F1013" t="s">
        <v>527</v>
      </c>
      <c r="G1013">
        <f t="shared" si="47"/>
        <v>312</v>
      </c>
      <c r="H1013" t="str">
        <f t="shared" si="46"/>
        <v>Dry Grocery</v>
      </c>
    </row>
    <row r="1014" spans="1:8">
      <c r="A1014" s="17">
        <v>43201</v>
      </c>
      <c r="B1014" t="s">
        <v>404</v>
      </c>
      <c r="C1014">
        <f t="shared" si="45"/>
        <v>28</v>
      </c>
      <c r="D1014">
        <v>2</v>
      </c>
      <c r="E1014" t="s">
        <v>336</v>
      </c>
      <c r="F1014" t="s">
        <v>527</v>
      </c>
      <c r="G1014">
        <f t="shared" si="47"/>
        <v>56</v>
      </c>
      <c r="H1014" t="str">
        <f t="shared" si="46"/>
        <v>Vegetable</v>
      </c>
    </row>
    <row r="1015" spans="1:8">
      <c r="A1015" s="17">
        <v>43201</v>
      </c>
      <c r="B1015" t="s">
        <v>436</v>
      </c>
      <c r="C1015">
        <f t="shared" si="45"/>
        <v>37</v>
      </c>
      <c r="D1015">
        <v>0.3</v>
      </c>
      <c r="E1015" t="s">
        <v>336</v>
      </c>
      <c r="F1015" t="s">
        <v>527</v>
      </c>
      <c r="G1015">
        <f t="shared" si="47"/>
        <v>11.1</v>
      </c>
      <c r="H1015" t="str">
        <f t="shared" si="46"/>
        <v>Dry Grocery</v>
      </c>
    </row>
    <row r="1016" spans="1:8">
      <c r="A1016" s="17">
        <v>43201</v>
      </c>
      <c r="B1016" t="s">
        <v>375</v>
      </c>
      <c r="C1016">
        <f t="shared" si="45"/>
        <v>280</v>
      </c>
      <c r="D1016">
        <v>3.5000000000000003E-2</v>
      </c>
      <c r="E1016" t="s">
        <v>336</v>
      </c>
      <c r="F1016" t="s">
        <v>527</v>
      </c>
      <c r="G1016">
        <f t="shared" si="47"/>
        <v>9.8000000000000007</v>
      </c>
      <c r="H1016" t="str">
        <f t="shared" si="46"/>
        <v>Dry Grocery</v>
      </c>
    </row>
    <row r="1017" spans="1:8">
      <c r="A1017" s="17">
        <v>43201</v>
      </c>
      <c r="B1017" t="s">
        <v>379</v>
      </c>
      <c r="C1017">
        <f t="shared" si="45"/>
        <v>120</v>
      </c>
      <c r="D1017">
        <v>0.02</v>
      </c>
      <c r="E1017" t="s">
        <v>336</v>
      </c>
      <c r="F1017" t="s">
        <v>527</v>
      </c>
      <c r="G1017">
        <f t="shared" si="47"/>
        <v>2.4</v>
      </c>
      <c r="H1017" t="str">
        <f t="shared" si="46"/>
        <v>Dry Grocery</v>
      </c>
    </row>
    <row r="1018" spans="1:8">
      <c r="A1018" s="17">
        <v>43201</v>
      </c>
      <c r="B1018" t="s">
        <v>507</v>
      </c>
      <c r="C1018">
        <f t="shared" si="45"/>
        <v>340</v>
      </c>
      <c r="D1018">
        <v>0.02</v>
      </c>
      <c r="E1018" t="s">
        <v>336</v>
      </c>
      <c r="F1018" t="s">
        <v>527</v>
      </c>
      <c r="G1018">
        <f t="shared" si="47"/>
        <v>6.8</v>
      </c>
      <c r="H1018" t="str">
        <f t="shared" si="46"/>
        <v>Dry Grocery</v>
      </c>
    </row>
    <row r="1019" spans="1:8">
      <c r="A1019" s="17">
        <v>43201</v>
      </c>
      <c r="B1019" t="s">
        <v>387</v>
      </c>
      <c r="C1019">
        <f t="shared" si="45"/>
        <v>187.41</v>
      </c>
      <c r="D1019">
        <v>2.5000000000000001E-2</v>
      </c>
      <c r="E1019" t="s">
        <v>336</v>
      </c>
      <c r="F1019" t="s">
        <v>527</v>
      </c>
      <c r="G1019">
        <f t="shared" si="47"/>
        <v>4.6852499999999999</v>
      </c>
      <c r="H1019" t="str">
        <f t="shared" si="46"/>
        <v>Dry Grocery</v>
      </c>
    </row>
    <row r="1020" spans="1:8">
      <c r="A1020" s="17">
        <v>43201</v>
      </c>
      <c r="B1020" t="s">
        <v>381</v>
      </c>
      <c r="C1020">
        <f t="shared" si="45"/>
        <v>7</v>
      </c>
      <c r="D1020">
        <v>0.34</v>
      </c>
      <c r="E1020" t="s">
        <v>336</v>
      </c>
      <c r="F1020" t="s">
        <v>527</v>
      </c>
      <c r="G1020">
        <f t="shared" si="47"/>
        <v>2.3800000000000003</v>
      </c>
      <c r="H1020" t="str">
        <f t="shared" si="46"/>
        <v>Dry Grocery</v>
      </c>
    </row>
    <row r="1021" spans="1:8">
      <c r="A1021" s="17">
        <v>43201</v>
      </c>
      <c r="B1021" t="s">
        <v>485</v>
      </c>
      <c r="C1021">
        <f t="shared" si="45"/>
        <v>96</v>
      </c>
      <c r="D1021">
        <v>3.5000000000000003E-2</v>
      </c>
      <c r="E1021" t="s">
        <v>336</v>
      </c>
      <c r="F1021" t="s">
        <v>527</v>
      </c>
      <c r="G1021">
        <f t="shared" si="47"/>
        <v>3.3600000000000003</v>
      </c>
      <c r="H1021" t="str">
        <f t="shared" si="46"/>
        <v>Oil</v>
      </c>
    </row>
    <row r="1022" spans="1:8">
      <c r="A1022" s="17">
        <v>43201</v>
      </c>
      <c r="B1022" t="s">
        <v>386</v>
      </c>
      <c r="C1022">
        <f t="shared" si="45"/>
        <v>82</v>
      </c>
      <c r="D1022">
        <v>1</v>
      </c>
      <c r="E1022" t="s">
        <v>336</v>
      </c>
      <c r="F1022" t="s">
        <v>527</v>
      </c>
      <c r="G1022">
        <f t="shared" si="47"/>
        <v>82</v>
      </c>
      <c r="H1022" t="str">
        <f t="shared" si="46"/>
        <v>Oil</v>
      </c>
    </row>
    <row r="1023" spans="1:8">
      <c r="A1023" s="17">
        <v>43201</v>
      </c>
      <c r="B1023" t="s">
        <v>383</v>
      </c>
      <c r="C1023">
        <f t="shared" si="45"/>
        <v>230</v>
      </c>
      <c r="D1023">
        <v>2.5000000000000001E-2</v>
      </c>
      <c r="E1023" t="s">
        <v>336</v>
      </c>
      <c r="F1023" t="s">
        <v>527</v>
      </c>
      <c r="G1023">
        <f t="shared" si="47"/>
        <v>5.75</v>
      </c>
      <c r="H1023" t="str">
        <f t="shared" si="46"/>
        <v>Dry Grocery</v>
      </c>
    </row>
    <row r="1024" spans="1:8">
      <c r="A1024" s="17">
        <v>43201</v>
      </c>
      <c r="B1024" t="s">
        <v>431</v>
      </c>
      <c r="C1024">
        <f t="shared" si="45"/>
        <v>70</v>
      </c>
      <c r="D1024">
        <v>3.5000000000000003E-2</v>
      </c>
      <c r="E1024" t="s">
        <v>336</v>
      </c>
      <c r="F1024" t="s">
        <v>527</v>
      </c>
      <c r="G1024">
        <f t="shared" si="47"/>
        <v>2.4500000000000002</v>
      </c>
      <c r="H1024" t="str">
        <f t="shared" si="46"/>
        <v>Dry Grocery</v>
      </c>
    </row>
    <row r="1025" spans="1:8">
      <c r="A1025" s="17">
        <v>43201</v>
      </c>
      <c r="B1025" t="s">
        <v>367</v>
      </c>
      <c r="C1025">
        <f t="shared" si="45"/>
        <v>55</v>
      </c>
      <c r="D1025">
        <v>7.4999999999999997E-2</v>
      </c>
      <c r="E1025" t="s">
        <v>336</v>
      </c>
      <c r="F1025" t="s">
        <v>527</v>
      </c>
      <c r="G1025">
        <f t="shared" si="47"/>
        <v>4.125</v>
      </c>
      <c r="H1025" t="str">
        <f t="shared" si="46"/>
        <v>Dry Grocery</v>
      </c>
    </row>
    <row r="1026" spans="1:8">
      <c r="A1026" s="17">
        <v>43201</v>
      </c>
      <c r="B1026" t="s">
        <v>432</v>
      </c>
      <c r="C1026">
        <f t="shared" si="45"/>
        <v>14</v>
      </c>
      <c r="D1026">
        <v>1.5</v>
      </c>
      <c r="E1026" t="s">
        <v>336</v>
      </c>
      <c r="F1026" t="s">
        <v>527</v>
      </c>
      <c r="G1026">
        <f t="shared" si="47"/>
        <v>21</v>
      </c>
      <c r="H1026" t="str">
        <f t="shared" si="46"/>
        <v>Vegetable</v>
      </c>
    </row>
    <row r="1027" spans="1:8">
      <c r="A1027" s="17">
        <v>43201</v>
      </c>
      <c r="B1027" t="s">
        <v>427</v>
      </c>
      <c r="C1027">
        <f t="shared" si="45"/>
        <v>28</v>
      </c>
      <c r="D1027">
        <v>0.15</v>
      </c>
      <c r="E1027" t="s">
        <v>336</v>
      </c>
      <c r="F1027" t="s">
        <v>527</v>
      </c>
      <c r="G1027">
        <f t="shared" si="47"/>
        <v>4.2</v>
      </c>
      <c r="H1027" t="str">
        <f t="shared" ref="H1027:H1090" si="48">IF(B1027="","",VLOOKUP(B1027,$XEY$3:$XFA$1200,3,FALSE))</f>
        <v>Vegetable</v>
      </c>
    </row>
    <row r="1028" spans="1:8">
      <c r="A1028" s="17">
        <v>43201</v>
      </c>
      <c r="B1028" t="s">
        <v>429</v>
      </c>
      <c r="C1028">
        <f t="shared" si="45"/>
        <v>40</v>
      </c>
      <c r="D1028">
        <v>0.05</v>
      </c>
      <c r="E1028" t="s">
        <v>336</v>
      </c>
      <c r="F1028" t="s">
        <v>527</v>
      </c>
      <c r="G1028">
        <f t="shared" si="47"/>
        <v>2</v>
      </c>
      <c r="H1028" t="str">
        <f t="shared" si="48"/>
        <v>Vegetable</v>
      </c>
    </row>
    <row r="1029" spans="1:8">
      <c r="A1029" s="17">
        <v>43201</v>
      </c>
      <c r="B1029" t="s">
        <v>437</v>
      </c>
      <c r="C1029">
        <f t="shared" si="45"/>
        <v>34</v>
      </c>
      <c r="D1029">
        <v>0.75</v>
      </c>
      <c r="E1029" t="s">
        <v>336</v>
      </c>
      <c r="F1029" t="s">
        <v>527</v>
      </c>
      <c r="G1029">
        <f t="shared" si="47"/>
        <v>25.5</v>
      </c>
      <c r="H1029" t="str">
        <f t="shared" si="48"/>
        <v>Dry Grocery</v>
      </c>
    </row>
    <row r="1030" spans="1:8">
      <c r="A1030" s="17">
        <v>43201</v>
      </c>
      <c r="B1030" t="s">
        <v>392</v>
      </c>
      <c r="C1030">
        <f t="shared" si="45"/>
        <v>840</v>
      </c>
      <c r="D1030">
        <v>1.4999999999999999E-2</v>
      </c>
      <c r="E1030" t="s">
        <v>336</v>
      </c>
      <c r="F1030" t="s">
        <v>527</v>
      </c>
      <c r="G1030">
        <f t="shared" si="47"/>
        <v>12.6</v>
      </c>
      <c r="H1030" t="str">
        <f t="shared" si="48"/>
        <v>Dry Grocery</v>
      </c>
    </row>
    <row r="1031" spans="1:8">
      <c r="A1031" s="17">
        <v>43201</v>
      </c>
      <c r="B1031" t="s">
        <v>506</v>
      </c>
      <c r="C1031">
        <f t="shared" si="45"/>
        <v>240</v>
      </c>
      <c r="D1031">
        <v>1.4999999999999999E-2</v>
      </c>
      <c r="E1031" t="s">
        <v>336</v>
      </c>
      <c r="F1031" t="s">
        <v>527</v>
      </c>
      <c r="G1031">
        <f t="shared" si="47"/>
        <v>3.5999999999999996</v>
      </c>
      <c r="H1031" t="str">
        <f t="shared" si="48"/>
        <v>Dry Grocery</v>
      </c>
    </row>
    <row r="1032" spans="1:8">
      <c r="A1032" s="17">
        <v>43201</v>
      </c>
      <c r="B1032" t="s">
        <v>512</v>
      </c>
      <c r="C1032">
        <f t="shared" si="45"/>
        <v>170</v>
      </c>
      <c r="D1032">
        <v>0.05</v>
      </c>
      <c r="E1032" t="s">
        <v>336</v>
      </c>
      <c r="F1032" t="s">
        <v>527</v>
      </c>
      <c r="G1032">
        <f t="shared" si="47"/>
        <v>8.5</v>
      </c>
      <c r="H1032" t="str">
        <f t="shared" si="48"/>
        <v>Dry Grocery</v>
      </c>
    </row>
    <row r="1033" spans="1:8">
      <c r="A1033" s="17">
        <v>43201</v>
      </c>
      <c r="B1033" t="s">
        <v>476</v>
      </c>
      <c r="C1033">
        <f t="shared" si="45"/>
        <v>14.75</v>
      </c>
      <c r="D1033">
        <v>1.9</v>
      </c>
      <c r="E1033" t="s">
        <v>336</v>
      </c>
      <c r="F1033" t="s">
        <v>527</v>
      </c>
      <c r="G1033">
        <f t="shared" si="47"/>
        <v>28.024999999999999</v>
      </c>
      <c r="H1033" t="str">
        <f t="shared" si="48"/>
        <v>Vegetable</v>
      </c>
    </row>
    <row r="1034" spans="1:8">
      <c r="A1034" s="17">
        <v>43201</v>
      </c>
      <c r="B1034" t="s">
        <v>479</v>
      </c>
      <c r="C1034">
        <f t="shared" si="45"/>
        <v>312.14</v>
      </c>
      <c r="D1034">
        <v>0.04</v>
      </c>
      <c r="E1034" t="s">
        <v>336</v>
      </c>
      <c r="F1034" t="s">
        <v>527</v>
      </c>
      <c r="G1034">
        <f t="shared" si="47"/>
        <v>12.4856</v>
      </c>
      <c r="H1034" t="str">
        <f t="shared" si="48"/>
        <v>Vegetable</v>
      </c>
    </row>
    <row r="1035" spans="1:8">
      <c r="A1035" s="17">
        <v>43201</v>
      </c>
      <c r="B1035" t="s">
        <v>378</v>
      </c>
      <c r="C1035">
        <f t="shared" si="45"/>
        <v>25</v>
      </c>
      <c r="D1035">
        <v>0.2</v>
      </c>
      <c r="E1035" t="s">
        <v>336</v>
      </c>
      <c r="F1035" t="s">
        <v>527</v>
      </c>
      <c r="G1035">
        <f t="shared" si="47"/>
        <v>5</v>
      </c>
      <c r="H1035" t="str">
        <f t="shared" si="48"/>
        <v>Vegetable</v>
      </c>
    </row>
    <row r="1036" spans="1:8">
      <c r="A1036" s="17">
        <v>43201</v>
      </c>
      <c r="B1036" t="s">
        <v>434</v>
      </c>
      <c r="C1036">
        <f t="shared" si="45"/>
        <v>125</v>
      </c>
      <c r="D1036">
        <v>0.06</v>
      </c>
      <c r="E1036" t="s">
        <v>336</v>
      </c>
      <c r="F1036" t="s">
        <v>527</v>
      </c>
      <c r="G1036">
        <f t="shared" si="47"/>
        <v>7.5</v>
      </c>
      <c r="H1036" t="str">
        <f t="shared" si="48"/>
        <v>Vegetable</v>
      </c>
    </row>
    <row r="1037" spans="1:8">
      <c r="A1037" s="17">
        <v>43201</v>
      </c>
      <c r="B1037" t="s">
        <v>454</v>
      </c>
      <c r="C1037">
        <f t="shared" si="45"/>
        <v>43.06</v>
      </c>
      <c r="D1037">
        <v>0.5</v>
      </c>
      <c r="E1037" t="s">
        <v>336</v>
      </c>
      <c r="F1037" t="s">
        <v>527</v>
      </c>
      <c r="G1037">
        <f t="shared" si="47"/>
        <v>21.53</v>
      </c>
      <c r="H1037" t="str">
        <f t="shared" si="48"/>
        <v>Vegetable</v>
      </c>
    </row>
    <row r="1038" spans="1:8">
      <c r="A1038" s="17">
        <v>43201</v>
      </c>
      <c r="B1038" t="s">
        <v>430</v>
      </c>
      <c r="C1038">
        <f t="shared" si="45"/>
        <v>30</v>
      </c>
      <c r="D1038">
        <v>0.1</v>
      </c>
      <c r="E1038" t="s">
        <v>336</v>
      </c>
      <c r="F1038" t="s">
        <v>527</v>
      </c>
      <c r="G1038">
        <f t="shared" si="47"/>
        <v>3</v>
      </c>
      <c r="H1038" t="str">
        <f t="shared" si="48"/>
        <v>Vegetable</v>
      </c>
    </row>
    <row r="1039" spans="1:8">
      <c r="A1039" s="17">
        <v>43201</v>
      </c>
      <c r="B1039" t="s">
        <v>462</v>
      </c>
      <c r="C1039">
        <f t="shared" si="45"/>
        <v>138</v>
      </c>
      <c r="D1039">
        <v>2.5000000000000001E-2</v>
      </c>
      <c r="E1039" t="s">
        <v>336</v>
      </c>
      <c r="F1039" t="s">
        <v>527</v>
      </c>
      <c r="G1039">
        <f t="shared" si="47"/>
        <v>3.45</v>
      </c>
      <c r="H1039" t="str">
        <f t="shared" si="48"/>
        <v>Dry Grocery</v>
      </c>
    </row>
    <row r="1040" spans="1:8">
      <c r="A1040" s="17">
        <v>43201</v>
      </c>
      <c r="B1040" t="s">
        <v>461</v>
      </c>
      <c r="C1040">
        <f t="shared" si="45"/>
        <v>1450</v>
      </c>
      <c r="D1040">
        <v>5.0000000000000001E-3</v>
      </c>
      <c r="E1040" t="s">
        <v>336</v>
      </c>
      <c r="F1040" t="s">
        <v>527</v>
      </c>
      <c r="G1040">
        <f t="shared" si="47"/>
        <v>7.25</v>
      </c>
      <c r="H1040" t="str">
        <f t="shared" si="48"/>
        <v>Spice</v>
      </c>
    </row>
    <row r="1041" spans="1:8">
      <c r="A1041" s="17">
        <v>43201</v>
      </c>
      <c r="B1041" t="s">
        <v>409</v>
      </c>
      <c r="C1041">
        <f t="shared" si="45"/>
        <v>64.069999999999993</v>
      </c>
      <c r="D1041">
        <v>0.3</v>
      </c>
      <c r="E1041" t="s">
        <v>336</v>
      </c>
      <c r="F1041" t="s">
        <v>527</v>
      </c>
      <c r="G1041">
        <f t="shared" si="47"/>
        <v>19.220999999999997</v>
      </c>
      <c r="H1041" t="str">
        <f t="shared" si="48"/>
        <v>Dry Grocery</v>
      </c>
    </row>
    <row r="1042" spans="1:8">
      <c r="A1042" s="17">
        <v>43201</v>
      </c>
      <c r="B1042" t="s">
        <v>519</v>
      </c>
      <c r="C1042">
        <f t="shared" si="45"/>
        <v>35</v>
      </c>
      <c r="D1042">
        <v>1</v>
      </c>
      <c r="E1042" t="s">
        <v>336</v>
      </c>
      <c r="F1042" t="s">
        <v>527</v>
      </c>
      <c r="G1042">
        <f t="shared" si="47"/>
        <v>35</v>
      </c>
      <c r="H1042" t="str">
        <f t="shared" si="48"/>
        <v>Vegetable</v>
      </c>
    </row>
    <row r="1043" spans="1:8">
      <c r="A1043" s="17">
        <v>43201</v>
      </c>
      <c r="B1043" t="s">
        <v>471</v>
      </c>
      <c r="C1043">
        <f t="shared" si="45"/>
        <v>160</v>
      </c>
      <c r="D1043">
        <v>0.11</v>
      </c>
      <c r="E1043" t="s">
        <v>336</v>
      </c>
      <c r="F1043" t="s">
        <v>527</v>
      </c>
      <c r="G1043">
        <f t="shared" si="47"/>
        <v>17.600000000000001</v>
      </c>
      <c r="H1043" t="str">
        <f t="shared" si="48"/>
        <v>Dry Grocery</v>
      </c>
    </row>
    <row r="1044" spans="1:8">
      <c r="A1044" s="17">
        <v>43201</v>
      </c>
      <c r="B1044" t="s">
        <v>510</v>
      </c>
      <c r="C1044">
        <f t="shared" si="45"/>
        <v>62.03</v>
      </c>
      <c r="D1044">
        <v>8.5000000000000006E-2</v>
      </c>
      <c r="E1044" t="s">
        <v>336</v>
      </c>
      <c r="F1044" t="s">
        <v>527</v>
      </c>
      <c r="G1044">
        <f t="shared" si="47"/>
        <v>5.2725500000000007</v>
      </c>
      <c r="H1044" t="str">
        <f t="shared" si="48"/>
        <v>Dry Grocery</v>
      </c>
    </row>
    <row r="1045" spans="1:8">
      <c r="A1045" s="17">
        <v>43201</v>
      </c>
      <c r="B1045" t="s">
        <v>466</v>
      </c>
      <c r="C1045">
        <f t="shared" si="45"/>
        <v>125</v>
      </c>
      <c r="D1045">
        <v>0.02</v>
      </c>
      <c r="E1045" t="s">
        <v>336</v>
      </c>
      <c r="F1045" t="s">
        <v>527</v>
      </c>
      <c r="G1045">
        <f t="shared" si="47"/>
        <v>2.5</v>
      </c>
      <c r="H1045" t="str">
        <f t="shared" si="48"/>
        <v>Dry Grocery</v>
      </c>
    </row>
    <row r="1046" spans="1:8">
      <c r="A1046" s="17">
        <v>43201</v>
      </c>
      <c r="B1046" t="s">
        <v>508</v>
      </c>
      <c r="C1046">
        <f t="shared" si="45"/>
        <v>86</v>
      </c>
      <c r="D1046">
        <v>0.2</v>
      </c>
      <c r="E1046" t="s">
        <v>336</v>
      </c>
      <c r="F1046" t="s">
        <v>527</v>
      </c>
      <c r="G1046">
        <f t="shared" si="47"/>
        <v>17.2</v>
      </c>
      <c r="H1046" t="str">
        <f t="shared" si="48"/>
        <v>Dry Grocery</v>
      </c>
    </row>
    <row r="1047" spans="1:8">
      <c r="A1047" s="17">
        <v>43201</v>
      </c>
      <c r="B1047" t="s">
        <v>410</v>
      </c>
      <c r="C1047">
        <f t="shared" ref="C1047:C1110" si="49">IF(B1047="","",VLOOKUP(B1047,$XEY$3:$XEZ$1158,2,FALSE))</f>
        <v>76</v>
      </c>
      <c r="D1047">
        <v>0.02</v>
      </c>
      <c r="E1047" t="s">
        <v>336</v>
      </c>
      <c r="F1047" t="s">
        <v>527</v>
      </c>
      <c r="G1047">
        <f t="shared" si="47"/>
        <v>1.52</v>
      </c>
      <c r="H1047" t="str">
        <f t="shared" si="48"/>
        <v>Dry Grocery</v>
      </c>
    </row>
    <row r="1048" spans="1:8">
      <c r="A1048" s="17">
        <v>43201</v>
      </c>
      <c r="B1048" t="s">
        <v>390</v>
      </c>
      <c r="C1048">
        <f t="shared" si="49"/>
        <v>30</v>
      </c>
      <c r="D1048">
        <v>0.15</v>
      </c>
      <c r="E1048" t="s">
        <v>336</v>
      </c>
      <c r="F1048" t="s">
        <v>527</v>
      </c>
      <c r="G1048">
        <f t="shared" si="47"/>
        <v>4.5</v>
      </c>
      <c r="H1048" t="str">
        <f t="shared" si="48"/>
        <v>Vegetable</v>
      </c>
    </row>
    <row r="1049" spans="1:8">
      <c r="A1049" s="17">
        <v>43201</v>
      </c>
      <c r="B1049" t="s">
        <v>428</v>
      </c>
      <c r="C1049">
        <f t="shared" si="49"/>
        <v>78.95</v>
      </c>
      <c r="D1049">
        <v>19</v>
      </c>
      <c r="E1049" t="s">
        <v>531</v>
      </c>
      <c r="F1049" t="s">
        <v>530</v>
      </c>
      <c r="G1049">
        <f t="shared" si="47"/>
        <v>1500.05</v>
      </c>
      <c r="H1049" t="str">
        <f t="shared" si="48"/>
        <v>Gas</v>
      </c>
    </row>
    <row r="1050" spans="1:8">
      <c r="A1050" s="17">
        <v>43201</v>
      </c>
      <c r="B1050" t="s">
        <v>384</v>
      </c>
      <c r="C1050">
        <f t="shared" si="49"/>
        <v>3</v>
      </c>
      <c r="D1050">
        <v>10</v>
      </c>
      <c r="E1050" t="s">
        <v>555</v>
      </c>
      <c r="F1050" t="s">
        <v>556</v>
      </c>
      <c r="G1050">
        <f t="shared" si="47"/>
        <v>30</v>
      </c>
      <c r="H1050" t="str">
        <f t="shared" si="48"/>
        <v>Vegetable</v>
      </c>
    </row>
    <row r="1051" spans="1:8">
      <c r="A1051" s="17">
        <v>43201</v>
      </c>
      <c r="B1051" t="s">
        <v>432</v>
      </c>
      <c r="C1051">
        <f t="shared" si="49"/>
        <v>14</v>
      </c>
      <c r="D1051">
        <v>0.5</v>
      </c>
      <c r="E1051" t="s">
        <v>555</v>
      </c>
      <c r="F1051" t="s">
        <v>556</v>
      </c>
      <c r="G1051">
        <f t="shared" si="47"/>
        <v>7</v>
      </c>
      <c r="H1051" t="str">
        <f t="shared" si="48"/>
        <v>Vegetable</v>
      </c>
    </row>
    <row r="1052" spans="1:8">
      <c r="A1052" s="17">
        <v>43201</v>
      </c>
      <c r="B1052" t="s">
        <v>385</v>
      </c>
      <c r="C1052">
        <f t="shared" si="49"/>
        <v>36</v>
      </c>
      <c r="D1052">
        <v>5</v>
      </c>
      <c r="E1052" t="s">
        <v>543</v>
      </c>
      <c r="F1052" t="s">
        <v>527</v>
      </c>
      <c r="G1052">
        <f t="shared" si="47"/>
        <v>180</v>
      </c>
      <c r="H1052" t="str">
        <f t="shared" si="48"/>
        <v>Dairy</v>
      </c>
    </row>
    <row r="1053" spans="1:8">
      <c r="A1053" s="17">
        <v>43202</v>
      </c>
      <c r="B1053" t="s">
        <v>428</v>
      </c>
      <c r="C1053">
        <f t="shared" si="49"/>
        <v>78.95</v>
      </c>
      <c r="D1053">
        <f>19-1.5</f>
        <v>17.5</v>
      </c>
      <c r="E1053" t="s">
        <v>531</v>
      </c>
      <c r="F1053" t="s">
        <v>530</v>
      </c>
      <c r="G1053">
        <f t="shared" si="47"/>
        <v>1381.625</v>
      </c>
      <c r="H1053" t="str">
        <f t="shared" si="48"/>
        <v>Gas</v>
      </c>
    </row>
    <row r="1054" spans="1:8">
      <c r="A1054" s="17">
        <v>43202</v>
      </c>
      <c r="B1054" t="s">
        <v>432</v>
      </c>
      <c r="C1054">
        <f t="shared" si="49"/>
        <v>14</v>
      </c>
      <c r="D1054">
        <v>4.3</v>
      </c>
      <c r="E1054" t="s">
        <v>525</v>
      </c>
      <c r="F1054" t="s">
        <v>526</v>
      </c>
      <c r="G1054">
        <f t="shared" si="47"/>
        <v>60.199999999999996</v>
      </c>
      <c r="H1054" t="str">
        <f t="shared" si="48"/>
        <v>Vegetable</v>
      </c>
    </row>
    <row r="1055" spans="1:8">
      <c r="A1055" s="17">
        <v>43202</v>
      </c>
      <c r="B1055" t="s">
        <v>430</v>
      </c>
      <c r="C1055">
        <f t="shared" si="49"/>
        <v>30</v>
      </c>
      <c r="D1055">
        <v>0.7</v>
      </c>
      <c r="E1055" t="s">
        <v>525</v>
      </c>
      <c r="F1055" t="s">
        <v>526</v>
      </c>
      <c r="G1055">
        <f t="shared" si="47"/>
        <v>21</v>
      </c>
      <c r="H1055" t="str">
        <f t="shared" si="48"/>
        <v>Vegetable</v>
      </c>
    </row>
    <row r="1056" spans="1:8">
      <c r="A1056" s="17">
        <v>43202</v>
      </c>
      <c r="B1056" t="s">
        <v>390</v>
      </c>
      <c r="C1056">
        <f t="shared" si="49"/>
        <v>30</v>
      </c>
      <c r="D1056">
        <v>1.3</v>
      </c>
      <c r="E1056" t="s">
        <v>525</v>
      </c>
      <c r="F1056" t="s">
        <v>526</v>
      </c>
      <c r="G1056">
        <f t="shared" si="47"/>
        <v>39</v>
      </c>
      <c r="H1056" t="str">
        <f t="shared" si="48"/>
        <v>Vegetable</v>
      </c>
    </row>
    <row r="1057" spans="1:8">
      <c r="A1057" s="17">
        <v>43202</v>
      </c>
      <c r="B1057" t="s">
        <v>458</v>
      </c>
      <c r="C1057">
        <f t="shared" si="49"/>
        <v>140</v>
      </c>
      <c r="D1057">
        <v>1</v>
      </c>
      <c r="E1057" t="s">
        <v>525</v>
      </c>
      <c r="F1057" t="s">
        <v>526</v>
      </c>
      <c r="G1057">
        <f t="shared" si="47"/>
        <v>140</v>
      </c>
      <c r="H1057" t="str">
        <f t="shared" si="48"/>
        <v>Dairy</v>
      </c>
    </row>
    <row r="1058" spans="1:8">
      <c r="A1058" s="17">
        <v>43202</v>
      </c>
      <c r="B1058" t="s">
        <v>473</v>
      </c>
      <c r="C1058">
        <f t="shared" si="49"/>
        <v>175</v>
      </c>
      <c r="D1058">
        <v>2</v>
      </c>
      <c r="E1058" t="s">
        <v>525</v>
      </c>
      <c r="F1058" t="s">
        <v>526</v>
      </c>
      <c r="G1058">
        <f t="shared" si="47"/>
        <v>350</v>
      </c>
      <c r="H1058" t="str">
        <f t="shared" si="48"/>
        <v>Dairy</v>
      </c>
    </row>
    <row r="1059" spans="1:8">
      <c r="A1059" s="17">
        <v>43202</v>
      </c>
      <c r="B1059" t="s">
        <v>420</v>
      </c>
      <c r="C1059">
        <f t="shared" si="49"/>
        <v>3</v>
      </c>
      <c r="D1059">
        <v>0.14000000000000001</v>
      </c>
      <c r="E1059" t="s">
        <v>525</v>
      </c>
      <c r="F1059" t="s">
        <v>526</v>
      </c>
      <c r="G1059">
        <f t="shared" ref="G1059:G1122" si="50">IF(C1059="","",C1059*D1059)</f>
        <v>0.42000000000000004</v>
      </c>
      <c r="H1059" t="str">
        <f t="shared" si="48"/>
        <v>Vegetable</v>
      </c>
    </row>
    <row r="1060" spans="1:8">
      <c r="A1060" s="17">
        <v>43202</v>
      </c>
      <c r="B1060" t="s">
        <v>391</v>
      </c>
      <c r="C1060">
        <f t="shared" si="49"/>
        <v>27.97</v>
      </c>
      <c r="D1060">
        <f>0.4+0.5+0.25</f>
        <v>1.1499999999999999</v>
      </c>
      <c r="E1060" t="s">
        <v>525</v>
      </c>
      <c r="F1060" t="s">
        <v>526</v>
      </c>
      <c r="G1060">
        <f t="shared" si="50"/>
        <v>32.165499999999994</v>
      </c>
      <c r="H1060" t="str">
        <f t="shared" si="48"/>
        <v>Vegetable</v>
      </c>
    </row>
    <row r="1061" spans="1:8">
      <c r="A1061" s="17">
        <v>43202</v>
      </c>
      <c r="B1061" t="s">
        <v>393</v>
      </c>
      <c r="C1061">
        <f t="shared" si="49"/>
        <v>26</v>
      </c>
      <c r="D1061">
        <v>10.8</v>
      </c>
      <c r="E1061" t="s">
        <v>525</v>
      </c>
      <c r="F1061" t="s">
        <v>526</v>
      </c>
      <c r="G1061">
        <f t="shared" si="50"/>
        <v>280.8</v>
      </c>
      <c r="H1061" t="str">
        <f t="shared" si="48"/>
        <v>Heating</v>
      </c>
    </row>
    <row r="1062" spans="1:8">
      <c r="A1062" s="17">
        <v>43202</v>
      </c>
      <c r="B1062" t="s">
        <v>429</v>
      </c>
      <c r="C1062">
        <f t="shared" si="49"/>
        <v>40</v>
      </c>
      <c r="D1062">
        <v>0.3</v>
      </c>
      <c r="E1062" t="s">
        <v>525</v>
      </c>
      <c r="F1062" t="s">
        <v>526</v>
      </c>
      <c r="G1062">
        <f t="shared" si="50"/>
        <v>12</v>
      </c>
      <c r="H1062" t="str">
        <f t="shared" si="48"/>
        <v>Vegetable</v>
      </c>
    </row>
    <row r="1063" spans="1:8">
      <c r="A1063" s="17">
        <v>43202</v>
      </c>
      <c r="B1063" t="s">
        <v>386</v>
      </c>
      <c r="C1063">
        <f t="shared" si="49"/>
        <v>82</v>
      </c>
      <c r="D1063">
        <v>5</v>
      </c>
      <c r="E1063" t="s">
        <v>525</v>
      </c>
      <c r="F1063" t="s">
        <v>526</v>
      </c>
      <c r="G1063">
        <f t="shared" si="50"/>
        <v>410</v>
      </c>
      <c r="H1063" t="str">
        <f t="shared" si="48"/>
        <v>Oil</v>
      </c>
    </row>
    <row r="1064" spans="1:8">
      <c r="A1064" s="17">
        <v>43202</v>
      </c>
      <c r="B1064" t="s">
        <v>378</v>
      </c>
      <c r="C1064">
        <f t="shared" si="49"/>
        <v>25</v>
      </c>
      <c r="D1064">
        <v>0.6</v>
      </c>
      <c r="E1064" t="s">
        <v>525</v>
      </c>
      <c r="F1064" t="s">
        <v>526</v>
      </c>
      <c r="G1064">
        <f t="shared" si="50"/>
        <v>15</v>
      </c>
      <c r="H1064" t="str">
        <f t="shared" si="48"/>
        <v>Vegetable</v>
      </c>
    </row>
    <row r="1065" spans="1:8">
      <c r="A1065" s="17">
        <v>43202</v>
      </c>
      <c r="B1065" t="s">
        <v>434</v>
      </c>
      <c r="C1065">
        <f t="shared" si="49"/>
        <v>125</v>
      </c>
      <c r="D1065">
        <v>0.06</v>
      </c>
      <c r="E1065" t="s">
        <v>525</v>
      </c>
      <c r="F1065" t="s">
        <v>526</v>
      </c>
      <c r="G1065">
        <f t="shared" si="50"/>
        <v>7.5</v>
      </c>
      <c r="H1065" t="str">
        <f t="shared" si="48"/>
        <v>Vegetable</v>
      </c>
    </row>
    <row r="1066" spans="1:8">
      <c r="A1066" s="17">
        <v>43202</v>
      </c>
      <c r="B1066" t="s">
        <v>454</v>
      </c>
      <c r="C1066">
        <f t="shared" si="49"/>
        <v>43.06</v>
      </c>
      <c r="D1066">
        <v>0.9</v>
      </c>
      <c r="E1066" t="s">
        <v>525</v>
      </c>
      <c r="F1066" t="s">
        <v>526</v>
      </c>
      <c r="G1066">
        <f t="shared" si="50"/>
        <v>38.754000000000005</v>
      </c>
      <c r="H1066" t="str">
        <f t="shared" si="48"/>
        <v>Vegetable</v>
      </c>
    </row>
    <row r="1067" spans="1:8">
      <c r="A1067" s="17">
        <v>43202</v>
      </c>
      <c r="B1067" t="s">
        <v>460</v>
      </c>
      <c r="C1067">
        <f t="shared" si="49"/>
        <v>43.98</v>
      </c>
      <c r="D1067">
        <v>0.2</v>
      </c>
      <c r="E1067" t="s">
        <v>525</v>
      </c>
      <c r="F1067" t="s">
        <v>526</v>
      </c>
      <c r="G1067">
        <f t="shared" si="50"/>
        <v>8.7959999999999994</v>
      </c>
      <c r="H1067" t="str">
        <f t="shared" si="48"/>
        <v>Vegetable</v>
      </c>
    </row>
    <row r="1068" spans="1:8">
      <c r="A1068" s="17">
        <v>43202</v>
      </c>
      <c r="B1068" t="s">
        <v>427</v>
      </c>
      <c r="C1068">
        <f t="shared" si="49"/>
        <v>28</v>
      </c>
      <c r="D1068">
        <v>0.3</v>
      </c>
      <c r="E1068" t="s">
        <v>525</v>
      </c>
      <c r="F1068" t="s">
        <v>526</v>
      </c>
      <c r="G1068">
        <f t="shared" si="50"/>
        <v>8.4</v>
      </c>
      <c r="H1068" t="str">
        <f t="shared" si="48"/>
        <v>Vegetable</v>
      </c>
    </row>
    <row r="1069" spans="1:8">
      <c r="A1069" s="17">
        <v>43202</v>
      </c>
      <c r="B1069" t="s">
        <v>382</v>
      </c>
      <c r="C1069">
        <f t="shared" si="49"/>
        <v>42</v>
      </c>
      <c r="D1069">
        <v>2.5</v>
      </c>
      <c r="E1069" t="s">
        <v>525</v>
      </c>
      <c r="F1069" t="s">
        <v>526</v>
      </c>
      <c r="G1069">
        <f t="shared" si="50"/>
        <v>105</v>
      </c>
      <c r="H1069" t="str">
        <f t="shared" si="48"/>
        <v>Dairy</v>
      </c>
    </row>
    <row r="1070" spans="1:8">
      <c r="A1070" s="17">
        <v>43202</v>
      </c>
      <c r="B1070" t="s">
        <v>385</v>
      </c>
      <c r="C1070">
        <f t="shared" si="49"/>
        <v>36</v>
      </c>
      <c r="D1070">
        <v>3</v>
      </c>
      <c r="E1070" t="s">
        <v>542</v>
      </c>
      <c r="F1070" t="s">
        <v>554</v>
      </c>
      <c r="G1070">
        <f t="shared" si="50"/>
        <v>108</v>
      </c>
      <c r="H1070" t="str">
        <f t="shared" si="48"/>
        <v>Dairy</v>
      </c>
    </row>
    <row r="1071" spans="1:8">
      <c r="A1071" s="17">
        <v>43202</v>
      </c>
      <c r="B1071" t="s">
        <v>457</v>
      </c>
      <c r="C1071">
        <f t="shared" si="49"/>
        <v>64</v>
      </c>
      <c r="D1071">
        <v>2</v>
      </c>
      <c r="E1071" t="s">
        <v>525</v>
      </c>
      <c r="F1071" t="s">
        <v>526</v>
      </c>
      <c r="G1071">
        <f t="shared" si="50"/>
        <v>128</v>
      </c>
      <c r="H1071" t="str">
        <f t="shared" si="48"/>
        <v>Dry Grocery</v>
      </c>
    </row>
    <row r="1072" spans="1:8">
      <c r="A1072" s="17">
        <v>43202</v>
      </c>
      <c r="B1072" t="s">
        <v>436</v>
      </c>
      <c r="C1072">
        <f t="shared" si="49"/>
        <v>37</v>
      </c>
      <c r="D1072">
        <v>0.8</v>
      </c>
      <c r="E1072" t="s">
        <v>542</v>
      </c>
      <c r="F1072" t="s">
        <v>554</v>
      </c>
      <c r="G1072">
        <f t="shared" si="50"/>
        <v>29.6</v>
      </c>
      <c r="H1072" t="str">
        <f t="shared" si="48"/>
        <v>Dry Grocery</v>
      </c>
    </row>
    <row r="1073" spans="1:8">
      <c r="A1073" s="17">
        <v>43202</v>
      </c>
      <c r="B1073" t="s">
        <v>463</v>
      </c>
      <c r="C1073">
        <f t="shared" si="49"/>
        <v>29.51</v>
      </c>
      <c r="D1073">
        <v>2.2999999999999998</v>
      </c>
      <c r="E1073" t="s">
        <v>525</v>
      </c>
      <c r="F1073" t="s">
        <v>526</v>
      </c>
      <c r="G1073">
        <f t="shared" si="50"/>
        <v>67.873000000000005</v>
      </c>
      <c r="H1073" t="str">
        <f t="shared" si="48"/>
        <v>Dry Grocery</v>
      </c>
    </row>
    <row r="1074" spans="1:8">
      <c r="A1074" s="17">
        <v>43202</v>
      </c>
      <c r="B1074" t="s">
        <v>468</v>
      </c>
      <c r="C1074">
        <f t="shared" si="49"/>
        <v>32</v>
      </c>
      <c r="D1074">
        <v>2</v>
      </c>
      <c r="E1074" t="s">
        <v>525</v>
      </c>
      <c r="F1074" t="s">
        <v>526</v>
      </c>
      <c r="G1074">
        <f t="shared" si="50"/>
        <v>64</v>
      </c>
      <c r="H1074" t="str">
        <f t="shared" si="48"/>
        <v>Vegetable</v>
      </c>
    </row>
    <row r="1075" spans="1:8">
      <c r="A1075" s="17">
        <v>43202</v>
      </c>
      <c r="B1075" t="s">
        <v>487</v>
      </c>
      <c r="C1075">
        <f t="shared" si="49"/>
        <v>40</v>
      </c>
      <c r="D1075">
        <v>1</v>
      </c>
      <c r="E1075" t="s">
        <v>525</v>
      </c>
      <c r="F1075" t="s">
        <v>526</v>
      </c>
      <c r="G1075">
        <f t="shared" si="50"/>
        <v>40</v>
      </c>
      <c r="H1075" t="str">
        <f t="shared" si="48"/>
        <v>Dry Grocery</v>
      </c>
    </row>
    <row r="1076" spans="1:8">
      <c r="A1076" s="17">
        <v>43202</v>
      </c>
      <c r="B1076" t="s">
        <v>371</v>
      </c>
      <c r="C1076">
        <f t="shared" si="49"/>
        <v>23.33</v>
      </c>
      <c r="D1076">
        <f>0.85+0.2</f>
        <v>1.05</v>
      </c>
      <c r="E1076" t="s">
        <v>525</v>
      </c>
      <c r="F1076" t="s">
        <v>526</v>
      </c>
      <c r="G1076">
        <f t="shared" si="50"/>
        <v>24.496499999999997</v>
      </c>
      <c r="H1076" t="str">
        <f t="shared" si="48"/>
        <v>Vegetable</v>
      </c>
    </row>
    <row r="1077" spans="1:8">
      <c r="A1077" s="17">
        <v>43202</v>
      </c>
      <c r="B1077" t="s">
        <v>474</v>
      </c>
      <c r="C1077">
        <f t="shared" si="49"/>
        <v>27</v>
      </c>
      <c r="D1077">
        <v>3.1</v>
      </c>
      <c r="E1077" t="s">
        <v>525</v>
      </c>
      <c r="F1077" t="s">
        <v>526</v>
      </c>
      <c r="G1077">
        <f t="shared" si="50"/>
        <v>83.7</v>
      </c>
      <c r="H1077" t="str">
        <f t="shared" si="48"/>
        <v>Dry Grocery</v>
      </c>
    </row>
    <row r="1078" spans="1:8">
      <c r="A1078" s="17">
        <v>43202</v>
      </c>
      <c r="B1078" t="s">
        <v>491</v>
      </c>
      <c r="C1078">
        <f t="shared" si="49"/>
        <v>38</v>
      </c>
      <c r="D1078">
        <v>1.6</v>
      </c>
      <c r="E1078" t="s">
        <v>525</v>
      </c>
      <c r="F1078" t="s">
        <v>526</v>
      </c>
      <c r="G1078">
        <f t="shared" si="50"/>
        <v>60.800000000000004</v>
      </c>
      <c r="H1078" t="str">
        <f t="shared" si="48"/>
        <v>Vegetable</v>
      </c>
    </row>
    <row r="1079" spans="1:8">
      <c r="A1079" s="17">
        <v>43202</v>
      </c>
      <c r="B1079" t="s">
        <v>397</v>
      </c>
      <c r="C1079">
        <f t="shared" si="49"/>
        <v>75</v>
      </c>
      <c r="D1079">
        <v>0.3</v>
      </c>
      <c r="E1079" t="s">
        <v>525</v>
      </c>
      <c r="F1079" t="s">
        <v>526</v>
      </c>
      <c r="G1079">
        <f t="shared" si="50"/>
        <v>22.5</v>
      </c>
      <c r="H1079" t="str">
        <f t="shared" si="48"/>
        <v>Sauce</v>
      </c>
    </row>
    <row r="1080" spans="1:8">
      <c r="A1080" s="17">
        <v>43202</v>
      </c>
      <c r="B1080" t="s">
        <v>441</v>
      </c>
      <c r="C1080">
        <f t="shared" si="49"/>
        <v>390</v>
      </c>
      <c r="D1080">
        <v>0.15</v>
      </c>
      <c r="E1080" t="s">
        <v>542</v>
      </c>
      <c r="F1080" t="s">
        <v>554</v>
      </c>
      <c r="G1080">
        <f t="shared" si="50"/>
        <v>58.5</v>
      </c>
      <c r="H1080" t="str">
        <f t="shared" si="48"/>
        <v>Hot Beverage</v>
      </c>
    </row>
    <row r="1081" spans="1:8">
      <c r="A1081" s="17">
        <v>43202</v>
      </c>
      <c r="B1081" t="s">
        <v>465</v>
      </c>
      <c r="C1081">
        <f t="shared" si="49"/>
        <v>272</v>
      </c>
      <c r="D1081">
        <v>0.25</v>
      </c>
      <c r="E1081" t="s">
        <v>525</v>
      </c>
      <c r="F1081" t="s">
        <v>526</v>
      </c>
      <c r="G1081">
        <f t="shared" si="50"/>
        <v>68</v>
      </c>
      <c r="H1081" t="str">
        <f t="shared" si="48"/>
        <v>Dry Grocery</v>
      </c>
    </row>
    <row r="1082" spans="1:8">
      <c r="A1082" s="17">
        <v>43202</v>
      </c>
      <c r="B1082" t="s">
        <v>375</v>
      </c>
      <c r="C1082">
        <f t="shared" si="49"/>
        <v>280</v>
      </c>
      <c r="D1082">
        <v>0.12</v>
      </c>
      <c r="E1082" t="s">
        <v>525</v>
      </c>
      <c r="F1082" t="s">
        <v>526</v>
      </c>
      <c r="G1082">
        <f t="shared" si="50"/>
        <v>33.6</v>
      </c>
      <c r="H1082" t="str">
        <f t="shared" si="48"/>
        <v>Dry Grocery</v>
      </c>
    </row>
    <row r="1083" spans="1:8">
      <c r="A1083" s="17">
        <v>43202</v>
      </c>
      <c r="B1083" t="s">
        <v>426</v>
      </c>
      <c r="C1083">
        <f t="shared" si="49"/>
        <v>57.5</v>
      </c>
      <c r="D1083">
        <v>0.03</v>
      </c>
      <c r="E1083" t="s">
        <v>525</v>
      </c>
      <c r="F1083" t="s">
        <v>526</v>
      </c>
      <c r="G1083">
        <f t="shared" si="50"/>
        <v>1.7249999999999999</v>
      </c>
      <c r="H1083" t="str">
        <f t="shared" si="48"/>
        <v>Dry Grocery</v>
      </c>
    </row>
    <row r="1084" spans="1:8">
      <c r="A1084" s="17">
        <v>43202</v>
      </c>
      <c r="B1084" t="s">
        <v>387</v>
      </c>
      <c r="C1084">
        <f t="shared" si="49"/>
        <v>187.41</v>
      </c>
      <c r="D1084">
        <v>0.02</v>
      </c>
      <c r="E1084" t="s">
        <v>525</v>
      </c>
      <c r="F1084" t="s">
        <v>526</v>
      </c>
      <c r="G1084">
        <f t="shared" si="50"/>
        <v>3.7482000000000002</v>
      </c>
      <c r="H1084" t="str">
        <f t="shared" si="48"/>
        <v>Dry Grocery</v>
      </c>
    </row>
    <row r="1085" spans="1:8">
      <c r="A1085" s="17">
        <v>43202</v>
      </c>
      <c r="B1085" t="s">
        <v>435</v>
      </c>
      <c r="C1085">
        <f t="shared" si="49"/>
        <v>17</v>
      </c>
      <c r="D1085">
        <v>0.4</v>
      </c>
      <c r="E1085" t="s">
        <v>525</v>
      </c>
      <c r="F1085" t="s">
        <v>526</v>
      </c>
      <c r="G1085">
        <f t="shared" si="50"/>
        <v>6.8000000000000007</v>
      </c>
      <c r="H1085" t="str">
        <f t="shared" si="48"/>
        <v>Dry Grocery</v>
      </c>
    </row>
    <row r="1086" spans="1:8">
      <c r="A1086" s="17">
        <v>43202</v>
      </c>
      <c r="B1086" t="s">
        <v>455</v>
      </c>
      <c r="C1086">
        <f t="shared" si="49"/>
        <v>380</v>
      </c>
      <c r="D1086">
        <v>8.5000000000000006E-2</v>
      </c>
      <c r="E1086" t="s">
        <v>525</v>
      </c>
      <c r="F1086" t="s">
        <v>526</v>
      </c>
      <c r="G1086">
        <f t="shared" si="50"/>
        <v>32.300000000000004</v>
      </c>
      <c r="H1086" t="str">
        <f t="shared" si="48"/>
        <v>Dry Grocery</v>
      </c>
    </row>
    <row r="1087" spans="1:8">
      <c r="A1087" s="17">
        <v>43202</v>
      </c>
      <c r="B1087" t="s">
        <v>478</v>
      </c>
      <c r="C1087">
        <f t="shared" si="49"/>
        <v>180</v>
      </c>
      <c r="D1087">
        <v>0.13500000000000001</v>
      </c>
      <c r="E1087" t="s">
        <v>525</v>
      </c>
      <c r="F1087" t="s">
        <v>526</v>
      </c>
      <c r="G1087">
        <f t="shared" si="50"/>
        <v>24.3</v>
      </c>
      <c r="H1087" t="str">
        <f t="shared" si="48"/>
        <v>Dry Grocery</v>
      </c>
    </row>
    <row r="1088" spans="1:8">
      <c r="A1088" s="17">
        <v>43202</v>
      </c>
      <c r="B1088" t="s">
        <v>475</v>
      </c>
      <c r="C1088">
        <f t="shared" si="49"/>
        <v>148</v>
      </c>
      <c r="D1088">
        <v>7.0000000000000007E-2</v>
      </c>
      <c r="E1088" t="s">
        <v>525</v>
      </c>
      <c r="F1088" t="s">
        <v>526</v>
      </c>
      <c r="G1088">
        <f t="shared" si="50"/>
        <v>10.360000000000001</v>
      </c>
      <c r="H1088" t="str">
        <f t="shared" si="48"/>
        <v>Dry Grocery</v>
      </c>
    </row>
    <row r="1089" spans="1:8">
      <c r="A1089" s="17">
        <v>43202</v>
      </c>
      <c r="B1089" t="s">
        <v>398</v>
      </c>
      <c r="C1089">
        <f t="shared" si="49"/>
        <v>51</v>
      </c>
      <c r="D1089">
        <v>1</v>
      </c>
      <c r="E1089" t="s">
        <v>525</v>
      </c>
      <c r="F1089" t="s">
        <v>526</v>
      </c>
      <c r="G1089">
        <f t="shared" si="50"/>
        <v>51</v>
      </c>
      <c r="H1089" t="str">
        <f t="shared" si="48"/>
        <v>Dry Grocery</v>
      </c>
    </row>
    <row r="1090" spans="1:8">
      <c r="A1090" s="17">
        <v>43202</v>
      </c>
      <c r="B1090" t="s">
        <v>518</v>
      </c>
      <c r="C1090">
        <f t="shared" si="49"/>
        <v>24</v>
      </c>
      <c r="D1090">
        <v>0.1744</v>
      </c>
      <c r="E1090" t="s">
        <v>525</v>
      </c>
      <c r="F1090" t="s">
        <v>526</v>
      </c>
      <c r="G1090">
        <f t="shared" si="50"/>
        <v>4.1856</v>
      </c>
      <c r="H1090" t="str">
        <f t="shared" si="48"/>
        <v>Dry Grocery</v>
      </c>
    </row>
    <row r="1091" spans="1:8">
      <c r="A1091" s="17">
        <v>43202</v>
      </c>
      <c r="B1091" t="s">
        <v>372</v>
      </c>
      <c r="C1091">
        <f t="shared" si="49"/>
        <v>33</v>
      </c>
      <c r="D1091">
        <v>0.1411</v>
      </c>
      <c r="E1091" t="s">
        <v>525</v>
      </c>
      <c r="F1091" t="s">
        <v>526</v>
      </c>
      <c r="G1091">
        <f t="shared" si="50"/>
        <v>4.6562999999999999</v>
      </c>
      <c r="H1091" t="str">
        <f t="shared" ref="H1091:H1154" si="51">IF(B1091="","",VLOOKUP(B1091,$XEY$3:$XFA$1200,3,FALSE))</f>
        <v>Sauce</v>
      </c>
    </row>
    <row r="1092" spans="1:8">
      <c r="A1092" s="17">
        <v>43202</v>
      </c>
      <c r="B1092" t="s">
        <v>397</v>
      </c>
      <c r="C1092">
        <f t="shared" si="49"/>
        <v>75</v>
      </c>
      <c r="D1092">
        <v>0.625</v>
      </c>
      <c r="E1092" t="s">
        <v>525</v>
      </c>
      <c r="F1092" t="s">
        <v>526</v>
      </c>
      <c r="G1092">
        <f t="shared" si="50"/>
        <v>46.875</v>
      </c>
      <c r="H1092" t="str">
        <f t="shared" si="51"/>
        <v>Sauce</v>
      </c>
    </row>
    <row r="1093" spans="1:8">
      <c r="A1093" s="17">
        <v>43202</v>
      </c>
      <c r="B1093" t="s">
        <v>379</v>
      </c>
      <c r="C1093">
        <f t="shared" si="49"/>
        <v>120</v>
      </c>
      <c r="D1093">
        <v>0.05</v>
      </c>
      <c r="E1093" t="s">
        <v>525</v>
      </c>
      <c r="F1093" t="s">
        <v>526</v>
      </c>
      <c r="G1093">
        <f t="shared" si="50"/>
        <v>6</v>
      </c>
      <c r="H1093" t="str">
        <f t="shared" si="51"/>
        <v>Dry Grocery</v>
      </c>
    </row>
    <row r="1094" spans="1:8">
      <c r="A1094" s="17">
        <v>43202</v>
      </c>
      <c r="B1094" t="s">
        <v>451</v>
      </c>
      <c r="C1094">
        <f t="shared" si="49"/>
        <v>60</v>
      </c>
      <c r="D1094">
        <v>0.5</v>
      </c>
      <c r="E1094" t="s">
        <v>525</v>
      </c>
      <c r="F1094" t="s">
        <v>526</v>
      </c>
      <c r="G1094">
        <f t="shared" si="50"/>
        <v>30</v>
      </c>
      <c r="H1094" t="str">
        <f t="shared" si="51"/>
        <v>Vegetable</v>
      </c>
    </row>
    <row r="1095" spans="1:8">
      <c r="A1095" s="17">
        <v>43202</v>
      </c>
      <c r="B1095" t="s">
        <v>385</v>
      </c>
      <c r="C1095">
        <f t="shared" si="49"/>
        <v>36</v>
      </c>
      <c r="D1095">
        <v>3</v>
      </c>
      <c r="E1095" t="s">
        <v>543</v>
      </c>
      <c r="F1095" t="s">
        <v>527</v>
      </c>
      <c r="G1095">
        <f t="shared" si="50"/>
        <v>108</v>
      </c>
      <c r="H1095" t="str">
        <f t="shared" si="51"/>
        <v>Dairy</v>
      </c>
    </row>
    <row r="1096" spans="1:8">
      <c r="A1096" s="17">
        <v>43202</v>
      </c>
      <c r="B1096" t="s">
        <v>447</v>
      </c>
      <c r="C1096">
        <f t="shared" si="49"/>
        <v>30</v>
      </c>
      <c r="D1096">
        <f>1.4-0.815</f>
        <v>0.58499999999999996</v>
      </c>
      <c r="E1096" t="s">
        <v>543</v>
      </c>
      <c r="F1096" t="s">
        <v>527</v>
      </c>
      <c r="G1096">
        <f t="shared" si="50"/>
        <v>17.549999999999997</v>
      </c>
      <c r="H1096" t="str">
        <f t="shared" si="51"/>
        <v>Fruits</v>
      </c>
    </row>
    <row r="1097" spans="1:8">
      <c r="A1097" s="17">
        <v>43202</v>
      </c>
      <c r="B1097" t="s">
        <v>445</v>
      </c>
      <c r="C1097">
        <f t="shared" si="49"/>
        <v>20</v>
      </c>
      <c r="D1097">
        <f>2-0.5</f>
        <v>1.5</v>
      </c>
      <c r="E1097" t="s">
        <v>543</v>
      </c>
      <c r="F1097" t="s">
        <v>527</v>
      </c>
      <c r="G1097">
        <f t="shared" si="50"/>
        <v>30</v>
      </c>
      <c r="H1097" t="str">
        <f t="shared" si="51"/>
        <v>Fruits</v>
      </c>
    </row>
    <row r="1098" spans="1:8">
      <c r="A1098" s="17">
        <v>43202</v>
      </c>
      <c r="B1098" t="s">
        <v>449</v>
      </c>
      <c r="C1098">
        <f t="shared" si="49"/>
        <v>20</v>
      </c>
      <c r="D1098">
        <f>4-1.7</f>
        <v>2.2999999999999998</v>
      </c>
      <c r="E1098" t="s">
        <v>543</v>
      </c>
      <c r="F1098" t="s">
        <v>527</v>
      </c>
      <c r="G1098">
        <f t="shared" si="50"/>
        <v>46</v>
      </c>
      <c r="H1098" t="str">
        <f t="shared" si="51"/>
        <v>Fruits</v>
      </c>
    </row>
    <row r="1099" spans="1:8">
      <c r="A1099" s="17">
        <v>43202</v>
      </c>
      <c r="B1099" t="s">
        <v>552</v>
      </c>
      <c r="C1099">
        <f t="shared" si="49"/>
        <v>40</v>
      </c>
      <c r="D1099">
        <f>1.1-0.6</f>
        <v>0.50000000000000011</v>
      </c>
      <c r="E1099" t="s">
        <v>543</v>
      </c>
      <c r="F1099" t="s">
        <v>527</v>
      </c>
      <c r="G1099">
        <f t="shared" si="50"/>
        <v>20.000000000000004</v>
      </c>
      <c r="H1099" t="str">
        <f t="shared" si="51"/>
        <v>Fruits</v>
      </c>
    </row>
    <row r="1100" spans="1:8">
      <c r="A1100" s="17">
        <v>43202</v>
      </c>
      <c r="B1100" t="s">
        <v>551</v>
      </c>
      <c r="C1100">
        <f t="shared" si="49"/>
        <v>120</v>
      </c>
      <c r="D1100">
        <v>0.16</v>
      </c>
      <c r="E1100" t="s">
        <v>543</v>
      </c>
      <c r="F1100" t="s">
        <v>527</v>
      </c>
      <c r="G1100">
        <f t="shared" si="50"/>
        <v>19.2</v>
      </c>
      <c r="H1100" t="str">
        <f t="shared" si="51"/>
        <v>Fruits</v>
      </c>
    </row>
    <row r="1101" spans="1:8">
      <c r="A1101" s="17">
        <v>43202</v>
      </c>
      <c r="B1101" t="s">
        <v>446</v>
      </c>
      <c r="C1101">
        <f t="shared" si="49"/>
        <v>50</v>
      </c>
      <c r="D1101">
        <f>2.37-1.8</f>
        <v>0.57000000000000006</v>
      </c>
      <c r="E1101" t="s">
        <v>543</v>
      </c>
      <c r="F1101" t="s">
        <v>527</v>
      </c>
      <c r="G1101">
        <f t="shared" si="50"/>
        <v>28.500000000000004</v>
      </c>
      <c r="H1101" t="str">
        <f t="shared" si="51"/>
        <v>Fruits</v>
      </c>
    </row>
    <row r="1102" spans="1:8">
      <c r="A1102" s="17">
        <v>43202</v>
      </c>
      <c r="B1102" t="s">
        <v>444</v>
      </c>
      <c r="C1102">
        <f t="shared" si="49"/>
        <v>50</v>
      </c>
      <c r="D1102">
        <f>(0.78+2.49)-1.9</f>
        <v>1.3700000000000006</v>
      </c>
      <c r="E1102" t="s">
        <v>543</v>
      </c>
      <c r="F1102" t="s">
        <v>527</v>
      </c>
      <c r="G1102">
        <f t="shared" si="50"/>
        <v>68.500000000000028</v>
      </c>
      <c r="H1102" t="str">
        <f t="shared" si="51"/>
        <v>Fruits</v>
      </c>
    </row>
    <row r="1103" spans="1:8">
      <c r="A1103" s="17">
        <v>43202</v>
      </c>
      <c r="B1103" t="s">
        <v>432</v>
      </c>
      <c r="C1103">
        <f t="shared" si="49"/>
        <v>14</v>
      </c>
      <c r="D1103">
        <v>1.02</v>
      </c>
      <c r="E1103" t="s">
        <v>528</v>
      </c>
      <c r="F1103" t="s">
        <v>527</v>
      </c>
      <c r="G1103">
        <f t="shared" si="50"/>
        <v>14.280000000000001</v>
      </c>
      <c r="H1103" t="str">
        <f t="shared" si="51"/>
        <v>Vegetable</v>
      </c>
    </row>
    <row r="1104" spans="1:8">
      <c r="A1104" s="17">
        <v>43202</v>
      </c>
      <c r="B1104" t="s">
        <v>476</v>
      </c>
      <c r="C1104">
        <f t="shared" si="49"/>
        <v>14.75</v>
      </c>
      <c r="D1104">
        <v>0.58499999999999996</v>
      </c>
      <c r="E1104" t="s">
        <v>528</v>
      </c>
      <c r="F1104" t="s">
        <v>527</v>
      </c>
      <c r="G1104">
        <f t="shared" si="50"/>
        <v>8.6287500000000001</v>
      </c>
      <c r="H1104" t="str">
        <f t="shared" si="51"/>
        <v>Vegetable</v>
      </c>
    </row>
    <row r="1105" spans="1:8">
      <c r="A1105" s="17">
        <v>43202</v>
      </c>
      <c r="B1105" t="s">
        <v>404</v>
      </c>
      <c r="C1105">
        <f t="shared" si="49"/>
        <v>28</v>
      </c>
      <c r="D1105">
        <v>0.5</v>
      </c>
      <c r="E1105" t="s">
        <v>528</v>
      </c>
      <c r="F1105" t="s">
        <v>527</v>
      </c>
      <c r="G1105">
        <f t="shared" si="50"/>
        <v>14</v>
      </c>
      <c r="H1105" t="str">
        <f t="shared" si="51"/>
        <v>Vegetable</v>
      </c>
    </row>
    <row r="1106" spans="1:8">
      <c r="A1106" s="17">
        <v>43202</v>
      </c>
      <c r="B1106" t="s">
        <v>378</v>
      </c>
      <c r="C1106">
        <f t="shared" si="49"/>
        <v>25</v>
      </c>
      <c r="D1106">
        <v>0.35</v>
      </c>
      <c r="E1106" t="s">
        <v>528</v>
      </c>
      <c r="F1106" t="s">
        <v>527</v>
      </c>
      <c r="G1106">
        <f t="shared" si="50"/>
        <v>8.75</v>
      </c>
      <c r="H1106" t="str">
        <f t="shared" si="51"/>
        <v>Vegetable</v>
      </c>
    </row>
    <row r="1107" spans="1:8">
      <c r="A1107" s="17">
        <v>43202</v>
      </c>
      <c r="B1107" t="s">
        <v>427</v>
      </c>
      <c r="C1107">
        <f t="shared" si="49"/>
        <v>28</v>
      </c>
      <c r="D1107">
        <v>0.15</v>
      </c>
      <c r="E1107" t="s">
        <v>528</v>
      </c>
      <c r="F1107" t="s">
        <v>527</v>
      </c>
      <c r="G1107">
        <f t="shared" si="50"/>
        <v>4.2</v>
      </c>
      <c r="H1107" t="str">
        <f t="shared" si="51"/>
        <v>Vegetable</v>
      </c>
    </row>
    <row r="1108" spans="1:8">
      <c r="A1108" s="17">
        <v>43202</v>
      </c>
      <c r="B1108" t="s">
        <v>430</v>
      </c>
      <c r="C1108">
        <f t="shared" si="49"/>
        <v>30</v>
      </c>
      <c r="D1108">
        <v>0.15</v>
      </c>
      <c r="E1108" t="s">
        <v>528</v>
      </c>
      <c r="F1108" t="s">
        <v>527</v>
      </c>
      <c r="G1108">
        <f t="shared" si="50"/>
        <v>4.5</v>
      </c>
      <c r="H1108" t="str">
        <f t="shared" si="51"/>
        <v>Vegetable</v>
      </c>
    </row>
    <row r="1109" spans="1:8">
      <c r="A1109" s="17">
        <v>43202</v>
      </c>
      <c r="B1109" t="s">
        <v>499</v>
      </c>
      <c r="C1109">
        <f t="shared" si="49"/>
        <v>60</v>
      </c>
      <c r="D1109">
        <v>6.5000000000000002E-2</v>
      </c>
      <c r="E1109" t="s">
        <v>528</v>
      </c>
      <c r="F1109" t="s">
        <v>527</v>
      </c>
      <c r="G1109">
        <f t="shared" si="50"/>
        <v>3.9000000000000004</v>
      </c>
      <c r="H1109" t="str">
        <f t="shared" si="51"/>
        <v>Dry Grocery</v>
      </c>
    </row>
    <row r="1110" spans="1:8">
      <c r="A1110" s="17">
        <v>43202</v>
      </c>
      <c r="B1110" t="s">
        <v>433</v>
      </c>
      <c r="C1110">
        <f t="shared" si="49"/>
        <v>20</v>
      </c>
      <c r="D1110">
        <v>0.2</v>
      </c>
      <c r="E1110" t="s">
        <v>528</v>
      </c>
      <c r="F1110" t="s">
        <v>527</v>
      </c>
      <c r="G1110">
        <f t="shared" si="50"/>
        <v>4</v>
      </c>
      <c r="H1110" t="str">
        <f t="shared" si="51"/>
        <v>Vegetable</v>
      </c>
    </row>
    <row r="1111" spans="1:8">
      <c r="A1111" s="17">
        <v>43202</v>
      </c>
      <c r="B1111" t="s">
        <v>382</v>
      </c>
      <c r="C1111">
        <f t="shared" ref="C1111:C1133" si="52">IF(B1111="","",VLOOKUP(B1111,$XEY$3:$XEZ$1158,2,FALSE))</f>
        <v>42</v>
      </c>
      <c r="D1111">
        <v>0.5</v>
      </c>
      <c r="E1111" t="s">
        <v>528</v>
      </c>
      <c r="F1111" t="s">
        <v>527</v>
      </c>
      <c r="G1111">
        <f t="shared" si="50"/>
        <v>21</v>
      </c>
      <c r="H1111" t="str">
        <f t="shared" si="51"/>
        <v>Dairy</v>
      </c>
    </row>
    <row r="1112" spans="1:8">
      <c r="A1112" s="17">
        <v>43202</v>
      </c>
      <c r="B1112" t="s">
        <v>429</v>
      </c>
      <c r="C1112">
        <f t="shared" si="52"/>
        <v>40</v>
      </c>
      <c r="D1112">
        <v>4.4999999999999998E-2</v>
      </c>
      <c r="E1112" t="s">
        <v>528</v>
      </c>
      <c r="F1112" t="s">
        <v>527</v>
      </c>
      <c r="G1112">
        <f t="shared" si="50"/>
        <v>1.7999999999999998</v>
      </c>
      <c r="H1112" t="str">
        <f t="shared" si="51"/>
        <v>Vegetable</v>
      </c>
    </row>
    <row r="1113" spans="1:8">
      <c r="A1113" s="17">
        <v>43202</v>
      </c>
      <c r="B1113" s="16" t="s">
        <v>391</v>
      </c>
      <c r="C1113">
        <f t="shared" si="52"/>
        <v>27.97</v>
      </c>
      <c r="D1113" s="16">
        <v>0.25</v>
      </c>
      <c r="E1113" t="s">
        <v>528</v>
      </c>
      <c r="F1113" t="s">
        <v>527</v>
      </c>
      <c r="G1113">
        <f t="shared" si="50"/>
        <v>6.9924999999999997</v>
      </c>
      <c r="H1113" t="str">
        <f t="shared" si="51"/>
        <v>Vegetable</v>
      </c>
    </row>
    <row r="1114" spans="1:8">
      <c r="A1114" s="17">
        <v>43202</v>
      </c>
      <c r="B1114" t="s">
        <v>382</v>
      </c>
      <c r="C1114">
        <f t="shared" si="52"/>
        <v>42</v>
      </c>
      <c r="D1114">
        <v>1.5</v>
      </c>
      <c r="E1114" t="s">
        <v>336</v>
      </c>
      <c r="F1114" t="s">
        <v>527</v>
      </c>
      <c r="G1114">
        <f t="shared" si="50"/>
        <v>63</v>
      </c>
      <c r="H1114" t="str">
        <f t="shared" si="51"/>
        <v>Dairy</v>
      </c>
    </row>
    <row r="1115" spans="1:8">
      <c r="A1115" s="17">
        <v>43202</v>
      </c>
      <c r="B1115" t="s">
        <v>385</v>
      </c>
      <c r="C1115">
        <f t="shared" si="52"/>
        <v>36</v>
      </c>
      <c r="D1115">
        <v>1.5</v>
      </c>
      <c r="E1115" t="s">
        <v>336</v>
      </c>
      <c r="F1115" t="s">
        <v>527</v>
      </c>
      <c r="G1115">
        <f t="shared" si="50"/>
        <v>54</v>
      </c>
      <c r="H1115" t="str">
        <f t="shared" si="51"/>
        <v>Dairy</v>
      </c>
    </row>
    <row r="1116" spans="1:8">
      <c r="A1116" s="17">
        <v>43202</v>
      </c>
      <c r="B1116" t="s">
        <v>428</v>
      </c>
      <c r="C1116">
        <f t="shared" si="52"/>
        <v>78.95</v>
      </c>
      <c r="D1116">
        <v>1.5</v>
      </c>
      <c r="E1116" t="s">
        <v>336</v>
      </c>
      <c r="F1116" t="s">
        <v>527</v>
      </c>
      <c r="G1116">
        <f t="shared" si="50"/>
        <v>118.42500000000001</v>
      </c>
      <c r="H1116" t="str">
        <f t="shared" si="51"/>
        <v>Gas</v>
      </c>
    </row>
    <row r="1117" spans="1:8">
      <c r="A1117" s="17">
        <v>43202</v>
      </c>
      <c r="B1117" t="s">
        <v>511</v>
      </c>
      <c r="C1117">
        <f t="shared" si="52"/>
        <v>52</v>
      </c>
      <c r="D1117">
        <v>4</v>
      </c>
      <c r="E1117" t="s">
        <v>336</v>
      </c>
      <c r="F1117" t="s">
        <v>527</v>
      </c>
      <c r="G1117">
        <f t="shared" si="50"/>
        <v>208</v>
      </c>
      <c r="H1117" t="str">
        <f t="shared" si="51"/>
        <v>Dry Grocery</v>
      </c>
    </row>
    <row r="1118" spans="1:8">
      <c r="A1118" s="17">
        <v>43202</v>
      </c>
      <c r="B1118" t="s">
        <v>404</v>
      </c>
      <c r="C1118">
        <f t="shared" si="52"/>
        <v>28</v>
      </c>
      <c r="D1118">
        <v>2</v>
      </c>
      <c r="E1118" t="s">
        <v>336</v>
      </c>
      <c r="F1118" t="s">
        <v>527</v>
      </c>
      <c r="G1118">
        <f t="shared" si="50"/>
        <v>56</v>
      </c>
      <c r="H1118" t="str">
        <f t="shared" si="51"/>
        <v>Vegetable</v>
      </c>
    </row>
    <row r="1119" spans="1:8">
      <c r="A1119" s="17">
        <v>43202</v>
      </c>
      <c r="B1119" t="s">
        <v>436</v>
      </c>
      <c r="C1119">
        <f t="shared" si="52"/>
        <v>37</v>
      </c>
      <c r="D1119">
        <v>3.5000000000000003E-2</v>
      </c>
      <c r="E1119" t="s">
        <v>336</v>
      </c>
      <c r="F1119" t="s">
        <v>527</v>
      </c>
      <c r="G1119">
        <f t="shared" si="50"/>
        <v>1.2950000000000002</v>
      </c>
      <c r="H1119" t="str">
        <f t="shared" si="51"/>
        <v>Dry Grocery</v>
      </c>
    </row>
    <row r="1120" spans="1:8">
      <c r="A1120" s="17">
        <v>43202</v>
      </c>
      <c r="B1120" t="s">
        <v>375</v>
      </c>
      <c r="C1120">
        <f t="shared" si="52"/>
        <v>280</v>
      </c>
      <c r="D1120">
        <v>0.09</v>
      </c>
      <c r="E1120" t="s">
        <v>336</v>
      </c>
      <c r="F1120" t="s">
        <v>527</v>
      </c>
      <c r="G1120">
        <f t="shared" si="50"/>
        <v>25.2</v>
      </c>
      <c r="H1120" t="str">
        <f t="shared" si="51"/>
        <v>Dry Grocery</v>
      </c>
    </row>
    <row r="1121" spans="1:8">
      <c r="A1121" s="17">
        <v>43202</v>
      </c>
      <c r="B1121" t="s">
        <v>507</v>
      </c>
      <c r="C1121">
        <f t="shared" si="52"/>
        <v>340</v>
      </c>
      <c r="D1121">
        <v>0.02</v>
      </c>
      <c r="E1121" t="s">
        <v>336</v>
      </c>
      <c r="F1121" t="s">
        <v>527</v>
      </c>
      <c r="G1121">
        <f t="shared" si="50"/>
        <v>6.8</v>
      </c>
      <c r="H1121" t="str">
        <f t="shared" si="51"/>
        <v>Dry Grocery</v>
      </c>
    </row>
    <row r="1122" spans="1:8">
      <c r="A1122" s="17">
        <v>43202</v>
      </c>
      <c r="B1122" t="s">
        <v>381</v>
      </c>
      <c r="C1122">
        <f t="shared" si="52"/>
        <v>7</v>
      </c>
      <c r="D1122">
        <v>0.43</v>
      </c>
      <c r="E1122" t="s">
        <v>336</v>
      </c>
      <c r="F1122" t="s">
        <v>527</v>
      </c>
      <c r="G1122">
        <f t="shared" si="50"/>
        <v>3.01</v>
      </c>
      <c r="H1122" t="str">
        <f t="shared" si="51"/>
        <v>Dry Grocery</v>
      </c>
    </row>
    <row r="1123" spans="1:8">
      <c r="A1123" s="17">
        <v>43202</v>
      </c>
      <c r="B1123" t="s">
        <v>387</v>
      </c>
      <c r="C1123">
        <f t="shared" si="52"/>
        <v>187.41</v>
      </c>
      <c r="D1123">
        <v>2.5000000000000001E-2</v>
      </c>
      <c r="E1123" t="s">
        <v>336</v>
      </c>
      <c r="F1123" t="s">
        <v>527</v>
      </c>
      <c r="G1123">
        <f t="shared" ref="G1123:G1186" si="53">IF(C1123="","",C1123*D1123)</f>
        <v>4.6852499999999999</v>
      </c>
      <c r="H1123" t="str">
        <f t="shared" si="51"/>
        <v>Dry Grocery</v>
      </c>
    </row>
    <row r="1124" spans="1:8">
      <c r="A1124" s="17">
        <v>43202</v>
      </c>
      <c r="B1124" t="s">
        <v>426</v>
      </c>
      <c r="C1124">
        <f t="shared" si="52"/>
        <v>57.5</v>
      </c>
      <c r="D1124">
        <v>0.03</v>
      </c>
      <c r="E1124" t="s">
        <v>336</v>
      </c>
      <c r="F1124" t="s">
        <v>527</v>
      </c>
      <c r="G1124">
        <f t="shared" si="53"/>
        <v>1.7249999999999999</v>
      </c>
      <c r="H1124" t="str">
        <f t="shared" si="51"/>
        <v>Dry Grocery</v>
      </c>
    </row>
    <row r="1125" spans="1:8">
      <c r="A1125" s="17">
        <v>43202</v>
      </c>
      <c r="B1125" t="s">
        <v>485</v>
      </c>
      <c r="C1125">
        <f t="shared" si="52"/>
        <v>96</v>
      </c>
      <c r="D1125">
        <v>0.13500000000000001</v>
      </c>
      <c r="E1125" t="s">
        <v>336</v>
      </c>
      <c r="F1125" t="s">
        <v>527</v>
      </c>
      <c r="G1125">
        <f t="shared" si="53"/>
        <v>12.96</v>
      </c>
      <c r="H1125" t="str">
        <f t="shared" si="51"/>
        <v>Oil</v>
      </c>
    </row>
    <row r="1126" spans="1:8">
      <c r="A1126" s="17">
        <v>43202</v>
      </c>
      <c r="B1126" t="s">
        <v>386</v>
      </c>
      <c r="C1126">
        <f t="shared" si="52"/>
        <v>82</v>
      </c>
      <c r="D1126">
        <v>1</v>
      </c>
      <c r="E1126" t="s">
        <v>336</v>
      </c>
      <c r="F1126" t="s">
        <v>527</v>
      </c>
      <c r="G1126">
        <f t="shared" si="53"/>
        <v>82</v>
      </c>
      <c r="H1126" t="str">
        <f t="shared" si="51"/>
        <v>Oil</v>
      </c>
    </row>
    <row r="1127" spans="1:8">
      <c r="A1127" s="17">
        <v>43202</v>
      </c>
      <c r="B1127" t="s">
        <v>383</v>
      </c>
      <c r="C1127">
        <f t="shared" si="52"/>
        <v>230</v>
      </c>
      <c r="D1127">
        <v>2.5000000000000001E-2</v>
      </c>
      <c r="E1127" t="s">
        <v>336</v>
      </c>
      <c r="F1127" t="s">
        <v>527</v>
      </c>
      <c r="G1127">
        <f t="shared" si="53"/>
        <v>5.75</v>
      </c>
      <c r="H1127" t="str">
        <f t="shared" si="51"/>
        <v>Dry Grocery</v>
      </c>
    </row>
    <row r="1128" spans="1:8">
      <c r="A1128" s="17">
        <v>43202</v>
      </c>
      <c r="B1128" t="s">
        <v>431</v>
      </c>
      <c r="C1128">
        <f t="shared" si="52"/>
        <v>70</v>
      </c>
      <c r="D1128">
        <v>5.5E-2</v>
      </c>
      <c r="E1128" t="s">
        <v>336</v>
      </c>
      <c r="F1128" t="s">
        <v>527</v>
      </c>
      <c r="G1128">
        <f t="shared" si="53"/>
        <v>3.85</v>
      </c>
      <c r="H1128" t="str">
        <f t="shared" si="51"/>
        <v>Dry Grocery</v>
      </c>
    </row>
    <row r="1129" spans="1:8">
      <c r="A1129" s="17">
        <v>43202</v>
      </c>
      <c r="B1129" t="s">
        <v>432</v>
      </c>
      <c r="C1129">
        <f t="shared" si="52"/>
        <v>14</v>
      </c>
      <c r="D1129">
        <v>2</v>
      </c>
      <c r="E1129" t="s">
        <v>336</v>
      </c>
      <c r="F1129" t="s">
        <v>527</v>
      </c>
      <c r="G1129">
        <f t="shared" si="53"/>
        <v>28</v>
      </c>
      <c r="H1129" t="str">
        <f t="shared" si="51"/>
        <v>Vegetable</v>
      </c>
    </row>
    <row r="1130" spans="1:8">
      <c r="A1130" s="17">
        <v>43202</v>
      </c>
      <c r="B1130" t="s">
        <v>427</v>
      </c>
      <c r="C1130">
        <f t="shared" si="52"/>
        <v>28</v>
      </c>
      <c r="D1130">
        <v>0.25</v>
      </c>
      <c r="E1130" t="s">
        <v>336</v>
      </c>
      <c r="F1130" t="s">
        <v>527</v>
      </c>
      <c r="G1130">
        <f t="shared" si="53"/>
        <v>7</v>
      </c>
      <c r="H1130" t="str">
        <f t="shared" si="51"/>
        <v>Vegetable</v>
      </c>
    </row>
    <row r="1131" spans="1:8">
      <c r="A1131" s="17">
        <v>43202</v>
      </c>
      <c r="B1131" t="s">
        <v>367</v>
      </c>
      <c r="C1131">
        <f t="shared" si="52"/>
        <v>55</v>
      </c>
      <c r="D1131">
        <v>0.13500000000000001</v>
      </c>
      <c r="E1131" t="s">
        <v>336</v>
      </c>
      <c r="F1131" t="s">
        <v>527</v>
      </c>
      <c r="G1131">
        <f t="shared" si="53"/>
        <v>7.4250000000000007</v>
      </c>
      <c r="H1131" t="str">
        <f t="shared" si="51"/>
        <v>Dry Grocery</v>
      </c>
    </row>
    <row r="1132" spans="1:8">
      <c r="A1132" s="17">
        <v>43202</v>
      </c>
      <c r="B1132" t="s">
        <v>437</v>
      </c>
      <c r="C1132">
        <f t="shared" si="52"/>
        <v>34</v>
      </c>
      <c r="D1132">
        <v>0.75</v>
      </c>
      <c r="E1132" t="s">
        <v>336</v>
      </c>
      <c r="F1132" t="s">
        <v>527</v>
      </c>
      <c r="G1132">
        <f t="shared" si="53"/>
        <v>25.5</v>
      </c>
      <c r="H1132" t="str">
        <f t="shared" si="51"/>
        <v>Dry Grocery</v>
      </c>
    </row>
    <row r="1133" spans="1:8">
      <c r="A1133" s="17">
        <v>43202</v>
      </c>
      <c r="B1133" t="s">
        <v>392</v>
      </c>
      <c r="C1133">
        <f t="shared" si="52"/>
        <v>840</v>
      </c>
      <c r="D1133">
        <v>1.4999999999999999E-2</v>
      </c>
      <c r="E1133" t="s">
        <v>336</v>
      </c>
      <c r="F1133" t="s">
        <v>527</v>
      </c>
      <c r="G1133">
        <f t="shared" si="53"/>
        <v>12.6</v>
      </c>
      <c r="H1133" t="str">
        <f t="shared" si="51"/>
        <v>Dry Grocery</v>
      </c>
    </row>
    <row r="1134" spans="1:8">
      <c r="A1134" s="17">
        <v>43202</v>
      </c>
      <c r="B1134" t="s">
        <v>506</v>
      </c>
      <c r="C1134">
        <f t="shared" ref="C1134:C1151" si="54">IF(B1135="","",VLOOKUP(B1135,$XEY$3:$XEZ$1158,2,FALSE))</f>
        <v>34</v>
      </c>
      <c r="D1134">
        <v>1.4999999999999999E-2</v>
      </c>
      <c r="E1134" t="s">
        <v>336</v>
      </c>
      <c r="F1134" t="s">
        <v>527</v>
      </c>
      <c r="G1134">
        <f t="shared" si="53"/>
        <v>0.51</v>
      </c>
      <c r="H1134" t="str">
        <f t="shared" si="51"/>
        <v>Dry Grocery</v>
      </c>
    </row>
    <row r="1135" spans="1:8">
      <c r="A1135" s="17">
        <v>43202</v>
      </c>
      <c r="B1135" t="s">
        <v>403</v>
      </c>
      <c r="C1135">
        <f t="shared" si="54"/>
        <v>62.03</v>
      </c>
      <c r="D1135">
        <v>0.4</v>
      </c>
      <c r="E1135" t="s">
        <v>336</v>
      </c>
      <c r="F1135" t="s">
        <v>527</v>
      </c>
      <c r="G1135">
        <f t="shared" si="53"/>
        <v>24.812000000000001</v>
      </c>
      <c r="H1135" t="str">
        <f t="shared" si="51"/>
        <v>Dry Grocery</v>
      </c>
    </row>
    <row r="1136" spans="1:8">
      <c r="A1136" s="17">
        <v>43202</v>
      </c>
      <c r="B1136" t="s">
        <v>510</v>
      </c>
      <c r="C1136">
        <f t="shared" si="54"/>
        <v>160</v>
      </c>
      <c r="D1136">
        <v>6.5000000000000002E-2</v>
      </c>
      <c r="E1136" t="s">
        <v>336</v>
      </c>
      <c r="F1136" t="s">
        <v>527</v>
      </c>
      <c r="G1136">
        <f t="shared" si="53"/>
        <v>10.4</v>
      </c>
      <c r="H1136" t="str">
        <f t="shared" si="51"/>
        <v>Dry Grocery</v>
      </c>
    </row>
    <row r="1137" spans="1:8">
      <c r="A1137" s="17">
        <v>43202</v>
      </c>
      <c r="B1137" t="s">
        <v>471</v>
      </c>
      <c r="C1137">
        <f t="shared" si="54"/>
        <v>64.069999999999993</v>
      </c>
      <c r="D1137">
        <v>0.14000000000000001</v>
      </c>
      <c r="E1137" t="s">
        <v>336</v>
      </c>
      <c r="F1137" t="s">
        <v>527</v>
      </c>
      <c r="G1137">
        <f t="shared" si="53"/>
        <v>8.9697999999999993</v>
      </c>
      <c r="H1137" t="str">
        <f t="shared" si="51"/>
        <v>Dry Grocery</v>
      </c>
    </row>
    <row r="1138" spans="1:8">
      <c r="A1138" s="17">
        <v>43202</v>
      </c>
      <c r="B1138" t="s">
        <v>409</v>
      </c>
      <c r="C1138">
        <f t="shared" si="54"/>
        <v>170</v>
      </c>
      <c r="D1138">
        <f>0.35+0.15</f>
        <v>0.5</v>
      </c>
      <c r="E1138" t="s">
        <v>336</v>
      </c>
      <c r="F1138" t="s">
        <v>527</v>
      </c>
      <c r="G1138">
        <f t="shared" si="53"/>
        <v>85</v>
      </c>
      <c r="H1138" t="str">
        <f t="shared" si="51"/>
        <v>Dry Grocery</v>
      </c>
    </row>
    <row r="1139" spans="1:8">
      <c r="A1139" s="17">
        <v>43202</v>
      </c>
      <c r="B1139" t="s">
        <v>512</v>
      </c>
      <c r="C1139">
        <f t="shared" si="54"/>
        <v>14.75</v>
      </c>
      <c r="D1139">
        <v>0.15</v>
      </c>
      <c r="E1139" t="s">
        <v>336</v>
      </c>
      <c r="F1139" t="s">
        <v>527</v>
      </c>
      <c r="G1139">
        <f t="shared" si="53"/>
        <v>2.2124999999999999</v>
      </c>
      <c r="H1139" t="str">
        <f t="shared" si="51"/>
        <v>Dry Grocery</v>
      </c>
    </row>
    <row r="1140" spans="1:8">
      <c r="A1140" s="17">
        <v>43202</v>
      </c>
      <c r="B1140" t="s">
        <v>476</v>
      </c>
      <c r="C1140">
        <f t="shared" si="54"/>
        <v>312.14</v>
      </c>
      <c r="D1140">
        <v>0.9</v>
      </c>
      <c r="E1140" t="s">
        <v>336</v>
      </c>
      <c r="F1140" t="s">
        <v>527</v>
      </c>
      <c r="G1140">
        <f t="shared" si="53"/>
        <v>280.92599999999999</v>
      </c>
      <c r="H1140" t="str">
        <f t="shared" si="51"/>
        <v>Vegetable</v>
      </c>
    </row>
    <row r="1141" spans="1:8">
      <c r="A1141" s="17">
        <v>43202</v>
      </c>
      <c r="B1141" t="s">
        <v>479</v>
      </c>
      <c r="C1141">
        <f t="shared" si="54"/>
        <v>25</v>
      </c>
      <c r="D1141">
        <v>0.04</v>
      </c>
      <c r="E1141" t="s">
        <v>336</v>
      </c>
      <c r="F1141" t="s">
        <v>527</v>
      </c>
      <c r="G1141">
        <f t="shared" si="53"/>
        <v>1</v>
      </c>
      <c r="H1141" t="str">
        <f t="shared" si="51"/>
        <v>Vegetable</v>
      </c>
    </row>
    <row r="1142" spans="1:8">
      <c r="A1142" s="17">
        <v>43202</v>
      </c>
      <c r="B1142" t="s">
        <v>378</v>
      </c>
      <c r="C1142">
        <f t="shared" si="54"/>
        <v>125</v>
      </c>
      <c r="D1142">
        <v>0.15</v>
      </c>
      <c r="E1142" t="s">
        <v>336</v>
      </c>
      <c r="F1142" t="s">
        <v>527</v>
      </c>
      <c r="G1142">
        <f t="shared" si="53"/>
        <v>18.75</v>
      </c>
      <c r="H1142" t="str">
        <f t="shared" si="51"/>
        <v>Vegetable</v>
      </c>
    </row>
    <row r="1143" spans="1:8">
      <c r="A1143" s="17">
        <v>43202</v>
      </c>
      <c r="B1143" t="s">
        <v>434</v>
      </c>
      <c r="C1143">
        <f t="shared" si="54"/>
        <v>40</v>
      </c>
      <c r="D1143">
        <v>0.06</v>
      </c>
      <c r="E1143" t="s">
        <v>336</v>
      </c>
      <c r="F1143" t="s">
        <v>527</v>
      </c>
      <c r="G1143">
        <f t="shared" si="53"/>
        <v>2.4</v>
      </c>
      <c r="H1143" t="str">
        <f t="shared" si="51"/>
        <v>Vegetable</v>
      </c>
    </row>
    <row r="1144" spans="1:8">
      <c r="A1144" s="17">
        <v>43202</v>
      </c>
      <c r="B1144" t="s">
        <v>429</v>
      </c>
      <c r="C1144">
        <f t="shared" si="54"/>
        <v>43.06</v>
      </c>
      <c r="D1144">
        <v>0.1</v>
      </c>
      <c r="E1144" t="s">
        <v>336</v>
      </c>
      <c r="F1144" t="s">
        <v>527</v>
      </c>
      <c r="G1144">
        <f t="shared" si="53"/>
        <v>4.306</v>
      </c>
      <c r="H1144" t="str">
        <f t="shared" si="51"/>
        <v>Vegetable</v>
      </c>
    </row>
    <row r="1145" spans="1:8">
      <c r="A1145" s="17">
        <v>43202</v>
      </c>
      <c r="B1145" t="s">
        <v>454</v>
      </c>
      <c r="C1145">
        <f t="shared" si="54"/>
        <v>60</v>
      </c>
      <c r="D1145">
        <v>0.7</v>
      </c>
      <c r="E1145" t="s">
        <v>336</v>
      </c>
      <c r="F1145" t="s">
        <v>527</v>
      </c>
      <c r="G1145">
        <f t="shared" si="53"/>
        <v>42</v>
      </c>
      <c r="H1145" t="str">
        <f t="shared" si="51"/>
        <v>Vegetable</v>
      </c>
    </row>
    <row r="1146" spans="1:8">
      <c r="A1146" s="17">
        <v>43202</v>
      </c>
      <c r="B1146" t="s">
        <v>499</v>
      </c>
      <c r="C1146">
        <f t="shared" si="54"/>
        <v>1450</v>
      </c>
      <c r="D1146">
        <v>0.1</v>
      </c>
      <c r="E1146" t="s">
        <v>336</v>
      </c>
      <c r="F1146" t="s">
        <v>527</v>
      </c>
      <c r="G1146">
        <f t="shared" si="53"/>
        <v>145</v>
      </c>
      <c r="H1146" t="str">
        <f t="shared" si="51"/>
        <v>Dry Grocery</v>
      </c>
    </row>
    <row r="1147" spans="1:8">
      <c r="A1147" s="17">
        <v>43202</v>
      </c>
      <c r="B1147" t="s">
        <v>461</v>
      </c>
      <c r="C1147">
        <f t="shared" si="54"/>
        <v>61.08</v>
      </c>
      <c r="D1147">
        <v>0.01</v>
      </c>
      <c r="E1147" t="s">
        <v>336</v>
      </c>
      <c r="F1147" t="s">
        <v>527</v>
      </c>
      <c r="G1147">
        <f t="shared" si="53"/>
        <v>0.61080000000000001</v>
      </c>
      <c r="H1147" t="str">
        <f t="shared" si="51"/>
        <v>Spice</v>
      </c>
    </row>
    <row r="1148" spans="1:8">
      <c r="A1148" s="17">
        <v>43202</v>
      </c>
      <c r="B1148" t="s">
        <v>514</v>
      </c>
      <c r="C1148">
        <f t="shared" si="54"/>
        <v>30</v>
      </c>
      <c r="D1148">
        <v>0.2</v>
      </c>
      <c r="E1148" t="s">
        <v>336</v>
      </c>
      <c r="F1148" t="s">
        <v>527</v>
      </c>
      <c r="G1148">
        <f t="shared" si="53"/>
        <v>6</v>
      </c>
      <c r="H1148" t="str">
        <f t="shared" si="51"/>
        <v>Dry Grocery</v>
      </c>
    </row>
    <row r="1149" spans="1:8">
      <c r="A1149" s="17">
        <v>43202</v>
      </c>
      <c r="B1149" t="s">
        <v>430</v>
      </c>
      <c r="C1149">
        <f t="shared" si="54"/>
        <v>138</v>
      </c>
      <c r="D1149">
        <v>0.12</v>
      </c>
      <c r="E1149" t="s">
        <v>336</v>
      </c>
      <c r="F1149" t="s">
        <v>527</v>
      </c>
      <c r="G1149">
        <f t="shared" si="53"/>
        <v>16.559999999999999</v>
      </c>
      <c r="H1149" t="str">
        <f t="shared" si="51"/>
        <v>Vegetable</v>
      </c>
    </row>
    <row r="1150" spans="1:8">
      <c r="A1150" s="17">
        <v>43202</v>
      </c>
      <c r="B1150" t="s">
        <v>462</v>
      </c>
      <c r="C1150">
        <f t="shared" si="54"/>
        <v>280</v>
      </c>
      <c r="D1150">
        <v>0.03</v>
      </c>
      <c r="E1150" t="s">
        <v>336</v>
      </c>
      <c r="F1150" t="s">
        <v>527</v>
      </c>
      <c r="G1150">
        <f t="shared" si="53"/>
        <v>8.4</v>
      </c>
      <c r="H1150" t="str">
        <f t="shared" si="51"/>
        <v>Dry Grocery</v>
      </c>
    </row>
    <row r="1151" spans="1:8">
      <c r="A1151" s="17">
        <v>43202</v>
      </c>
      <c r="B1151" t="s">
        <v>389</v>
      </c>
      <c r="C1151">
        <f t="shared" si="54"/>
        <v>108</v>
      </c>
      <c r="D1151">
        <v>0.02</v>
      </c>
      <c r="E1151" t="s">
        <v>336</v>
      </c>
      <c r="F1151" t="s">
        <v>527</v>
      </c>
      <c r="G1151">
        <f t="shared" si="53"/>
        <v>2.16</v>
      </c>
      <c r="H1151" t="str">
        <f t="shared" si="51"/>
        <v>Dry Grocery</v>
      </c>
    </row>
    <row r="1152" spans="1:8">
      <c r="A1152" s="17">
        <v>43202</v>
      </c>
      <c r="B1152" t="s">
        <v>486</v>
      </c>
      <c r="C1152">
        <f t="shared" ref="C1152:C1215" si="55">IF(B1152="","",VLOOKUP(B1152,$XEY$3:$XEZ$1158,2,FALSE))</f>
        <v>108</v>
      </c>
      <c r="D1152">
        <v>0.15</v>
      </c>
      <c r="E1152" t="s">
        <v>336</v>
      </c>
      <c r="F1152" t="s">
        <v>527</v>
      </c>
      <c r="G1152">
        <f t="shared" si="53"/>
        <v>16.2</v>
      </c>
      <c r="H1152" t="str">
        <f t="shared" si="51"/>
        <v>Dry Grocery</v>
      </c>
    </row>
    <row r="1153" spans="1:10">
      <c r="A1153" s="17">
        <v>43202</v>
      </c>
      <c r="B1153" t="s">
        <v>391</v>
      </c>
      <c r="C1153">
        <f t="shared" si="55"/>
        <v>27.97</v>
      </c>
      <c r="D1153">
        <v>0.25</v>
      </c>
      <c r="E1153" t="s">
        <v>336</v>
      </c>
      <c r="F1153" t="s">
        <v>527</v>
      </c>
      <c r="G1153">
        <f t="shared" si="53"/>
        <v>6.9924999999999997</v>
      </c>
      <c r="H1153" t="str">
        <f t="shared" si="51"/>
        <v>Vegetable</v>
      </c>
    </row>
    <row r="1154" spans="1:10">
      <c r="A1154" s="17">
        <v>43202</v>
      </c>
      <c r="B1154" t="s">
        <v>519</v>
      </c>
      <c r="C1154">
        <f t="shared" si="55"/>
        <v>35</v>
      </c>
      <c r="D1154">
        <v>0.6</v>
      </c>
      <c r="E1154" t="s">
        <v>336</v>
      </c>
      <c r="F1154" t="s">
        <v>527</v>
      </c>
      <c r="G1154">
        <f t="shared" si="53"/>
        <v>21</v>
      </c>
      <c r="H1154" t="str">
        <f t="shared" si="51"/>
        <v>Vegetable</v>
      </c>
    </row>
    <row r="1155" spans="1:10">
      <c r="A1155" s="17">
        <v>43202</v>
      </c>
      <c r="B1155" t="s">
        <v>466</v>
      </c>
      <c r="C1155">
        <f t="shared" si="55"/>
        <v>125</v>
      </c>
      <c r="D1155">
        <v>0.02</v>
      </c>
      <c r="E1155" t="s">
        <v>336</v>
      </c>
      <c r="F1155" t="s">
        <v>527</v>
      </c>
      <c r="G1155">
        <f t="shared" si="53"/>
        <v>2.5</v>
      </c>
      <c r="H1155" t="str">
        <f t="shared" ref="H1155:H1218" si="56">IF(B1155="","",VLOOKUP(B1155,$XEY$3:$XFA$1200,3,FALSE))</f>
        <v>Dry Grocery</v>
      </c>
    </row>
    <row r="1156" spans="1:10">
      <c r="A1156" s="17">
        <v>43202</v>
      </c>
      <c r="B1156" t="s">
        <v>410</v>
      </c>
      <c r="C1156">
        <f t="shared" si="55"/>
        <v>76</v>
      </c>
      <c r="D1156">
        <v>0.02</v>
      </c>
      <c r="E1156" t="s">
        <v>336</v>
      </c>
      <c r="F1156" t="s">
        <v>527</v>
      </c>
      <c r="G1156">
        <f t="shared" si="53"/>
        <v>1.52</v>
      </c>
      <c r="H1156" t="str">
        <f t="shared" si="56"/>
        <v>Dry Grocery</v>
      </c>
    </row>
    <row r="1157" spans="1:10">
      <c r="A1157" s="17">
        <v>43202</v>
      </c>
      <c r="B1157" t="s">
        <v>420</v>
      </c>
      <c r="C1157">
        <f t="shared" si="55"/>
        <v>3</v>
      </c>
      <c r="D1157">
        <v>1</v>
      </c>
      <c r="E1157" t="s">
        <v>336</v>
      </c>
      <c r="F1157" t="s">
        <v>527</v>
      </c>
      <c r="G1157">
        <f t="shared" si="53"/>
        <v>3</v>
      </c>
      <c r="H1157" t="str">
        <f t="shared" si="56"/>
        <v>Vegetable</v>
      </c>
    </row>
    <row r="1158" spans="1:10">
      <c r="A1158" s="17">
        <v>43203</v>
      </c>
      <c r="B1158" t="s">
        <v>382</v>
      </c>
      <c r="C1158">
        <f t="shared" si="55"/>
        <v>42</v>
      </c>
      <c r="E1158" t="s">
        <v>531</v>
      </c>
      <c r="F1158" t="s">
        <v>530</v>
      </c>
      <c r="G1158">
        <f t="shared" si="53"/>
        <v>0</v>
      </c>
      <c r="H1158" t="str">
        <f t="shared" si="56"/>
        <v>Dairy</v>
      </c>
      <c r="I1158">
        <v>1.5</v>
      </c>
    </row>
    <row r="1159" spans="1:10">
      <c r="A1159" s="17">
        <v>43203</v>
      </c>
      <c r="B1159" t="s">
        <v>451</v>
      </c>
      <c r="C1159">
        <f t="shared" si="55"/>
        <v>60</v>
      </c>
      <c r="E1159" t="s">
        <v>525</v>
      </c>
      <c r="F1159" t="s">
        <v>526</v>
      </c>
      <c r="G1159">
        <f t="shared" si="53"/>
        <v>0</v>
      </c>
      <c r="H1159" t="str">
        <f t="shared" si="56"/>
        <v>Vegetable</v>
      </c>
      <c r="I1159">
        <v>1.5</v>
      </c>
    </row>
    <row r="1160" spans="1:10">
      <c r="A1160" s="17">
        <v>43203</v>
      </c>
      <c r="B1160" t="s">
        <v>473</v>
      </c>
      <c r="C1160">
        <f t="shared" si="55"/>
        <v>175</v>
      </c>
      <c r="E1160" t="s">
        <v>525</v>
      </c>
      <c r="F1160" t="s">
        <v>526</v>
      </c>
      <c r="G1160">
        <f t="shared" si="53"/>
        <v>0</v>
      </c>
      <c r="H1160" t="str">
        <f t="shared" si="56"/>
        <v>Dairy</v>
      </c>
      <c r="I1160">
        <v>1</v>
      </c>
    </row>
    <row r="1161" spans="1:10">
      <c r="A1161" s="17">
        <v>43203</v>
      </c>
      <c r="B1161" t="s">
        <v>468</v>
      </c>
      <c r="C1161">
        <f t="shared" si="55"/>
        <v>32</v>
      </c>
      <c r="E1161" t="s">
        <v>525</v>
      </c>
      <c r="F1161" t="s">
        <v>526</v>
      </c>
      <c r="G1161">
        <f t="shared" si="53"/>
        <v>0</v>
      </c>
      <c r="H1161" t="str">
        <f t="shared" si="56"/>
        <v>Vegetable</v>
      </c>
      <c r="I1161">
        <v>8</v>
      </c>
    </row>
    <row r="1162" spans="1:10">
      <c r="A1162" s="17">
        <v>43203</v>
      </c>
      <c r="B1162" t="s">
        <v>454</v>
      </c>
      <c r="C1162">
        <f t="shared" si="55"/>
        <v>43.06</v>
      </c>
      <c r="E1162" t="s">
        <v>531</v>
      </c>
      <c r="F1162" t="s">
        <v>530</v>
      </c>
      <c r="G1162">
        <f t="shared" si="53"/>
        <v>0</v>
      </c>
      <c r="H1162" t="str">
        <f t="shared" si="56"/>
        <v>Vegetable</v>
      </c>
      <c r="J1162">
        <v>2</v>
      </c>
    </row>
    <row r="1163" spans="1:10">
      <c r="A1163" s="17">
        <v>43203</v>
      </c>
      <c r="B1163" t="s">
        <v>391</v>
      </c>
      <c r="C1163">
        <f t="shared" si="55"/>
        <v>27.97</v>
      </c>
      <c r="E1163" t="s">
        <v>531</v>
      </c>
      <c r="F1163" t="s">
        <v>530</v>
      </c>
      <c r="G1163">
        <f t="shared" si="53"/>
        <v>0</v>
      </c>
      <c r="H1163" t="str">
        <f t="shared" si="56"/>
        <v>Vegetable</v>
      </c>
      <c r="J1163">
        <v>2</v>
      </c>
    </row>
    <row r="1164" spans="1:10">
      <c r="A1164" s="17">
        <v>43203</v>
      </c>
      <c r="B1164" t="s">
        <v>430</v>
      </c>
      <c r="C1164">
        <f t="shared" si="55"/>
        <v>30</v>
      </c>
      <c r="E1164" t="s">
        <v>531</v>
      </c>
      <c r="F1164" t="s">
        <v>530</v>
      </c>
      <c r="G1164">
        <f t="shared" si="53"/>
        <v>0</v>
      </c>
      <c r="H1164" t="str">
        <f t="shared" si="56"/>
        <v>Vegetable</v>
      </c>
      <c r="J1164">
        <v>2</v>
      </c>
    </row>
    <row r="1165" spans="1:10">
      <c r="A1165" s="17">
        <v>43203</v>
      </c>
      <c r="B1165" t="s">
        <v>427</v>
      </c>
      <c r="C1165">
        <f t="shared" si="55"/>
        <v>28</v>
      </c>
      <c r="E1165" t="s">
        <v>531</v>
      </c>
      <c r="F1165" t="s">
        <v>530</v>
      </c>
      <c r="G1165">
        <f t="shared" si="53"/>
        <v>0</v>
      </c>
      <c r="H1165" t="str">
        <f t="shared" si="56"/>
        <v>Vegetable</v>
      </c>
      <c r="J1165">
        <v>2</v>
      </c>
    </row>
    <row r="1166" spans="1:10">
      <c r="A1166" s="17">
        <v>43203</v>
      </c>
      <c r="B1166" t="s">
        <v>476</v>
      </c>
      <c r="C1166">
        <f t="shared" si="55"/>
        <v>14.75</v>
      </c>
      <c r="E1166" t="s">
        <v>531</v>
      </c>
      <c r="F1166" t="s">
        <v>530</v>
      </c>
      <c r="G1166">
        <f t="shared" si="53"/>
        <v>0</v>
      </c>
      <c r="H1166" t="str">
        <f t="shared" si="56"/>
        <v>Vegetable</v>
      </c>
      <c r="J1166">
        <v>1</v>
      </c>
    </row>
    <row r="1167" spans="1:10">
      <c r="A1167" s="17">
        <v>43203</v>
      </c>
      <c r="B1167" t="s">
        <v>491</v>
      </c>
      <c r="C1167">
        <f t="shared" si="55"/>
        <v>38</v>
      </c>
      <c r="E1167" t="s">
        <v>525</v>
      </c>
      <c r="F1167" t="s">
        <v>526</v>
      </c>
      <c r="G1167">
        <f t="shared" si="53"/>
        <v>0</v>
      </c>
      <c r="H1167" t="str">
        <f t="shared" si="56"/>
        <v>Vegetable</v>
      </c>
      <c r="J1167">
        <v>1.6</v>
      </c>
    </row>
    <row r="1168" spans="1:10">
      <c r="A1168" s="17">
        <v>43203</v>
      </c>
      <c r="B1168" t="s">
        <v>378</v>
      </c>
      <c r="C1168">
        <f t="shared" si="55"/>
        <v>25</v>
      </c>
      <c r="E1168" t="s">
        <v>531</v>
      </c>
      <c r="F1168" t="s">
        <v>530</v>
      </c>
      <c r="G1168">
        <f t="shared" si="53"/>
        <v>0</v>
      </c>
      <c r="H1168" t="str">
        <f t="shared" si="56"/>
        <v>Vegetable</v>
      </c>
      <c r="J1168">
        <v>1.2</v>
      </c>
    </row>
    <row r="1169" spans="1:10">
      <c r="A1169" s="17">
        <v>43203</v>
      </c>
      <c r="B1169" t="s">
        <v>479</v>
      </c>
      <c r="C1169">
        <f t="shared" si="55"/>
        <v>312.14</v>
      </c>
      <c r="E1169" t="s">
        <v>531</v>
      </c>
      <c r="F1169" t="s">
        <v>530</v>
      </c>
      <c r="G1169">
        <f t="shared" si="53"/>
        <v>0</v>
      </c>
      <c r="H1169" t="str">
        <f t="shared" si="56"/>
        <v>Vegetable</v>
      </c>
      <c r="J1169">
        <v>0.05</v>
      </c>
    </row>
    <row r="1170" spans="1:10">
      <c r="A1170" s="17">
        <v>43203</v>
      </c>
      <c r="B1170" t="s">
        <v>434</v>
      </c>
      <c r="C1170">
        <f t="shared" si="55"/>
        <v>125</v>
      </c>
      <c r="E1170" t="s">
        <v>531</v>
      </c>
      <c r="F1170" t="s">
        <v>530</v>
      </c>
      <c r="G1170">
        <f t="shared" si="53"/>
        <v>0</v>
      </c>
      <c r="H1170" t="str">
        <f t="shared" si="56"/>
        <v>Vegetable</v>
      </c>
      <c r="J1170">
        <v>0.35</v>
      </c>
    </row>
    <row r="1171" spans="1:10">
      <c r="A1171" s="17">
        <v>43203</v>
      </c>
      <c r="B1171" t="s">
        <v>473</v>
      </c>
      <c r="C1171">
        <f t="shared" si="55"/>
        <v>175</v>
      </c>
      <c r="E1171" t="s">
        <v>525</v>
      </c>
      <c r="F1171" t="s">
        <v>526</v>
      </c>
      <c r="G1171">
        <f t="shared" si="53"/>
        <v>0</v>
      </c>
      <c r="H1171" t="str">
        <f t="shared" si="56"/>
        <v>Dairy</v>
      </c>
      <c r="J1171">
        <v>2</v>
      </c>
    </row>
    <row r="1172" spans="1:10">
      <c r="A1172" s="17">
        <v>43203</v>
      </c>
      <c r="B1172" t="s">
        <v>458</v>
      </c>
      <c r="C1172">
        <f t="shared" si="55"/>
        <v>140</v>
      </c>
      <c r="E1172" t="s">
        <v>525</v>
      </c>
      <c r="F1172" t="s">
        <v>526</v>
      </c>
      <c r="G1172">
        <f t="shared" si="53"/>
        <v>0</v>
      </c>
      <c r="H1172" t="str">
        <f t="shared" si="56"/>
        <v>Dairy</v>
      </c>
      <c r="J1172">
        <v>1</v>
      </c>
    </row>
    <row r="1173" spans="1:10">
      <c r="A1173" s="17">
        <v>43203</v>
      </c>
      <c r="B1173" t="s">
        <v>490</v>
      </c>
      <c r="C1173">
        <f t="shared" si="55"/>
        <v>100</v>
      </c>
      <c r="E1173" t="s">
        <v>525</v>
      </c>
      <c r="F1173" t="s">
        <v>526</v>
      </c>
      <c r="G1173">
        <f t="shared" si="53"/>
        <v>0</v>
      </c>
      <c r="H1173" t="str">
        <f t="shared" si="56"/>
        <v>Processed Food</v>
      </c>
      <c r="J1173">
        <v>1</v>
      </c>
    </row>
    <row r="1174" spans="1:10">
      <c r="A1174" s="17">
        <v>43203</v>
      </c>
      <c r="B1174" t="s">
        <v>382</v>
      </c>
      <c r="C1174">
        <f t="shared" si="55"/>
        <v>42</v>
      </c>
      <c r="E1174" t="s">
        <v>531</v>
      </c>
      <c r="F1174" t="s">
        <v>530</v>
      </c>
      <c r="G1174">
        <f t="shared" si="53"/>
        <v>0</v>
      </c>
      <c r="H1174" t="str">
        <f t="shared" si="56"/>
        <v>Dairy</v>
      </c>
      <c r="J1174">
        <v>6</v>
      </c>
    </row>
    <row r="1175" spans="1:10">
      <c r="A1175" s="17">
        <v>43203</v>
      </c>
      <c r="B1175" t="s">
        <v>385</v>
      </c>
      <c r="C1175">
        <f t="shared" si="55"/>
        <v>36</v>
      </c>
      <c r="E1175" t="s">
        <v>531</v>
      </c>
      <c r="F1175" t="s">
        <v>530</v>
      </c>
      <c r="G1175">
        <f t="shared" si="53"/>
        <v>0</v>
      </c>
      <c r="H1175" t="str">
        <f t="shared" si="56"/>
        <v>Dairy</v>
      </c>
      <c r="J1175">
        <v>6</v>
      </c>
    </row>
    <row r="1176" spans="1:10">
      <c r="A1176" s="17">
        <v>43203</v>
      </c>
      <c r="B1176" t="s">
        <v>452</v>
      </c>
      <c r="C1176">
        <f t="shared" si="55"/>
        <v>62</v>
      </c>
      <c r="D1176">
        <v>1.5</v>
      </c>
      <c r="E1176" t="s">
        <v>525</v>
      </c>
      <c r="F1176" t="s">
        <v>526</v>
      </c>
      <c r="G1176">
        <f t="shared" si="53"/>
        <v>93</v>
      </c>
      <c r="H1176" t="str">
        <f t="shared" si="56"/>
        <v>Dry Grocery</v>
      </c>
    </row>
    <row r="1177" spans="1:10">
      <c r="A1177" s="17">
        <v>43203</v>
      </c>
      <c r="B1177" t="s">
        <v>432</v>
      </c>
      <c r="C1177">
        <f t="shared" si="55"/>
        <v>14</v>
      </c>
      <c r="D1177">
        <v>6.3</v>
      </c>
      <c r="E1177" t="s">
        <v>525</v>
      </c>
      <c r="F1177" t="s">
        <v>526</v>
      </c>
      <c r="G1177">
        <f t="shared" si="53"/>
        <v>88.2</v>
      </c>
      <c r="H1177" t="str">
        <f t="shared" si="56"/>
        <v>Vegetable</v>
      </c>
    </row>
    <row r="1178" spans="1:10">
      <c r="A1178" s="17">
        <v>43203</v>
      </c>
      <c r="B1178" t="s">
        <v>390</v>
      </c>
      <c r="C1178">
        <f t="shared" si="55"/>
        <v>30</v>
      </c>
      <c r="D1178">
        <v>1.2</v>
      </c>
      <c r="E1178" t="s">
        <v>525</v>
      </c>
      <c r="F1178" t="s">
        <v>526</v>
      </c>
      <c r="G1178">
        <f t="shared" si="53"/>
        <v>36</v>
      </c>
      <c r="H1178" t="str">
        <f t="shared" si="56"/>
        <v>Vegetable</v>
      </c>
    </row>
    <row r="1179" spans="1:10">
      <c r="A1179" s="17">
        <v>43203</v>
      </c>
      <c r="B1179" t="s">
        <v>376</v>
      </c>
      <c r="C1179">
        <f t="shared" si="55"/>
        <v>220</v>
      </c>
      <c r="D1179">
        <v>5.0000000000000001E-3</v>
      </c>
      <c r="E1179" t="s">
        <v>525</v>
      </c>
      <c r="F1179" t="s">
        <v>526</v>
      </c>
      <c r="G1179">
        <f t="shared" si="53"/>
        <v>1.1000000000000001</v>
      </c>
      <c r="H1179" t="str">
        <f t="shared" si="56"/>
        <v>Spice</v>
      </c>
    </row>
    <row r="1180" spans="1:10">
      <c r="A1180" s="17">
        <v>43203</v>
      </c>
      <c r="B1180" t="s">
        <v>377</v>
      </c>
      <c r="C1180">
        <f t="shared" si="55"/>
        <v>740</v>
      </c>
      <c r="D1180">
        <v>5.0000000000000001E-3</v>
      </c>
      <c r="E1180" t="s">
        <v>525</v>
      </c>
      <c r="F1180" t="s">
        <v>526</v>
      </c>
      <c r="G1180">
        <f t="shared" si="53"/>
        <v>3.7</v>
      </c>
      <c r="H1180" t="str">
        <f t="shared" si="56"/>
        <v>Spice</v>
      </c>
    </row>
    <row r="1181" spans="1:10">
      <c r="A1181" s="17">
        <v>43203</v>
      </c>
      <c r="B1181" t="s">
        <v>461</v>
      </c>
      <c r="C1181">
        <f t="shared" si="55"/>
        <v>1450</v>
      </c>
      <c r="D1181">
        <v>5.0000000000000001E-3</v>
      </c>
      <c r="E1181" t="s">
        <v>525</v>
      </c>
      <c r="F1181" t="s">
        <v>526</v>
      </c>
      <c r="G1181">
        <f t="shared" si="53"/>
        <v>7.25</v>
      </c>
      <c r="H1181" t="str">
        <f t="shared" si="56"/>
        <v>Spice</v>
      </c>
    </row>
    <row r="1182" spans="1:10">
      <c r="A1182" s="17">
        <v>43203</v>
      </c>
      <c r="B1182" t="s">
        <v>464</v>
      </c>
      <c r="C1182">
        <f t="shared" si="55"/>
        <v>750</v>
      </c>
      <c r="D1182">
        <v>5.0000000000000001E-3</v>
      </c>
      <c r="E1182" t="s">
        <v>525</v>
      </c>
      <c r="F1182" t="s">
        <v>526</v>
      </c>
      <c r="G1182">
        <f t="shared" si="53"/>
        <v>3.75</v>
      </c>
      <c r="H1182" t="str">
        <f t="shared" si="56"/>
        <v>Spice</v>
      </c>
    </row>
    <row r="1183" spans="1:10">
      <c r="A1183" s="17">
        <v>43203</v>
      </c>
      <c r="B1183" t="s">
        <v>399</v>
      </c>
      <c r="C1183">
        <f t="shared" si="55"/>
        <v>1480</v>
      </c>
      <c r="D1183">
        <v>5.0000000000000001E-3</v>
      </c>
      <c r="E1183" t="s">
        <v>525</v>
      </c>
      <c r="F1183" t="s">
        <v>526</v>
      </c>
      <c r="G1183">
        <f t="shared" si="53"/>
        <v>7.4</v>
      </c>
      <c r="H1183" t="str">
        <f t="shared" si="56"/>
        <v>Spice</v>
      </c>
    </row>
    <row r="1184" spans="1:10">
      <c r="A1184" s="17">
        <v>43203</v>
      </c>
      <c r="B1184" t="s">
        <v>386</v>
      </c>
      <c r="C1184">
        <f t="shared" si="55"/>
        <v>82</v>
      </c>
      <c r="D1184">
        <v>6</v>
      </c>
      <c r="E1184" t="s">
        <v>525</v>
      </c>
      <c r="F1184" t="s">
        <v>526</v>
      </c>
      <c r="G1184">
        <f t="shared" si="53"/>
        <v>492</v>
      </c>
      <c r="H1184" t="str">
        <f t="shared" si="56"/>
        <v>Oil</v>
      </c>
    </row>
    <row r="1185" spans="1:8">
      <c r="A1185" s="17">
        <v>43203</v>
      </c>
      <c r="B1185" t="s">
        <v>378</v>
      </c>
      <c r="C1185">
        <f t="shared" si="55"/>
        <v>25</v>
      </c>
      <c r="D1185">
        <v>0.45</v>
      </c>
      <c r="E1185" t="s">
        <v>525</v>
      </c>
      <c r="F1185" t="s">
        <v>526</v>
      </c>
      <c r="G1185">
        <f t="shared" si="53"/>
        <v>11.25</v>
      </c>
      <c r="H1185" t="str">
        <f t="shared" si="56"/>
        <v>Vegetable</v>
      </c>
    </row>
    <row r="1186" spans="1:8">
      <c r="A1186" s="17">
        <v>43203</v>
      </c>
      <c r="B1186" t="s">
        <v>502</v>
      </c>
      <c r="C1186">
        <f t="shared" si="55"/>
        <v>40</v>
      </c>
      <c r="D1186">
        <v>0.2</v>
      </c>
      <c r="E1186" t="s">
        <v>336</v>
      </c>
      <c r="F1186" t="s">
        <v>527</v>
      </c>
      <c r="G1186">
        <f t="shared" si="53"/>
        <v>8</v>
      </c>
      <c r="H1186" t="str">
        <f t="shared" si="56"/>
        <v>Processed Food</v>
      </c>
    </row>
    <row r="1187" spans="1:8">
      <c r="A1187" s="17">
        <v>43203</v>
      </c>
      <c r="B1187" t="s">
        <v>393</v>
      </c>
      <c r="C1187">
        <f t="shared" si="55"/>
        <v>26</v>
      </c>
      <c r="D1187">
        <v>8</v>
      </c>
      <c r="E1187" t="s">
        <v>525</v>
      </c>
      <c r="F1187" t="s">
        <v>526</v>
      </c>
      <c r="G1187">
        <f t="shared" ref="G1187:G1250" si="57">IF(C1187="","",C1187*D1187)</f>
        <v>208</v>
      </c>
      <c r="H1187" t="str">
        <f t="shared" si="56"/>
        <v>Heating</v>
      </c>
    </row>
    <row r="1188" spans="1:8">
      <c r="A1188" s="17">
        <v>43203</v>
      </c>
      <c r="B1188" t="s">
        <v>463</v>
      </c>
      <c r="C1188">
        <f t="shared" si="55"/>
        <v>29.51</v>
      </c>
      <c r="D1188">
        <v>4</v>
      </c>
      <c r="E1188" t="s">
        <v>525</v>
      </c>
      <c r="F1188" t="s">
        <v>526</v>
      </c>
      <c r="G1188">
        <f t="shared" si="57"/>
        <v>118.04</v>
      </c>
      <c r="H1188" t="str">
        <f t="shared" si="56"/>
        <v>Dry Grocery</v>
      </c>
    </row>
    <row r="1189" spans="1:8">
      <c r="A1189" s="17">
        <v>43203</v>
      </c>
      <c r="B1189" t="s">
        <v>476</v>
      </c>
      <c r="C1189">
        <f t="shared" si="55"/>
        <v>14.75</v>
      </c>
      <c r="D1189">
        <v>2.2000000000000002</v>
      </c>
      <c r="E1189" t="s">
        <v>525</v>
      </c>
      <c r="F1189" t="s">
        <v>526</v>
      </c>
      <c r="G1189">
        <f t="shared" si="57"/>
        <v>32.450000000000003</v>
      </c>
      <c r="H1189" t="str">
        <f t="shared" si="56"/>
        <v>Vegetable</v>
      </c>
    </row>
    <row r="1190" spans="1:8">
      <c r="A1190" s="17">
        <v>43203</v>
      </c>
      <c r="B1190" t="s">
        <v>420</v>
      </c>
      <c r="C1190">
        <f t="shared" si="55"/>
        <v>3</v>
      </c>
      <c r="D1190">
        <v>1.7</v>
      </c>
      <c r="E1190" t="s">
        <v>525</v>
      </c>
      <c r="F1190" t="s">
        <v>526</v>
      </c>
      <c r="G1190">
        <f t="shared" si="57"/>
        <v>5.0999999999999996</v>
      </c>
      <c r="H1190" t="str">
        <f t="shared" si="56"/>
        <v>Vegetable</v>
      </c>
    </row>
    <row r="1191" spans="1:8">
      <c r="A1191" s="17">
        <v>43203</v>
      </c>
      <c r="B1191" t="s">
        <v>391</v>
      </c>
      <c r="C1191">
        <f t="shared" si="55"/>
        <v>27.97</v>
      </c>
      <c r="D1191">
        <v>0.3</v>
      </c>
      <c r="E1191" t="s">
        <v>525</v>
      </c>
      <c r="F1191" t="s">
        <v>526</v>
      </c>
      <c r="G1191">
        <f t="shared" si="57"/>
        <v>8.391</v>
      </c>
      <c r="H1191" t="str">
        <f t="shared" si="56"/>
        <v>Vegetable</v>
      </c>
    </row>
    <row r="1192" spans="1:8">
      <c r="A1192" s="17">
        <v>43203</v>
      </c>
      <c r="B1192" t="s">
        <v>394</v>
      </c>
      <c r="C1192">
        <f t="shared" si="55"/>
        <v>45</v>
      </c>
      <c r="D1192">
        <v>1</v>
      </c>
      <c r="E1192" t="s">
        <v>525</v>
      </c>
      <c r="F1192" t="s">
        <v>526</v>
      </c>
      <c r="G1192">
        <f t="shared" si="57"/>
        <v>45</v>
      </c>
      <c r="H1192" t="str">
        <f t="shared" si="56"/>
        <v>Dry Grocery</v>
      </c>
    </row>
    <row r="1193" spans="1:8">
      <c r="A1193" s="17">
        <v>43203</v>
      </c>
      <c r="B1193" t="s">
        <v>430</v>
      </c>
      <c r="C1193">
        <f t="shared" si="55"/>
        <v>30</v>
      </c>
      <c r="D1193">
        <v>0.4</v>
      </c>
      <c r="E1193" t="s">
        <v>525</v>
      </c>
      <c r="F1193" t="s">
        <v>526</v>
      </c>
      <c r="G1193">
        <f t="shared" si="57"/>
        <v>12</v>
      </c>
      <c r="H1193" t="str">
        <f t="shared" si="56"/>
        <v>Vegetable</v>
      </c>
    </row>
    <row r="1194" spans="1:8">
      <c r="A1194" s="17">
        <v>43203</v>
      </c>
      <c r="B1194" t="s">
        <v>433</v>
      </c>
      <c r="C1194">
        <f t="shared" si="55"/>
        <v>20</v>
      </c>
      <c r="D1194">
        <v>0.2</v>
      </c>
      <c r="E1194" t="s">
        <v>525</v>
      </c>
      <c r="F1194" t="s">
        <v>526</v>
      </c>
      <c r="G1194">
        <f t="shared" si="57"/>
        <v>4</v>
      </c>
      <c r="H1194" t="str">
        <f t="shared" si="56"/>
        <v>Vegetable</v>
      </c>
    </row>
    <row r="1195" spans="1:8">
      <c r="A1195" s="17">
        <v>43203</v>
      </c>
      <c r="B1195" t="s">
        <v>479</v>
      </c>
      <c r="C1195">
        <f t="shared" si="55"/>
        <v>312.14</v>
      </c>
      <c r="D1195">
        <v>0.04</v>
      </c>
      <c r="E1195" t="s">
        <v>525</v>
      </c>
      <c r="F1195" t="s">
        <v>526</v>
      </c>
      <c r="G1195">
        <f t="shared" si="57"/>
        <v>12.4856</v>
      </c>
      <c r="H1195" t="str">
        <f t="shared" si="56"/>
        <v>Vegetable</v>
      </c>
    </row>
    <row r="1196" spans="1:8">
      <c r="A1196" s="17">
        <v>43203</v>
      </c>
      <c r="B1196" t="s">
        <v>434</v>
      </c>
      <c r="C1196">
        <f t="shared" si="55"/>
        <v>125</v>
      </c>
      <c r="D1196">
        <v>0.06</v>
      </c>
      <c r="E1196" t="s">
        <v>525</v>
      </c>
      <c r="F1196" t="s">
        <v>526</v>
      </c>
      <c r="G1196">
        <f t="shared" si="57"/>
        <v>7.5</v>
      </c>
      <c r="H1196" t="str">
        <f t="shared" si="56"/>
        <v>Vegetable</v>
      </c>
    </row>
    <row r="1197" spans="1:8">
      <c r="A1197" s="17">
        <v>43203</v>
      </c>
      <c r="B1197" t="s">
        <v>451</v>
      </c>
      <c r="C1197">
        <f t="shared" si="55"/>
        <v>60</v>
      </c>
      <c r="D1197">
        <v>0.8</v>
      </c>
      <c r="E1197" t="s">
        <v>525</v>
      </c>
      <c r="F1197" t="s">
        <v>526</v>
      </c>
      <c r="G1197">
        <f t="shared" si="57"/>
        <v>48</v>
      </c>
      <c r="H1197" t="str">
        <f t="shared" si="56"/>
        <v>Vegetable</v>
      </c>
    </row>
    <row r="1198" spans="1:8">
      <c r="A1198" s="17">
        <v>43203</v>
      </c>
      <c r="B1198" t="s">
        <v>427</v>
      </c>
      <c r="C1198">
        <f t="shared" si="55"/>
        <v>28</v>
      </c>
      <c r="D1198">
        <v>2</v>
      </c>
      <c r="E1198" t="s">
        <v>525</v>
      </c>
      <c r="F1198" t="s">
        <v>526</v>
      </c>
      <c r="G1198">
        <f t="shared" si="57"/>
        <v>56</v>
      </c>
      <c r="H1198" t="str">
        <f t="shared" si="56"/>
        <v>Vegetable</v>
      </c>
    </row>
    <row r="1199" spans="1:8">
      <c r="A1199" s="17">
        <v>43203</v>
      </c>
      <c r="B1199" t="s">
        <v>474</v>
      </c>
      <c r="C1199">
        <f t="shared" si="55"/>
        <v>27</v>
      </c>
      <c r="D1199">
        <v>3</v>
      </c>
      <c r="E1199" t="s">
        <v>525</v>
      </c>
      <c r="F1199" t="s">
        <v>526</v>
      </c>
      <c r="G1199">
        <f t="shared" si="57"/>
        <v>81</v>
      </c>
      <c r="H1199" t="str">
        <f t="shared" si="56"/>
        <v>Dry Grocery</v>
      </c>
    </row>
    <row r="1200" spans="1:8">
      <c r="A1200" s="17">
        <v>43203</v>
      </c>
      <c r="B1200" t="s">
        <v>433</v>
      </c>
      <c r="C1200">
        <f t="shared" si="55"/>
        <v>20</v>
      </c>
      <c r="D1200">
        <v>1</v>
      </c>
      <c r="E1200" t="s">
        <v>525</v>
      </c>
      <c r="F1200" t="s">
        <v>526</v>
      </c>
      <c r="G1200">
        <f t="shared" si="57"/>
        <v>20</v>
      </c>
      <c r="H1200" t="str">
        <f t="shared" si="56"/>
        <v>Vegetable</v>
      </c>
    </row>
    <row r="1201" spans="1:8">
      <c r="A1201" s="17">
        <v>43203</v>
      </c>
      <c r="B1201" t="s">
        <v>458</v>
      </c>
      <c r="C1201">
        <f t="shared" si="55"/>
        <v>140</v>
      </c>
      <c r="D1201">
        <v>0.5</v>
      </c>
      <c r="E1201" t="s">
        <v>525</v>
      </c>
      <c r="F1201" t="s">
        <v>526</v>
      </c>
      <c r="G1201">
        <f t="shared" si="57"/>
        <v>70</v>
      </c>
      <c r="H1201" t="str">
        <f t="shared" si="56"/>
        <v>Dairy</v>
      </c>
    </row>
    <row r="1202" spans="1:8">
      <c r="A1202" s="17">
        <v>43203</v>
      </c>
      <c r="B1202" t="s">
        <v>371</v>
      </c>
      <c r="C1202">
        <f t="shared" si="55"/>
        <v>23.33</v>
      </c>
      <c r="D1202">
        <v>1.3</v>
      </c>
      <c r="E1202" t="s">
        <v>525</v>
      </c>
      <c r="F1202" t="s">
        <v>526</v>
      </c>
      <c r="G1202">
        <f t="shared" si="57"/>
        <v>30.328999999999997</v>
      </c>
      <c r="H1202" t="str">
        <f t="shared" si="56"/>
        <v>Vegetable</v>
      </c>
    </row>
    <row r="1203" spans="1:8">
      <c r="A1203" s="17">
        <v>43203</v>
      </c>
      <c r="B1203" t="s">
        <v>487</v>
      </c>
      <c r="C1203">
        <f t="shared" si="55"/>
        <v>40</v>
      </c>
      <c r="D1203">
        <v>1</v>
      </c>
      <c r="E1203" t="s">
        <v>525</v>
      </c>
      <c r="F1203" t="s">
        <v>526</v>
      </c>
      <c r="G1203">
        <f t="shared" si="57"/>
        <v>40</v>
      </c>
      <c r="H1203" t="str">
        <f t="shared" si="56"/>
        <v>Dry Grocery</v>
      </c>
    </row>
    <row r="1204" spans="1:8">
      <c r="A1204" s="17">
        <v>43203</v>
      </c>
      <c r="B1204" t="s">
        <v>389</v>
      </c>
      <c r="C1204">
        <f t="shared" si="55"/>
        <v>280</v>
      </c>
      <c r="D1204">
        <v>0.15</v>
      </c>
      <c r="E1204" t="s">
        <v>525</v>
      </c>
      <c r="F1204" t="s">
        <v>526</v>
      </c>
      <c r="G1204">
        <f t="shared" si="57"/>
        <v>42</v>
      </c>
      <c r="H1204" t="str">
        <f t="shared" si="56"/>
        <v>Dry Grocery</v>
      </c>
    </row>
    <row r="1205" spans="1:8">
      <c r="A1205" s="17">
        <v>43203</v>
      </c>
      <c r="B1205" t="s">
        <v>462</v>
      </c>
      <c r="C1205">
        <f t="shared" si="55"/>
        <v>138</v>
      </c>
      <c r="D1205">
        <v>0.15</v>
      </c>
      <c r="E1205" t="s">
        <v>525</v>
      </c>
      <c r="F1205" t="s">
        <v>526</v>
      </c>
      <c r="G1205">
        <f t="shared" si="57"/>
        <v>20.7</v>
      </c>
      <c r="H1205" t="str">
        <f t="shared" si="56"/>
        <v>Dry Grocery</v>
      </c>
    </row>
    <row r="1206" spans="1:8">
      <c r="A1206" s="17">
        <v>43203</v>
      </c>
      <c r="B1206" t="s">
        <v>468</v>
      </c>
      <c r="C1206">
        <f t="shared" si="55"/>
        <v>32</v>
      </c>
      <c r="D1206">
        <v>7</v>
      </c>
      <c r="E1206" t="s">
        <v>525</v>
      </c>
      <c r="F1206" t="s">
        <v>526</v>
      </c>
      <c r="G1206">
        <f t="shared" si="57"/>
        <v>224</v>
      </c>
      <c r="H1206" t="str">
        <f t="shared" si="56"/>
        <v>Vegetable</v>
      </c>
    </row>
    <row r="1207" spans="1:8">
      <c r="A1207" s="17">
        <v>43203</v>
      </c>
      <c r="B1207" t="s">
        <v>375</v>
      </c>
      <c r="C1207">
        <f t="shared" si="55"/>
        <v>280</v>
      </c>
      <c r="D1207">
        <v>0.16</v>
      </c>
      <c r="E1207" t="s">
        <v>525</v>
      </c>
      <c r="F1207" t="s">
        <v>526</v>
      </c>
      <c r="G1207">
        <f t="shared" si="57"/>
        <v>44.800000000000004</v>
      </c>
      <c r="H1207" t="str">
        <f t="shared" si="56"/>
        <v>Dry Grocery</v>
      </c>
    </row>
    <row r="1208" spans="1:8">
      <c r="A1208" s="17">
        <v>43203</v>
      </c>
      <c r="B1208" t="s">
        <v>426</v>
      </c>
      <c r="C1208">
        <f t="shared" si="55"/>
        <v>57.5</v>
      </c>
      <c r="D1208">
        <v>0.6</v>
      </c>
      <c r="E1208" t="s">
        <v>525</v>
      </c>
      <c r="F1208" t="s">
        <v>526</v>
      </c>
      <c r="G1208">
        <f t="shared" si="57"/>
        <v>34.5</v>
      </c>
      <c r="H1208" t="str">
        <f t="shared" si="56"/>
        <v>Dry Grocery</v>
      </c>
    </row>
    <row r="1209" spans="1:8">
      <c r="A1209" s="17">
        <v>43203</v>
      </c>
      <c r="B1209" t="s">
        <v>387</v>
      </c>
      <c r="C1209">
        <f t="shared" si="55"/>
        <v>187.41</v>
      </c>
      <c r="D1209">
        <v>0.04</v>
      </c>
      <c r="E1209" t="s">
        <v>525</v>
      </c>
      <c r="F1209" t="s">
        <v>526</v>
      </c>
      <c r="G1209">
        <f t="shared" si="57"/>
        <v>7.4964000000000004</v>
      </c>
      <c r="H1209" t="str">
        <f t="shared" si="56"/>
        <v>Dry Grocery</v>
      </c>
    </row>
    <row r="1210" spans="1:8">
      <c r="A1210" s="17">
        <v>43203</v>
      </c>
      <c r="B1210" t="s">
        <v>482</v>
      </c>
      <c r="C1210">
        <f t="shared" si="55"/>
        <v>48</v>
      </c>
      <c r="D1210">
        <v>0.03</v>
      </c>
      <c r="E1210" t="s">
        <v>525</v>
      </c>
      <c r="F1210" t="s">
        <v>526</v>
      </c>
      <c r="G1210">
        <f t="shared" si="57"/>
        <v>1.44</v>
      </c>
      <c r="H1210" t="str">
        <f t="shared" si="56"/>
        <v>Dry Grocery</v>
      </c>
    </row>
    <row r="1211" spans="1:8">
      <c r="A1211" s="17">
        <v>43203</v>
      </c>
      <c r="B1211" t="s">
        <v>435</v>
      </c>
      <c r="C1211">
        <f t="shared" si="55"/>
        <v>17</v>
      </c>
      <c r="D1211">
        <v>0.4</v>
      </c>
      <c r="E1211" t="s">
        <v>525</v>
      </c>
      <c r="F1211" t="s">
        <v>526</v>
      </c>
      <c r="G1211">
        <f t="shared" si="57"/>
        <v>6.8000000000000007</v>
      </c>
      <c r="H1211" t="str">
        <f t="shared" si="56"/>
        <v>Dry Grocery</v>
      </c>
    </row>
    <row r="1212" spans="1:8">
      <c r="A1212" s="17">
        <v>43203</v>
      </c>
      <c r="B1212" t="s">
        <v>455</v>
      </c>
      <c r="C1212">
        <f t="shared" si="55"/>
        <v>380</v>
      </c>
      <c r="D1212">
        <v>7.4999999999999997E-2</v>
      </c>
      <c r="E1212" t="s">
        <v>525</v>
      </c>
      <c r="F1212" t="s">
        <v>526</v>
      </c>
      <c r="G1212">
        <f t="shared" si="57"/>
        <v>28.5</v>
      </c>
      <c r="H1212" t="str">
        <f t="shared" si="56"/>
        <v>Dry Grocery</v>
      </c>
    </row>
    <row r="1213" spans="1:8">
      <c r="A1213" s="17">
        <v>43203</v>
      </c>
      <c r="B1213" t="s">
        <v>475</v>
      </c>
      <c r="C1213">
        <f t="shared" si="55"/>
        <v>148</v>
      </c>
      <c r="D1213">
        <v>0.15</v>
      </c>
      <c r="E1213" t="s">
        <v>525</v>
      </c>
      <c r="F1213" t="s">
        <v>526</v>
      </c>
      <c r="G1213">
        <f t="shared" si="57"/>
        <v>22.2</v>
      </c>
      <c r="H1213" t="str">
        <f t="shared" si="56"/>
        <v>Dry Grocery</v>
      </c>
    </row>
    <row r="1214" spans="1:8">
      <c r="A1214" s="17">
        <v>43203</v>
      </c>
      <c r="B1214" t="s">
        <v>518</v>
      </c>
      <c r="C1214">
        <f t="shared" si="55"/>
        <v>24</v>
      </c>
      <c r="D1214">
        <v>6.5000000000000002E-2</v>
      </c>
      <c r="E1214" t="s">
        <v>525</v>
      </c>
      <c r="F1214" t="s">
        <v>526</v>
      </c>
      <c r="G1214">
        <f t="shared" si="57"/>
        <v>1.56</v>
      </c>
      <c r="H1214" t="str">
        <f t="shared" si="56"/>
        <v>Dry Grocery</v>
      </c>
    </row>
    <row r="1215" spans="1:8">
      <c r="A1215" s="17">
        <v>43203</v>
      </c>
      <c r="B1215" t="s">
        <v>400</v>
      </c>
      <c r="C1215">
        <f t="shared" si="55"/>
        <v>135</v>
      </c>
      <c r="D1215">
        <v>0.02</v>
      </c>
      <c r="E1215" t="s">
        <v>525</v>
      </c>
      <c r="F1215" t="s">
        <v>526</v>
      </c>
      <c r="G1215">
        <f t="shared" si="57"/>
        <v>2.7</v>
      </c>
      <c r="H1215" t="str">
        <f t="shared" si="56"/>
        <v>Oil</v>
      </c>
    </row>
    <row r="1216" spans="1:8">
      <c r="A1216" s="17">
        <v>43203</v>
      </c>
      <c r="B1216" t="s">
        <v>379</v>
      </c>
      <c r="C1216">
        <f t="shared" ref="C1216:C1284" si="58">IF(B1216="","",VLOOKUP(B1216,$XEY$3:$XEZ$1158,2,FALSE))</f>
        <v>120</v>
      </c>
      <c r="D1216">
        <v>0.14499999999999999</v>
      </c>
      <c r="E1216" t="s">
        <v>525</v>
      </c>
      <c r="F1216" t="s">
        <v>526</v>
      </c>
      <c r="G1216">
        <f t="shared" si="57"/>
        <v>17.399999999999999</v>
      </c>
      <c r="H1216" t="str">
        <f t="shared" si="56"/>
        <v>Dry Grocery</v>
      </c>
    </row>
    <row r="1217" spans="1:8">
      <c r="A1217" s="17">
        <v>43203</v>
      </c>
      <c r="B1217" t="s">
        <v>398</v>
      </c>
      <c r="C1217">
        <f t="shared" si="58"/>
        <v>51</v>
      </c>
      <c r="D1217">
        <v>0.95</v>
      </c>
      <c r="E1217" t="s">
        <v>525</v>
      </c>
      <c r="F1217" t="s">
        <v>526</v>
      </c>
      <c r="G1217">
        <f t="shared" si="57"/>
        <v>48.449999999999996</v>
      </c>
      <c r="H1217" t="str">
        <f t="shared" si="56"/>
        <v>Dry Grocery</v>
      </c>
    </row>
    <row r="1218" spans="1:8">
      <c r="A1218" s="17">
        <v>43203</v>
      </c>
      <c r="B1218" t="s">
        <v>411</v>
      </c>
      <c r="C1218">
        <f t="shared" si="58"/>
        <v>49.5</v>
      </c>
      <c r="D1218">
        <v>0.65</v>
      </c>
      <c r="E1218" t="s">
        <v>525</v>
      </c>
      <c r="F1218" t="s">
        <v>526</v>
      </c>
      <c r="G1218">
        <f t="shared" si="57"/>
        <v>32.175000000000004</v>
      </c>
      <c r="H1218" t="str">
        <f t="shared" si="56"/>
        <v>Dry Grocery</v>
      </c>
    </row>
    <row r="1219" spans="1:8">
      <c r="A1219" s="17">
        <v>43203</v>
      </c>
      <c r="B1219" t="s">
        <v>460</v>
      </c>
      <c r="C1219">
        <f t="shared" si="58"/>
        <v>43.98</v>
      </c>
      <c r="D1219">
        <v>0.14000000000000001</v>
      </c>
      <c r="E1219" t="s">
        <v>525</v>
      </c>
      <c r="F1219" t="s">
        <v>526</v>
      </c>
      <c r="G1219">
        <f t="shared" si="57"/>
        <v>6.1572000000000005</v>
      </c>
      <c r="H1219" t="str">
        <f t="shared" ref="H1219:H1282" si="59">IF(B1219="","",VLOOKUP(B1219,$XEY$3:$XFA$1200,3,FALSE))</f>
        <v>Vegetable</v>
      </c>
    </row>
    <row r="1220" spans="1:8">
      <c r="A1220" s="17">
        <v>43203</v>
      </c>
      <c r="B1220" t="s">
        <v>561</v>
      </c>
      <c r="C1220">
        <f t="shared" si="58"/>
        <v>0</v>
      </c>
      <c r="D1220">
        <v>0.7</v>
      </c>
      <c r="E1220" t="s">
        <v>525</v>
      </c>
      <c r="F1220" t="s">
        <v>526</v>
      </c>
      <c r="G1220">
        <f t="shared" si="57"/>
        <v>0</v>
      </c>
      <c r="H1220" t="str">
        <f t="shared" si="59"/>
        <v>SemiFinished_Prod</v>
      </c>
    </row>
    <row r="1221" spans="1:8">
      <c r="A1221" s="17">
        <v>43203</v>
      </c>
      <c r="B1221" t="s">
        <v>478</v>
      </c>
      <c r="C1221">
        <f t="shared" si="58"/>
        <v>180</v>
      </c>
      <c r="D1221">
        <v>0.2</v>
      </c>
      <c r="E1221" t="s">
        <v>525</v>
      </c>
      <c r="F1221" t="s">
        <v>526</v>
      </c>
      <c r="G1221">
        <f t="shared" si="57"/>
        <v>36</v>
      </c>
      <c r="H1221" t="str">
        <f t="shared" si="59"/>
        <v>Dry Grocery</v>
      </c>
    </row>
    <row r="1222" spans="1:8">
      <c r="A1222" s="17">
        <v>43203</v>
      </c>
      <c r="B1222" t="s">
        <v>447</v>
      </c>
      <c r="C1222">
        <f t="shared" si="58"/>
        <v>30</v>
      </c>
      <c r="D1222">
        <f>0.815+1.66-1.25</f>
        <v>1.2249999999999996</v>
      </c>
      <c r="E1222" t="s">
        <v>543</v>
      </c>
      <c r="F1222" t="s">
        <v>527</v>
      </c>
      <c r="G1222">
        <f t="shared" si="57"/>
        <v>36.749999999999986</v>
      </c>
      <c r="H1222" t="str">
        <f t="shared" si="59"/>
        <v>Fruits</v>
      </c>
    </row>
    <row r="1223" spans="1:8">
      <c r="A1223" s="17">
        <v>43203</v>
      </c>
      <c r="B1223" t="s">
        <v>445</v>
      </c>
      <c r="C1223">
        <f t="shared" si="58"/>
        <v>20</v>
      </c>
      <c r="D1223">
        <f>0.5+1.36-1.3</f>
        <v>0.56000000000000005</v>
      </c>
      <c r="E1223" t="s">
        <v>543</v>
      </c>
      <c r="F1223" t="s">
        <v>527</v>
      </c>
      <c r="G1223">
        <f t="shared" si="57"/>
        <v>11.200000000000001</v>
      </c>
      <c r="H1223" t="str">
        <f t="shared" si="59"/>
        <v>Fruits</v>
      </c>
    </row>
    <row r="1224" spans="1:8">
      <c r="A1224" s="17">
        <v>43203</v>
      </c>
      <c r="B1224" t="s">
        <v>551</v>
      </c>
      <c r="C1224">
        <f t="shared" si="58"/>
        <v>120</v>
      </c>
      <c r="D1224">
        <v>0.2</v>
      </c>
      <c r="E1224" t="s">
        <v>543</v>
      </c>
      <c r="F1224" t="s">
        <v>527</v>
      </c>
      <c r="G1224">
        <f t="shared" si="57"/>
        <v>24</v>
      </c>
      <c r="H1224" t="str">
        <f t="shared" si="59"/>
        <v>Fruits</v>
      </c>
    </row>
    <row r="1225" spans="1:8">
      <c r="A1225" s="17">
        <v>43203</v>
      </c>
      <c r="B1225" t="s">
        <v>622</v>
      </c>
      <c r="C1225">
        <f t="shared" si="58"/>
        <v>130</v>
      </c>
      <c r="D1225">
        <v>0.1</v>
      </c>
      <c r="E1225" t="s">
        <v>543</v>
      </c>
      <c r="F1225" t="s">
        <v>527</v>
      </c>
      <c r="G1225">
        <f t="shared" si="57"/>
        <v>13</v>
      </c>
      <c r="H1225" t="str">
        <f t="shared" si="59"/>
        <v>Fruits</v>
      </c>
    </row>
    <row r="1226" spans="1:8">
      <c r="A1226" s="17">
        <v>43203</v>
      </c>
      <c r="B1226" t="s">
        <v>552</v>
      </c>
      <c r="C1226">
        <f t="shared" si="58"/>
        <v>40</v>
      </c>
      <c r="D1226">
        <v>0.2</v>
      </c>
      <c r="E1226" t="s">
        <v>543</v>
      </c>
      <c r="F1226" t="s">
        <v>527</v>
      </c>
      <c r="G1226">
        <f t="shared" si="57"/>
        <v>8</v>
      </c>
      <c r="H1226" t="str">
        <f t="shared" si="59"/>
        <v>Fruits</v>
      </c>
    </row>
    <row r="1227" spans="1:8">
      <c r="A1227" s="17">
        <v>43203</v>
      </c>
      <c r="B1227" t="s">
        <v>444</v>
      </c>
      <c r="C1227">
        <f t="shared" si="58"/>
        <v>50</v>
      </c>
      <c r="D1227">
        <f>1.9-0.45</f>
        <v>1.45</v>
      </c>
      <c r="E1227" t="s">
        <v>543</v>
      </c>
      <c r="F1227" t="s">
        <v>527</v>
      </c>
      <c r="G1227">
        <f t="shared" si="57"/>
        <v>72.5</v>
      </c>
      <c r="H1227" t="str">
        <f t="shared" si="59"/>
        <v>Fruits</v>
      </c>
    </row>
    <row r="1228" spans="1:8">
      <c r="A1228" s="17">
        <v>43203</v>
      </c>
      <c r="B1228" t="s">
        <v>446</v>
      </c>
      <c r="C1228">
        <f t="shared" si="58"/>
        <v>50</v>
      </c>
      <c r="D1228">
        <f>1.8-0.45</f>
        <v>1.35</v>
      </c>
      <c r="E1228" t="s">
        <v>543</v>
      </c>
      <c r="F1228" t="s">
        <v>527</v>
      </c>
      <c r="G1228">
        <f t="shared" si="57"/>
        <v>67.5</v>
      </c>
      <c r="H1228" t="str">
        <f t="shared" si="59"/>
        <v>Fruits</v>
      </c>
    </row>
    <row r="1229" spans="1:8">
      <c r="A1229" s="17">
        <v>43203</v>
      </c>
      <c r="B1229" s="16" t="s">
        <v>449</v>
      </c>
      <c r="C1229">
        <f t="shared" si="58"/>
        <v>20</v>
      </c>
      <c r="D1229">
        <f>1.7+1.6+1.3-1.8</f>
        <v>2.8</v>
      </c>
      <c r="E1229" t="s">
        <v>543</v>
      </c>
      <c r="F1229" t="s">
        <v>527</v>
      </c>
      <c r="G1229">
        <f t="shared" si="57"/>
        <v>56</v>
      </c>
      <c r="H1229" t="str">
        <f t="shared" si="59"/>
        <v>Fruits</v>
      </c>
    </row>
    <row r="1230" spans="1:8">
      <c r="A1230" s="17">
        <v>43203</v>
      </c>
      <c r="B1230" t="s">
        <v>382</v>
      </c>
      <c r="C1230">
        <f t="shared" si="58"/>
        <v>42</v>
      </c>
      <c r="D1230">
        <v>1</v>
      </c>
      <c r="E1230" t="s">
        <v>543</v>
      </c>
      <c r="F1230" t="s">
        <v>527</v>
      </c>
      <c r="G1230">
        <f t="shared" si="57"/>
        <v>42</v>
      </c>
      <c r="H1230" t="str">
        <f t="shared" si="59"/>
        <v>Dairy</v>
      </c>
    </row>
    <row r="1231" spans="1:8">
      <c r="A1231" s="17">
        <v>43203</v>
      </c>
      <c r="B1231" t="s">
        <v>385</v>
      </c>
      <c r="C1231">
        <f t="shared" si="58"/>
        <v>36</v>
      </c>
      <c r="D1231">
        <v>2</v>
      </c>
      <c r="E1231" t="s">
        <v>543</v>
      </c>
      <c r="F1231" t="s">
        <v>527</v>
      </c>
      <c r="G1231">
        <f t="shared" si="57"/>
        <v>72</v>
      </c>
      <c r="H1231" t="str">
        <f t="shared" si="59"/>
        <v>Dairy</v>
      </c>
    </row>
    <row r="1232" spans="1:8">
      <c r="A1232" s="17">
        <v>43203</v>
      </c>
      <c r="B1232" s="16" t="s">
        <v>428</v>
      </c>
      <c r="C1232">
        <f t="shared" si="58"/>
        <v>78.95</v>
      </c>
      <c r="D1232">
        <f>31.02+22.2-(30.4+21.8)</f>
        <v>1.019999999999996</v>
      </c>
      <c r="E1232" t="s">
        <v>336</v>
      </c>
      <c r="F1232" t="s">
        <v>527</v>
      </c>
      <c r="G1232">
        <f t="shared" si="57"/>
        <v>80.528999999999684</v>
      </c>
      <c r="H1232" t="str">
        <f t="shared" si="59"/>
        <v>Gas</v>
      </c>
    </row>
    <row r="1233" spans="1:8">
      <c r="A1233" s="17">
        <v>43203</v>
      </c>
      <c r="B1233" t="s">
        <v>428</v>
      </c>
      <c r="C1233">
        <f t="shared" si="58"/>
        <v>78.95</v>
      </c>
      <c r="D1233">
        <f>19-D1232</f>
        <v>17.980000000000004</v>
      </c>
      <c r="E1233" t="s">
        <v>531</v>
      </c>
      <c r="F1233" t="s">
        <v>530</v>
      </c>
      <c r="G1233">
        <f t="shared" si="57"/>
        <v>1419.5210000000004</v>
      </c>
      <c r="H1233" t="str">
        <f t="shared" si="59"/>
        <v>Gas</v>
      </c>
    </row>
    <row r="1234" spans="1:8">
      <c r="A1234" s="17">
        <v>43203</v>
      </c>
      <c r="B1234" t="s">
        <v>384</v>
      </c>
      <c r="C1234">
        <f t="shared" si="58"/>
        <v>3</v>
      </c>
      <c r="D1234">
        <v>8</v>
      </c>
      <c r="E1234" t="s">
        <v>528</v>
      </c>
      <c r="F1234" t="s">
        <v>527</v>
      </c>
      <c r="G1234">
        <f t="shared" si="57"/>
        <v>24</v>
      </c>
      <c r="H1234" t="str">
        <f t="shared" si="59"/>
        <v>Vegetable</v>
      </c>
    </row>
    <row r="1235" spans="1:8">
      <c r="A1235" s="17">
        <v>43203</v>
      </c>
      <c r="B1235" t="s">
        <v>432</v>
      </c>
      <c r="C1235">
        <f t="shared" si="58"/>
        <v>14</v>
      </c>
      <c r="D1235">
        <v>0.61499999999999999</v>
      </c>
      <c r="E1235" t="s">
        <v>528</v>
      </c>
      <c r="F1235" t="s">
        <v>527</v>
      </c>
      <c r="G1235">
        <f t="shared" si="57"/>
        <v>8.61</v>
      </c>
      <c r="H1235" t="str">
        <f t="shared" si="59"/>
        <v>Vegetable</v>
      </c>
    </row>
    <row r="1236" spans="1:8">
      <c r="A1236" s="17">
        <v>43203</v>
      </c>
      <c r="B1236" t="s">
        <v>391</v>
      </c>
      <c r="C1236">
        <f t="shared" si="58"/>
        <v>27.97</v>
      </c>
      <c r="D1236">
        <v>0.22500000000000001</v>
      </c>
      <c r="E1236" t="s">
        <v>528</v>
      </c>
      <c r="F1236" t="s">
        <v>527</v>
      </c>
      <c r="G1236">
        <f t="shared" si="57"/>
        <v>6.2932499999999996</v>
      </c>
      <c r="H1236" t="str">
        <f t="shared" si="59"/>
        <v>Vegetable</v>
      </c>
    </row>
    <row r="1237" spans="1:8">
      <c r="A1237" s="17">
        <v>43203</v>
      </c>
      <c r="B1237" t="s">
        <v>476</v>
      </c>
      <c r="C1237">
        <f t="shared" si="58"/>
        <v>14.75</v>
      </c>
      <c r="D1237">
        <v>0.4</v>
      </c>
      <c r="E1237" t="s">
        <v>528</v>
      </c>
      <c r="F1237" t="s">
        <v>527</v>
      </c>
      <c r="G1237">
        <f t="shared" si="57"/>
        <v>5.9</v>
      </c>
      <c r="H1237" t="str">
        <f t="shared" si="59"/>
        <v>Vegetable</v>
      </c>
    </row>
    <row r="1238" spans="1:8">
      <c r="A1238" s="17">
        <v>43203</v>
      </c>
      <c r="B1238" t="s">
        <v>397</v>
      </c>
      <c r="C1238">
        <f t="shared" si="58"/>
        <v>75</v>
      </c>
      <c r="D1238">
        <v>1.2</v>
      </c>
      <c r="E1238" t="s">
        <v>555</v>
      </c>
      <c r="F1238" t="s">
        <v>556</v>
      </c>
      <c r="G1238">
        <f t="shared" si="57"/>
        <v>90</v>
      </c>
      <c r="H1238" t="str">
        <f t="shared" si="59"/>
        <v>Sauce</v>
      </c>
    </row>
    <row r="1239" spans="1:8">
      <c r="A1239" s="17">
        <v>43203</v>
      </c>
      <c r="B1239" t="s">
        <v>432</v>
      </c>
      <c r="C1239">
        <f t="shared" si="58"/>
        <v>14</v>
      </c>
      <c r="D1239">
        <v>0.65</v>
      </c>
      <c r="E1239" t="s">
        <v>555</v>
      </c>
      <c r="F1239" t="s">
        <v>556</v>
      </c>
      <c r="G1239">
        <f t="shared" si="57"/>
        <v>9.1</v>
      </c>
      <c r="H1239" t="str">
        <f t="shared" si="59"/>
        <v>Vegetable</v>
      </c>
    </row>
    <row r="1240" spans="1:8">
      <c r="A1240" s="17">
        <v>43203</v>
      </c>
      <c r="B1240" t="s">
        <v>384</v>
      </c>
      <c r="C1240">
        <f t="shared" si="58"/>
        <v>3</v>
      </c>
      <c r="D1240">
        <v>10</v>
      </c>
      <c r="E1240" t="s">
        <v>555</v>
      </c>
      <c r="F1240" t="s">
        <v>556</v>
      </c>
      <c r="G1240">
        <f t="shared" si="57"/>
        <v>30</v>
      </c>
      <c r="H1240" t="str">
        <f t="shared" si="59"/>
        <v>Vegetable</v>
      </c>
    </row>
    <row r="1241" spans="1:8">
      <c r="A1241" s="17">
        <v>43203</v>
      </c>
      <c r="B1241" t="s">
        <v>382</v>
      </c>
      <c r="C1241">
        <f t="shared" si="58"/>
        <v>42</v>
      </c>
      <c r="D1241">
        <v>2</v>
      </c>
      <c r="E1241" t="s">
        <v>336</v>
      </c>
      <c r="F1241" t="s">
        <v>527</v>
      </c>
      <c r="G1241">
        <f t="shared" si="57"/>
        <v>84</v>
      </c>
      <c r="H1241" t="str">
        <f t="shared" si="59"/>
        <v>Dairy</v>
      </c>
    </row>
    <row r="1242" spans="1:8">
      <c r="A1242" s="17">
        <v>43203</v>
      </c>
      <c r="B1242" t="s">
        <v>385</v>
      </c>
      <c r="C1242">
        <f t="shared" si="58"/>
        <v>36</v>
      </c>
      <c r="D1242">
        <v>1.5</v>
      </c>
      <c r="E1242" t="s">
        <v>336</v>
      </c>
      <c r="F1242" t="s">
        <v>527</v>
      </c>
      <c r="G1242">
        <f t="shared" si="57"/>
        <v>54</v>
      </c>
      <c r="H1242" t="str">
        <f t="shared" si="59"/>
        <v>Dairy</v>
      </c>
    </row>
    <row r="1243" spans="1:8">
      <c r="A1243" s="17">
        <v>43203</v>
      </c>
      <c r="B1243" t="s">
        <v>404</v>
      </c>
      <c r="C1243">
        <f t="shared" si="58"/>
        <v>28</v>
      </c>
      <c r="D1243">
        <v>3</v>
      </c>
      <c r="E1243" t="s">
        <v>336</v>
      </c>
      <c r="F1243" t="s">
        <v>527</v>
      </c>
      <c r="G1243">
        <f t="shared" si="57"/>
        <v>84</v>
      </c>
      <c r="H1243" t="str">
        <f t="shared" si="59"/>
        <v>Vegetable</v>
      </c>
    </row>
    <row r="1244" spans="1:8">
      <c r="A1244" s="17">
        <v>43203</v>
      </c>
      <c r="B1244" t="s">
        <v>511</v>
      </c>
      <c r="C1244">
        <f t="shared" si="58"/>
        <v>52</v>
      </c>
      <c r="D1244">
        <v>5.4</v>
      </c>
      <c r="E1244" t="s">
        <v>336</v>
      </c>
      <c r="F1244" t="s">
        <v>527</v>
      </c>
      <c r="G1244">
        <f t="shared" si="57"/>
        <v>280.8</v>
      </c>
      <c r="H1244" t="str">
        <f t="shared" si="59"/>
        <v>Dry Grocery</v>
      </c>
    </row>
    <row r="1245" spans="1:8">
      <c r="A1245" s="17">
        <v>43203</v>
      </c>
      <c r="B1245" t="s">
        <v>436</v>
      </c>
      <c r="C1245">
        <f t="shared" si="58"/>
        <v>37</v>
      </c>
      <c r="D1245">
        <v>0.9</v>
      </c>
      <c r="E1245" t="s">
        <v>336</v>
      </c>
      <c r="F1245" t="s">
        <v>527</v>
      </c>
      <c r="G1245">
        <f t="shared" si="57"/>
        <v>33.300000000000004</v>
      </c>
      <c r="H1245" t="str">
        <f t="shared" si="59"/>
        <v>Dry Grocery</v>
      </c>
    </row>
    <row r="1246" spans="1:8">
      <c r="A1246" s="17">
        <v>43203</v>
      </c>
      <c r="B1246" t="s">
        <v>375</v>
      </c>
      <c r="C1246">
        <f t="shared" si="58"/>
        <v>280</v>
      </c>
      <c r="D1246">
        <v>0.115</v>
      </c>
      <c r="E1246" t="s">
        <v>336</v>
      </c>
      <c r="F1246" t="s">
        <v>527</v>
      </c>
      <c r="G1246">
        <f t="shared" si="57"/>
        <v>32.200000000000003</v>
      </c>
      <c r="H1246" t="str">
        <f t="shared" si="59"/>
        <v>Dry Grocery</v>
      </c>
    </row>
    <row r="1247" spans="1:8">
      <c r="A1247" s="17">
        <v>43203</v>
      </c>
      <c r="B1247" t="s">
        <v>379</v>
      </c>
      <c r="C1247">
        <f t="shared" si="58"/>
        <v>120</v>
      </c>
      <c r="D1247">
        <v>0.02</v>
      </c>
      <c r="E1247" t="s">
        <v>336</v>
      </c>
      <c r="F1247" t="s">
        <v>527</v>
      </c>
      <c r="G1247">
        <f t="shared" si="57"/>
        <v>2.4</v>
      </c>
      <c r="H1247" t="str">
        <f t="shared" si="59"/>
        <v>Dry Grocery</v>
      </c>
    </row>
    <row r="1248" spans="1:8">
      <c r="A1248" s="17">
        <v>43203</v>
      </c>
      <c r="B1248" t="s">
        <v>507</v>
      </c>
      <c r="C1248">
        <f t="shared" si="58"/>
        <v>340</v>
      </c>
      <c r="D1248">
        <v>0.02</v>
      </c>
      <c r="E1248" t="s">
        <v>336</v>
      </c>
      <c r="F1248" t="s">
        <v>527</v>
      </c>
      <c r="G1248">
        <f t="shared" si="57"/>
        <v>6.8</v>
      </c>
      <c r="H1248" t="str">
        <f t="shared" si="59"/>
        <v>Dry Grocery</v>
      </c>
    </row>
    <row r="1249" spans="1:8">
      <c r="A1249" s="17">
        <v>43203</v>
      </c>
      <c r="B1249" t="s">
        <v>509</v>
      </c>
      <c r="C1249">
        <f t="shared" si="58"/>
        <v>500</v>
      </c>
      <c r="D1249">
        <v>5.5E-2</v>
      </c>
      <c r="E1249" t="s">
        <v>336</v>
      </c>
      <c r="F1249" t="s">
        <v>527</v>
      </c>
      <c r="G1249">
        <f t="shared" si="57"/>
        <v>27.5</v>
      </c>
      <c r="H1249" t="str">
        <f t="shared" si="59"/>
        <v>Dry Grocery</v>
      </c>
    </row>
    <row r="1250" spans="1:8">
      <c r="A1250" s="17">
        <v>43203</v>
      </c>
      <c r="B1250" t="s">
        <v>466</v>
      </c>
      <c r="C1250">
        <f t="shared" si="58"/>
        <v>125</v>
      </c>
      <c r="D1250">
        <v>0.23</v>
      </c>
      <c r="E1250" t="s">
        <v>336</v>
      </c>
      <c r="F1250" t="s">
        <v>527</v>
      </c>
      <c r="G1250">
        <f t="shared" si="57"/>
        <v>28.75</v>
      </c>
      <c r="H1250" t="str">
        <f t="shared" si="59"/>
        <v>Dry Grocery</v>
      </c>
    </row>
    <row r="1251" spans="1:8">
      <c r="A1251" s="17">
        <v>43203</v>
      </c>
      <c r="B1251" t="s">
        <v>387</v>
      </c>
      <c r="C1251">
        <f t="shared" si="58"/>
        <v>187.41</v>
      </c>
      <c r="D1251">
        <v>0.03</v>
      </c>
      <c r="E1251" t="s">
        <v>336</v>
      </c>
      <c r="F1251" t="s">
        <v>527</v>
      </c>
      <c r="G1251">
        <f t="shared" ref="G1251:G1314" si="60">IF(C1251="","",C1251*D1251)</f>
        <v>5.6223000000000001</v>
      </c>
      <c r="H1251" t="str">
        <f t="shared" si="59"/>
        <v>Dry Grocery</v>
      </c>
    </row>
    <row r="1252" spans="1:8">
      <c r="A1252" s="17">
        <v>43203</v>
      </c>
      <c r="B1252" t="s">
        <v>426</v>
      </c>
      <c r="C1252">
        <f t="shared" si="58"/>
        <v>57.5</v>
      </c>
      <c r="D1252">
        <v>0.02</v>
      </c>
      <c r="E1252" t="s">
        <v>336</v>
      </c>
      <c r="F1252" t="s">
        <v>527</v>
      </c>
      <c r="G1252">
        <f t="shared" si="60"/>
        <v>1.1500000000000001</v>
      </c>
      <c r="H1252" t="str">
        <f t="shared" si="59"/>
        <v>Dry Grocery</v>
      </c>
    </row>
    <row r="1253" spans="1:8">
      <c r="A1253" s="17">
        <v>43203</v>
      </c>
      <c r="B1253" t="s">
        <v>485</v>
      </c>
      <c r="C1253">
        <f t="shared" si="58"/>
        <v>96</v>
      </c>
      <c r="D1253">
        <v>0.24</v>
      </c>
      <c r="E1253" t="s">
        <v>336</v>
      </c>
      <c r="F1253" t="s">
        <v>527</v>
      </c>
      <c r="G1253">
        <f t="shared" si="60"/>
        <v>23.04</v>
      </c>
      <c r="H1253" t="str">
        <f t="shared" si="59"/>
        <v>Oil</v>
      </c>
    </row>
    <row r="1254" spans="1:8">
      <c r="A1254" s="17">
        <v>43203</v>
      </c>
      <c r="B1254" t="s">
        <v>386</v>
      </c>
      <c r="C1254">
        <f t="shared" si="58"/>
        <v>82</v>
      </c>
      <c r="D1254">
        <v>1</v>
      </c>
      <c r="E1254" t="s">
        <v>336</v>
      </c>
      <c r="F1254" t="s">
        <v>527</v>
      </c>
      <c r="G1254">
        <f t="shared" si="60"/>
        <v>82</v>
      </c>
      <c r="H1254" t="str">
        <f t="shared" si="59"/>
        <v>Oil</v>
      </c>
    </row>
    <row r="1255" spans="1:8">
      <c r="A1255" s="17">
        <v>43203</v>
      </c>
      <c r="B1255" t="s">
        <v>383</v>
      </c>
      <c r="C1255">
        <f t="shared" si="58"/>
        <v>230</v>
      </c>
      <c r="D1255">
        <v>7.0000000000000007E-2</v>
      </c>
      <c r="E1255" t="s">
        <v>336</v>
      </c>
      <c r="F1255" t="s">
        <v>527</v>
      </c>
      <c r="G1255">
        <f t="shared" si="60"/>
        <v>16.100000000000001</v>
      </c>
      <c r="H1255" t="str">
        <f t="shared" si="59"/>
        <v>Dry Grocery</v>
      </c>
    </row>
    <row r="1256" spans="1:8">
      <c r="A1256" s="17">
        <v>43203</v>
      </c>
      <c r="B1256" t="s">
        <v>431</v>
      </c>
      <c r="C1256">
        <f t="shared" si="58"/>
        <v>70</v>
      </c>
      <c r="D1256">
        <v>0.04</v>
      </c>
      <c r="E1256" t="s">
        <v>336</v>
      </c>
      <c r="F1256" t="s">
        <v>527</v>
      </c>
      <c r="G1256">
        <f t="shared" si="60"/>
        <v>2.8000000000000003</v>
      </c>
      <c r="H1256" t="str">
        <f t="shared" si="59"/>
        <v>Dry Grocery</v>
      </c>
    </row>
    <row r="1257" spans="1:8">
      <c r="A1257" s="17">
        <v>43203</v>
      </c>
      <c r="B1257" t="s">
        <v>367</v>
      </c>
      <c r="C1257">
        <f t="shared" si="58"/>
        <v>55</v>
      </c>
      <c r="D1257">
        <v>4.4999999999999998E-2</v>
      </c>
      <c r="E1257" t="s">
        <v>336</v>
      </c>
      <c r="F1257" t="s">
        <v>527</v>
      </c>
      <c r="G1257">
        <f t="shared" si="60"/>
        <v>2.4750000000000001</v>
      </c>
      <c r="H1257" t="str">
        <f t="shared" si="59"/>
        <v>Dry Grocery</v>
      </c>
    </row>
    <row r="1258" spans="1:8">
      <c r="A1258" s="17">
        <v>43203</v>
      </c>
      <c r="B1258" t="s">
        <v>432</v>
      </c>
      <c r="C1258">
        <f t="shared" si="58"/>
        <v>14</v>
      </c>
      <c r="D1258">
        <v>2.5</v>
      </c>
      <c r="E1258" t="s">
        <v>336</v>
      </c>
      <c r="F1258" t="s">
        <v>527</v>
      </c>
      <c r="G1258">
        <f t="shared" si="60"/>
        <v>35</v>
      </c>
      <c r="H1258" t="str">
        <f t="shared" si="59"/>
        <v>Vegetable</v>
      </c>
    </row>
    <row r="1259" spans="1:8">
      <c r="A1259" s="17">
        <v>43203</v>
      </c>
      <c r="B1259" t="s">
        <v>427</v>
      </c>
      <c r="C1259">
        <f t="shared" si="58"/>
        <v>28</v>
      </c>
      <c r="D1259">
        <v>0.2</v>
      </c>
      <c r="E1259" t="s">
        <v>336</v>
      </c>
      <c r="F1259" t="s">
        <v>527</v>
      </c>
      <c r="G1259">
        <f t="shared" si="60"/>
        <v>5.6000000000000005</v>
      </c>
      <c r="H1259" t="str">
        <f t="shared" si="59"/>
        <v>Vegetable</v>
      </c>
    </row>
    <row r="1260" spans="1:8">
      <c r="A1260" s="17">
        <v>43203</v>
      </c>
      <c r="B1260" t="s">
        <v>429</v>
      </c>
      <c r="C1260">
        <f t="shared" si="58"/>
        <v>40</v>
      </c>
      <c r="D1260">
        <v>0.1</v>
      </c>
      <c r="E1260" t="s">
        <v>336</v>
      </c>
      <c r="F1260" t="s">
        <v>527</v>
      </c>
      <c r="G1260">
        <f t="shared" si="60"/>
        <v>4</v>
      </c>
      <c r="H1260" t="str">
        <f t="shared" si="59"/>
        <v>Vegetable</v>
      </c>
    </row>
    <row r="1261" spans="1:8">
      <c r="A1261" s="17">
        <v>43203</v>
      </c>
      <c r="B1261" t="s">
        <v>437</v>
      </c>
      <c r="C1261">
        <f t="shared" si="58"/>
        <v>34</v>
      </c>
      <c r="D1261">
        <v>0.7</v>
      </c>
      <c r="E1261" t="s">
        <v>336</v>
      </c>
      <c r="F1261" t="s">
        <v>527</v>
      </c>
      <c r="G1261">
        <f t="shared" si="60"/>
        <v>23.799999999999997</v>
      </c>
      <c r="H1261" t="str">
        <f t="shared" si="59"/>
        <v>Dry Grocery</v>
      </c>
    </row>
    <row r="1262" spans="1:8">
      <c r="A1262" s="17">
        <v>43203</v>
      </c>
      <c r="B1262" t="s">
        <v>409</v>
      </c>
      <c r="C1262">
        <f t="shared" si="58"/>
        <v>64.069999999999993</v>
      </c>
      <c r="D1262">
        <v>0.5</v>
      </c>
      <c r="E1262" t="s">
        <v>336</v>
      </c>
      <c r="F1262" t="s">
        <v>527</v>
      </c>
      <c r="G1262">
        <f t="shared" si="60"/>
        <v>32.034999999999997</v>
      </c>
      <c r="H1262" t="str">
        <f t="shared" si="59"/>
        <v>Dry Grocery</v>
      </c>
    </row>
    <row r="1263" spans="1:8">
      <c r="A1263" s="17">
        <v>43203</v>
      </c>
      <c r="B1263" t="s">
        <v>512</v>
      </c>
      <c r="C1263">
        <f t="shared" si="58"/>
        <v>170</v>
      </c>
      <c r="D1263">
        <v>0.1</v>
      </c>
      <c r="E1263" t="s">
        <v>336</v>
      </c>
      <c r="F1263" t="s">
        <v>527</v>
      </c>
      <c r="G1263">
        <f t="shared" si="60"/>
        <v>17</v>
      </c>
      <c r="H1263" t="str">
        <f t="shared" si="59"/>
        <v>Dry Grocery</v>
      </c>
    </row>
    <row r="1264" spans="1:8">
      <c r="A1264" s="17">
        <v>43203</v>
      </c>
      <c r="B1264" t="s">
        <v>462</v>
      </c>
      <c r="C1264">
        <f t="shared" si="58"/>
        <v>138</v>
      </c>
      <c r="D1264">
        <v>0.03</v>
      </c>
      <c r="E1264" t="s">
        <v>336</v>
      </c>
      <c r="F1264" t="s">
        <v>527</v>
      </c>
      <c r="G1264">
        <f t="shared" si="60"/>
        <v>4.1399999999999997</v>
      </c>
      <c r="H1264" t="str">
        <f t="shared" si="59"/>
        <v>Dry Grocery</v>
      </c>
    </row>
    <row r="1265" spans="1:8">
      <c r="A1265" s="17">
        <v>43203</v>
      </c>
      <c r="B1265" t="s">
        <v>430</v>
      </c>
      <c r="C1265">
        <f t="shared" si="58"/>
        <v>30</v>
      </c>
      <c r="D1265">
        <v>0.2</v>
      </c>
      <c r="E1265" t="s">
        <v>336</v>
      </c>
      <c r="F1265" t="s">
        <v>527</v>
      </c>
      <c r="G1265">
        <f t="shared" si="60"/>
        <v>6</v>
      </c>
      <c r="H1265" t="str">
        <f t="shared" si="59"/>
        <v>Vegetable</v>
      </c>
    </row>
    <row r="1266" spans="1:8">
      <c r="A1266" s="17">
        <v>43203</v>
      </c>
      <c r="B1266" t="s">
        <v>466</v>
      </c>
      <c r="C1266">
        <f t="shared" si="58"/>
        <v>125</v>
      </c>
      <c r="D1266">
        <v>0.01</v>
      </c>
      <c r="E1266" t="s">
        <v>336</v>
      </c>
      <c r="F1266" t="s">
        <v>527</v>
      </c>
      <c r="G1266">
        <f t="shared" si="60"/>
        <v>1.25</v>
      </c>
      <c r="H1266" t="str">
        <f t="shared" si="59"/>
        <v>Dry Grocery</v>
      </c>
    </row>
    <row r="1267" spans="1:8">
      <c r="A1267" s="17">
        <v>43203</v>
      </c>
      <c r="B1267" t="s">
        <v>410</v>
      </c>
      <c r="C1267">
        <f t="shared" si="58"/>
        <v>76</v>
      </c>
      <c r="D1267">
        <v>0.01</v>
      </c>
      <c r="E1267" t="s">
        <v>336</v>
      </c>
      <c r="F1267" t="s">
        <v>527</v>
      </c>
      <c r="G1267">
        <f t="shared" si="60"/>
        <v>0.76</v>
      </c>
      <c r="H1267" t="str">
        <f t="shared" si="59"/>
        <v>Dry Grocery</v>
      </c>
    </row>
    <row r="1268" spans="1:8">
      <c r="A1268" s="17">
        <v>43203</v>
      </c>
      <c r="B1268" t="s">
        <v>454</v>
      </c>
      <c r="C1268">
        <f t="shared" si="58"/>
        <v>43.06</v>
      </c>
      <c r="D1268">
        <v>1</v>
      </c>
      <c r="E1268" t="s">
        <v>336</v>
      </c>
      <c r="F1268" t="s">
        <v>527</v>
      </c>
      <c r="G1268">
        <f t="shared" si="60"/>
        <v>43.06</v>
      </c>
      <c r="H1268" t="str">
        <f t="shared" si="59"/>
        <v>Vegetable</v>
      </c>
    </row>
    <row r="1269" spans="1:8">
      <c r="A1269" s="17">
        <v>43203</v>
      </c>
      <c r="B1269" t="s">
        <v>391</v>
      </c>
      <c r="C1269">
        <f t="shared" si="58"/>
        <v>27.97</v>
      </c>
      <c r="D1269">
        <v>0.15</v>
      </c>
      <c r="E1269" t="s">
        <v>336</v>
      </c>
      <c r="F1269" t="s">
        <v>527</v>
      </c>
      <c r="G1269">
        <f t="shared" si="60"/>
        <v>4.1955</v>
      </c>
      <c r="H1269" t="str">
        <f t="shared" si="59"/>
        <v>Vegetable</v>
      </c>
    </row>
    <row r="1270" spans="1:8">
      <c r="A1270" s="17">
        <v>43203</v>
      </c>
      <c r="B1270" t="s">
        <v>378</v>
      </c>
      <c r="C1270">
        <f t="shared" si="58"/>
        <v>25</v>
      </c>
      <c r="D1270">
        <v>0.2</v>
      </c>
      <c r="E1270" t="s">
        <v>336</v>
      </c>
      <c r="F1270" t="s">
        <v>527</v>
      </c>
      <c r="G1270">
        <f t="shared" si="60"/>
        <v>5</v>
      </c>
      <c r="H1270" t="str">
        <f t="shared" si="59"/>
        <v>Vegetable</v>
      </c>
    </row>
    <row r="1271" spans="1:8">
      <c r="A1271" s="17">
        <v>43203</v>
      </c>
      <c r="B1271" t="s">
        <v>479</v>
      </c>
      <c r="C1271">
        <f t="shared" si="58"/>
        <v>312.14</v>
      </c>
      <c r="D1271">
        <v>0.04</v>
      </c>
      <c r="E1271" t="s">
        <v>336</v>
      </c>
      <c r="F1271" t="s">
        <v>527</v>
      </c>
      <c r="G1271">
        <f t="shared" si="60"/>
        <v>12.4856</v>
      </c>
      <c r="H1271" t="str">
        <f t="shared" si="59"/>
        <v>Vegetable</v>
      </c>
    </row>
    <row r="1272" spans="1:8">
      <c r="A1272" s="17">
        <v>43203</v>
      </c>
      <c r="B1272" t="s">
        <v>476</v>
      </c>
      <c r="C1272">
        <f t="shared" si="58"/>
        <v>14.75</v>
      </c>
      <c r="D1272">
        <v>1.2</v>
      </c>
      <c r="E1272" t="s">
        <v>336</v>
      </c>
      <c r="F1272" t="s">
        <v>527</v>
      </c>
      <c r="G1272">
        <f t="shared" si="60"/>
        <v>17.7</v>
      </c>
      <c r="H1272" t="str">
        <f t="shared" si="59"/>
        <v>Vegetable</v>
      </c>
    </row>
    <row r="1273" spans="1:8">
      <c r="A1273" s="17">
        <v>43203</v>
      </c>
      <c r="B1273" t="s">
        <v>519</v>
      </c>
      <c r="C1273">
        <f t="shared" si="58"/>
        <v>35</v>
      </c>
      <c r="D1273">
        <v>1</v>
      </c>
      <c r="E1273" t="s">
        <v>336</v>
      </c>
      <c r="F1273" t="s">
        <v>527</v>
      </c>
      <c r="G1273">
        <f t="shared" si="60"/>
        <v>35</v>
      </c>
      <c r="H1273" t="str">
        <f t="shared" si="59"/>
        <v>Vegetable</v>
      </c>
    </row>
    <row r="1274" spans="1:8">
      <c r="A1274" s="17">
        <v>43203</v>
      </c>
      <c r="B1274" t="s">
        <v>471</v>
      </c>
      <c r="C1274">
        <f t="shared" si="58"/>
        <v>160</v>
      </c>
      <c r="D1274">
        <v>0.22</v>
      </c>
      <c r="E1274" t="s">
        <v>336</v>
      </c>
      <c r="F1274" t="s">
        <v>527</v>
      </c>
      <c r="G1274">
        <f t="shared" si="60"/>
        <v>35.200000000000003</v>
      </c>
      <c r="H1274" t="str">
        <f t="shared" si="59"/>
        <v>Dry Grocery</v>
      </c>
    </row>
    <row r="1275" spans="1:8">
      <c r="A1275" s="17">
        <v>43203</v>
      </c>
      <c r="B1275" t="s">
        <v>510</v>
      </c>
      <c r="C1275">
        <f t="shared" si="58"/>
        <v>62.03</v>
      </c>
      <c r="D1275">
        <v>0.1</v>
      </c>
      <c r="E1275" t="s">
        <v>336</v>
      </c>
      <c r="F1275" t="s">
        <v>527</v>
      </c>
      <c r="G1275">
        <f t="shared" si="60"/>
        <v>6.2030000000000003</v>
      </c>
      <c r="H1275" t="str">
        <f t="shared" si="59"/>
        <v>Dry Grocery</v>
      </c>
    </row>
    <row r="1276" spans="1:8">
      <c r="A1276" s="17">
        <v>43203</v>
      </c>
      <c r="B1276" t="s">
        <v>447</v>
      </c>
      <c r="C1276">
        <f t="shared" si="58"/>
        <v>30</v>
      </c>
      <c r="D1276">
        <v>0.3</v>
      </c>
      <c r="E1276" t="s">
        <v>336</v>
      </c>
      <c r="F1276" t="s">
        <v>527</v>
      </c>
      <c r="G1276">
        <f t="shared" si="60"/>
        <v>9</v>
      </c>
      <c r="H1276" t="str">
        <f t="shared" si="59"/>
        <v>Fruits</v>
      </c>
    </row>
    <row r="1277" spans="1:8">
      <c r="A1277" s="17">
        <v>43203</v>
      </c>
      <c r="B1277" t="s">
        <v>390</v>
      </c>
      <c r="C1277">
        <f t="shared" si="58"/>
        <v>30</v>
      </c>
      <c r="D1277">
        <v>0.25</v>
      </c>
      <c r="E1277" t="s">
        <v>336</v>
      </c>
      <c r="F1277" t="s">
        <v>527</v>
      </c>
      <c r="G1277">
        <f t="shared" si="60"/>
        <v>7.5</v>
      </c>
      <c r="H1277" t="str">
        <f t="shared" si="59"/>
        <v>Vegetable</v>
      </c>
    </row>
    <row r="1278" spans="1:8">
      <c r="A1278" s="17">
        <v>43203</v>
      </c>
      <c r="B1278" t="s">
        <v>403</v>
      </c>
      <c r="C1278">
        <f t="shared" si="58"/>
        <v>34</v>
      </c>
      <c r="D1278">
        <v>0.4</v>
      </c>
      <c r="E1278" t="s">
        <v>336</v>
      </c>
      <c r="F1278" t="s">
        <v>527</v>
      </c>
      <c r="G1278">
        <f t="shared" si="60"/>
        <v>13.600000000000001</v>
      </c>
      <c r="H1278" t="str">
        <f t="shared" si="59"/>
        <v>Dry Grocery</v>
      </c>
    </row>
    <row r="1279" spans="1:8">
      <c r="A1279" s="17">
        <v>43203</v>
      </c>
      <c r="B1279" t="s">
        <v>484</v>
      </c>
      <c r="C1279">
        <f t="shared" si="58"/>
        <v>430</v>
      </c>
      <c r="D1279">
        <v>0.05</v>
      </c>
      <c r="E1279" t="s">
        <v>336</v>
      </c>
      <c r="F1279" t="s">
        <v>527</v>
      </c>
      <c r="G1279">
        <f t="shared" si="60"/>
        <v>21.5</v>
      </c>
      <c r="H1279" t="str">
        <f t="shared" si="59"/>
        <v>Dairy</v>
      </c>
    </row>
    <row r="1280" spans="1:8">
      <c r="A1280" s="17">
        <v>43203</v>
      </c>
      <c r="B1280" t="s">
        <v>434</v>
      </c>
      <c r="C1280">
        <f t="shared" si="58"/>
        <v>125</v>
      </c>
      <c r="D1280">
        <v>0.08</v>
      </c>
      <c r="E1280" t="s">
        <v>336</v>
      </c>
      <c r="F1280" t="s">
        <v>527</v>
      </c>
      <c r="G1280">
        <f t="shared" si="60"/>
        <v>10</v>
      </c>
      <c r="H1280" t="str">
        <f t="shared" si="59"/>
        <v>Vegetable</v>
      </c>
    </row>
    <row r="1281" spans="1:10">
      <c r="A1281" s="17">
        <v>43203</v>
      </c>
      <c r="B1281" t="s">
        <v>385</v>
      </c>
      <c r="C1281">
        <f t="shared" si="58"/>
        <v>36</v>
      </c>
      <c r="D1281">
        <v>4</v>
      </c>
      <c r="E1281" t="s">
        <v>542</v>
      </c>
      <c r="F1281" t="s">
        <v>554</v>
      </c>
      <c r="G1281">
        <f t="shared" si="60"/>
        <v>144</v>
      </c>
      <c r="H1281" t="str">
        <f t="shared" si="59"/>
        <v>Dairy</v>
      </c>
    </row>
    <row r="1282" spans="1:10">
      <c r="A1282" s="17">
        <v>43203</v>
      </c>
      <c r="B1282" t="s">
        <v>436</v>
      </c>
      <c r="C1282">
        <f t="shared" si="58"/>
        <v>37</v>
      </c>
      <c r="D1282">
        <v>0.6</v>
      </c>
      <c r="E1282" t="s">
        <v>542</v>
      </c>
      <c r="F1282" t="s">
        <v>554</v>
      </c>
      <c r="G1282">
        <f t="shared" si="60"/>
        <v>22.2</v>
      </c>
      <c r="H1282" t="str">
        <f t="shared" si="59"/>
        <v>Dry Grocery</v>
      </c>
    </row>
    <row r="1283" spans="1:10">
      <c r="A1283" s="17">
        <v>43203</v>
      </c>
      <c r="B1283" t="s">
        <v>441</v>
      </c>
      <c r="C1283">
        <f t="shared" si="58"/>
        <v>390</v>
      </c>
      <c r="D1283">
        <v>0.35</v>
      </c>
      <c r="E1283" t="s">
        <v>542</v>
      </c>
      <c r="F1283" t="s">
        <v>554</v>
      </c>
      <c r="G1283">
        <f t="shared" si="60"/>
        <v>136.5</v>
      </c>
      <c r="H1283" t="str">
        <f t="shared" ref="H1283:H1365" si="61">IF(B1283="","",VLOOKUP(B1283,$XEY$3:$XFA$1200,3,FALSE))</f>
        <v>Hot Beverage</v>
      </c>
    </row>
    <row r="1284" spans="1:10">
      <c r="A1284" s="17">
        <v>43203</v>
      </c>
      <c r="B1284" t="s">
        <v>631</v>
      </c>
      <c r="C1284">
        <f t="shared" si="58"/>
        <v>2</v>
      </c>
      <c r="D1284">
        <v>5</v>
      </c>
      <c r="E1284" t="s">
        <v>336</v>
      </c>
      <c r="F1284" t="s">
        <v>527</v>
      </c>
      <c r="G1284">
        <f t="shared" si="60"/>
        <v>10</v>
      </c>
      <c r="H1284" t="str">
        <f t="shared" si="61"/>
        <v>Fruits</v>
      </c>
    </row>
    <row r="1285" spans="1:10">
      <c r="A1285" s="17">
        <v>43203</v>
      </c>
      <c r="B1285" t="s">
        <v>382</v>
      </c>
      <c r="C1285">
        <f t="shared" ref="C1285:C1348" si="62">IF(B1285="","",VLOOKUP(B1285,$XEY$3:$XEZ$1158,2,FALSE))</f>
        <v>42</v>
      </c>
      <c r="D1285">
        <v>1.5</v>
      </c>
      <c r="E1285" t="s">
        <v>525</v>
      </c>
      <c r="F1285" t="s">
        <v>526</v>
      </c>
      <c r="G1285">
        <f t="shared" si="60"/>
        <v>63</v>
      </c>
      <c r="H1285" t="str">
        <f t="shared" si="61"/>
        <v>Dairy</v>
      </c>
    </row>
    <row r="1286" spans="1:10">
      <c r="A1286" s="17">
        <v>43203</v>
      </c>
      <c r="B1286" t="s">
        <v>473</v>
      </c>
      <c r="C1286">
        <f t="shared" si="62"/>
        <v>175</v>
      </c>
      <c r="D1286">
        <v>1</v>
      </c>
      <c r="E1286" t="s">
        <v>525</v>
      </c>
      <c r="F1286" t="s">
        <v>526</v>
      </c>
      <c r="G1286">
        <f t="shared" si="60"/>
        <v>175</v>
      </c>
      <c r="H1286" t="str">
        <f t="shared" si="61"/>
        <v>Dairy</v>
      </c>
    </row>
    <row r="1287" spans="1:10">
      <c r="A1287" s="17">
        <v>43203</v>
      </c>
      <c r="B1287" t="s">
        <v>468</v>
      </c>
      <c r="C1287">
        <f t="shared" si="62"/>
        <v>32</v>
      </c>
      <c r="E1287" t="s">
        <v>525</v>
      </c>
      <c r="F1287" t="s">
        <v>526</v>
      </c>
      <c r="G1287">
        <f t="shared" si="60"/>
        <v>0</v>
      </c>
      <c r="H1287" t="str">
        <f t="shared" si="61"/>
        <v>Vegetable</v>
      </c>
      <c r="I1287">
        <v>1</v>
      </c>
    </row>
    <row r="1288" spans="1:10">
      <c r="A1288" s="17">
        <v>43204</v>
      </c>
      <c r="B1288" t="s">
        <v>458</v>
      </c>
      <c r="C1288">
        <f t="shared" si="62"/>
        <v>140</v>
      </c>
      <c r="E1288" t="s">
        <v>525</v>
      </c>
      <c r="F1288" t="s">
        <v>526</v>
      </c>
      <c r="G1288">
        <f t="shared" si="60"/>
        <v>0</v>
      </c>
      <c r="H1288" t="str">
        <f t="shared" si="61"/>
        <v>Dairy</v>
      </c>
      <c r="I1288">
        <v>0.5</v>
      </c>
    </row>
    <row r="1289" spans="1:10">
      <c r="A1289" s="17">
        <v>43204</v>
      </c>
      <c r="B1289" t="s">
        <v>451</v>
      </c>
      <c r="C1289">
        <f t="shared" si="62"/>
        <v>60</v>
      </c>
      <c r="E1289" t="s">
        <v>525</v>
      </c>
      <c r="F1289" t="s">
        <v>526</v>
      </c>
      <c r="G1289">
        <f t="shared" si="60"/>
        <v>0</v>
      </c>
      <c r="H1289" t="str">
        <f t="shared" si="61"/>
        <v>Vegetable</v>
      </c>
      <c r="I1289">
        <v>0.7</v>
      </c>
    </row>
    <row r="1290" spans="1:10">
      <c r="A1290" s="17">
        <v>43204</v>
      </c>
      <c r="B1290" t="s">
        <v>490</v>
      </c>
      <c r="C1290">
        <f t="shared" si="62"/>
        <v>100</v>
      </c>
      <c r="E1290" t="s">
        <v>525</v>
      </c>
      <c r="F1290" t="s">
        <v>526</v>
      </c>
      <c r="G1290">
        <f t="shared" si="60"/>
        <v>0</v>
      </c>
      <c r="H1290" t="str">
        <f t="shared" si="61"/>
        <v>Processed Food</v>
      </c>
      <c r="I1290">
        <v>1</v>
      </c>
    </row>
    <row r="1291" spans="1:10">
      <c r="A1291" s="17">
        <v>43204</v>
      </c>
      <c r="B1291" t="s">
        <v>489</v>
      </c>
      <c r="C1291">
        <f t="shared" si="62"/>
        <v>280</v>
      </c>
      <c r="E1291" t="s">
        <v>525</v>
      </c>
      <c r="F1291" t="s">
        <v>526</v>
      </c>
      <c r="G1291">
        <f t="shared" si="60"/>
        <v>0</v>
      </c>
      <c r="H1291" t="str">
        <f t="shared" si="61"/>
        <v>Processed Food</v>
      </c>
      <c r="I1291">
        <v>1</v>
      </c>
    </row>
    <row r="1292" spans="1:10">
      <c r="A1292" s="17">
        <v>43204</v>
      </c>
      <c r="B1292" t="s">
        <v>473</v>
      </c>
      <c r="C1292">
        <f t="shared" si="62"/>
        <v>175</v>
      </c>
      <c r="E1292" t="s">
        <v>525</v>
      </c>
      <c r="F1292" t="s">
        <v>526</v>
      </c>
      <c r="G1292">
        <f t="shared" si="60"/>
        <v>0</v>
      </c>
      <c r="H1292" t="str">
        <f t="shared" si="61"/>
        <v>Dairy</v>
      </c>
      <c r="I1292">
        <v>2</v>
      </c>
    </row>
    <row r="1293" spans="1:10">
      <c r="A1293" s="17">
        <v>43204</v>
      </c>
      <c r="B1293" t="s">
        <v>384</v>
      </c>
      <c r="C1293">
        <f t="shared" si="62"/>
        <v>3</v>
      </c>
      <c r="E1293" t="s">
        <v>531</v>
      </c>
      <c r="F1293" t="s">
        <v>530</v>
      </c>
      <c r="G1293">
        <f t="shared" si="60"/>
        <v>0</v>
      </c>
      <c r="H1293" t="str">
        <f t="shared" si="61"/>
        <v>Vegetable</v>
      </c>
      <c r="J1293">
        <v>100</v>
      </c>
    </row>
    <row r="1294" spans="1:10">
      <c r="A1294" s="17">
        <v>43204</v>
      </c>
      <c r="B1294" t="s">
        <v>382</v>
      </c>
      <c r="C1294">
        <f t="shared" si="62"/>
        <v>42</v>
      </c>
      <c r="E1294" t="s">
        <v>531</v>
      </c>
      <c r="F1294" t="s">
        <v>530</v>
      </c>
      <c r="G1294">
        <f t="shared" si="60"/>
        <v>0</v>
      </c>
      <c r="H1294" t="str">
        <f t="shared" si="61"/>
        <v>Dairy</v>
      </c>
      <c r="J1294">
        <v>6</v>
      </c>
    </row>
    <row r="1295" spans="1:10">
      <c r="A1295" s="17">
        <v>43204</v>
      </c>
      <c r="B1295" t="s">
        <v>385</v>
      </c>
      <c r="C1295">
        <f t="shared" si="62"/>
        <v>36</v>
      </c>
      <c r="E1295" t="s">
        <v>531</v>
      </c>
      <c r="F1295" t="s">
        <v>530</v>
      </c>
      <c r="G1295">
        <f t="shared" si="60"/>
        <v>0</v>
      </c>
      <c r="H1295" t="str">
        <f t="shared" si="61"/>
        <v>Dairy</v>
      </c>
      <c r="J1295">
        <v>11</v>
      </c>
    </row>
    <row r="1296" spans="1:10">
      <c r="A1296" s="17">
        <v>43204</v>
      </c>
      <c r="B1296" t="s">
        <v>391</v>
      </c>
      <c r="C1296">
        <f t="shared" si="62"/>
        <v>27.97</v>
      </c>
      <c r="E1296" t="s">
        <v>531</v>
      </c>
      <c r="F1296" t="s">
        <v>530</v>
      </c>
      <c r="G1296">
        <f t="shared" si="60"/>
        <v>0</v>
      </c>
      <c r="H1296" t="str">
        <f t="shared" si="61"/>
        <v>Vegetable</v>
      </c>
      <c r="J1296">
        <v>1</v>
      </c>
    </row>
    <row r="1297" spans="1:10">
      <c r="A1297" s="17">
        <v>43204</v>
      </c>
      <c r="B1297" t="s">
        <v>378</v>
      </c>
      <c r="C1297">
        <f t="shared" si="62"/>
        <v>25</v>
      </c>
      <c r="E1297" t="s">
        <v>531</v>
      </c>
      <c r="F1297" t="s">
        <v>530</v>
      </c>
      <c r="G1297">
        <f t="shared" si="60"/>
        <v>0</v>
      </c>
      <c r="H1297" t="str">
        <f t="shared" si="61"/>
        <v>Vegetable</v>
      </c>
      <c r="J1297">
        <v>1.1000000000000001</v>
      </c>
    </row>
    <row r="1298" spans="1:10">
      <c r="A1298" s="17">
        <v>43204</v>
      </c>
      <c r="B1298" t="s">
        <v>491</v>
      </c>
      <c r="C1298">
        <f t="shared" si="62"/>
        <v>38</v>
      </c>
      <c r="E1298" t="s">
        <v>525</v>
      </c>
      <c r="F1298" t="s">
        <v>526</v>
      </c>
      <c r="G1298">
        <f t="shared" si="60"/>
        <v>0</v>
      </c>
      <c r="H1298" t="str">
        <f t="shared" si="61"/>
        <v>Vegetable</v>
      </c>
      <c r="J1298">
        <v>1.8</v>
      </c>
    </row>
    <row r="1299" spans="1:10">
      <c r="A1299" s="17">
        <v>43204</v>
      </c>
      <c r="B1299" t="s">
        <v>434</v>
      </c>
      <c r="C1299">
        <f t="shared" si="62"/>
        <v>125</v>
      </c>
      <c r="E1299" t="s">
        <v>531</v>
      </c>
      <c r="F1299" t="s">
        <v>530</v>
      </c>
      <c r="G1299">
        <f t="shared" si="60"/>
        <v>0</v>
      </c>
      <c r="H1299" t="str">
        <f t="shared" si="61"/>
        <v>Vegetable</v>
      </c>
      <c r="J1299">
        <v>1.2</v>
      </c>
    </row>
    <row r="1300" spans="1:10">
      <c r="A1300" s="17">
        <v>43204</v>
      </c>
      <c r="B1300" t="s">
        <v>479</v>
      </c>
      <c r="C1300">
        <f t="shared" si="62"/>
        <v>312.14</v>
      </c>
      <c r="E1300" t="s">
        <v>531</v>
      </c>
      <c r="F1300" t="s">
        <v>530</v>
      </c>
      <c r="G1300">
        <f t="shared" si="60"/>
        <v>0</v>
      </c>
      <c r="H1300" t="str">
        <f t="shared" si="61"/>
        <v>Vegetable</v>
      </c>
      <c r="J1300">
        <v>0.04</v>
      </c>
    </row>
    <row r="1301" spans="1:10">
      <c r="A1301" s="17">
        <v>43204</v>
      </c>
      <c r="B1301" t="s">
        <v>429</v>
      </c>
      <c r="C1301">
        <f t="shared" si="62"/>
        <v>40</v>
      </c>
      <c r="E1301" t="s">
        <v>531</v>
      </c>
      <c r="F1301" t="s">
        <v>530</v>
      </c>
      <c r="G1301">
        <f t="shared" si="60"/>
        <v>0</v>
      </c>
      <c r="H1301" t="str">
        <f t="shared" si="61"/>
        <v>Vegetable</v>
      </c>
      <c r="J1301">
        <v>1</v>
      </c>
    </row>
    <row r="1302" spans="1:10">
      <c r="A1302" s="17">
        <v>43204</v>
      </c>
      <c r="B1302" t="s">
        <v>476</v>
      </c>
      <c r="C1302">
        <f t="shared" si="62"/>
        <v>14.75</v>
      </c>
      <c r="E1302" t="s">
        <v>531</v>
      </c>
      <c r="F1302" t="s">
        <v>530</v>
      </c>
      <c r="G1302">
        <f t="shared" si="60"/>
        <v>0</v>
      </c>
      <c r="H1302" t="str">
        <f t="shared" si="61"/>
        <v>Vegetable</v>
      </c>
      <c r="J1302">
        <v>1</v>
      </c>
    </row>
    <row r="1303" spans="1:10">
      <c r="A1303" s="17">
        <v>43204</v>
      </c>
      <c r="B1303" t="s">
        <v>473</v>
      </c>
      <c r="C1303">
        <f t="shared" si="62"/>
        <v>175</v>
      </c>
      <c r="E1303" t="s">
        <v>525</v>
      </c>
      <c r="F1303" t="s">
        <v>526</v>
      </c>
      <c r="G1303">
        <f t="shared" si="60"/>
        <v>0</v>
      </c>
      <c r="H1303" t="str">
        <f t="shared" si="61"/>
        <v>Dairy</v>
      </c>
      <c r="J1303">
        <v>1</v>
      </c>
    </row>
    <row r="1304" spans="1:10">
      <c r="A1304" s="17">
        <v>43204</v>
      </c>
      <c r="B1304" t="s">
        <v>468</v>
      </c>
      <c r="C1304">
        <f t="shared" si="62"/>
        <v>32</v>
      </c>
      <c r="E1304" t="s">
        <v>525</v>
      </c>
      <c r="F1304" t="s">
        <v>526</v>
      </c>
      <c r="G1304">
        <f t="shared" si="60"/>
        <v>0</v>
      </c>
      <c r="H1304" t="str">
        <f t="shared" si="61"/>
        <v>Vegetable</v>
      </c>
      <c r="J1304">
        <v>10</v>
      </c>
    </row>
    <row r="1305" spans="1:10">
      <c r="A1305" s="17">
        <v>43204</v>
      </c>
      <c r="B1305" t="s">
        <v>458</v>
      </c>
      <c r="C1305">
        <f t="shared" si="62"/>
        <v>140</v>
      </c>
      <c r="E1305" t="s">
        <v>525</v>
      </c>
      <c r="F1305" t="s">
        <v>526</v>
      </c>
      <c r="G1305">
        <f t="shared" si="60"/>
        <v>0</v>
      </c>
      <c r="H1305" t="str">
        <f t="shared" si="61"/>
        <v>Dairy</v>
      </c>
      <c r="J1305">
        <v>1</v>
      </c>
    </row>
    <row r="1306" spans="1:10">
      <c r="A1306" s="17">
        <v>43204</v>
      </c>
      <c r="B1306" t="s">
        <v>451</v>
      </c>
      <c r="C1306">
        <f t="shared" si="62"/>
        <v>60</v>
      </c>
      <c r="E1306" t="s">
        <v>525</v>
      </c>
      <c r="F1306" t="s">
        <v>526</v>
      </c>
      <c r="G1306">
        <f t="shared" si="60"/>
        <v>0</v>
      </c>
      <c r="H1306" t="str">
        <f t="shared" si="61"/>
        <v>Vegetable</v>
      </c>
      <c r="J1306">
        <v>1</v>
      </c>
    </row>
    <row r="1307" spans="1:10">
      <c r="A1307" s="17">
        <v>43204</v>
      </c>
      <c r="B1307" t="s">
        <v>459</v>
      </c>
      <c r="C1307">
        <f t="shared" si="62"/>
        <v>190</v>
      </c>
      <c r="E1307" t="s">
        <v>525</v>
      </c>
      <c r="F1307" t="s">
        <v>526</v>
      </c>
      <c r="G1307">
        <f t="shared" si="60"/>
        <v>0</v>
      </c>
      <c r="H1307" t="str">
        <f t="shared" si="61"/>
        <v>Dairy</v>
      </c>
      <c r="J1307">
        <v>1</v>
      </c>
    </row>
    <row r="1308" spans="1:10">
      <c r="A1308" s="17">
        <v>43204</v>
      </c>
      <c r="B1308" s="16" t="s">
        <v>454</v>
      </c>
      <c r="C1308">
        <f t="shared" si="62"/>
        <v>43.06</v>
      </c>
      <c r="E1308" t="s">
        <v>531</v>
      </c>
      <c r="F1308" t="s">
        <v>530</v>
      </c>
      <c r="G1308">
        <f t="shared" si="60"/>
        <v>0</v>
      </c>
      <c r="H1308" t="str">
        <f t="shared" si="61"/>
        <v>Vegetable</v>
      </c>
    </row>
    <row r="1309" spans="1:10">
      <c r="A1309" s="17">
        <v>43204</v>
      </c>
      <c r="B1309" t="s">
        <v>393</v>
      </c>
      <c r="C1309">
        <f t="shared" si="62"/>
        <v>26</v>
      </c>
      <c r="D1309">
        <f>6+5+2.5</f>
        <v>13.5</v>
      </c>
      <c r="E1309" t="s">
        <v>525</v>
      </c>
      <c r="F1309" t="s">
        <v>526</v>
      </c>
      <c r="G1309">
        <f t="shared" si="60"/>
        <v>351</v>
      </c>
      <c r="H1309" t="str">
        <f t="shared" si="61"/>
        <v>Heating</v>
      </c>
    </row>
    <row r="1310" spans="1:10">
      <c r="A1310" s="17">
        <v>43204</v>
      </c>
      <c r="B1310" t="s">
        <v>467</v>
      </c>
      <c r="C1310">
        <f t="shared" si="62"/>
        <v>75</v>
      </c>
      <c r="D1310">
        <v>1</v>
      </c>
      <c r="E1310" t="s">
        <v>525</v>
      </c>
      <c r="F1310" t="s">
        <v>526</v>
      </c>
      <c r="G1310">
        <f t="shared" si="60"/>
        <v>75</v>
      </c>
      <c r="H1310" t="str">
        <f t="shared" si="61"/>
        <v>Dry Grocery</v>
      </c>
    </row>
    <row r="1311" spans="1:10">
      <c r="A1311" s="17">
        <v>43204</v>
      </c>
      <c r="B1311" t="s">
        <v>390</v>
      </c>
      <c r="C1311">
        <f t="shared" si="62"/>
        <v>30</v>
      </c>
      <c r="D1311">
        <v>1.5</v>
      </c>
      <c r="E1311" t="s">
        <v>525</v>
      </c>
      <c r="F1311" t="s">
        <v>526</v>
      </c>
      <c r="G1311">
        <f t="shared" si="60"/>
        <v>45</v>
      </c>
      <c r="H1311" t="str">
        <f t="shared" si="61"/>
        <v>Vegetable</v>
      </c>
    </row>
    <row r="1312" spans="1:10">
      <c r="A1312" s="17">
        <v>43204</v>
      </c>
      <c r="B1312" t="s">
        <v>432</v>
      </c>
      <c r="C1312">
        <f t="shared" si="62"/>
        <v>14</v>
      </c>
      <c r="D1312">
        <v>7.5</v>
      </c>
      <c r="E1312" t="s">
        <v>525</v>
      </c>
      <c r="F1312" t="s">
        <v>526</v>
      </c>
      <c r="G1312">
        <f t="shared" si="60"/>
        <v>105</v>
      </c>
      <c r="H1312" t="str">
        <f t="shared" si="61"/>
        <v>Vegetable</v>
      </c>
    </row>
    <row r="1313" spans="1:8">
      <c r="A1313" s="17">
        <v>43204</v>
      </c>
      <c r="B1313" t="s">
        <v>457</v>
      </c>
      <c r="C1313">
        <f t="shared" si="62"/>
        <v>64</v>
      </c>
      <c r="D1313">
        <v>2.5</v>
      </c>
      <c r="E1313" t="s">
        <v>525</v>
      </c>
      <c r="F1313" t="s">
        <v>526</v>
      </c>
      <c r="G1313">
        <f t="shared" si="60"/>
        <v>160</v>
      </c>
      <c r="H1313" t="str">
        <f t="shared" si="61"/>
        <v>Dry Grocery</v>
      </c>
    </row>
    <row r="1314" spans="1:8">
      <c r="A1314" s="17">
        <v>43204</v>
      </c>
      <c r="B1314" t="s">
        <v>452</v>
      </c>
      <c r="C1314">
        <f t="shared" si="62"/>
        <v>62</v>
      </c>
      <c r="D1314">
        <v>2</v>
      </c>
      <c r="E1314" t="s">
        <v>525</v>
      </c>
      <c r="F1314" t="s">
        <v>526</v>
      </c>
      <c r="G1314">
        <f t="shared" si="60"/>
        <v>124</v>
      </c>
      <c r="H1314" t="str">
        <f t="shared" si="61"/>
        <v>Dry Grocery</v>
      </c>
    </row>
    <row r="1315" spans="1:8">
      <c r="A1315" s="17">
        <v>43204</v>
      </c>
      <c r="B1315" t="s">
        <v>376</v>
      </c>
      <c r="C1315">
        <f t="shared" si="62"/>
        <v>220</v>
      </c>
      <c r="D1315">
        <v>5.0000000000000001E-3</v>
      </c>
      <c r="E1315" t="s">
        <v>525</v>
      </c>
      <c r="F1315" t="s">
        <v>526</v>
      </c>
      <c r="G1315">
        <f t="shared" ref="G1315:G1337" si="63">IF(C1315="","",C1315*D1315)</f>
        <v>1.1000000000000001</v>
      </c>
      <c r="H1315" t="str">
        <f t="shared" si="61"/>
        <v>Spice</v>
      </c>
    </row>
    <row r="1316" spans="1:8">
      <c r="A1316" s="17">
        <v>43204</v>
      </c>
      <c r="B1316" t="s">
        <v>377</v>
      </c>
      <c r="C1316">
        <f t="shared" si="62"/>
        <v>740</v>
      </c>
      <c r="D1316">
        <v>5.0000000000000001E-3</v>
      </c>
      <c r="E1316" t="s">
        <v>525</v>
      </c>
      <c r="F1316" t="s">
        <v>526</v>
      </c>
      <c r="G1316">
        <f t="shared" si="63"/>
        <v>3.7</v>
      </c>
      <c r="H1316" t="str">
        <f t="shared" si="61"/>
        <v>Spice</v>
      </c>
    </row>
    <row r="1317" spans="1:8">
      <c r="A1317" s="17">
        <v>43204</v>
      </c>
      <c r="B1317" t="s">
        <v>461</v>
      </c>
      <c r="C1317">
        <f t="shared" si="62"/>
        <v>1450</v>
      </c>
      <c r="D1317">
        <v>5.0000000000000001E-3</v>
      </c>
      <c r="E1317" t="s">
        <v>525</v>
      </c>
      <c r="F1317" t="s">
        <v>526</v>
      </c>
      <c r="G1317">
        <f t="shared" si="63"/>
        <v>7.25</v>
      </c>
      <c r="H1317" t="str">
        <f t="shared" si="61"/>
        <v>Spice</v>
      </c>
    </row>
    <row r="1318" spans="1:8">
      <c r="A1318" s="17">
        <v>43204</v>
      </c>
      <c r="B1318" t="s">
        <v>464</v>
      </c>
      <c r="C1318">
        <f t="shared" si="62"/>
        <v>750</v>
      </c>
      <c r="D1318">
        <v>5.0000000000000001E-3</v>
      </c>
      <c r="E1318" t="s">
        <v>525</v>
      </c>
      <c r="F1318" t="s">
        <v>526</v>
      </c>
      <c r="G1318">
        <f t="shared" si="63"/>
        <v>3.75</v>
      </c>
      <c r="H1318" t="str">
        <f t="shared" si="61"/>
        <v>Spice</v>
      </c>
    </row>
    <row r="1319" spans="1:8">
      <c r="A1319" s="17">
        <v>43204</v>
      </c>
      <c r="B1319" t="s">
        <v>399</v>
      </c>
      <c r="C1319">
        <f t="shared" si="62"/>
        <v>1480</v>
      </c>
      <c r="D1319">
        <v>5.0000000000000001E-3</v>
      </c>
      <c r="E1319" t="s">
        <v>525</v>
      </c>
      <c r="F1319" t="s">
        <v>526</v>
      </c>
      <c r="G1319">
        <f t="shared" si="63"/>
        <v>7.4</v>
      </c>
      <c r="H1319" t="str">
        <f t="shared" si="61"/>
        <v>Spice</v>
      </c>
    </row>
    <row r="1320" spans="1:8">
      <c r="A1320" s="17">
        <v>43204</v>
      </c>
      <c r="B1320" t="s">
        <v>491</v>
      </c>
      <c r="C1320">
        <f t="shared" si="62"/>
        <v>38</v>
      </c>
      <c r="D1320">
        <v>1.4</v>
      </c>
      <c r="E1320" t="s">
        <v>525</v>
      </c>
      <c r="F1320" t="s">
        <v>526</v>
      </c>
      <c r="G1320">
        <f t="shared" si="63"/>
        <v>53.199999999999996</v>
      </c>
      <c r="H1320" t="str">
        <f t="shared" si="61"/>
        <v>Vegetable</v>
      </c>
    </row>
    <row r="1321" spans="1:8">
      <c r="A1321" s="17">
        <v>43204</v>
      </c>
      <c r="B1321" t="s">
        <v>430</v>
      </c>
      <c r="C1321">
        <f t="shared" si="62"/>
        <v>30</v>
      </c>
      <c r="D1321">
        <v>0.65</v>
      </c>
      <c r="E1321" t="s">
        <v>525</v>
      </c>
      <c r="F1321" t="s">
        <v>526</v>
      </c>
      <c r="G1321">
        <f t="shared" si="63"/>
        <v>19.5</v>
      </c>
      <c r="H1321" t="str">
        <f t="shared" si="61"/>
        <v>Vegetable</v>
      </c>
    </row>
    <row r="1322" spans="1:8">
      <c r="A1322" s="17">
        <v>43204</v>
      </c>
      <c r="B1322" t="s">
        <v>378</v>
      </c>
      <c r="C1322">
        <f t="shared" si="62"/>
        <v>25</v>
      </c>
      <c r="D1322">
        <v>0.5</v>
      </c>
      <c r="E1322" t="s">
        <v>525</v>
      </c>
      <c r="F1322" t="s">
        <v>526</v>
      </c>
      <c r="G1322">
        <f t="shared" si="63"/>
        <v>12.5</v>
      </c>
      <c r="H1322" t="str">
        <f t="shared" si="61"/>
        <v>Vegetable</v>
      </c>
    </row>
    <row r="1323" spans="1:8">
      <c r="A1323" s="17">
        <v>43204</v>
      </c>
      <c r="B1323" t="s">
        <v>434</v>
      </c>
      <c r="C1323">
        <f t="shared" si="62"/>
        <v>125</v>
      </c>
      <c r="D1323">
        <v>0.18</v>
      </c>
      <c r="E1323" t="s">
        <v>525</v>
      </c>
      <c r="F1323" t="s">
        <v>526</v>
      </c>
      <c r="G1323">
        <f t="shared" si="63"/>
        <v>22.5</v>
      </c>
      <c r="H1323" t="str">
        <f t="shared" si="61"/>
        <v>Vegetable</v>
      </c>
    </row>
    <row r="1324" spans="1:8">
      <c r="A1324" s="17">
        <v>43204</v>
      </c>
      <c r="B1324" t="s">
        <v>479</v>
      </c>
      <c r="C1324">
        <f t="shared" si="62"/>
        <v>312.14</v>
      </c>
      <c r="D1324">
        <v>0.04</v>
      </c>
      <c r="E1324" t="s">
        <v>525</v>
      </c>
      <c r="F1324" t="s">
        <v>526</v>
      </c>
      <c r="G1324">
        <f t="shared" si="63"/>
        <v>12.4856</v>
      </c>
      <c r="H1324" t="str">
        <f t="shared" si="61"/>
        <v>Vegetable</v>
      </c>
    </row>
    <row r="1325" spans="1:8">
      <c r="A1325" s="17">
        <v>43204</v>
      </c>
      <c r="B1325" t="s">
        <v>391</v>
      </c>
      <c r="C1325">
        <f t="shared" si="62"/>
        <v>27.97</v>
      </c>
      <c r="D1325">
        <v>0.8</v>
      </c>
      <c r="E1325" t="s">
        <v>525</v>
      </c>
      <c r="F1325" t="s">
        <v>526</v>
      </c>
      <c r="G1325">
        <f t="shared" si="63"/>
        <v>22.376000000000001</v>
      </c>
      <c r="H1325" t="str">
        <f t="shared" si="61"/>
        <v>Vegetable</v>
      </c>
    </row>
    <row r="1326" spans="1:8">
      <c r="A1326" s="17">
        <v>43204</v>
      </c>
      <c r="B1326" t="s">
        <v>490</v>
      </c>
      <c r="C1326">
        <f t="shared" si="62"/>
        <v>100</v>
      </c>
      <c r="D1326">
        <v>1</v>
      </c>
      <c r="E1326" t="s">
        <v>525</v>
      </c>
      <c r="F1326" t="s">
        <v>526</v>
      </c>
      <c r="G1326">
        <f t="shared" si="63"/>
        <v>100</v>
      </c>
      <c r="H1326" t="str">
        <f t="shared" si="61"/>
        <v>Processed Food</v>
      </c>
    </row>
    <row r="1327" spans="1:8">
      <c r="A1327" s="17">
        <v>43204</v>
      </c>
      <c r="B1327" t="s">
        <v>458</v>
      </c>
      <c r="C1327">
        <f t="shared" si="62"/>
        <v>140</v>
      </c>
      <c r="D1327">
        <v>1</v>
      </c>
      <c r="E1327" t="s">
        <v>525</v>
      </c>
      <c r="F1327" t="s">
        <v>526</v>
      </c>
      <c r="G1327">
        <f t="shared" si="63"/>
        <v>140</v>
      </c>
      <c r="H1327" t="str">
        <f t="shared" si="61"/>
        <v>Dairy</v>
      </c>
    </row>
    <row r="1328" spans="1:8">
      <c r="A1328" s="17">
        <v>43204</v>
      </c>
      <c r="B1328" t="s">
        <v>429</v>
      </c>
      <c r="C1328">
        <f t="shared" si="62"/>
        <v>40</v>
      </c>
      <c r="D1328">
        <v>0.3</v>
      </c>
      <c r="E1328" t="s">
        <v>525</v>
      </c>
      <c r="F1328" t="s">
        <v>526</v>
      </c>
      <c r="G1328">
        <f t="shared" si="63"/>
        <v>12</v>
      </c>
      <c r="H1328" t="str">
        <f t="shared" si="61"/>
        <v>Vegetable</v>
      </c>
    </row>
    <row r="1329" spans="1:8">
      <c r="A1329" s="17">
        <v>43204</v>
      </c>
      <c r="B1329" t="s">
        <v>454</v>
      </c>
      <c r="C1329">
        <f t="shared" si="62"/>
        <v>43.06</v>
      </c>
      <c r="D1329">
        <v>1.6</v>
      </c>
      <c r="E1329" t="s">
        <v>525</v>
      </c>
      <c r="F1329" t="s">
        <v>526</v>
      </c>
      <c r="G1329">
        <f t="shared" si="63"/>
        <v>68.896000000000001</v>
      </c>
      <c r="H1329" t="str">
        <f t="shared" si="61"/>
        <v>Vegetable</v>
      </c>
    </row>
    <row r="1330" spans="1:8">
      <c r="A1330" s="17">
        <v>43204</v>
      </c>
      <c r="B1330" t="s">
        <v>382</v>
      </c>
      <c r="C1330">
        <f t="shared" si="62"/>
        <v>42</v>
      </c>
      <c r="D1330">
        <v>1</v>
      </c>
      <c r="E1330" t="s">
        <v>525</v>
      </c>
      <c r="F1330" t="s">
        <v>526</v>
      </c>
      <c r="G1330">
        <f t="shared" si="63"/>
        <v>42</v>
      </c>
      <c r="H1330" t="str">
        <f t="shared" si="61"/>
        <v>Dairy</v>
      </c>
    </row>
    <row r="1331" spans="1:8">
      <c r="A1331" s="17">
        <v>43204</v>
      </c>
      <c r="B1331" t="s">
        <v>386</v>
      </c>
      <c r="C1331">
        <f t="shared" si="62"/>
        <v>82</v>
      </c>
      <c r="D1331">
        <v>4</v>
      </c>
      <c r="E1331" t="s">
        <v>525</v>
      </c>
      <c r="F1331" t="s">
        <v>526</v>
      </c>
      <c r="G1331">
        <f t="shared" si="63"/>
        <v>328</v>
      </c>
      <c r="H1331" t="str">
        <f t="shared" si="61"/>
        <v>Oil</v>
      </c>
    </row>
    <row r="1332" spans="1:8">
      <c r="A1332" s="17">
        <v>43204</v>
      </c>
      <c r="B1332" t="s">
        <v>473</v>
      </c>
      <c r="C1332">
        <f t="shared" si="62"/>
        <v>175</v>
      </c>
      <c r="D1332">
        <v>1</v>
      </c>
      <c r="E1332" t="s">
        <v>525</v>
      </c>
      <c r="F1332" t="s">
        <v>526</v>
      </c>
      <c r="G1332">
        <f t="shared" si="63"/>
        <v>175</v>
      </c>
      <c r="H1332" t="str">
        <f t="shared" si="61"/>
        <v>Dairy</v>
      </c>
    </row>
    <row r="1333" spans="1:8">
      <c r="A1333" s="17">
        <v>43204</v>
      </c>
      <c r="B1333" t="s">
        <v>378</v>
      </c>
      <c r="C1333">
        <f t="shared" si="62"/>
        <v>25</v>
      </c>
      <c r="D1333">
        <v>0.55000000000000004</v>
      </c>
      <c r="E1333" t="s">
        <v>525</v>
      </c>
      <c r="F1333" t="s">
        <v>526</v>
      </c>
      <c r="G1333">
        <f t="shared" si="63"/>
        <v>13.750000000000002</v>
      </c>
      <c r="H1333" t="str">
        <f t="shared" si="61"/>
        <v>Vegetable</v>
      </c>
    </row>
    <row r="1334" spans="1:8">
      <c r="A1334" s="17">
        <v>43204</v>
      </c>
      <c r="B1334" t="s">
        <v>420</v>
      </c>
      <c r="C1334">
        <f t="shared" si="62"/>
        <v>3</v>
      </c>
      <c r="D1334">
        <f>1.08+0.25</f>
        <v>1.33</v>
      </c>
      <c r="E1334" t="s">
        <v>525</v>
      </c>
      <c r="F1334" t="s">
        <v>526</v>
      </c>
      <c r="G1334">
        <f t="shared" si="63"/>
        <v>3.99</v>
      </c>
      <c r="H1334" t="str">
        <f t="shared" si="61"/>
        <v>Vegetable</v>
      </c>
    </row>
    <row r="1335" spans="1:8">
      <c r="A1335" s="17">
        <v>43204</v>
      </c>
      <c r="B1335" t="s">
        <v>394</v>
      </c>
      <c r="C1335">
        <f t="shared" si="62"/>
        <v>45</v>
      </c>
      <c r="D1335">
        <v>1</v>
      </c>
      <c r="E1335" t="s">
        <v>525</v>
      </c>
      <c r="F1335" t="s">
        <v>526</v>
      </c>
      <c r="G1335">
        <f t="shared" si="63"/>
        <v>45</v>
      </c>
      <c r="H1335" t="str">
        <f t="shared" si="61"/>
        <v>Dry Grocery</v>
      </c>
    </row>
    <row r="1336" spans="1:8">
      <c r="A1336" s="17">
        <v>43204</v>
      </c>
      <c r="B1336" t="s">
        <v>468</v>
      </c>
      <c r="C1336">
        <f t="shared" si="62"/>
        <v>32</v>
      </c>
      <c r="D1336">
        <v>6</v>
      </c>
      <c r="E1336" t="s">
        <v>525</v>
      </c>
      <c r="F1336" t="s">
        <v>526</v>
      </c>
      <c r="G1336">
        <f t="shared" si="63"/>
        <v>192</v>
      </c>
      <c r="H1336" t="str">
        <f t="shared" si="61"/>
        <v>Vegetable</v>
      </c>
    </row>
    <row r="1337" spans="1:8">
      <c r="A1337" s="17">
        <v>43204</v>
      </c>
      <c r="B1337" t="s">
        <v>411</v>
      </c>
      <c r="C1337">
        <f t="shared" si="62"/>
        <v>49.5</v>
      </c>
      <c r="D1337">
        <v>0.05</v>
      </c>
      <c r="E1337" t="s">
        <v>525</v>
      </c>
      <c r="F1337" t="s">
        <v>526</v>
      </c>
      <c r="G1337">
        <f t="shared" si="63"/>
        <v>2.4750000000000001</v>
      </c>
      <c r="H1337" t="str">
        <f t="shared" si="61"/>
        <v>Dry Grocery</v>
      </c>
    </row>
    <row r="1338" spans="1:8">
      <c r="A1338" s="17">
        <v>43204</v>
      </c>
      <c r="B1338" t="s">
        <v>451</v>
      </c>
      <c r="C1338">
        <f t="shared" si="62"/>
        <v>60</v>
      </c>
      <c r="D1338">
        <v>0.2</v>
      </c>
      <c r="E1338" t="s">
        <v>525</v>
      </c>
      <c r="F1338" t="s">
        <v>526</v>
      </c>
      <c r="G1338">
        <f t="shared" ref="G1338:G1378" si="64">IF(C1338="","",C1338*D1338)</f>
        <v>12</v>
      </c>
      <c r="H1338" t="str">
        <f t="shared" si="61"/>
        <v>Vegetable</v>
      </c>
    </row>
    <row r="1339" spans="1:8">
      <c r="A1339" s="17">
        <v>43204</v>
      </c>
      <c r="B1339" t="s">
        <v>500</v>
      </c>
      <c r="C1339">
        <f t="shared" si="62"/>
        <v>72</v>
      </c>
      <c r="D1339">
        <v>0.05</v>
      </c>
      <c r="E1339" t="s">
        <v>525</v>
      </c>
      <c r="F1339" t="s">
        <v>526</v>
      </c>
      <c r="G1339">
        <f t="shared" si="64"/>
        <v>3.6</v>
      </c>
      <c r="H1339" t="str">
        <f t="shared" si="61"/>
        <v>Dry Grocery</v>
      </c>
    </row>
    <row r="1340" spans="1:8">
      <c r="A1340" s="17">
        <v>43204</v>
      </c>
      <c r="B1340" t="s">
        <v>441</v>
      </c>
      <c r="C1340">
        <f t="shared" si="62"/>
        <v>390</v>
      </c>
      <c r="D1340">
        <v>0.35</v>
      </c>
      <c r="E1340" t="s">
        <v>542</v>
      </c>
      <c r="F1340" t="s">
        <v>554</v>
      </c>
      <c r="G1340">
        <f t="shared" si="64"/>
        <v>136.5</v>
      </c>
      <c r="H1340" t="str">
        <f t="shared" si="61"/>
        <v>Hot Beverage</v>
      </c>
    </row>
    <row r="1341" spans="1:8">
      <c r="A1341" s="17">
        <v>43204</v>
      </c>
      <c r="B1341" t="s">
        <v>382</v>
      </c>
      <c r="C1341">
        <f t="shared" si="62"/>
        <v>42</v>
      </c>
      <c r="D1341">
        <v>0.5</v>
      </c>
      <c r="E1341" t="s">
        <v>525</v>
      </c>
      <c r="F1341" t="s">
        <v>526</v>
      </c>
      <c r="G1341">
        <f t="shared" si="64"/>
        <v>21</v>
      </c>
      <c r="H1341" t="str">
        <f t="shared" si="61"/>
        <v>Dairy</v>
      </c>
    </row>
    <row r="1342" spans="1:8">
      <c r="A1342" s="17">
        <v>43204</v>
      </c>
      <c r="B1342" t="s">
        <v>375</v>
      </c>
      <c r="C1342">
        <f t="shared" si="62"/>
        <v>280</v>
      </c>
      <c r="D1342">
        <v>0.05</v>
      </c>
      <c r="E1342" t="s">
        <v>525</v>
      </c>
      <c r="F1342" t="s">
        <v>526</v>
      </c>
      <c r="G1342">
        <f t="shared" si="64"/>
        <v>14</v>
      </c>
      <c r="H1342" t="str">
        <f t="shared" si="61"/>
        <v>Dry Grocery</v>
      </c>
    </row>
    <row r="1343" spans="1:8">
      <c r="A1343" s="17">
        <v>43204</v>
      </c>
      <c r="B1343" t="s">
        <v>426</v>
      </c>
      <c r="C1343">
        <f t="shared" si="62"/>
        <v>57.5</v>
      </c>
      <c r="D1343">
        <v>0.16</v>
      </c>
      <c r="E1343" t="s">
        <v>525</v>
      </c>
      <c r="F1343" t="s">
        <v>526</v>
      </c>
      <c r="G1343">
        <f t="shared" si="64"/>
        <v>9.2000000000000011</v>
      </c>
      <c r="H1343" t="str">
        <f t="shared" si="61"/>
        <v>Dry Grocery</v>
      </c>
    </row>
    <row r="1344" spans="1:8">
      <c r="A1344" s="17">
        <v>43204</v>
      </c>
      <c r="B1344" t="s">
        <v>411</v>
      </c>
      <c r="C1344">
        <f t="shared" si="62"/>
        <v>49.5</v>
      </c>
      <c r="D1344">
        <v>8.5000000000000006E-2</v>
      </c>
      <c r="E1344" t="s">
        <v>525</v>
      </c>
      <c r="F1344" t="s">
        <v>526</v>
      </c>
      <c r="G1344">
        <f t="shared" si="64"/>
        <v>4.2075000000000005</v>
      </c>
      <c r="H1344" t="str">
        <f t="shared" si="61"/>
        <v>Dry Grocery</v>
      </c>
    </row>
    <row r="1345" spans="1:8">
      <c r="A1345" s="17">
        <v>43204</v>
      </c>
      <c r="B1345" t="s">
        <v>387</v>
      </c>
      <c r="C1345">
        <f t="shared" si="62"/>
        <v>187.41</v>
      </c>
      <c r="D1345">
        <v>1.4999999999999999E-2</v>
      </c>
      <c r="E1345" t="s">
        <v>525</v>
      </c>
      <c r="F1345" t="s">
        <v>526</v>
      </c>
      <c r="G1345">
        <f t="shared" si="64"/>
        <v>2.81115</v>
      </c>
      <c r="H1345" t="str">
        <f t="shared" si="61"/>
        <v>Dry Grocery</v>
      </c>
    </row>
    <row r="1346" spans="1:8">
      <c r="A1346" s="17">
        <v>43204</v>
      </c>
      <c r="B1346" t="s">
        <v>482</v>
      </c>
      <c r="C1346">
        <f t="shared" si="62"/>
        <v>48</v>
      </c>
      <c r="D1346">
        <v>2.5000000000000001E-2</v>
      </c>
      <c r="E1346" t="s">
        <v>525</v>
      </c>
      <c r="F1346" t="s">
        <v>526</v>
      </c>
      <c r="G1346">
        <f t="shared" si="64"/>
        <v>1.2000000000000002</v>
      </c>
      <c r="H1346" t="str">
        <f t="shared" si="61"/>
        <v>Dry Grocery</v>
      </c>
    </row>
    <row r="1347" spans="1:8">
      <c r="A1347" s="17">
        <v>43204</v>
      </c>
      <c r="B1347" t="s">
        <v>435</v>
      </c>
      <c r="C1347">
        <f t="shared" si="62"/>
        <v>17</v>
      </c>
      <c r="D1347">
        <v>0.06</v>
      </c>
      <c r="E1347" t="s">
        <v>525</v>
      </c>
      <c r="F1347" t="s">
        <v>526</v>
      </c>
      <c r="G1347">
        <f t="shared" si="64"/>
        <v>1.02</v>
      </c>
      <c r="H1347" t="str">
        <f t="shared" si="61"/>
        <v>Dry Grocery</v>
      </c>
    </row>
    <row r="1348" spans="1:8">
      <c r="A1348" s="17">
        <v>43204</v>
      </c>
      <c r="B1348" t="s">
        <v>455</v>
      </c>
      <c r="C1348">
        <f t="shared" si="62"/>
        <v>380</v>
      </c>
      <c r="D1348">
        <v>0.05</v>
      </c>
      <c r="E1348" t="s">
        <v>525</v>
      </c>
      <c r="F1348" t="s">
        <v>526</v>
      </c>
      <c r="G1348">
        <f t="shared" si="64"/>
        <v>19</v>
      </c>
      <c r="H1348" t="str">
        <f t="shared" si="61"/>
        <v>Dry Grocery</v>
      </c>
    </row>
    <row r="1349" spans="1:8">
      <c r="A1349" s="17">
        <v>43204</v>
      </c>
      <c r="B1349" t="s">
        <v>398</v>
      </c>
      <c r="C1349">
        <f t="shared" ref="C1349:C1412" si="65">IF(B1349="","",VLOOKUP(B1349,$XEY$3:$XEZ$1158,2,FALSE))</f>
        <v>51</v>
      </c>
      <c r="D1349">
        <v>0.18</v>
      </c>
      <c r="E1349" t="s">
        <v>525</v>
      </c>
      <c r="F1349" t="s">
        <v>526</v>
      </c>
      <c r="G1349">
        <f t="shared" si="64"/>
        <v>9.18</v>
      </c>
      <c r="H1349" t="str">
        <f t="shared" si="61"/>
        <v>Dry Grocery</v>
      </c>
    </row>
    <row r="1350" spans="1:8">
      <c r="A1350" s="17">
        <v>43204</v>
      </c>
      <c r="B1350" t="s">
        <v>478</v>
      </c>
      <c r="C1350">
        <f t="shared" si="65"/>
        <v>180</v>
      </c>
      <c r="D1350">
        <v>0.25</v>
      </c>
      <c r="E1350" t="s">
        <v>525</v>
      </c>
      <c r="F1350" t="s">
        <v>526</v>
      </c>
      <c r="G1350">
        <f t="shared" si="64"/>
        <v>45</v>
      </c>
      <c r="H1350" t="str">
        <f t="shared" si="61"/>
        <v>Dry Grocery</v>
      </c>
    </row>
    <row r="1351" spans="1:8">
      <c r="A1351" s="17">
        <v>43204</v>
      </c>
      <c r="B1351" t="s">
        <v>475</v>
      </c>
      <c r="C1351">
        <f t="shared" si="65"/>
        <v>148</v>
      </c>
      <c r="D1351">
        <v>0.26500000000000001</v>
      </c>
      <c r="E1351" t="s">
        <v>525</v>
      </c>
      <c r="F1351" t="s">
        <v>526</v>
      </c>
      <c r="G1351">
        <f t="shared" si="64"/>
        <v>39.22</v>
      </c>
      <c r="H1351" t="str">
        <f t="shared" si="61"/>
        <v>Dry Grocery</v>
      </c>
    </row>
    <row r="1352" spans="1:8">
      <c r="A1352" s="17">
        <v>43204</v>
      </c>
      <c r="B1352" t="s">
        <v>518</v>
      </c>
      <c r="C1352">
        <f t="shared" si="65"/>
        <v>24</v>
      </c>
      <c r="D1352">
        <v>0.19</v>
      </c>
      <c r="E1352" t="s">
        <v>525</v>
      </c>
      <c r="F1352" t="s">
        <v>526</v>
      </c>
      <c r="G1352">
        <f t="shared" si="64"/>
        <v>4.5600000000000005</v>
      </c>
      <c r="H1352" t="str">
        <f t="shared" si="61"/>
        <v>Dry Grocery</v>
      </c>
    </row>
    <row r="1353" spans="1:8">
      <c r="A1353" s="17">
        <v>43204</v>
      </c>
      <c r="B1353" t="s">
        <v>372</v>
      </c>
      <c r="C1353">
        <f t="shared" si="65"/>
        <v>33</v>
      </c>
      <c r="D1353">
        <v>0.45</v>
      </c>
      <c r="E1353" t="s">
        <v>525</v>
      </c>
      <c r="F1353" t="s">
        <v>526</v>
      </c>
      <c r="G1353">
        <f t="shared" si="64"/>
        <v>14.85</v>
      </c>
      <c r="H1353" t="str">
        <f t="shared" si="61"/>
        <v>Sauce</v>
      </c>
    </row>
    <row r="1354" spans="1:8">
      <c r="A1354" s="17">
        <v>43204</v>
      </c>
      <c r="B1354" t="s">
        <v>400</v>
      </c>
      <c r="C1354">
        <f t="shared" si="65"/>
        <v>135</v>
      </c>
      <c r="D1354">
        <v>0.13500000000000001</v>
      </c>
      <c r="E1354" t="s">
        <v>525</v>
      </c>
      <c r="F1354" t="s">
        <v>526</v>
      </c>
      <c r="G1354">
        <f t="shared" si="64"/>
        <v>18.225000000000001</v>
      </c>
      <c r="H1354" t="str">
        <f t="shared" si="61"/>
        <v>Oil</v>
      </c>
    </row>
    <row r="1355" spans="1:8">
      <c r="A1355" s="17">
        <v>43204</v>
      </c>
      <c r="B1355" t="s">
        <v>397</v>
      </c>
      <c r="C1355">
        <f t="shared" si="65"/>
        <v>75</v>
      </c>
      <c r="D1355">
        <v>0.63500000000000001</v>
      </c>
      <c r="E1355" t="s">
        <v>525</v>
      </c>
      <c r="F1355" t="s">
        <v>526</v>
      </c>
      <c r="G1355">
        <f t="shared" si="64"/>
        <v>47.625</v>
      </c>
      <c r="H1355" t="str">
        <f t="shared" si="61"/>
        <v>Sauce</v>
      </c>
    </row>
    <row r="1356" spans="1:8">
      <c r="A1356" s="17">
        <v>43204</v>
      </c>
      <c r="B1356" t="s">
        <v>379</v>
      </c>
      <c r="C1356">
        <f t="shared" si="65"/>
        <v>120</v>
      </c>
      <c r="D1356">
        <v>0.115</v>
      </c>
      <c r="E1356" t="s">
        <v>525</v>
      </c>
      <c r="F1356" t="s">
        <v>526</v>
      </c>
      <c r="G1356">
        <f t="shared" si="64"/>
        <v>13.8</v>
      </c>
      <c r="H1356" t="str">
        <f t="shared" si="61"/>
        <v>Dry Grocery</v>
      </c>
    </row>
    <row r="1357" spans="1:8">
      <c r="A1357" s="17">
        <v>43204</v>
      </c>
      <c r="B1357" t="s">
        <v>428</v>
      </c>
      <c r="C1357">
        <f t="shared" si="65"/>
        <v>78.95</v>
      </c>
      <c r="D1357">
        <v>19</v>
      </c>
      <c r="E1357" t="s">
        <v>531</v>
      </c>
      <c r="F1357" t="s">
        <v>530</v>
      </c>
      <c r="G1357">
        <f t="shared" si="64"/>
        <v>1500.05</v>
      </c>
      <c r="H1357" t="str">
        <f t="shared" si="61"/>
        <v>Gas</v>
      </c>
    </row>
    <row r="1358" spans="1:8">
      <c r="A1358" s="43">
        <v>43204</v>
      </c>
      <c r="B1358" t="s">
        <v>370</v>
      </c>
      <c r="C1358">
        <f t="shared" si="65"/>
        <v>55</v>
      </c>
      <c r="D1358">
        <v>0.01</v>
      </c>
      <c r="E1358" t="s">
        <v>525</v>
      </c>
      <c r="F1358" t="s">
        <v>526</v>
      </c>
      <c r="G1358">
        <f t="shared" si="64"/>
        <v>0.55000000000000004</v>
      </c>
      <c r="H1358" t="str">
        <f t="shared" si="61"/>
        <v>Sauce</v>
      </c>
    </row>
    <row r="1359" spans="1:8">
      <c r="A1359" s="43">
        <v>43204</v>
      </c>
      <c r="B1359" s="16" t="s">
        <v>672</v>
      </c>
      <c r="C1359">
        <f t="shared" si="65"/>
        <v>0</v>
      </c>
      <c r="D1359">
        <v>0.01</v>
      </c>
      <c r="E1359" t="s">
        <v>525</v>
      </c>
      <c r="F1359" t="s">
        <v>526</v>
      </c>
      <c r="G1359">
        <f t="shared" si="64"/>
        <v>0</v>
      </c>
      <c r="H1359" t="str">
        <f t="shared" si="61"/>
        <v>Dry Grocery</v>
      </c>
    </row>
    <row r="1360" spans="1:8">
      <c r="A1360" s="43">
        <v>43204</v>
      </c>
      <c r="B1360" s="16" t="s">
        <v>561</v>
      </c>
      <c r="C1360">
        <f t="shared" si="65"/>
        <v>0</v>
      </c>
      <c r="D1360">
        <v>0.7</v>
      </c>
      <c r="E1360" t="s">
        <v>525</v>
      </c>
      <c r="F1360" t="s">
        <v>526</v>
      </c>
      <c r="G1360">
        <f t="shared" si="64"/>
        <v>0</v>
      </c>
      <c r="H1360" t="str">
        <f t="shared" si="61"/>
        <v>SemiFinished_Prod</v>
      </c>
    </row>
    <row r="1361" spans="1:10">
      <c r="A1361" s="43">
        <v>43204</v>
      </c>
      <c r="B1361" s="16" t="s">
        <v>460</v>
      </c>
      <c r="C1361">
        <f t="shared" si="65"/>
        <v>43.98</v>
      </c>
      <c r="D1361">
        <v>0.12</v>
      </c>
      <c r="E1361" t="s">
        <v>525</v>
      </c>
      <c r="F1361" t="s">
        <v>526</v>
      </c>
      <c r="G1361">
        <f t="shared" si="64"/>
        <v>5.2775999999999996</v>
      </c>
      <c r="H1361" t="str">
        <f t="shared" si="61"/>
        <v>Vegetable</v>
      </c>
    </row>
    <row r="1362" spans="1:10">
      <c r="A1362" s="43">
        <v>43204</v>
      </c>
      <c r="B1362" s="16" t="s">
        <v>487</v>
      </c>
      <c r="C1362">
        <f t="shared" si="65"/>
        <v>40</v>
      </c>
      <c r="D1362">
        <v>1</v>
      </c>
      <c r="E1362" t="s">
        <v>525</v>
      </c>
      <c r="F1362" t="s">
        <v>526</v>
      </c>
      <c r="G1362">
        <f t="shared" si="64"/>
        <v>40</v>
      </c>
      <c r="H1362" t="str">
        <f t="shared" si="61"/>
        <v>Dry Grocery</v>
      </c>
    </row>
    <row r="1363" spans="1:10">
      <c r="A1363" s="43">
        <v>43204</v>
      </c>
      <c r="B1363" s="16" t="s">
        <v>490</v>
      </c>
      <c r="C1363">
        <f t="shared" si="65"/>
        <v>100</v>
      </c>
      <c r="D1363">
        <v>0.9</v>
      </c>
      <c r="E1363" t="s">
        <v>525</v>
      </c>
      <c r="F1363" t="s">
        <v>526</v>
      </c>
      <c r="G1363">
        <f t="shared" si="64"/>
        <v>90</v>
      </c>
      <c r="H1363" t="str">
        <f t="shared" si="61"/>
        <v>Processed Food</v>
      </c>
    </row>
    <row r="1364" spans="1:10">
      <c r="A1364" s="43">
        <v>43204</v>
      </c>
      <c r="B1364" s="16" t="s">
        <v>459</v>
      </c>
      <c r="C1364">
        <f t="shared" si="65"/>
        <v>190</v>
      </c>
      <c r="D1364">
        <v>0.33500000000000002</v>
      </c>
      <c r="E1364" t="s">
        <v>525</v>
      </c>
      <c r="F1364" t="s">
        <v>526</v>
      </c>
      <c r="G1364">
        <f t="shared" si="64"/>
        <v>63.650000000000006</v>
      </c>
      <c r="H1364" t="str">
        <f t="shared" si="61"/>
        <v>Dairy</v>
      </c>
    </row>
    <row r="1365" spans="1:10" s="44" customFormat="1">
      <c r="A1365" s="45">
        <v>43204</v>
      </c>
      <c r="B1365" s="44" t="s">
        <v>553</v>
      </c>
      <c r="C1365" s="44">
        <f t="shared" si="65"/>
        <v>150</v>
      </c>
      <c r="E1365" s="44" t="s">
        <v>543</v>
      </c>
      <c r="F1365" s="44" t="s">
        <v>527</v>
      </c>
      <c r="G1365" s="44">
        <f t="shared" si="64"/>
        <v>0</v>
      </c>
      <c r="H1365" t="str">
        <f t="shared" si="61"/>
        <v>Fruits</v>
      </c>
      <c r="J1365" s="44">
        <v>1</v>
      </c>
    </row>
    <row r="1366" spans="1:10" s="44" customFormat="1">
      <c r="A1366" s="45">
        <v>43204</v>
      </c>
      <c r="B1366" s="44" t="s">
        <v>449</v>
      </c>
      <c r="C1366" s="44">
        <f t="shared" si="65"/>
        <v>20</v>
      </c>
      <c r="E1366" s="44" t="s">
        <v>543</v>
      </c>
      <c r="F1366" s="44" t="s">
        <v>527</v>
      </c>
      <c r="G1366" s="44">
        <f t="shared" si="64"/>
        <v>0</v>
      </c>
      <c r="H1366" t="str">
        <f t="shared" ref="H1366:H1429" si="66">IF(B1366="","",VLOOKUP(B1366,$XEY$3:$XFA$1200,3,FALSE))</f>
        <v>Fruits</v>
      </c>
      <c r="J1366" s="44">
        <v>13</v>
      </c>
    </row>
    <row r="1367" spans="1:10" s="44" customFormat="1">
      <c r="A1367" s="45">
        <v>43204</v>
      </c>
      <c r="B1367" s="44" t="s">
        <v>445</v>
      </c>
      <c r="C1367" s="44">
        <f t="shared" si="65"/>
        <v>20</v>
      </c>
      <c r="E1367" s="44" t="s">
        <v>543</v>
      </c>
      <c r="F1367" s="44" t="s">
        <v>527</v>
      </c>
      <c r="G1367" s="44">
        <f t="shared" si="64"/>
        <v>0</v>
      </c>
      <c r="H1367" t="str">
        <f t="shared" si="66"/>
        <v>Fruits</v>
      </c>
      <c r="J1367" s="44">
        <v>3</v>
      </c>
    </row>
    <row r="1368" spans="1:10" s="44" customFormat="1">
      <c r="A1368" s="45">
        <v>43204</v>
      </c>
      <c r="B1368" s="44" t="s">
        <v>447</v>
      </c>
      <c r="C1368" s="44">
        <f t="shared" si="65"/>
        <v>30</v>
      </c>
      <c r="E1368" s="44" t="s">
        <v>543</v>
      </c>
      <c r="F1368" s="44" t="s">
        <v>527</v>
      </c>
      <c r="G1368" s="44">
        <f t="shared" si="64"/>
        <v>0</v>
      </c>
      <c r="H1368" t="str">
        <f t="shared" si="66"/>
        <v>Fruits</v>
      </c>
      <c r="J1368" s="44">
        <v>4</v>
      </c>
    </row>
    <row r="1369" spans="1:10" s="44" customFormat="1">
      <c r="A1369" s="45">
        <v>43204</v>
      </c>
      <c r="B1369" s="44" t="s">
        <v>552</v>
      </c>
      <c r="C1369" s="44">
        <f t="shared" si="65"/>
        <v>40</v>
      </c>
      <c r="E1369" s="44" t="s">
        <v>543</v>
      </c>
      <c r="F1369" s="44" t="s">
        <v>527</v>
      </c>
      <c r="G1369" s="44">
        <f t="shared" si="64"/>
        <v>0</v>
      </c>
      <c r="H1369" t="str">
        <f t="shared" si="66"/>
        <v>Fruits</v>
      </c>
      <c r="J1369" s="44">
        <v>2</v>
      </c>
    </row>
    <row r="1370" spans="1:10" s="44" customFormat="1">
      <c r="A1370" s="45">
        <v>43204</v>
      </c>
      <c r="B1370" s="44" t="s">
        <v>622</v>
      </c>
      <c r="C1370" s="44">
        <f t="shared" si="65"/>
        <v>130</v>
      </c>
      <c r="E1370" s="44" t="s">
        <v>543</v>
      </c>
      <c r="F1370" s="44" t="s">
        <v>527</v>
      </c>
      <c r="G1370" s="44">
        <f t="shared" si="64"/>
        <v>0</v>
      </c>
      <c r="H1370" t="str">
        <f t="shared" si="66"/>
        <v>Fruits</v>
      </c>
      <c r="J1370" s="44">
        <v>2</v>
      </c>
    </row>
    <row r="1371" spans="1:10" s="44" customFormat="1">
      <c r="A1371" s="45">
        <v>43204</v>
      </c>
      <c r="B1371" s="44" t="s">
        <v>551</v>
      </c>
      <c r="C1371" s="44">
        <f t="shared" si="65"/>
        <v>120</v>
      </c>
      <c r="E1371" s="44" t="s">
        <v>543</v>
      </c>
      <c r="F1371" s="44" t="s">
        <v>527</v>
      </c>
      <c r="G1371" s="44">
        <f t="shared" si="64"/>
        <v>0</v>
      </c>
      <c r="H1371" t="str">
        <f t="shared" si="66"/>
        <v>Fruits</v>
      </c>
      <c r="J1371" s="44">
        <v>1</v>
      </c>
    </row>
    <row r="1372" spans="1:10" s="44" customFormat="1">
      <c r="A1372" s="45">
        <v>43204</v>
      </c>
      <c r="B1372" s="44" t="s">
        <v>673</v>
      </c>
      <c r="C1372" s="44">
        <f t="shared" si="65"/>
        <v>20</v>
      </c>
      <c r="E1372" s="44" t="s">
        <v>543</v>
      </c>
      <c r="F1372" s="44" t="s">
        <v>527</v>
      </c>
      <c r="G1372" s="44">
        <f t="shared" si="64"/>
        <v>0</v>
      </c>
      <c r="H1372" t="str">
        <f t="shared" si="66"/>
        <v>Fruits</v>
      </c>
      <c r="J1372" s="44">
        <v>1</v>
      </c>
    </row>
    <row r="1373" spans="1:10" s="44" customFormat="1">
      <c r="A1373" s="45">
        <v>43204</v>
      </c>
      <c r="B1373" s="44" t="s">
        <v>631</v>
      </c>
      <c r="C1373" s="44">
        <f t="shared" si="65"/>
        <v>2</v>
      </c>
      <c r="E1373" s="44" t="s">
        <v>543</v>
      </c>
      <c r="F1373" s="44" t="s">
        <v>527</v>
      </c>
      <c r="G1373" s="44">
        <f t="shared" si="64"/>
        <v>0</v>
      </c>
      <c r="H1373" t="str">
        <f t="shared" si="66"/>
        <v>Fruits</v>
      </c>
      <c r="J1373" s="44">
        <v>20</v>
      </c>
    </row>
    <row r="1374" spans="1:10" s="44" customFormat="1">
      <c r="A1374" s="45">
        <v>43204</v>
      </c>
      <c r="B1374" s="44" t="s">
        <v>447</v>
      </c>
      <c r="C1374" s="44">
        <f t="shared" si="65"/>
        <v>30</v>
      </c>
      <c r="E1374" s="44" t="s">
        <v>543</v>
      </c>
      <c r="F1374" s="44" t="s">
        <v>527</v>
      </c>
      <c r="G1374" s="44">
        <f t="shared" si="64"/>
        <v>0</v>
      </c>
      <c r="H1374" t="str">
        <f t="shared" si="66"/>
        <v>Fruits</v>
      </c>
      <c r="I1374" s="44">
        <v>1.25</v>
      </c>
    </row>
    <row r="1375" spans="1:10" s="44" customFormat="1">
      <c r="A1375" s="45">
        <v>43204</v>
      </c>
      <c r="B1375" s="44" t="s">
        <v>445</v>
      </c>
      <c r="C1375" s="44">
        <f t="shared" si="65"/>
        <v>20</v>
      </c>
      <c r="E1375" s="44" t="s">
        <v>543</v>
      </c>
      <c r="F1375" s="44" t="s">
        <v>527</v>
      </c>
      <c r="G1375" s="44">
        <f t="shared" si="64"/>
        <v>0</v>
      </c>
      <c r="H1375" t="str">
        <f t="shared" si="66"/>
        <v>Fruits</v>
      </c>
      <c r="I1375" s="44">
        <v>1.3</v>
      </c>
    </row>
    <row r="1376" spans="1:10" s="44" customFormat="1">
      <c r="A1376" s="45">
        <v>43204</v>
      </c>
      <c r="B1376" s="44" t="s">
        <v>551</v>
      </c>
      <c r="C1376" s="44">
        <f t="shared" si="65"/>
        <v>120</v>
      </c>
      <c r="E1376" s="44" t="s">
        <v>543</v>
      </c>
      <c r="F1376" s="44" t="s">
        <v>527</v>
      </c>
      <c r="G1376" s="44">
        <f t="shared" si="64"/>
        <v>0</v>
      </c>
      <c r="H1376" t="str">
        <f t="shared" si="66"/>
        <v>Fruits</v>
      </c>
      <c r="I1376" s="44">
        <v>1.3</v>
      </c>
    </row>
    <row r="1377" spans="1:9" s="44" customFormat="1">
      <c r="A1377" s="45">
        <v>43204</v>
      </c>
      <c r="B1377" s="44" t="s">
        <v>446</v>
      </c>
      <c r="C1377" s="44">
        <f t="shared" si="65"/>
        <v>50</v>
      </c>
      <c r="E1377" s="44" t="s">
        <v>543</v>
      </c>
      <c r="F1377" s="44" t="s">
        <v>527</v>
      </c>
      <c r="G1377" s="44">
        <f t="shared" si="64"/>
        <v>0</v>
      </c>
      <c r="H1377" t="str">
        <f t="shared" si="66"/>
        <v>Fruits</v>
      </c>
      <c r="I1377" s="44">
        <v>0.45</v>
      </c>
    </row>
    <row r="1378" spans="1:9" s="44" customFormat="1">
      <c r="A1378" s="45">
        <v>43204</v>
      </c>
      <c r="B1378" s="44" t="s">
        <v>444</v>
      </c>
      <c r="C1378" s="44">
        <f t="shared" si="65"/>
        <v>50</v>
      </c>
      <c r="E1378" s="44" t="s">
        <v>543</v>
      </c>
      <c r="F1378" s="44" t="s">
        <v>527</v>
      </c>
      <c r="G1378" s="44">
        <f t="shared" si="64"/>
        <v>0</v>
      </c>
      <c r="H1378" t="str">
        <f t="shared" si="66"/>
        <v>Fruits</v>
      </c>
      <c r="I1378" s="44">
        <v>0.45</v>
      </c>
    </row>
    <row r="1379" spans="1:9" s="44" customFormat="1">
      <c r="A1379" s="45">
        <v>43204</v>
      </c>
      <c r="B1379" s="44" t="s">
        <v>552</v>
      </c>
      <c r="C1379" s="44">
        <f t="shared" si="65"/>
        <v>40</v>
      </c>
      <c r="E1379" s="44" t="s">
        <v>543</v>
      </c>
      <c r="F1379" s="44" t="s">
        <v>527</v>
      </c>
      <c r="G1379" s="44">
        <f t="shared" ref="G1379:G1442" si="67">IF(C1379="","",C1379*D1379)</f>
        <v>0</v>
      </c>
      <c r="H1379" t="str">
        <f t="shared" si="66"/>
        <v>Fruits</v>
      </c>
      <c r="I1379" s="44">
        <v>2.4</v>
      </c>
    </row>
    <row r="1380" spans="1:9" s="44" customFormat="1">
      <c r="A1380" s="45">
        <v>43204</v>
      </c>
      <c r="B1380" s="44" t="s">
        <v>673</v>
      </c>
      <c r="C1380" s="44">
        <f t="shared" si="65"/>
        <v>20</v>
      </c>
      <c r="D1380" s="44">
        <v>1</v>
      </c>
      <c r="E1380" s="44" t="s">
        <v>543</v>
      </c>
      <c r="F1380" s="44" t="s">
        <v>527</v>
      </c>
      <c r="G1380" s="44">
        <f t="shared" si="67"/>
        <v>20</v>
      </c>
      <c r="H1380" t="str">
        <f t="shared" si="66"/>
        <v>Fruits</v>
      </c>
    </row>
    <row r="1381" spans="1:9" s="44" customFormat="1">
      <c r="A1381" s="45">
        <v>43204</v>
      </c>
      <c r="B1381" s="44" t="s">
        <v>622</v>
      </c>
      <c r="C1381" s="44">
        <f t="shared" si="65"/>
        <v>130</v>
      </c>
      <c r="D1381" s="44">
        <v>1</v>
      </c>
      <c r="E1381" s="44" t="s">
        <v>543</v>
      </c>
      <c r="F1381" s="44" t="s">
        <v>527</v>
      </c>
      <c r="G1381" s="44">
        <f t="shared" si="67"/>
        <v>130</v>
      </c>
      <c r="H1381" t="str">
        <f t="shared" si="66"/>
        <v>Fruits</v>
      </c>
    </row>
    <row r="1382" spans="1:9" s="44" customFormat="1">
      <c r="A1382" s="45">
        <v>43204</v>
      </c>
      <c r="B1382" s="44" t="s">
        <v>553</v>
      </c>
      <c r="C1382" s="44">
        <f t="shared" si="65"/>
        <v>150</v>
      </c>
      <c r="D1382" s="44">
        <v>1</v>
      </c>
      <c r="E1382" s="44" t="s">
        <v>543</v>
      </c>
      <c r="F1382" s="44" t="s">
        <v>527</v>
      </c>
      <c r="G1382" s="44">
        <f t="shared" si="67"/>
        <v>150</v>
      </c>
      <c r="H1382" t="str">
        <f t="shared" si="66"/>
        <v>Fruits</v>
      </c>
    </row>
    <row r="1383" spans="1:9" s="44" customFormat="1">
      <c r="A1383" s="45">
        <v>43204</v>
      </c>
      <c r="B1383" s="44" t="s">
        <v>449</v>
      </c>
      <c r="C1383" s="44">
        <f t="shared" si="65"/>
        <v>20</v>
      </c>
      <c r="D1383" s="44">
        <v>1.8</v>
      </c>
      <c r="E1383" s="44" t="s">
        <v>543</v>
      </c>
      <c r="F1383" s="44" t="s">
        <v>527</v>
      </c>
      <c r="G1383" s="44">
        <f t="shared" si="67"/>
        <v>36</v>
      </c>
      <c r="H1383" t="str">
        <f t="shared" si="66"/>
        <v>Fruits</v>
      </c>
    </row>
    <row r="1384" spans="1:9" s="44" customFormat="1">
      <c r="A1384" s="45">
        <v>43204</v>
      </c>
      <c r="B1384" s="44" t="s">
        <v>382</v>
      </c>
      <c r="C1384" s="44">
        <f t="shared" si="65"/>
        <v>42</v>
      </c>
      <c r="D1384" s="44">
        <v>1</v>
      </c>
      <c r="E1384" s="44" t="s">
        <v>543</v>
      </c>
      <c r="F1384" s="44" t="s">
        <v>527</v>
      </c>
      <c r="G1384" s="44">
        <f t="shared" si="67"/>
        <v>42</v>
      </c>
      <c r="H1384" t="str">
        <f t="shared" si="66"/>
        <v>Dairy</v>
      </c>
    </row>
    <row r="1385" spans="1:9" s="44" customFormat="1">
      <c r="A1385" s="45">
        <v>43204</v>
      </c>
      <c r="B1385" s="44" t="s">
        <v>385</v>
      </c>
      <c r="C1385" s="44">
        <f t="shared" si="65"/>
        <v>36</v>
      </c>
      <c r="D1385" s="44">
        <v>2.5</v>
      </c>
      <c r="E1385" s="44" t="s">
        <v>543</v>
      </c>
      <c r="F1385" s="44" t="s">
        <v>527</v>
      </c>
      <c r="G1385" s="44">
        <f t="shared" si="67"/>
        <v>90</v>
      </c>
      <c r="H1385" t="str">
        <f t="shared" si="66"/>
        <v>Dairy</v>
      </c>
    </row>
    <row r="1386" spans="1:9" s="44" customFormat="1">
      <c r="A1386" s="45">
        <v>43204</v>
      </c>
      <c r="B1386" s="44" t="s">
        <v>432</v>
      </c>
      <c r="C1386" s="44">
        <f t="shared" si="65"/>
        <v>14</v>
      </c>
      <c r="D1386" s="44">
        <v>0.67</v>
      </c>
      <c r="E1386" s="44" t="s">
        <v>528</v>
      </c>
      <c r="F1386" s="44" t="s">
        <v>527</v>
      </c>
      <c r="G1386" s="44">
        <f t="shared" si="67"/>
        <v>9.3800000000000008</v>
      </c>
      <c r="H1386" t="str">
        <f t="shared" si="66"/>
        <v>Vegetable</v>
      </c>
    </row>
    <row r="1387" spans="1:9" s="44" customFormat="1">
      <c r="A1387" s="45">
        <v>43204</v>
      </c>
      <c r="B1387" s="44" t="s">
        <v>476</v>
      </c>
      <c r="C1387" s="44">
        <f t="shared" si="65"/>
        <v>14.75</v>
      </c>
      <c r="D1387" s="44">
        <v>0.5</v>
      </c>
      <c r="E1387" s="44" t="s">
        <v>528</v>
      </c>
      <c r="F1387" s="44" t="s">
        <v>527</v>
      </c>
      <c r="G1387" s="44">
        <f t="shared" si="67"/>
        <v>7.375</v>
      </c>
      <c r="H1387" t="str">
        <f t="shared" si="66"/>
        <v>Vegetable</v>
      </c>
    </row>
    <row r="1388" spans="1:9" s="44" customFormat="1">
      <c r="A1388" s="45">
        <v>43204</v>
      </c>
      <c r="B1388" s="44" t="s">
        <v>391</v>
      </c>
      <c r="C1388" s="44">
        <f t="shared" si="65"/>
        <v>27.97</v>
      </c>
      <c r="D1388" s="44">
        <v>0.12</v>
      </c>
      <c r="E1388" s="44" t="s">
        <v>528</v>
      </c>
      <c r="F1388" s="44" t="s">
        <v>527</v>
      </c>
      <c r="G1388" s="44">
        <f t="shared" si="67"/>
        <v>3.3563999999999998</v>
      </c>
      <c r="H1388" t="str">
        <f t="shared" si="66"/>
        <v>Vegetable</v>
      </c>
    </row>
    <row r="1389" spans="1:9" s="44" customFormat="1">
      <c r="A1389" s="45">
        <v>43204</v>
      </c>
      <c r="B1389" s="44" t="s">
        <v>378</v>
      </c>
      <c r="C1389" s="44">
        <f t="shared" si="65"/>
        <v>25</v>
      </c>
      <c r="D1389" s="44">
        <v>0.05</v>
      </c>
      <c r="E1389" s="44" t="s">
        <v>528</v>
      </c>
      <c r="F1389" s="44" t="s">
        <v>527</v>
      </c>
      <c r="G1389" s="44">
        <f t="shared" si="67"/>
        <v>1.25</v>
      </c>
      <c r="H1389" t="str">
        <f t="shared" si="66"/>
        <v>Vegetable</v>
      </c>
    </row>
    <row r="1390" spans="1:9" s="44" customFormat="1">
      <c r="A1390" s="45">
        <v>43204</v>
      </c>
      <c r="B1390" s="44" t="s">
        <v>436</v>
      </c>
      <c r="C1390" s="44">
        <f t="shared" si="65"/>
        <v>37</v>
      </c>
      <c r="D1390" s="44">
        <v>5</v>
      </c>
      <c r="E1390" s="44" t="s">
        <v>543</v>
      </c>
      <c r="F1390" s="44" t="s">
        <v>527</v>
      </c>
      <c r="G1390" s="44">
        <f t="shared" si="67"/>
        <v>185</v>
      </c>
      <c r="H1390" t="str">
        <f t="shared" si="66"/>
        <v>Dry Grocery</v>
      </c>
    </row>
    <row r="1391" spans="1:9" s="44" customFormat="1">
      <c r="A1391" s="45">
        <v>43204</v>
      </c>
      <c r="B1391" s="44" t="s">
        <v>384</v>
      </c>
      <c r="C1391" s="44">
        <f t="shared" si="65"/>
        <v>3</v>
      </c>
      <c r="D1391" s="44">
        <v>4</v>
      </c>
      <c r="E1391" s="44" t="s">
        <v>543</v>
      </c>
      <c r="F1391" s="44" t="s">
        <v>527</v>
      </c>
      <c r="G1391" s="44">
        <f t="shared" si="67"/>
        <v>12</v>
      </c>
      <c r="H1391" t="str">
        <f t="shared" si="66"/>
        <v>Vegetable</v>
      </c>
    </row>
    <row r="1392" spans="1:9" s="44" customFormat="1">
      <c r="A1392" s="45">
        <v>43204</v>
      </c>
      <c r="B1392" t="s">
        <v>448</v>
      </c>
      <c r="C1392" s="44">
        <f t="shared" si="65"/>
        <v>16</v>
      </c>
      <c r="E1392" s="44" t="s">
        <v>543</v>
      </c>
      <c r="F1392" s="44" t="s">
        <v>527</v>
      </c>
      <c r="G1392" s="44">
        <f t="shared" si="67"/>
        <v>0</v>
      </c>
      <c r="H1392" t="str">
        <f t="shared" si="66"/>
        <v>Juice</v>
      </c>
      <c r="I1392" s="44">
        <v>28</v>
      </c>
    </row>
    <row r="1393" spans="1:8" s="44" customFormat="1">
      <c r="A1393" s="45">
        <v>43204</v>
      </c>
      <c r="B1393" s="44" t="s">
        <v>385</v>
      </c>
      <c r="C1393" s="44">
        <f t="shared" si="65"/>
        <v>36</v>
      </c>
      <c r="D1393" s="44">
        <v>2.5</v>
      </c>
      <c r="E1393" s="44" t="s">
        <v>336</v>
      </c>
      <c r="F1393" s="44" t="s">
        <v>527</v>
      </c>
      <c r="G1393" s="44">
        <f t="shared" si="67"/>
        <v>90</v>
      </c>
      <c r="H1393" t="str">
        <f t="shared" si="66"/>
        <v>Dairy</v>
      </c>
    </row>
    <row r="1394" spans="1:8" s="44" customFormat="1">
      <c r="A1394" s="45">
        <v>43204</v>
      </c>
      <c r="B1394" s="44" t="s">
        <v>382</v>
      </c>
      <c r="C1394" s="44">
        <f t="shared" si="65"/>
        <v>42</v>
      </c>
      <c r="D1394" s="44">
        <v>1.5</v>
      </c>
      <c r="E1394" s="44" t="s">
        <v>336</v>
      </c>
      <c r="F1394" s="44" t="s">
        <v>527</v>
      </c>
      <c r="G1394" s="44">
        <f t="shared" si="67"/>
        <v>63</v>
      </c>
      <c r="H1394" t="str">
        <f t="shared" si="66"/>
        <v>Dairy</v>
      </c>
    </row>
    <row r="1395" spans="1:8" s="44" customFormat="1">
      <c r="A1395" s="45">
        <v>43204</v>
      </c>
      <c r="B1395" s="44" t="s">
        <v>404</v>
      </c>
      <c r="C1395" s="44">
        <f t="shared" si="65"/>
        <v>28</v>
      </c>
      <c r="D1395" s="44">
        <v>3</v>
      </c>
      <c r="E1395" s="44" t="s">
        <v>336</v>
      </c>
      <c r="F1395" s="44" t="s">
        <v>527</v>
      </c>
      <c r="G1395" s="44">
        <f t="shared" si="67"/>
        <v>84</v>
      </c>
      <c r="H1395" t="str">
        <f t="shared" si="66"/>
        <v>Vegetable</v>
      </c>
    </row>
    <row r="1396" spans="1:8" s="44" customFormat="1">
      <c r="A1396" s="45">
        <v>43204</v>
      </c>
      <c r="B1396" s="44" t="s">
        <v>511</v>
      </c>
      <c r="C1396" s="44">
        <f t="shared" si="65"/>
        <v>52</v>
      </c>
      <c r="D1396" s="44">
        <v>6.4</v>
      </c>
      <c r="E1396" s="44" t="s">
        <v>336</v>
      </c>
      <c r="F1396" s="44" t="s">
        <v>527</v>
      </c>
      <c r="G1396" s="44">
        <f t="shared" si="67"/>
        <v>332.8</v>
      </c>
      <c r="H1396" t="str">
        <f t="shared" si="66"/>
        <v>Dry Grocery</v>
      </c>
    </row>
    <row r="1397" spans="1:8" s="44" customFormat="1">
      <c r="A1397" s="45">
        <v>43204</v>
      </c>
      <c r="B1397" s="44" t="s">
        <v>436</v>
      </c>
      <c r="C1397" s="44">
        <f t="shared" si="65"/>
        <v>37</v>
      </c>
      <c r="D1397" s="44">
        <v>0.9</v>
      </c>
      <c r="E1397" s="44" t="s">
        <v>336</v>
      </c>
      <c r="F1397" s="44" t="s">
        <v>527</v>
      </c>
      <c r="G1397" s="44">
        <f t="shared" si="67"/>
        <v>33.300000000000004</v>
      </c>
      <c r="H1397" t="str">
        <f t="shared" si="66"/>
        <v>Dry Grocery</v>
      </c>
    </row>
    <row r="1398" spans="1:8" s="44" customFormat="1">
      <c r="A1398" s="45">
        <v>43204</v>
      </c>
      <c r="B1398" s="44" t="s">
        <v>375</v>
      </c>
      <c r="C1398" s="44">
        <f t="shared" si="65"/>
        <v>280</v>
      </c>
      <c r="D1398" s="44">
        <v>0.13</v>
      </c>
      <c r="E1398" s="44" t="s">
        <v>336</v>
      </c>
      <c r="F1398" s="44" t="s">
        <v>527</v>
      </c>
      <c r="G1398" s="44">
        <f t="shared" si="67"/>
        <v>36.4</v>
      </c>
      <c r="H1398" t="str">
        <f t="shared" si="66"/>
        <v>Dry Grocery</v>
      </c>
    </row>
    <row r="1399" spans="1:8" s="44" customFormat="1">
      <c r="A1399" s="45">
        <v>43204</v>
      </c>
      <c r="B1399" s="44" t="s">
        <v>379</v>
      </c>
      <c r="C1399" s="44">
        <f t="shared" si="65"/>
        <v>120</v>
      </c>
      <c r="D1399" s="44">
        <v>0.02</v>
      </c>
      <c r="E1399" s="44" t="s">
        <v>336</v>
      </c>
      <c r="F1399" s="44" t="s">
        <v>527</v>
      </c>
      <c r="G1399" s="44">
        <f t="shared" si="67"/>
        <v>2.4</v>
      </c>
      <c r="H1399" t="str">
        <f t="shared" si="66"/>
        <v>Dry Grocery</v>
      </c>
    </row>
    <row r="1400" spans="1:8" s="44" customFormat="1">
      <c r="A1400" s="45">
        <v>43204</v>
      </c>
      <c r="B1400" s="44" t="s">
        <v>507</v>
      </c>
      <c r="C1400" s="44">
        <f t="shared" si="65"/>
        <v>340</v>
      </c>
      <c r="D1400" s="44">
        <v>0.02</v>
      </c>
      <c r="E1400" s="44" t="s">
        <v>336</v>
      </c>
      <c r="F1400" s="44" t="s">
        <v>527</v>
      </c>
      <c r="G1400" s="44">
        <f t="shared" si="67"/>
        <v>6.8</v>
      </c>
      <c r="H1400" t="str">
        <f t="shared" si="66"/>
        <v>Dry Grocery</v>
      </c>
    </row>
    <row r="1401" spans="1:8" s="44" customFormat="1">
      <c r="A1401" s="45">
        <v>43204</v>
      </c>
      <c r="B1401" s="44" t="s">
        <v>509</v>
      </c>
      <c r="C1401" s="44">
        <f t="shared" si="65"/>
        <v>500</v>
      </c>
      <c r="D1401" s="44">
        <v>0.105</v>
      </c>
      <c r="E1401" s="44" t="s">
        <v>336</v>
      </c>
      <c r="F1401" s="44" t="s">
        <v>527</v>
      </c>
      <c r="G1401" s="44">
        <f t="shared" si="67"/>
        <v>52.5</v>
      </c>
      <c r="H1401" t="str">
        <f t="shared" si="66"/>
        <v>Dry Grocery</v>
      </c>
    </row>
    <row r="1402" spans="1:8" s="44" customFormat="1">
      <c r="A1402" s="45">
        <v>43204</v>
      </c>
      <c r="B1402" s="44" t="s">
        <v>381</v>
      </c>
      <c r="C1402" s="44">
        <f t="shared" si="65"/>
        <v>7</v>
      </c>
      <c r="D1402" s="44">
        <v>0.53</v>
      </c>
      <c r="E1402" s="44" t="s">
        <v>336</v>
      </c>
      <c r="F1402" s="44" t="s">
        <v>527</v>
      </c>
      <c r="G1402" s="44">
        <f t="shared" si="67"/>
        <v>3.71</v>
      </c>
      <c r="H1402" t="str">
        <f t="shared" si="66"/>
        <v>Dry Grocery</v>
      </c>
    </row>
    <row r="1403" spans="1:8" s="44" customFormat="1">
      <c r="A1403" s="45">
        <v>43204</v>
      </c>
      <c r="B1403" s="44" t="s">
        <v>387</v>
      </c>
      <c r="C1403" s="44">
        <f t="shared" si="65"/>
        <v>187.41</v>
      </c>
      <c r="D1403" s="44">
        <v>4.4999999999999998E-2</v>
      </c>
      <c r="E1403" s="44" t="s">
        <v>336</v>
      </c>
      <c r="F1403" s="44" t="s">
        <v>527</v>
      </c>
      <c r="G1403" s="44">
        <f t="shared" si="67"/>
        <v>8.4334499999999988</v>
      </c>
      <c r="H1403" t="str">
        <f t="shared" si="66"/>
        <v>Dry Grocery</v>
      </c>
    </row>
    <row r="1404" spans="1:8" s="44" customFormat="1">
      <c r="A1404" s="45">
        <v>43204</v>
      </c>
      <c r="B1404" s="44" t="s">
        <v>426</v>
      </c>
      <c r="C1404" s="44">
        <f t="shared" si="65"/>
        <v>57.5</v>
      </c>
      <c r="D1404" s="44">
        <v>0.03</v>
      </c>
      <c r="E1404" s="44" t="s">
        <v>336</v>
      </c>
      <c r="F1404" s="44" t="s">
        <v>527</v>
      </c>
      <c r="G1404" s="44">
        <f t="shared" si="67"/>
        <v>1.7249999999999999</v>
      </c>
      <c r="H1404" t="str">
        <f t="shared" si="66"/>
        <v>Dry Grocery</v>
      </c>
    </row>
    <row r="1405" spans="1:8" s="44" customFormat="1">
      <c r="A1405" s="45">
        <v>43204</v>
      </c>
      <c r="B1405" s="44" t="s">
        <v>485</v>
      </c>
      <c r="C1405" s="44">
        <f t="shared" si="65"/>
        <v>96</v>
      </c>
      <c r="D1405" s="44">
        <v>0.32</v>
      </c>
      <c r="E1405" s="44" t="s">
        <v>336</v>
      </c>
      <c r="F1405" s="44" t="s">
        <v>527</v>
      </c>
      <c r="G1405" s="44">
        <f t="shared" si="67"/>
        <v>30.72</v>
      </c>
      <c r="H1405" t="str">
        <f t="shared" si="66"/>
        <v>Oil</v>
      </c>
    </row>
    <row r="1406" spans="1:8" s="44" customFormat="1">
      <c r="A1406" s="45">
        <v>43204</v>
      </c>
      <c r="B1406" s="44" t="s">
        <v>386</v>
      </c>
      <c r="C1406" s="44">
        <f t="shared" si="65"/>
        <v>82</v>
      </c>
      <c r="D1406" s="44">
        <v>1</v>
      </c>
      <c r="E1406" s="44" t="s">
        <v>336</v>
      </c>
      <c r="F1406" s="44" t="s">
        <v>527</v>
      </c>
      <c r="G1406" s="44">
        <f t="shared" si="67"/>
        <v>82</v>
      </c>
      <c r="H1406" t="str">
        <f t="shared" si="66"/>
        <v>Oil</v>
      </c>
    </row>
    <row r="1407" spans="1:8" s="44" customFormat="1">
      <c r="A1407" s="45">
        <v>43204</v>
      </c>
      <c r="B1407" s="44" t="s">
        <v>383</v>
      </c>
      <c r="C1407" s="44">
        <f t="shared" si="65"/>
        <v>230</v>
      </c>
      <c r="D1407" s="44">
        <v>0.23</v>
      </c>
      <c r="E1407" s="44" t="s">
        <v>336</v>
      </c>
      <c r="F1407" s="44" t="s">
        <v>527</v>
      </c>
      <c r="G1407" s="44">
        <f t="shared" si="67"/>
        <v>52.900000000000006</v>
      </c>
      <c r="H1407" t="str">
        <f t="shared" si="66"/>
        <v>Dry Grocery</v>
      </c>
    </row>
    <row r="1408" spans="1:8" s="44" customFormat="1">
      <c r="A1408" s="45">
        <v>43204</v>
      </c>
      <c r="B1408" s="44" t="s">
        <v>431</v>
      </c>
      <c r="C1408" s="44">
        <f t="shared" si="65"/>
        <v>70</v>
      </c>
      <c r="D1408" s="44">
        <v>0.115</v>
      </c>
      <c r="E1408" s="44" t="s">
        <v>336</v>
      </c>
      <c r="F1408" s="44" t="s">
        <v>527</v>
      </c>
      <c r="G1408" s="44">
        <f t="shared" si="67"/>
        <v>8.0500000000000007</v>
      </c>
      <c r="H1408" t="str">
        <f t="shared" si="66"/>
        <v>Dry Grocery</v>
      </c>
    </row>
    <row r="1409" spans="1:8" s="44" customFormat="1">
      <c r="A1409" s="45">
        <v>43204</v>
      </c>
      <c r="B1409" s="44" t="s">
        <v>367</v>
      </c>
      <c r="C1409" s="44">
        <f t="shared" si="65"/>
        <v>55</v>
      </c>
      <c r="D1409" s="44">
        <v>0.14499999999999999</v>
      </c>
      <c r="E1409" s="44" t="s">
        <v>336</v>
      </c>
      <c r="F1409" s="44" t="s">
        <v>527</v>
      </c>
      <c r="G1409" s="44">
        <f t="shared" si="67"/>
        <v>7.9749999999999996</v>
      </c>
      <c r="H1409" t="str">
        <f t="shared" si="66"/>
        <v>Dry Grocery</v>
      </c>
    </row>
    <row r="1410" spans="1:8" s="44" customFormat="1">
      <c r="A1410" s="45">
        <v>43204</v>
      </c>
      <c r="B1410" s="44" t="s">
        <v>432</v>
      </c>
      <c r="C1410" s="44">
        <f t="shared" si="65"/>
        <v>14</v>
      </c>
      <c r="D1410" s="44">
        <v>2.5</v>
      </c>
      <c r="E1410" s="44" t="s">
        <v>336</v>
      </c>
      <c r="F1410" s="44" t="s">
        <v>527</v>
      </c>
      <c r="G1410" s="44">
        <f t="shared" si="67"/>
        <v>35</v>
      </c>
      <c r="H1410" t="str">
        <f t="shared" si="66"/>
        <v>Vegetable</v>
      </c>
    </row>
    <row r="1411" spans="1:8" s="44" customFormat="1">
      <c r="A1411" s="45">
        <v>43204</v>
      </c>
      <c r="B1411" s="44" t="s">
        <v>427</v>
      </c>
      <c r="C1411" s="44">
        <f t="shared" si="65"/>
        <v>28</v>
      </c>
      <c r="D1411" s="44">
        <v>0.25</v>
      </c>
      <c r="E1411" s="44" t="s">
        <v>336</v>
      </c>
      <c r="F1411" s="44" t="s">
        <v>527</v>
      </c>
      <c r="G1411" s="44">
        <f t="shared" si="67"/>
        <v>7</v>
      </c>
      <c r="H1411" t="str">
        <f t="shared" si="66"/>
        <v>Vegetable</v>
      </c>
    </row>
    <row r="1412" spans="1:8" s="44" customFormat="1">
      <c r="A1412" s="45">
        <v>43204</v>
      </c>
      <c r="B1412" s="44" t="s">
        <v>429</v>
      </c>
      <c r="C1412" s="44">
        <f t="shared" si="65"/>
        <v>40</v>
      </c>
      <c r="D1412" s="44">
        <v>0.2</v>
      </c>
      <c r="E1412" s="44" t="s">
        <v>336</v>
      </c>
      <c r="F1412" s="44" t="s">
        <v>527</v>
      </c>
      <c r="G1412" s="44">
        <f t="shared" si="67"/>
        <v>8</v>
      </c>
      <c r="H1412" t="str">
        <f t="shared" si="66"/>
        <v>Vegetable</v>
      </c>
    </row>
    <row r="1413" spans="1:8" s="44" customFormat="1">
      <c r="A1413" s="45">
        <v>43204</v>
      </c>
      <c r="B1413" s="44" t="s">
        <v>437</v>
      </c>
      <c r="C1413" s="44">
        <f t="shared" ref="C1413:C1476" si="68">IF(B1413="","",VLOOKUP(B1413,$XEY$3:$XEZ$1158,2,FALSE))</f>
        <v>34</v>
      </c>
      <c r="D1413" s="44">
        <v>0.8</v>
      </c>
      <c r="E1413" s="44" t="s">
        <v>336</v>
      </c>
      <c r="F1413" s="44" t="s">
        <v>527</v>
      </c>
      <c r="G1413" s="44">
        <f t="shared" si="67"/>
        <v>27.200000000000003</v>
      </c>
      <c r="H1413" t="str">
        <f t="shared" si="66"/>
        <v>Dry Grocery</v>
      </c>
    </row>
    <row r="1414" spans="1:8" s="44" customFormat="1">
      <c r="A1414" s="45">
        <v>43204</v>
      </c>
      <c r="B1414" s="44" t="s">
        <v>409</v>
      </c>
      <c r="C1414" s="44">
        <f t="shared" si="68"/>
        <v>64.069999999999993</v>
      </c>
      <c r="D1414" s="44">
        <v>0.5</v>
      </c>
      <c r="E1414" s="44" t="s">
        <v>336</v>
      </c>
      <c r="F1414" s="44" t="s">
        <v>527</v>
      </c>
      <c r="G1414" s="44">
        <f t="shared" si="67"/>
        <v>32.034999999999997</v>
      </c>
      <c r="H1414" t="str">
        <f t="shared" si="66"/>
        <v>Dry Grocery</v>
      </c>
    </row>
    <row r="1415" spans="1:8" s="44" customFormat="1">
      <c r="A1415" s="45">
        <v>43204</v>
      </c>
      <c r="B1415" s="44" t="s">
        <v>512</v>
      </c>
      <c r="C1415" s="44">
        <f t="shared" si="68"/>
        <v>170</v>
      </c>
      <c r="D1415" s="44">
        <v>0.1</v>
      </c>
      <c r="E1415" s="44" t="s">
        <v>336</v>
      </c>
      <c r="F1415" s="44" t="s">
        <v>527</v>
      </c>
      <c r="G1415" s="44">
        <f t="shared" si="67"/>
        <v>17</v>
      </c>
      <c r="H1415" t="str">
        <f t="shared" si="66"/>
        <v>Dry Grocery</v>
      </c>
    </row>
    <row r="1416" spans="1:8" s="44" customFormat="1">
      <c r="A1416" s="45">
        <v>43204</v>
      </c>
      <c r="B1416" s="44" t="s">
        <v>389</v>
      </c>
      <c r="C1416" s="44">
        <f t="shared" si="68"/>
        <v>280</v>
      </c>
      <c r="D1416" s="44">
        <v>0.02</v>
      </c>
      <c r="E1416" s="44" t="s">
        <v>336</v>
      </c>
      <c r="F1416" s="44" t="s">
        <v>527</v>
      </c>
      <c r="G1416" s="44">
        <f t="shared" si="67"/>
        <v>5.6000000000000005</v>
      </c>
      <c r="H1416" t="str">
        <f t="shared" si="66"/>
        <v>Dry Grocery</v>
      </c>
    </row>
    <row r="1417" spans="1:8" s="44" customFormat="1">
      <c r="A1417" s="45">
        <v>43204</v>
      </c>
      <c r="B1417" s="44" t="s">
        <v>514</v>
      </c>
      <c r="C1417" s="44">
        <f t="shared" si="68"/>
        <v>61.08</v>
      </c>
      <c r="D1417" s="44">
        <v>0.35</v>
      </c>
      <c r="E1417" s="44" t="s">
        <v>336</v>
      </c>
      <c r="F1417" s="44" t="s">
        <v>527</v>
      </c>
      <c r="G1417" s="44">
        <f t="shared" si="67"/>
        <v>21.377999999999997</v>
      </c>
      <c r="H1417" t="str">
        <f t="shared" si="66"/>
        <v>Dry Grocery</v>
      </c>
    </row>
    <row r="1418" spans="1:8" s="44" customFormat="1">
      <c r="A1418" s="45">
        <v>43204</v>
      </c>
      <c r="B1418" s="44" t="s">
        <v>462</v>
      </c>
      <c r="C1418" s="44">
        <f t="shared" si="68"/>
        <v>138</v>
      </c>
      <c r="D1418" s="44">
        <v>0.02</v>
      </c>
      <c r="E1418" s="44" t="s">
        <v>336</v>
      </c>
      <c r="F1418" s="44" t="s">
        <v>527</v>
      </c>
      <c r="G1418" s="44">
        <f t="shared" si="67"/>
        <v>2.7600000000000002</v>
      </c>
      <c r="H1418" t="str">
        <f t="shared" si="66"/>
        <v>Dry Grocery</v>
      </c>
    </row>
    <row r="1419" spans="1:8" s="44" customFormat="1">
      <c r="A1419" s="45">
        <v>43204</v>
      </c>
      <c r="B1419" s="44" t="s">
        <v>410</v>
      </c>
      <c r="C1419" s="44">
        <f t="shared" si="68"/>
        <v>76</v>
      </c>
      <c r="D1419" s="44">
        <v>7.0000000000000007E-2</v>
      </c>
      <c r="E1419" s="44" t="s">
        <v>336</v>
      </c>
      <c r="F1419" s="44" t="s">
        <v>527</v>
      </c>
      <c r="G1419" s="44">
        <f t="shared" si="67"/>
        <v>5.32</v>
      </c>
      <c r="H1419" t="str">
        <f t="shared" si="66"/>
        <v>Dry Grocery</v>
      </c>
    </row>
    <row r="1420" spans="1:8" s="44" customFormat="1">
      <c r="A1420" s="45">
        <v>43204</v>
      </c>
      <c r="B1420" s="44" t="s">
        <v>434</v>
      </c>
      <c r="C1420" s="44">
        <f t="shared" si="68"/>
        <v>125</v>
      </c>
      <c r="D1420" s="44">
        <v>0.06</v>
      </c>
      <c r="E1420" s="44" t="s">
        <v>336</v>
      </c>
      <c r="F1420" s="44" t="s">
        <v>527</v>
      </c>
      <c r="G1420" s="44">
        <f t="shared" si="67"/>
        <v>7.5</v>
      </c>
      <c r="H1420" t="str">
        <f t="shared" si="66"/>
        <v>Vegetable</v>
      </c>
    </row>
    <row r="1421" spans="1:8" s="44" customFormat="1">
      <c r="A1421" s="45">
        <v>43204</v>
      </c>
      <c r="B1421" s="44" t="s">
        <v>378</v>
      </c>
      <c r="C1421" s="44">
        <f t="shared" si="68"/>
        <v>25</v>
      </c>
      <c r="D1421" s="44">
        <v>0.2</v>
      </c>
      <c r="E1421" s="44" t="s">
        <v>336</v>
      </c>
      <c r="F1421" s="44" t="s">
        <v>527</v>
      </c>
      <c r="G1421" s="44">
        <f t="shared" si="67"/>
        <v>5</v>
      </c>
      <c r="H1421" t="str">
        <f t="shared" si="66"/>
        <v>Vegetable</v>
      </c>
    </row>
    <row r="1422" spans="1:8" s="44" customFormat="1">
      <c r="A1422" s="45">
        <v>43204</v>
      </c>
      <c r="B1422" s="44" t="s">
        <v>479</v>
      </c>
      <c r="C1422" s="44">
        <f t="shared" si="68"/>
        <v>312.14</v>
      </c>
      <c r="D1422" s="44">
        <v>0.04</v>
      </c>
      <c r="E1422" s="44" t="s">
        <v>336</v>
      </c>
      <c r="F1422" s="44" t="s">
        <v>527</v>
      </c>
      <c r="G1422" s="44">
        <f t="shared" si="67"/>
        <v>12.4856</v>
      </c>
      <c r="H1422" t="str">
        <f t="shared" si="66"/>
        <v>Vegetable</v>
      </c>
    </row>
    <row r="1423" spans="1:8">
      <c r="A1423" s="45">
        <v>43204</v>
      </c>
      <c r="B1423" s="44" t="s">
        <v>476</v>
      </c>
      <c r="C1423">
        <f t="shared" si="68"/>
        <v>14.75</v>
      </c>
      <c r="D1423" s="44">
        <v>0.8</v>
      </c>
      <c r="E1423" s="44" t="s">
        <v>336</v>
      </c>
      <c r="F1423" s="44" t="s">
        <v>527</v>
      </c>
      <c r="G1423">
        <f t="shared" si="67"/>
        <v>11.8</v>
      </c>
      <c r="H1423" t="str">
        <f t="shared" si="66"/>
        <v>Vegetable</v>
      </c>
    </row>
    <row r="1424" spans="1:8">
      <c r="A1424" s="45">
        <v>43204</v>
      </c>
      <c r="B1424" s="44" t="s">
        <v>510</v>
      </c>
      <c r="C1424">
        <f t="shared" si="68"/>
        <v>62.03</v>
      </c>
      <c r="D1424" s="44">
        <v>0.21</v>
      </c>
      <c r="E1424" s="44" t="s">
        <v>336</v>
      </c>
      <c r="F1424" s="44" t="s">
        <v>527</v>
      </c>
      <c r="G1424">
        <f t="shared" si="67"/>
        <v>13.026299999999999</v>
      </c>
      <c r="H1424" t="str">
        <f t="shared" si="66"/>
        <v>Dry Grocery</v>
      </c>
    </row>
    <row r="1425" spans="1:9">
      <c r="A1425" s="45">
        <v>43204</v>
      </c>
      <c r="B1425" s="44" t="s">
        <v>471</v>
      </c>
      <c r="C1425">
        <f t="shared" si="68"/>
        <v>160</v>
      </c>
      <c r="D1425" s="44">
        <v>0.08</v>
      </c>
      <c r="E1425" s="44" t="s">
        <v>336</v>
      </c>
      <c r="F1425" s="44" t="s">
        <v>527</v>
      </c>
      <c r="G1425">
        <f t="shared" si="67"/>
        <v>12.8</v>
      </c>
      <c r="H1425" t="str">
        <f t="shared" si="66"/>
        <v>Dry Grocery</v>
      </c>
    </row>
    <row r="1426" spans="1:9">
      <c r="A1426" s="45">
        <v>43204</v>
      </c>
      <c r="B1426" s="44" t="s">
        <v>519</v>
      </c>
      <c r="C1426">
        <f t="shared" si="68"/>
        <v>35</v>
      </c>
      <c r="D1426" s="44">
        <v>2</v>
      </c>
      <c r="E1426" s="44" t="s">
        <v>336</v>
      </c>
      <c r="F1426" s="44" t="s">
        <v>527</v>
      </c>
      <c r="G1426">
        <f t="shared" si="67"/>
        <v>70</v>
      </c>
      <c r="H1426" t="str">
        <f t="shared" si="66"/>
        <v>Vegetable</v>
      </c>
    </row>
    <row r="1427" spans="1:9">
      <c r="A1427" s="45">
        <v>43204</v>
      </c>
      <c r="B1427" s="44" t="s">
        <v>461</v>
      </c>
      <c r="C1427">
        <f t="shared" si="68"/>
        <v>1450</v>
      </c>
      <c r="D1427" s="44">
        <v>0.01</v>
      </c>
      <c r="E1427" s="44" t="s">
        <v>336</v>
      </c>
      <c r="F1427" s="44" t="s">
        <v>527</v>
      </c>
      <c r="G1427">
        <f t="shared" si="67"/>
        <v>14.5</v>
      </c>
      <c r="H1427" t="str">
        <f t="shared" si="66"/>
        <v>Spice</v>
      </c>
    </row>
    <row r="1428" spans="1:9">
      <c r="A1428" s="45">
        <v>43204</v>
      </c>
      <c r="B1428" s="44" t="s">
        <v>502</v>
      </c>
      <c r="C1428">
        <f t="shared" si="68"/>
        <v>40</v>
      </c>
      <c r="D1428" s="44">
        <v>0.3</v>
      </c>
      <c r="E1428" s="44" t="s">
        <v>336</v>
      </c>
      <c r="F1428" s="44" t="s">
        <v>527</v>
      </c>
      <c r="G1428">
        <f t="shared" si="67"/>
        <v>12</v>
      </c>
      <c r="H1428" t="str">
        <f t="shared" si="66"/>
        <v>Processed Food</v>
      </c>
    </row>
    <row r="1429" spans="1:9">
      <c r="A1429" s="45">
        <v>43204</v>
      </c>
      <c r="B1429" s="44" t="s">
        <v>433</v>
      </c>
      <c r="C1429">
        <f t="shared" si="68"/>
        <v>20</v>
      </c>
      <c r="D1429" s="44">
        <v>1</v>
      </c>
      <c r="E1429" s="44" t="s">
        <v>336</v>
      </c>
      <c r="F1429" s="44" t="s">
        <v>527</v>
      </c>
      <c r="G1429">
        <f t="shared" si="67"/>
        <v>20</v>
      </c>
      <c r="H1429" t="str">
        <f t="shared" si="66"/>
        <v>Vegetable</v>
      </c>
    </row>
    <row r="1430" spans="1:9">
      <c r="A1430" s="45">
        <v>43204</v>
      </c>
      <c r="B1430" s="44" t="s">
        <v>392</v>
      </c>
      <c r="C1430">
        <f t="shared" si="68"/>
        <v>840</v>
      </c>
      <c r="D1430" s="44">
        <v>2.5000000000000001E-2</v>
      </c>
      <c r="E1430" s="44" t="s">
        <v>336</v>
      </c>
      <c r="F1430" s="44" t="s">
        <v>527</v>
      </c>
      <c r="G1430">
        <f t="shared" si="67"/>
        <v>21</v>
      </c>
      <c r="H1430" t="str">
        <f t="shared" ref="H1430:H1493" si="69">IF(B1430="","",VLOOKUP(B1430,$XEY$3:$XFA$1200,3,FALSE))</f>
        <v>Dry Grocery</v>
      </c>
    </row>
    <row r="1431" spans="1:9">
      <c r="A1431" s="45">
        <v>43204</v>
      </c>
      <c r="B1431" s="44" t="s">
        <v>506</v>
      </c>
      <c r="C1431">
        <f t="shared" si="68"/>
        <v>240</v>
      </c>
      <c r="D1431" s="44">
        <v>2.5000000000000001E-2</v>
      </c>
      <c r="E1431" s="44" t="s">
        <v>336</v>
      </c>
      <c r="F1431" s="44" t="s">
        <v>527</v>
      </c>
      <c r="G1431">
        <f t="shared" si="67"/>
        <v>6</v>
      </c>
      <c r="H1431" t="str">
        <f t="shared" si="69"/>
        <v>Dry Grocery</v>
      </c>
    </row>
    <row r="1432" spans="1:9">
      <c r="A1432" s="45">
        <v>43204</v>
      </c>
      <c r="B1432" s="44" t="s">
        <v>432</v>
      </c>
      <c r="C1432">
        <f t="shared" si="68"/>
        <v>14</v>
      </c>
      <c r="D1432">
        <v>0.45</v>
      </c>
      <c r="E1432" t="s">
        <v>555</v>
      </c>
      <c r="F1432" s="44" t="s">
        <v>556</v>
      </c>
      <c r="G1432">
        <f t="shared" si="67"/>
        <v>6.3</v>
      </c>
      <c r="H1432" t="str">
        <f t="shared" si="69"/>
        <v>Vegetable</v>
      </c>
    </row>
    <row r="1433" spans="1:9">
      <c r="A1433" s="45">
        <v>43204</v>
      </c>
      <c r="B1433" s="44" t="s">
        <v>384</v>
      </c>
      <c r="C1433">
        <f t="shared" si="68"/>
        <v>3</v>
      </c>
      <c r="D1433">
        <v>12</v>
      </c>
      <c r="E1433" t="s">
        <v>555</v>
      </c>
      <c r="F1433" s="44" t="s">
        <v>556</v>
      </c>
      <c r="G1433">
        <f t="shared" si="67"/>
        <v>36</v>
      </c>
      <c r="H1433" t="str">
        <f t="shared" si="69"/>
        <v>Vegetable</v>
      </c>
    </row>
    <row r="1434" spans="1:9">
      <c r="A1434" s="45">
        <v>43204</v>
      </c>
      <c r="B1434" s="44" t="s">
        <v>430</v>
      </c>
      <c r="C1434">
        <f t="shared" si="68"/>
        <v>30</v>
      </c>
      <c r="D1434">
        <v>0.2</v>
      </c>
      <c r="E1434" t="s">
        <v>336</v>
      </c>
      <c r="F1434" t="s">
        <v>527</v>
      </c>
      <c r="G1434">
        <f t="shared" si="67"/>
        <v>6</v>
      </c>
      <c r="H1434" t="str">
        <f t="shared" si="69"/>
        <v>Vegetable</v>
      </c>
    </row>
    <row r="1435" spans="1:9">
      <c r="A1435" s="45">
        <v>43204</v>
      </c>
      <c r="B1435" s="44" t="s">
        <v>385</v>
      </c>
      <c r="C1435">
        <f t="shared" si="68"/>
        <v>36</v>
      </c>
      <c r="D1435">
        <v>3</v>
      </c>
      <c r="E1435" t="s">
        <v>542</v>
      </c>
      <c r="F1435" t="s">
        <v>554</v>
      </c>
      <c r="G1435">
        <f t="shared" si="67"/>
        <v>108</v>
      </c>
      <c r="H1435" t="str">
        <f t="shared" si="69"/>
        <v>Dairy</v>
      </c>
    </row>
    <row r="1436" spans="1:9">
      <c r="A1436" s="45">
        <v>43204</v>
      </c>
      <c r="B1436" s="44" t="s">
        <v>382</v>
      </c>
      <c r="C1436">
        <f t="shared" si="68"/>
        <v>42</v>
      </c>
      <c r="D1436">
        <v>1.5</v>
      </c>
      <c r="E1436" t="s">
        <v>525</v>
      </c>
      <c r="F1436" t="s">
        <v>526</v>
      </c>
      <c r="G1436">
        <f t="shared" si="67"/>
        <v>63</v>
      </c>
      <c r="H1436" t="str">
        <f t="shared" si="69"/>
        <v>Dairy</v>
      </c>
    </row>
    <row r="1437" spans="1:9">
      <c r="A1437" s="45">
        <v>43204</v>
      </c>
      <c r="B1437" s="44" t="s">
        <v>441</v>
      </c>
      <c r="C1437">
        <f t="shared" si="68"/>
        <v>390</v>
      </c>
      <c r="D1437">
        <f>0.35+0.08</f>
        <v>0.43</v>
      </c>
      <c r="E1437" t="s">
        <v>542</v>
      </c>
      <c r="F1437" t="s">
        <v>554</v>
      </c>
      <c r="G1437">
        <f t="shared" si="67"/>
        <v>167.7</v>
      </c>
      <c r="H1437" t="str">
        <f t="shared" si="69"/>
        <v>Hot Beverage</v>
      </c>
    </row>
    <row r="1438" spans="1:9">
      <c r="A1438" s="45">
        <v>43204</v>
      </c>
      <c r="B1438" s="44" t="s">
        <v>436</v>
      </c>
      <c r="C1438">
        <f t="shared" si="68"/>
        <v>37</v>
      </c>
      <c r="D1438">
        <f>0.65+0.55</f>
        <v>1.2000000000000002</v>
      </c>
      <c r="E1438" t="s">
        <v>542</v>
      </c>
      <c r="F1438" t="s">
        <v>554</v>
      </c>
      <c r="G1438">
        <f t="shared" si="67"/>
        <v>44.400000000000006</v>
      </c>
      <c r="H1438" t="str">
        <f t="shared" si="69"/>
        <v>Dry Grocery</v>
      </c>
    </row>
    <row r="1439" spans="1:9">
      <c r="A1439" s="45">
        <v>43205</v>
      </c>
      <c r="B1439" s="44" t="s">
        <v>451</v>
      </c>
      <c r="C1439">
        <f t="shared" si="68"/>
        <v>60</v>
      </c>
      <c r="E1439" t="s">
        <v>525</v>
      </c>
      <c r="F1439" t="s">
        <v>526</v>
      </c>
      <c r="G1439">
        <f t="shared" si="67"/>
        <v>0</v>
      </c>
      <c r="H1439" t="str">
        <f t="shared" si="69"/>
        <v>Vegetable</v>
      </c>
      <c r="I1439">
        <v>1.7</v>
      </c>
    </row>
    <row r="1440" spans="1:9">
      <c r="A1440" s="45">
        <v>43205</v>
      </c>
      <c r="B1440" s="44" t="s">
        <v>473</v>
      </c>
      <c r="C1440">
        <f t="shared" si="68"/>
        <v>175</v>
      </c>
      <c r="E1440" t="s">
        <v>525</v>
      </c>
      <c r="F1440" t="s">
        <v>526</v>
      </c>
      <c r="G1440">
        <f t="shared" si="67"/>
        <v>0</v>
      </c>
      <c r="H1440" t="str">
        <f t="shared" si="69"/>
        <v>Dairy</v>
      </c>
      <c r="I1440">
        <v>2</v>
      </c>
    </row>
    <row r="1441" spans="1:10">
      <c r="A1441" s="45">
        <v>43205</v>
      </c>
      <c r="B1441" s="44" t="s">
        <v>490</v>
      </c>
      <c r="C1441">
        <f t="shared" si="68"/>
        <v>100</v>
      </c>
      <c r="E1441" t="s">
        <v>525</v>
      </c>
      <c r="F1441" t="s">
        <v>526</v>
      </c>
      <c r="G1441">
        <f t="shared" si="67"/>
        <v>0</v>
      </c>
      <c r="H1441" t="str">
        <f t="shared" si="69"/>
        <v>Processed Food</v>
      </c>
      <c r="I1441">
        <v>0.1</v>
      </c>
    </row>
    <row r="1442" spans="1:10">
      <c r="A1442" s="45">
        <v>43205</v>
      </c>
      <c r="B1442" s="44" t="s">
        <v>458</v>
      </c>
      <c r="C1442">
        <f t="shared" si="68"/>
        <v>140</v>
      </c>
      <c r="E1442" t="s">
        <v>525</v>
      </c>
      <c r="F1442" t="s">
        <v>526</v>
      </c>
      <c r="G1442">
        <f t="shared" si="67"/>
        <v>0</v>
      </c>
      <c r="H1442" t="str">
        <f t="shared" si="69"/>
        <v>Dairy</v>
      </c>
      <c r="I1442">
        <v>0.3</v>
      </c>
    </row>
    <row r="1443" spans="1:10">
      <c r="A1443" s="45">
        <v>43205</v>
      </c>
      <c r="B1443" s="44" t="s">
        <v>468</v>
      </c>
      <c r="C1443">
        <f t="shared" si="68"/>
        <v>32</v>
      </c>
      <c r="E1443" t="s">
        <v>525</v>
      </c>
      <c r="F1443" t="s">
        <v>526</v>
      </c>
      <c r="G1443">
        <f t="shared" ref="G1443:G1506" si="70">IF(C1443="","",C1443*D1443)</f>
        <v>0</v>
      </c>
      <c r="H1443" t="str">
        <f t="shared" si="69"/>
        <v>Vegetable</v>
      </c>
      <c r="I1443">
        <v>5</v>
      </c>
    </row>
    <row r="1444" spans="1:10">
      <c r="A1444" s="45">
        <v>43205</v>
      </c>
      <c r="B1444" s="44" t="s">
        <v>489</v>
      </c>
      <c r="C1444">
        <f t="shared" si="68"/>
        <v>280</v>
      </c>
      <c r="E1444" t="s">
        <v>525</v>
      </c>
      <c r="F1444" t="s">
        <v>526</v>
      </c>
      <c r="G1444">
        <f t="shared" si="70"/>
        <v>0</v>
      </c>
      <c r="H1444" t="str">
        <f t="shared" si="69"/>
        <v>Processed Food</v>
      </c>
      <c r="I1444">
        <v>1.18</v>
      </c>
    </row>
    <row r="1445" spans="1:10">
      <c r="A1445" s="45">
        <v>43205</v>
      </c>
      <c r="B1445" s="44" t="s">
        <v>382</v>
      </c>
      <c r="C1445">
        <f t="shared" si="68"/>
        <v>42</v>
      </c>
      <c r="E1445" t="s">
        <v>531</v>
      </c>
      <c r="F1445" t="s">
        <v>530</v>
      </c>
      <c r="G1445">
        <f t="shared" si="70"/>
        <v>0</v>
      </c>
      <c r="H1445" t="str">
        <f t="shared" si="69"/>
        <v>Dairy</v>
      </c>
      <c r="I1445">
        <v>3</v>
      </c>
    </row>
    <row r="1446" spans="1:10">
      <c r="A1446" s="45">
        <v>43205</v>
      </c>
      <c r="B1446" s="44" t="s">
        <v>459</v>
      </c>
      <c r="C1446">
        <f t="shared" si="68"/>
        <v>190</v>
      </c>
      <c r="E1446" t="s">
        <v>525</v>
      </c>
      <c r="F1446" t="s">
        <v>526</v>
      </c>
      <c r="G1446">
        <f t="shared" si="70"/>
        <v>0</v>
      </c>
      <c r="H1446" t="str">
        <f t="shared" si="69"/>
        <v>Dairy</v>
      </c>
      <c r="I1446">
        <v>0.76500000000000001</v>
      </c>
    </row>
    <row r="1447" spans="1:10">
      <c r="A1447" s="45">
        <v>43205</v>
      </c>
      <c r="B1447" s="44" t="s">
        <v>382</v>
      </c>
      <c r="C1447">
        <f t="shared" si="68"/>
        <v>42</v>
      </c>
      <c r="E1447" t="s">
        <v>531</v>
      </c>
      <c r="F1447" t="s">
        <v>530</v>
      </c>
      <c r="G1447">
        <f t="shared" si="70"/>
        <v>0</v>
      </c>
      <c r="H1447" t="str">
        <f t="shared" si="69"/>
        <v>Dairy</v>
      </c>
      <c r="J1447">
        <v>6</v>
      </c>
    </row>
    <row r="1448" spans="1:10">
      <c r="A1448" s="45">
        <v>43205</v>
      </c>
      <c r="B1448" s="44" t="s">
        <v>385</v>
      </c>
      <c r="C1448">
        <f t="shared" si="68"/>
        <v>36</v>
      </c>
      <c r="E1448" t="s">
        <v>531</v>
      </c>
      <c r="F1448" t="s">
        <v>530</v>
      </c>
      <c r="G1448">
        <f t="shared" si="70"/>
        <v>0</v>
      </c>
      <c r="H1448" t="str">
        <f t="shared" si="69"/>
        <v>Dairy</v>
      </c>
      <c r="J1448">
        <v>6</v>
      </c>
    </row>
    <row r="1449" spans="1:10">
      <c r="A1449" s="45">
        <v>43205</v>
      </c>
      <c r="B1449" s="44" t="s">
        <v>391</v>
      </c>
      <c r="C1449">
        <f t="shared" si="68"/>
        <v>27.97</v>
      </c>
      <c r="E1449" t="s">
        <v>531</v>
      </c>
      <c r="F1449" t="s">
        <v>530</v>
      </c>
      <c r="G1449">
        <f t="shared" si="70"/>
        <v>0</v>
      </c>
      <c r="H1449" t="str">
        <f t="shared" si="69"/>
        <v>Vegetable</v>
      </c>
      <c r="J1449">
        <v>2</v>
      </c>
    </row>
    <row r="1450" spans="1:10">
      <c r="A1450" s="45">
        <v>43205</v>
      </c>
      <c r="B1450" s="44" t="s">
        <v>454</v>
      </c>
      <c r="C1450">
        <f t="shared" si="68"/>
        <v>43.06</v>
      </c>
      <c r="E1450" t="s">
        <v>531</v>
      </c>
      <c r="F1450" t="s">
        <v>530</v>
      </c>
      <c r="G1450">
        <f t="shared" si="70"/>
        <v>0</v>
      </c>
      <c r="H1450" t="str">
        <f t="shared" si="69"/>
        <v>Vegetable</v>
      </c>
      <c r="J1450">
        <v>2</v>
      </c>
    </row>
    <row r="1451" spans="1:10">
      <c r="A1451" s="45">
        <v>43205</v>
      </c>
      <c r="B1451" s="44" t="s">
        <v>430</v>
      </c>
      <c r="C1451">
        <f t="shared" si="68"/>
        <v>30</v>
      </c>
      <c r="E1451" t="s">
        <v>531</v>
      </c>
      <c r="F1451" t="s">
        <v>530</v>
      </c>
      <c r="G1451">
        <f t="shared" si="70"/>
        <v>0</v>
      </c>
      <c r="H1451" t="str">
        <f t="shared" si="69"/>
        <v>Vegetable</v>
      </c>
      <c r="J1451">
        <v>2</v>
      </c>
    </row>
    <row r="1452" spans="1:10">
      <c r="A1452" s="45">
        <v>43205</v>
      </c>
      <c r="B1452" s="44" t="s">
        <v>427</v>
      </c>
      <c r="C1452">
        <f t="shared" si="68"/>
        <v>28</v>
      </c>
      <c r="E1452" t="s">
        <v>531</v>
      </c>
      <c r="F1452" t="s">
        <v>530</v>
      </c>
      <c r="G1452">
        <f t="shared" si="70"/>
        <v>0</v>
      </c>
      <c r="H1452" t="str">
        <f t="shared" si="69"/>
        <v>Vegetable</v>
      </c>
      <c r="J1452">
        <v>5</v>
      </c>
    </row>
    <row r="1453" spans="1:10">
      <c r="A1453" s="45">
        <v>43205</v>
      </c>
      <c r="B1453" s="44" t="s">
        <v>371</v>
      </c>
      <c r="C1453">
        <f t="shared" si="68"/>
        <v>23.33</v>
      </c>
      <c r="E1453" t="s">
        <v>525</v>
      </c>
      <c r="F1453" t="s">
        <v>526</v>
      </c>
      <c r="G1453">
        <f t="shared" si="70"/>
        <v>0</v>
      </c>
      <c r="H1453" t="str">
        <f t="shared" si="69"/>
        <v>Vegetable</v>
      </c>
      <c r="J1453">
        <v>5</v>
      </c>
    </row>
    <row r="1454" spans="1:10">
      <c r="A1454" s="45">
        <v>43205</v>
      </c>
      <c r="B1454" s="44" t="s">
        <v>378</v>
      </c>
      <c r="C1454">
        <f t="shared" si="68"/>
        <v>25</v>
      </c>
      <c r="E1454" t="s">
        <v>531</v>
      </c>
      <c r="F1454" t="s">
        <v>530</v>
      </c>
      <c r="G1454">
        <f t="shared" si="70"/>
        <v>0</v>
      </c>
      <c r="H1454" t="str">
        <f t="shared" si="69"/>
        <v>Vegetable</v>
      </c>
      <c r="J1454">
        <v>1.1499999999999999</v>
      </c>
    </row>
    <row r="1455" spans="1:10">
      <c r="A1455" s="45">
        <v>43205</v>
      </c>
      <c r="B1455" s="44" t="s">
        <v>434</v>
      </c>
      <c r="C1455">
        <f t="shared" si="68"/>
        <v>125</v>
      </c>
      <c r="E1455" t="s">
        <v>531</v>
      </c>
      <c r="F1455" t="s">
        <v>530</v>
      </c>
      <c r="G1455">
        <f t="shared" si="70"/>
        <v>0</v>
      </c>
      <c r="H1455" t="str">
        <f t="shared" si="69"/>
        <v>Vegetable</v>
      </c>
      <c r="J1455">
        <v>0.12</v>
      </c>
    </row>
    <row r="1456" spans="1:10">
      <c r="A1456" s="45">
        <v>43205</v>
      </c>
      <c r="B1456" s="44" t="s">
        <v>519</v>
      </c>
      <c r="C1456">
        <f t="shared" si="68"/>
        <v>35</v>
      </c>
      <c r="E1456" t="s">
        <v>336</v>
      </c>
      <c r="F1456" t="s">
        <v>527</v>
      </c>
      <c r="G1456">
        <f t="shared" si="70"/>
        <v>0</v>
      </c>
      <c r="H1456" t="str">
        <f t="shared" si="69"/>
        <v>Vegetable</v>
      </c>
      <c r="J1456">
        <v>2.2000000000000002</v>
      </c>
    </row>
    <row r="1457" spans="1:10">
      <c r="A1457" s="45">
        <v>43205</v>
      </c>
      <c r="B1457" s="44" t="s">
        <v>513</v>
      </c>
      <c r="C1457">
        <f t="shared" si="68"/>
        <v>15</v>
      </c>
      <c r="E1457" t="s">
        <v>336</v>
      </c>
      <c r="F1457" t="s">
        <v>527</v>
      </c>
      <c r="G1457">
        <f t="shared" si="70"/>
        <v>0</v>
      </c>
      <c r="H1457" t="str">
        <f t="shared" si="69"/>
        <v>Vegetable</v>
      </c>
      <c r="J1457">
        <v>1.5</v>
      </c>
    </row>
    <row r="1458" spans="1:10">
      <c r="A1458" s="45">
        <v>43205</v>
      </c>
      <c r="B1458" s="44" t="s">
        <v>476</v>
      </c>
      <c r="C1458">
        <f t="shared" si="68"/>
        <v>14.75</v>
      </c>
      <c r="E1458" t="s">
        <v>525</v>
      </c>
      <c r="F1458" t="s">
        <v>526</v>
      </c>
      <c r="G1458">
        <f t="shared" si="70"/>
        <v>0</v>
      </c>
      <c r="H1458" t="str">
        <f t="shared" si="69"/>
        <v>Vegetable</v>
      </c>
      <c r="J1458">
        <v>2</v>
      </c>
    </row>
    <row r="1459" spans="1:10">
      <c r="A1459" s="45">
        <v>43205</v>
      </c>
      <c r="B1459" s="44" t="s">
        <v>479</v>
      </c>
      <c r="C1459">
        <f t="shared" si="68"/>
        <v>312.14</v>
      </c>
      <c r="E1459" t="s">
        <v>531</v>
      </c>
      <c r="F1459" t="s">
        <v>530</v>
      </c>
      <c r="G1459">
        <f t="shared" si="70"/>
        <v>0</v>
      </c>
      <c r="H1459" t="str">
        <f t="shared" si="69"/>
        <v>Vegetable</v>
      </c>
      <c r="J1459">
        <v>0.04</v>
      </c>
    </row>
    <row r="1460" spans="1:10">
      <c r="A1460" s="45">
        <v>43205</v>
      </c>
      <c r="B1460" s="44" t="s">
        <v>491</v>
      </c>
      <c r="C1460">
        <f t="shared" si="68"/>
        <v>38</v>
      </c>
      <c r="E1460" t="s">
        <v>525</v>
      </c>
      <c r="F1460" t="s">
        <v>526</v>
      </c>
      <c r="G1460">
        <f t="shared" si="70"/>
        <v>0</v>
      </c>
      <c r="H1460" t="str">
        <f t="shared" si="69"/>
        <v>Vegetable</v>
      </c>
      <c r="J1460">
        <v>2</v>
      </c>
    </row>
    <row r="1461" spans="1:10">
      <c r="A1461" s="45">
        <v>43205</v>
      </c>
      <c r="B1461" s="44" t="s">
        <v>458</v>
      </c>
      <c r="C1461">
        <f t="shared" si="68"/>
        <v>140</v>
      </c>
      <c r="E1461" t="s">
        <v>525</v>
      </c>
      <c r="F1461" t="s">
        <v>526</v>
      </c>
      <c r="G1461">
        <f t="shared" si="70"/>
        <v>0</v>
      </c>
      <c r="H1461" t="str">
        <f t="shared" si="69"/>
        <v>Dairy</v>
      </c>
      <c r="J1461">
        <v>1</v>
      </c>
    </row>
    <row r="1462" spans="1:10">
      <c r="A1462" s="45">
        <v>43205</v>
      </c>
      <c r="B1462" s="44" t="s">
        <v>473</v>
      </c>
      <c r="C1462">
        <f t="shared" si="68"/>
        <v>175</v>
      </c>
      <c r="E1462" t="s">
        <v>525</v>
      </c>
      <c r="F1462" t="s">
        <v>526</v>
      </c>
      <c r="G1462">
        <f t="shared" si="70"/>
        <v>0</v>
      </c>
      <c r="H1462" t="str">
        <f t="shared" si="69"/>
        <v>Dairy</v>
      </c>
      <c r="J1462">
        <v>1</v>
      </c>
    </row>
    <row r="1463" spans="1:10">
      <c r="A1463" s="45">
        <v>43205</v>
      </c>
      <c r="B1463" s="44" t="s">
        <v>490</v>
      </c>
      <c r="C1463">
        <f t="shared" si="68"/>
        <v>100</v>
      </c>
      <c r="E1463" t="s">
        <v>525</v>
      </c>
      <c r="F1463" t="s">
        <v>526</v>
      </c>
      <c r="G1463">
        <f t="shared" si="70"/>
        <v>0</v>
      </c>
      <c r="H1463" t="str">
        <f t="shared" si="69"/>
        <v>Processed Food</v>
      </c>
      <c r="J1463">
        <v>1</v>
      </c>
    </row>
    <row r="1464" spans="1:10">
      <c r="A1464" s="45">
        <v>43205</v>
      </c>
      <c r="B1464" s="44" t="s">
        <v>468</v>
      </c>
      <c r="C1464">
        <f t="shared" si="68"/>
        <v>32</v>
      </c>
      <c r="E1464" t="s">
        <v>525</v>
      </c>
      <c r="F1464" t="s">
        <v>526</v>
      </c>
      <c r="G1464">
        <f t="shared" si="70"/>
        <v>0</v>
      </c>
      <c r="H1464" t="str">
        <f t="shared" si="69"/>
        <v>Vegetable</v>
      </c>
      <c r="J1464">
        <v>5</v>
      </c>
    </row>
    <row r="1465" spans="1:10">
      <c r="A1465" s="45">
        <v>43205</v>
      </c>
      <c r="B1465" s="44" t="s">
        <v>441</v>
      </c>
      <c r="C1465">
        <f t="shared" si="68"/>
        <v>390</v>
      </c>
      <c r="E1465" t="s">
        <v>542</v>
      </c>
      <c r="F1465" t="s">
        <v>554</v>
      </c>
      <c r="G1465">
        <f t="shared" si="70"/>
        <v>0</v>
      </c>
      <c r="H1465" t="str">
        <f t="shared" si="69"/>
        <v>Hot Beverage</v>
      </c>
      <c r="J1465">
        <v>2</v>
      </c>
    </row>
    <row r="1466" spans="1:10">
      <c r="A1466" s="45">
        <v>43205</v>
      </c>
      <c r="B1466" s="44" t="s">
        <v>385</v>
      </c>
      <c r="C1466">
        <f t="shared" si="68"/>
        <v>36</v>
      </c>
      <c r="D1466">
        <v>2.5</v>
      </c>
      <c r="E1466" t="s">
        <v>336</v>
      </c>
      <c r="F1466" t="s">
        <v>527</v>
      </c>
      <c r="G1466">
        <f t="shared" si="70"/>
        <v>90</v>
      </c>
      <c r="H1466" t="str">
        <f t="shared" si="69"/>
        <v>Dairy</v>
      </c>
    </row>
    <row r="1467" spans="1:10">
      <c r="A1467" s="45">
        <v>43205</v>
      </c>
      <c r="B1467" s="44" t="s">
        <v>382</v>
      </c>
      <c r="C1467">
        <f t="shared" si="68"/>
        <v>42</v>
      </c>
      <c r="D1467">
        <v>1.5</v>
      </c>
      <c r="E1467" t="s">
        <v>336</v>
      </c>
      <c r="F1467" t="s">
        <v>527</v>
      </c>
      <c r="G1467">
        <f t="shared" si="70"/>
        <v>63</v>
      </c>
      <c r="H1467" t="str">
        <f t="shared" si="69"/>
        <v>Dairy</v>
      </c>
    </row>
    <row r="1468" spans="1:10">
      <c r="A1468" s="45">
        <v>43205</v>
      </c>
      <c r="B1468" s="44" t="s">
        <v>511</v>
      </c>
      <c r="C1468">
        <f t="shared" si="68"/>
        <v>52</v>
      </c>
      <c r="D1468">
        <v>3</v>
      </c>
      <c r="E1468" t="s">
        <v>336</v>
      </c>
      <c r="F1468" t="s">
        <v>527</v>
      </c>
      <c r="G1468">
        <f t="shared" si="70"/>
        <v>156</v>
      </c>
      <c r="H1468" t="str">
        <f t="shared" si="69"/>
        <v>Dry Grocery</v>
      </c>
    </row>
    <row r="1469" spans="1:10">
      <c r="A1469" s="45">
        <v>43205</v>
      </c>
      <c r="B1469" s="44" t="s">
        <v>404</v>
      </c>
      <c r="C1469">
        <f t="shared" si="68"/>
        <v>28</v>
      </c>
      <c r="D1469">
        <v>3</v>
      </c>
      <c r="E1469" t="s">
        <v>336</v>
      </c>
      <c r="F1469" t="s">
        <v>527</v>
      </c>
      <c r="G1469">
        <f t="shared" si="70"/>
        <v>84</v>
      </c>
      <c r="H1469" t="str">
        <f t="shared" si="69"/>
        <v>Vegetable</v>
      </c>
    </row>
    <row r="1470" spans="1:10">
      <c r="A1470" s="45">
        <v>43205</v>
      </c>
      <c r="B1470" s="44" t="s">
        <v>436</v>
      </c>
      <c r="C1470">
        <f t="shared" si="68"/>
        <v>37</v>
      </c>
      <c r="D1470">
        <v>0.45</v>
      </c>
      <c r="E1470" t="s">
        <v>336</v>
      </c>
      <c r="F1470" t="s">
        <v>527</v>
      </c>
      <c r="G1470">
        <f t="shared" si="70"/>
        <v>16.650000000000002</v>
      </c>
      <c r="H1470" t="str">
        <f t="shared" si="69"/>
        <v>Dry Grocery</v>
      </c>
    </row>
    <row r="1471" spans="1:10">
      <c r="A1471" s="45">
        <v>43205</v>
      </c>
      <c r="B1471" s="44" t="s">
        <v>375</v>
      </c>
      <c r="C1471">
        <f t="shared" si="68"/>
        <v>280</v>
      </c>
      <c r="D1471">
        <v>0.16500000000000001</v>
      </c>
      <c r="E1471" t="s">
        <v>336</v>
      </c>
      <c r="F1471" t="s">
        <v>527</v>
      </c>
      <c r="G1471">
        <f t="shared" si="70"/>
        <v>46.2</v>
      </c>
      <c r="H1471" t="str">
        <f t="shared" si="69"/>
        <v>Dry Grocery</v>
      </c>
    </row>
    <row r="1472" spans="1:10">
      <c r="A1472" s="45">
        <v>43205</v>
      </c>
      <c r="B1472" s="44" t="s">
        <v>379</v>
      </c>
      <c r="C1472">
        <f t="shared" si="68"/>
        <v>120</v>
      </c>
      <c r="D1472">
        <v>0.05</v>
      </c>
      <c r="E1472" t="s">
        <v>336</v>
      </c>
      <c r="F1472" t="s">
        <v>527</v>
      </c>
      <c r="G1472">
        <f t="shared" si="70"/>
        <v>6</v>
      </c>
      <c r="H1472" t="str">
        <f t="shared" si="69"/>
        <v>Dry Grocery</v>
      </c>
    </row>
    <row r="1473" spans="1:8">
      <c r="A1473" s="45">
        <v>43205</v>
      </c>
      <c r="B1473" s="44" t="s">
        <v>387</v>
      </c>
      <c r="C1473">
        <f t="shared" si="68"/>
        <v>187.41</v>
      </c>
      <c r="D1473">
        <v>4.4999999999999998E-2</v>
      </c>
      <c r="E1473" t="s">
        <v>336</v>
      </c>
      <c r="F1473" t="s">
        <v>527</v>
      </c>
      <c r="G1473">
        <f t="shared" si="70"/>
        <v>8.4334499999999988</v>
      </c>
      <c r="H1473" t="str">
        <f t="shared" si="69"/>
        <v>Dry Grocery</v>
      </c>
    </row>
    <row r="1474" spans="1:8">
      <c r="A1474" s="45">
        <v>43205</v>
      </c>
      <c r="B1474" s="44" t="s">
        <v>508</v>
      </c>
      <c r="C1474">
        <f t="shared" si="68"/>
        <v>86</v>
      </c>
      <c r="D1474">
        <v>0.35</v>
      </c>
      <c r="E1474" t="s">
        <v>336</v>
      </c>
      <c r="F1474" t="s">
        <v>527</v>
      </c>
      <c r="G1474">
        <f t="shared" si="70"/>
        <v>30.099999999999998</v>
      </c>
      <c r="H1474" t="str">
        <f t="shared" si="69"/>
        <v>Dry Grocery</v>
      </c>
    </row>
    <row r="1475" spans="1:8">
      <c r="A1475" s="45">
        <v>43205</v>
      </c>
      <c r="B1475" s="44" t="s">
        <v>507</v>
      </c>
      <c r="C1475">
        <f t="shared" si="68"/>
        <v>340</v>
      </c>
      <c r="D1475">
        <v>0.02</v>
      </c>
      <c r="E1475" t="s">
        <v>336</v>
      </c>
      <c r="F1475" t="s">
        <v>527</v>
      </c>
      <c r="G1475">
        <f t="shared" si="70"/>
        <v>6.8</v>
      </c>
      <c r="H1475" t="str">
        <f t="shared" si="69"/>
        <v>Dry Grocery</v>
      </c>
    </row>
    <row r="1476" spans="1:8">
      <c r="A1476" s="45">
        <v>43205</v>
      </c>
      <c r="B1476" s="44" t="s">
        <v>509</v>
      </c>
      <c r="C1476">
        <f t="shared" si="68"/>
        <v>500</v>
      </c>
      <c r="D1476">
        <v>0.1</v>
      </c>
      <c r="E1476" t="s">
        <v>336</v>
      </c>
      <c r="F1476" t="s">
        <v>527</v>
      </c>
      <c r="G1476">
        <f t="shared" si="70"/>
        <v>50</v>
      </c>
      <c r="H1476" t="str">
        <f t="shared" si="69"/>
        <v>Dry Grocery</v>
      </c>
    </row>
    <row r="1477" spans="1:8">
      <c r="A1477" s="45">
        <v>43205</v>
      </c>
      <c r="B1477" s="44" t="s">
        <v>381</v>
      </c>
      <c r="C1477">
        <f t="shared" ref="C1477:C1540" si="71">IF(B1477="","",VLOOKUP(B1477,$XEY$3:$XEZ$1158,2,FALSE))</f>
        <v>7</v>
      </c>
      <c r="D1477">
        <v>0.48</v>
      </c>
      <c r="E1477" t="s">
        <v>336</v>
      </c>
      <c r="F1477" t="s">
        <v>527</v>
      </c>
      <c r="G1477">
        <f t="shared" si="70"/>
        <v>3.36</v>
      </c>
      <c r="H1477" t="str">
        <f t="shared" si="69"/>
        <v>Dry Grocery</v>
      </c>
    </row>
    <row r="1478" spans="1:8">
      <c r="A1478" s="45">
        <v>43205</v>
      </c>
      <c r="B1478" s="44" t="s">
        <v>485</v>
      </c>
      <c r="C1478">
        <f t="shared" si="71"/>
        <v>96</v>
      </c>
      <c r="D1478">
        <v>0.57499999999999996</v>
      </c>
      <c r="E1478" t="s">
        <v>336</v>
      </c>
      <c r="F1478" t="s">
        <v>527</v>
      </c>
      <c r="G1478">
        <f t="shared" si="70"/>
        <v>55.199999999999996</v>
      </c>
      <c r="H1478" t="str">
        <f t="shared" si="69"/>
        <v>Oil</v>
      </c>
    </row>
    <row r="1479" spans="1:8">
      <c r="A1479" s="45">
        <v>43205</v>
      </c>
      <c r="B1479" s="44" t="s">
        <v>386</v>
      </c>
      <c r="C1479">
        <f t="shared" si="71"/>
        <v>82</v>
      </c>
      <c r="D1479">
        <v>2</v>
      </c>
      <c r="E1479" t="s">
        <v>336</v>
      </c>
      <c r="F1479" t="s">
        <v>527</v>
      </c>
      <c r="G1479">
        <f t="shared" si="70"/>
        <v>164</v>
      </c>
      <c r="H1479" t="str">
        <f t="shared" si="69"/>
        <v>Oil</v>
      </c>
    </row>
    <row r="1480" spans="1:8">
      <c r="A1480" s="45">
        <v>43205</v>
      </c>
      <c r="B1480" s="44" t="s">
        <v>426</v>
      </c>
      <c r="C1480">
        <f t="shared" si="71"/>
        <v>57.5</v>
      </c>
      <c r="D1480">
        <v>0.01</v>
      </c>
      <c r="E1480" t="s">
        <v>336</v>
      </c>
      <c r="F1480" t="s">
        <v>527</v>
      </c>
      <c r="G1480">
        <f t="shared" si="70"/>
        <v>0.57500000000000007</v>
      </c>
      <c r="H1480" t="str">
        <f t="shared" si="69"/>
        <v>Dry Grocery</v>
      </c>
    </row>
    <row r="1481" spans="1:8">
      <c r="A1481" s="45">
        <v>43205</v>
      </c>
      <c r="B1481" s="44" t="s">
        <v>383</v>
      </c>
      <c r="C1481">
        <f t="shared" si="71"/>
        <v>230</v>
      </c>
      <c r="D1481">
        <v>0.16</v>
      </c>
      <c r="E1481" t="s">
        <v>336</v>
      </c>
      <c r="F1481" t="s">
        <v>527</v>
      </c>
      <c r="G1481">
        <f t="shared" si="70"/>
        <v>36.800000000000004</v>
      </c>
      <c r="H1481" t="str">
        <f t="shared" si="69"/>
        <v>Dry Grocery</v>
      </c>
    </row>
    <row r="1482" spans="1:8">
      <c r="A1482" s="45">
        <v>43205</v>
      </c>
      <c r="B1482" s="44" t="s">
        <v>431</v>
      </c>
      <c r="C1482">
        <f t="shared" si="71"/>
        <v>70</v>
      </c>
      <c r="D1482">
        <v>7.4999999999999997E-2</v>
      </c>
      <c r="E1482" t="s">
        <v>336</v>
      </c>
      <c r="F1482" t="s">
        <v>527</v>
      </c>
      <c r="G1482">
        <f t="shared" si="70"/>
        <v>5.25</v>
      </c>
      <c r="H1482" t="str">
        <f t="shared" si="69"/>
        <v>Dry Grocery</v>
      </c>
    </row>
    <row r="1483" spans="1:8">
      <c r="A1483" s="45">
        <v>43205</v>
      </c>
      <c r="B1483" s="44" t="s">
        <v>367</v>
      </c>
      <c r="C1483">
        <f t="shared" si="71"/>
        <v>55</v>
      </c>
      <c r="D1483">
        <v>0.215</v>
      </c>
      <c r="E1483" t="s">
        <v>336</v>
      </c>
      <c r="F1483" t="s">
        <v>527</v>
      </c>
      <c r="G1483">
        <f t="shared" si="70"/>
        <v>11.824999999999999</v>
      </c>
      <c r="H1483" t="str">
        <f t="shared" si="69"/>
        <v>Dry Grocery</v>
      </c>
    </row>
    <row r="1484" spans="1:8">
      <c r="A1484" s="45">
        <v>43205</v>
      </c>
      <c r="B1484" s="44" t="s">
        <v>432</v>
      </c>
      <c r="C1484">
        <f t="shared" si="71"/>
        <v>14</v>
      </c>
      <c r="D1484">
        <v>2.5</v>
      </c>
      <c r="E1484" t="s">
        <v>336</v>
      </c>
      <c r="F1484" t="s">
        <v>527</v>
      </c>
      <c r="G1484">
        <f t="shared" si="70"/>
        <v>35</v>
      </c>
      <c r="H1484" t="str">
        <f t="shared" si="69"/>
        <v>Vegetable</v>
      </c>
    </row>
    <row r="1485" spans="1:8">
      <c r="A1485" s="45">
        <v>43205</v>
      </c>
      <c r="B1485" s="44" t="s">
        <v>427</v>
      </c>
      <c r="C1485">
        <f t="shared" si="71"/>
        <v>28</v>
      </c>
      <c r="D1485">
        <v>0.2</v>
      </c>
      <c r="E1485" t="s">
        <v>336</v>
      </c>
      <c r="F1485" t="s">
        <v>527</v>
      </c>
      <c r="G1485">
        <f t="shared" si="70"/>
        <v>5.6000000000000005</v>
      </c>
      <c r="H1485" t="str">
        <f t="shared" si="69"/>
        <v>Vegetable</v>
      </c>
    </row>
    <row r="1486" spans="1:8">
      <c r="A1486" s="45">
        <v>43205</v>
      </c>
      <c r="B1486" s="44" t="s">
        <v>429</v>
      </c>
      <c r="C1486">
        <f t="shared" si="71"/>
        <v>40</v>
      </c>
      <c r="D1486">
        <v>0.1</v>
      </c>
      <c r="E1486" t="s">
        <v>336</v>
      </c>
      <c r="F1486" t="s">
        <v>527</v>
      </c>
      <c r="G1486">
        <f t="shared" si="70"/>
        <v>4</v>
      </c>
      <c r="H1486" t="str">
        <f t="shared" si="69"/>
        <v>Vegetable</v>
      </c>
    </row>
    <row r="1487" spans="1:8">
      <c r="A1487" s="45">
        <v>43205</v>
      </c>
      <c r="B1487" s="44" t="s">
        <v>437</v>
      </c>
      <c r="C1487">
        <f t="shared" si="71"/>
        <v>34</v>
      </c>
      <c r="D1487">
        <v>0.75</v>
      </c>
      <c r="E1487" t="s">
        <v>336</v>
      </c>
      <c r="F1487" t="s">
        <v>527</v>
      </c>
      <c r="G1487">
        <f t="shared" si="70"/>
        <v>25.5</v>
      </c>
      <c r="H1487" t="str">
        <f t="shared" si="69"/>
        <v>Dry Grocery</v>
      </c>
    </row>
    <row r="1488" spans="1:8">
      <c r="A1488" s="45">
        <v>43205</v>
      </c>
      <c r="B1488" s="44" t="s">
        <v>409</v>
      </c>
      <c r="C1488">
        <f t="shared" si="71"/>
        <v>64.069999999999993</v>
      </c>
      <c r="D1488">
        <v>0.5</v>
      </c>
      <c r="E1488" t="s">
        <v>336</v>
      </c>
      <c r="F1488" t="s">
        <v>527</v>
      </c>
      <c r="G1488">
        <f t="shared" si="70"/>
        <v>32.034999999999997</v>
      </c>
      <c r="H1488" t="str">
        <f t="shared" si="69"/>
        <v>Dry Grocery</v>
      </c>
    </row>
    <row r="1489" spans="1:8">
      <c r="A1489" s="45">
        <v>43205</v>
      </c>
      <c r="B1489" s="44" t="s">
        <v>512</v>
      </c>
      <c r="C1489">
        <f t="shared" si="71"/>
        <v>170</v>
      </c>
      <c r="D1489">
        <v>0.15</v>
      </c>
      <c r="E1489" t="s">
        <v>336</v>
      </c>
      <c r="F1489" t="s">
        <v>527</v>
      </c>
      <c r="G1489">
        <f t="shared" si="70"/>
        <v>25.5</v>
      </c>
      <c r="H1489" t="str">
        <f t="shared" si="69"/>
        <v>Dry Grocery</v>
      </c>
    </row>
    <row r="1490" spans="1:8">
      <c r="A1490" s="45">
        <v>43205</v>
      </c>
      <c r="B1490" s="44" t="s">
        <v>462</v>
      </c>
      <c r="C1490">
        <f t="shared" si="71"/>
        <v>138</v>
      </c>
      <c r="D1490">
        <v>0.03</v>
      </c>
      <c r="E1490" t="s">
        <v>336</v>
      </c>
      <c r="F1490" t="s">
        <v>527</v>
      </c>
      <c r="G1490">
        <f t="shared" si="70"/>
        <v>4.1399999999999997</v>
      </c>
      <c r="H1490" t="str">
        <f t="shared" si="69"/>
        <v>Dry Grocery</v>
      </c>
    </row>
    <row r="1491" spans="1:8">
      <c r="A1491" s="45">
        <v>43205</v>
      </c>
      <c r="B1491" s="44" t="s">
        <v>430</v>
      </c>
      <c r="C1491">
        <f t="shared" si="71"/>
        <v>30</v>
      </c>
      <c r="D1491">
        <v>0.3</v>
      </c>
      <c r="E1491" t="s">
        <v>336</v>
      </c>
      <c r="F1491" t="s">
        <v>527</v>
      </c>
      <c r="G1491">
        <f t="shared" si="70"/>
        <v>9</v>
      </c>
      <c r="H1491" t="str">
        <f t="shared" si="69"/>
        <v>Vegetable</v>
      </c>
    </row>
    <row r="1492" spans="1:8">
      <c r="A1492" s="45">
        <v>43205</v>
      </c>
      <c r="B1492" s="44" t="s">
        <v>471</v>
      </c>
      <c r="C1492">
        <f t="shared" si="71"/>
        <v>160</v>
      </c>
      <c r="D1492">
        <v>0.06</v>
      </c>
      <c r="E1492" t="s">
        <v>336</v>
      </c>
      <c r="F1492" t="s">
        <v>527</v>
      </c>
      <c r="G1492">
        <f t="shared" si="70"/>
        <v>9.6</v>
      </c>
      <c r="H1492" t="str">
        <f t="shared" si="69"/>
        <v>Dry Grocery</v>
      </c>
    </row>
    <row r="1493" spans="1:8">
      <c r="A1493" s="45">
        <v>43205</v>
      </c>
      <c r="B1493" s="44" t="s">
        <v>510</v>
      </c>
      <c r="C1493">
        <f t="shared" si="71"/>
        <v>62.03</v>
      </c>
      <c r="D1493">
        <v>0.06</v>
      </c>
      <c r="E1493" t="s">
        <v>336</v>
      </c>
      <c r="F1493" t="s">
        <v>527</v>
      </c>
      <c r="G1493">
        <f t="shared" si="70"/>
        <v>3.7218</v>
      </c>
      <c r="H1493" t="str">
        <f t="shared" si="69"/>
        <v>Dry Grocery</v>
      </c>
    </row>
    <row r="1494" spans="1:8">
      <c r="A1494" s="45">
        <v>43205</v>
      </c>
      <c r="B1494" s="44" t="s">
        <v>461</v>
      </c>
      <c r="C1494">
        <f t="shared" si="71"/>
        <v>1450</v>
      </c>
      <c r="D1494">
        <v>2.5000000000000001E-2</v>
      </c>
      <c r="E1494" t="s">
        <v>336</v>
      </c>
      <c r="F1494" t="s">
        <v>527</v>
      </c>
      <c r="G1494">
        <f t="shared" si="70"/>
        <v>36.25</v>
      </c>
      <c r="H1494" t="str">
        <f t="shared" ref="H1494:H1557" si="72">IF(B1494="","",VLOOKUP(B1494,$XEY$3:$XFA$1200,3,FALSE))</f>
        <v>Spice</v>
      </c>
    </row>
    <row r="1495" spans="1:8">
      <c r="A1495" s="45">
        <v>43205</v>
      </c>
      <c r="B1495" s="44" t="s">
        <v>499</v>
      </c>
      <c r="C1495">
        <f t="shared" si="71"/>
        <v>60</v>
      </c>
      <c r="D1495">
        <v>0.15</v>
      </c>
      <c r="E1495" t="s">
        <v>336</v>
      </c>
      <c r="F1495" t="s">
        <v>527</v>
      </c>
      <c r="G1495">
        <f t="shared" si="70"/>
        <v>9</v>
      </c>
      <c r="H1495" t="str">
        <f t="shared" si="72"/>
        <v>Dry Grocery</v>
      </c>
    </row>
    <row r="1496" spans="1:8">
      <c r="A1496" s="45">
        <v>43205</v>
      </c>
      <c r="B1496" s="44" t="s">
        <v>486</v>
      </c>
      <c r="C1496">
        <f t="shared" si="71"/>
        <v>108</v>
      </c>
      <c r="D1496">
        <v>0.25</v>
      </c>
      <c r="E1496" t="s">
        <v>336</v>
      </c>
      <c r="F1496" t="s">
        <v>527</v>
      </c>
      <c r="G1496">
        <f t="shared" si="70"/>
        <v>27</v>
      </c>
      <c r="H1496" t="str">
        <f t="shared" si="72"/>
        <v>Dry Grocery</v>
      </c>
    </row>
    <row r="1497" spans="1:8">
      <c r="A1497" s="45">
        <v>43205</v>
      </c>
      <c r="B1497" s="44" t="s">
        <v>466</v>
      </c>
      <c r="C1497">
        <f t="shared" si="71"/>
        <v>125</v>
      </c>
      <c r="D1497">
        <v>0.01</v>
      </c>
      <c r="E1497" t="s">
        <v>336</v>
      </c>
      <c r="F1497" t="s">
        <v>527</v>
      </c>
      <c r="G1497">
        <f t="shared" si="70"/>
        <v>1.25</v>
      </c>
      <c r="H1497" t="str">
        <f t="shared" si="72"/>
        <v>Dry Grocery</v>
      </c>
    </row>
    <row r="1498" spans="1:8">
      <c r="A1498" s="45">
        <v>43205</v>
      </c>
      <c r="B1498" s="44" t="s">
        <v>410</v>
      </c>
      <c r="C1498">
        <f t="shared" si="71"/>
        <v>76</v>
      </c>
      <c r="D1498">
        <v>6.5000000000000002E-2</v>
      </c>
      <c r="E1498" t="s">
        <v>336</v>
      </c>
      <c r="F1498" t="s">
        <v>527</v>
      </c>
      <c r="G1498">
        <f t="shared" si="70"/>
        <v>4.9400000000000004</v>
      </c>
      <c r="H1498" t="str">
        <f t="shared" si="72"/>
        <v>Dry Grocery</v>
      </c>
    </row>
    <row r="1499" spans="1:8">
      <c r="A1499" s="45">
        <v>43205</v>
      </c>
      <c r="B1499" s="44" t="s">
        <v>454</v>
      </c>
      <c r="C1499">
        <f t="shared" si="71"/>
        <v>43.06</v>
      </c>
      <c r="D1499">
        <v>0.5</v>
      </c>
      <c r="E1499" t="s">
        <v>336</v>
      </c>
      <c r="F1499" t="s">
        <v>527</v>
      </c>
      <c r="G1499">
        <f t="shared" si="70"/>
        <v>21.53</v>
      </c>
      <c r="H1499" t="str">
        <f t="shared" si="72"/>
        <v>Vegetable</v>
      </c>
    </row>
    <row r="1500" spans="1:8">
      <c r="A1500" s="45">
        <v>43205</v>
      </c>
      <c r="B1500" s="44" t="s">
        <v>391</v>
      </c>
      <c r="C1500">
        <f t="shared" si="71"/>
        <v>27.97</v>
      </c>
      <c r="D1500">
        <v>0.5</v>
      </c>
      <c r="E1500" t="s">
        <v>336</v>
      </c>
      <c r="F1500" t="s">
        <v>527</v>
      </c>
      <c r="G1500">
        <f t="shared" si="70"/>
        <v>13.984999999999999</v>
      </c>
      <c r="H1500" t="str">
        <f t="shared" si="72"/>
        <v>Vegetable</v>
      </c>
    </row>
    <row r="1501" spans="1:8">
      <c r="A1501" s="45">
        <v>43205</v>
      </c>
      <c r="B1501" s="44" t="s">
        <v>434</v>
      </c>
      <c r="C1501">
        <f t="shared" si="71"/>
        <v>125</v>
      </c>
      <c r="D1501">
        <v>0.06</v>
      </c>
      <c r="E1501" t="s">
        <v>336</v>
      </c>
      <c r="F1501" t="s">
        <v>527</v>
      </c>
      <c r="G1501">
        <f t="shared" si="70"/>
        <v>7.5</v>
      </c>
      <c r="H1501" t="str">
        <f t="shared" si="72"/>
        <v>Vegetable</v>
      </c>
    </row>
    <row r="1502" spans="1:8">
      <c r="A1502" s="45">
        <v>43205</v>
      </c>
      <c r="B1502" s="44" t="s">
        <v>479</v>
      </c>
      <c r="C1502">
        <f t="shared" si="71"/>
        <v>312.14</v>
      </c>
      <c r="D1502">
        <v>0.04</v>
      </c>
      <c r="E1502" t="s">
        <v>336</v>
      </c>
      <c r="F1502" t="s">
        <v>527</v>
      </c>
      <c r="G1502">
        <f t="shared" si="70"/>
        <v>12.4856</v>
      </c>
      <c r="H1502" t="str">
        <f t="shared" si="72"/>
        <v>Vegetable</v>
      </c>
    </row>
    <row r="1503" spans="1:8">
      <c r="A1503" s="45">
        <v>43205</v>
      </c>
      <c r="B1503" s="44" t="s">
        <v>378</v>
      </c>
      <c r="C1503">
        <f t="shared" si="71"/>
        <v>25</v>
      </c>
      <c r="D1503">
        <v>0.2</v>
      </c>
      <c r="E1503" t="s">
        <v>336</v>
      </c>
      <c r="F1503" t="s">
        <v>527</v>
      </c>
      <c r="G1503">
        <f t="shared" si="70"/>
        <v>5</v>
      </c>
      <c r="H1503" t="str">
        <f t="shared" si="72"/>
        <v>Vegetable</v>
      </c>
    </row>
    <row r="1504" spans="1:8">
      <c r="A1504" s="45">
        <v>43205</v>
      </c>
      <c r="B1504" s="44" t="s">
        <v>476</v>
      </c>
      <c r="C1504">
        <f t="shared" si="71"/>
        <v>14.75</v>
      </c>
      <c r="D1504">
        <v>1.2</v>
      </c>
      <c r="E1504" t="s">
        <v>336</v>
      </c>
      <c r="F1504" t="s">
        <v>527</v>
      </c>
      <c r="G1504">
        <f t="shared" si="70"/>
        <v>17.7</v>
      </c>
      <c r="H1504" t="str">
        <f t="shared" si="72"/>
        <v>Vegetable</v>
      </c>
    </row>
    <row r="1505" spans="1:9">
      <c r="A1505" s="45">
        <v>43205</v>
      </c>
      <c r="B1505" s="44" t="s">
        <v>392</v>
      </c>
      <c r="C1505">
        <f t="shared" si="71"/>
        <v>840</v>
      </c>
      <c r="D1505">
        <v>2.5000000000000001E-2</v>
      </c>
      <c r="E1505" t="s">
        <v>336</v>
      </c>
      <c r="F1505" t="s">
        <v>527</v>
      </c>
      <c r="G1505">
        <f t="shared" si="70"/>
        <v>21</v>
      </c>
      <c r="H1505" t="str">
        <f t="shared" si="72"/>
        <v>Dry Grocery</v>
      </c>
    </row>
    <row r="1506" spans="1:9">
      <c r="A1506" s="45">
        <v>43205</v>
      </c>
      <c r="B1506" s="44" t="s">
        <v>506</v>
      </c>
      <c r="C1506">
        <f t="shared" si="71"/>
        <v>240</v>
      </c>
      <c r="D1506">
        <v>2.5000000000000001E-2</v>
      </c>
      <c r="E1506" t="s">
        <v>336</v>
      </c>
      <c r="F1506" t="s">
        <v>527</v>
      </c>
      <c r="G1506">
        <f t="shared" si="70"/>
        <v>6</v>
      </c>
      <c r="H1506" t="str">
        <f t="shared" si="72"/>
        <v>Dry Grocery</v>
      </c>
    </row>
    <row r="1507" spans="1:9">
      <c r="A1507" s="45">
        <v>43205</v>
      </c>
      <c r="B1507" t="s">
        <v>402</v>
      </c>
      <c r="C1507">
        <f t="shared" si="71"/>
        <v>76</v>
      </c>
      <c r="D1507">
        <v>0.5</v>
      </c>
      <c r="E1507" t="s">
        <v>336</v>
      </c>
      <c r="F1507" t="s">
        <v>527</v>
      </c>
      <c r="G1507">
        <f t="shared" ref="G1507:G1570" si="73">IF(C1507="","",C1507*D1507)</f>
        <v>38</v>
      </c>
      <c r="H1507" t="str">
        <f t="shared" si="72"/>
        <v>Dry Grocery</v>
      </c>
    </row>
    <row r="1508" spans="1:9">
      <c r="A1508" s="45">
        <v>43205</v>
      </c>
      <c r="B1508" t="s">
        <v>389</v>
      </c>
      <c r="C1508">
        <f t="shared" si="71"/>
        <v>280</v>
      </c>
      <c r="D1508">
        <v>0.03</v>
      </c>
      <c r="E1508" t="s">
        <v>336</v>
      </c>
      <c r="F1508" t="s">
        <v>527</v>
      </c>
      <c r="G1508">
        <f t="shared" si="73"/>
        <v>8.4</v>
      </c>
      <c r="H1508" t="str">
        <f t="shared" si="72"/>
        <v>Dry Grocery</v>
      </c>
    </row>
    <row r="1509" spans="1:9">
      <c r="A1509" s="45">
        <v>43205</v>
      </c>
      <c r="B1509" t="s">
        <v>502</v>
      </c>
      <c r="C1509">
        <f t="shared" si="71"/>
        <v>40</v>
      </c>
      <c r="D1509">
        <v>0.25</v>
      </c>
      <c r="E1509" t="s">
        <v>336</v>
      </c>
      <c r="F1509" t="s">
        <v>527</v>
      </c>
      <c r="G1509">
        <f t="shared" si="73"/>
        <v>10</v>
      </c>
      <c r="H1509" t="str">
        <f t="shared" si="72"/>
        <v>Processed Food</v>
      </c>
    </row>
    <row r="1510" spans="1:9">
      <c r="A1510" s="45">
        <v>43205</v>
      </c>
      <c r="B1510" t="s">
        <v>519</v>
      </c>
      <c r="C1510">
        <f t="shared" si="71"/>
        <v>35</v>
      </c>
      <c r="D1510">
        <v>1</v>
      </c>
      <c r="E1510" t="s">
        <v>336</v>
      </c>
      <c r="F1510" t="s">
        <v>527</v>
      </c>
      <c r="G1510">
        <f t="shared" si="73"/>
        <v>35</v>
      </c>
      <c r="H1510" t="str">
        <f t="shared" si="72"/>
        <v>Vegetable</v>
      </c>
    </row>
    <row r="1511" spans="1:9">
      <c r="A1511" s="45">
        <v>43205</v>
      </c>
      <c r="B1511" t="s">
        <v>673</v>
      </c>
      <c r="C1511">
        <f t="shared" si="71"/>
        <v>20</v>
      </c>
      <c r="E1511" t="s">
        <v>543</v>
      </c>
      <c r="F1511" t="s">
        <v>527</v>
      </c>
      <c r="G1511">
        <f t="shared" si="73"/>
        <v>0</v>
      </c>
      <c r="H1511" t="str">
        <f t="shared" si="72"/>
        <v>Fruits</v>
      </c>
      <c r="I1511">
        <v>1.1000000000000001</v>
      </c>
    </row>
    <row r="1512" spans="1:9">
      <c r="A1512" s="45">
        <v>43205</v>
      </c>
      <c r="B1512" t="s">
        <v>622</v>
      </c>
      <c r="C1512">
        <f t="shared" si="71"/>
        <v>130</v>
      </c>
      <c r="E1512" t="s">
        <v>543</v>
      </c>
      <c r="F1512" t="s">
        <v>527</v>
      </c>
      <c r="G1512">
        <f t="shared" si="73"/>
        <v>0</v>
      </c>
      <c r="H1512" t="str">
        <f t="shared" si="72"/>
        <v>Fruits</v>
      </c>
      <c r="I1512">
        <v>2</v>
      </c>
    </row>
    <row r="1513" spans="1:9">
      <c r="A1513" s="45">
        <v>43205</v>
      </c>
      <c r="B1513" t="s">
        <v>552</v>
      </c>
      <c r="C1513">
        <f t="shared" si="71"/>
        <v>40</v>
      </c>
      <c r="E1513" t="s">
        <v>543</v>
      </c>
      <c r="F1513" t="s">
        <v>527</v>
      </c>
      <c r="G1513">
        <f t="shared" si="73"/>
        <v>0</v>
      </c>
      <c r="H1513" t="str">
        <f t="shared" si="72"/>
        <v>Fruits</v>
      </c>
      <c r="I1513">
        <v>2</v>
      </c>
    </row>
    <row r="1514" spans="1:9">
      <c r="A1514" s="45">
        <v>43205</v>
      </c>
      <c r="B1514" t="s">
        <v>551</v>
      </c>
      <c r="C1514">
        <f t="shared" si="71"/>
        <v>120</v>
      </c>
      <c r="E1514" t="s">
        <v>543</v>
      </c>
      <c r="F1514" t="s">
        <v>527</v>
      </c>
      <c r="G1514">
        <f t="shared" si="73"/>
        <v>0</v>
      </c>
      <c r="H1514" t="str">
        <f t="shared" si="72"/>
        <v>Fruits</v>
      </c>
      <c r="I1514">
        <v>0.75</v>
      </c>
    </row>
    <row r="1515" spans="1:9">
      <c r="A1515" s="45">
        <v>43205</v>
      </c>
      <c r="B1515" t="s">
        <v>447</v>
      </c>
      <c r="C1515">
        <f t="shared" si="71"/>
        <v>30</v>
      </c>
      <c r="E1515" t="s">
        <v>543</v>
      </c>
      <c r="F1515" t="s">
        <v>527</v>
      </c>
      <c r="G1515">
        <f t="shared" si="73"/>
        <v>0</v>
      </c>
      <c r="H1515" t="str">
        <f t="shared" si="72"/>
        <v>Fruits</v>
      </c>
      <c r="I1515">
        <v>3.5</v>
      </c>
    </row>
    <row r="1516" spans="1:9">
      <c r="A1516" s="45">
        <v>43205</v>
      </c>
      <c r="B1516" t="s">
        <v>553</v>
      </c>
      <c r="C1516">
        <f t="shared" si="71"/>
        <v>150</v>
      </c>
      <c r="E1516" t="s">
        <v>543</v>
      </c>
      <c r="F1516" t="s">
        <v>527</v>
      </c>
      <c r="G1516">
        <f t="shared" si="73"/>
        <v>0</v>
      </c>
      <c r="H1516" t="str">
        <f t="shared" si="72"/>
        <v>Fruits</v>
      </c>
      <c r="I1516">
        <v>0.35</v>
      </c>
    </row>
    <row r="1517" spans="1:9">
      <c r="A1517" s="45">
        <v>43205</v>
      </c>
      <c r="B1517" t="s">
        <v>444</v>
      </c>
      <c r="C1517">
        <f t="shared" si="71"/>
        <v>50</v>
      </c>
      <c r="E1517" t="s">
        <v>543</v>
      </c>
      <c r="F1517" t="s">
        <v>527</v>
      </c>
      <c r="G1517">
        <f t="shared" si="73"/>
        <v>0</v>
      </c>
      <c r="H1517" t="str">
        <f t="shared" si="72"/>
        <v>Fruits</v>
      </c>
      <c r="I1517">
        <v>0.3</v>
      </c>
    </row>
    <row r="1518" spans="1:9">
      <c r="A1518" s="45">
        <v>43205</v>
      </c>
      <c r="B1518" t="s">
        <v>432</v>
      </c>
      <c r="C1518">
        <f t="shared" si="71"/>
        <v>14</v>
      </c>
      <c r="D1518">
        <v>0.3</v>
      </c>
      <c r="E1518" t="s">
        <v>555</v>
      </c>
      <c r="F1518" t="s">
        <v>556</v>
      </c>
      <c r="G1518">
        <f t="shared" si="73"/>
        <v>4.2</v>
      </c>
      <c r="H1518" t="str">
        <f t="shared" si="72"/>
        <v>Vegetable</v>
      </c>
    </row>
    <row r="1519" spans="1:9">
      <c r="A1519" s="45">
        <v>43205</v>
      </c>
      <c r="B1519" t="s">
        <v>384</v>
      </c>
      <c r="C1519">
        <f t="shared" si="71"/>
        <v>3</v>
      </c>
      <c r="D1519">
        <v>3</v>
      </c>
      <c r="E1519" t="s">
        <v>555</v>
      </c>
      <c r="F1519" t="s">
        <v>556</v>
      </c>
      <c r="G1519">
        <f t="shared" si="73"/>
        <v>9</v>
      </c>
      <c r="H1519" t="str">
        <f t="shared" si="72"/>
        <v>Vegetable</v>
      </c>
    </row>
    <row r="1520" spans="1:9">
      <c r="A1520" s="45">
        <v>43205</v>
      </c>
      <c r="B1520" t="s">
        <v>397</v>
      </c>
      <c r="C1520">
        <f t="shared" si="71"/>
        <v>75</v>
      </c>
      <c r="D1520">
        <v>0.3</v>
      </c>
      <c r="E1520" t="s">
        <v>555</v>
      </c>
      <c r="F1520" t="s">
        <v>556</v>
      </c>
      <c r="G1520">
        <f t="shared" si="73"/>
        <v>22.5</v>
      </c>
      <c r="H1520" t="str">
        <f t="shared" si="72"/>
        <v>Sauce</v>
      </c>
    </row>
    <row r="1521" spans="1:11">
      <c r="A1521" s="45">
        <v>43205</v>
      </c>
      <c r="B1521" t="s">
        <v>491</v>
      </c>
      <c r="C1521">
        <f t="shared" si="71"/>
        <v>38</v>
      </c>
      <c r="E1521" t="s">
        <v>525</v>
      </c>
      <c r="F1521" t="s">
        <v>526</v>
      </c>
      <c r="G1521">
        <f t="shared" si="73"/>
        <v>0</v>
      </c>
      <c r="H1521" t="str">
        <f t="shared" si="72"/>
        <v>Vegetable</v>
      </c>
      <c r="K1521">
        <v>0.2</v>
      </c>
    </row>
    <row r="1522" spans="1:11">
      <c r="A1522" s="45">
        <v>43205</v>
      </c>
      <c r="B1522" t="s">
        <v>463</v>
      </c>
      <c r="C1522">
        <f t="shared" si="71"/>
        <v>29.51</v>
      </c>
      <c r="E1522" t="s">
        <v>525</v>
      </c>
      <c r="F1522" t="s">
        <v>526</v>
      </c>
      <c r="G1522">
        <f t="shared" si="73"/>
        <v>0</v>
      </c>
      <c r="H1522" t="str">
        <f t="shared" si="72"/>
        <v>Dry Grocery</v>
      </c>
      <c r="K1522">
        <v>8.5000000000000006E-2</v>
      </c>
    </row>
    <row r="1523" spans="1:11">
      <c r="A1523" s="45">
        <v>43205</v>
      </c>
      <c r="B1523" t="s">
        <v>390</v>
      </c>
      <c r="C1523">
        <f t="shared" si="71"/>
        <v>30</v>
      </c>
      <c r="D1523">
        <v>1.5</v>
      </c>
      <c r="E1523" t="s">
        <v>525</v>
      </c>
      <c r="F1523" t="s">
        <v>526</v>
      </c>
      <c r="G1523">
        <f t="shared" si="73"/>
        <v>45</v>
      </c>
      <c r="H1523" t="str">
        <f t="shared" si="72"/>
        <v>Vegetable</v>
      </c>
    </row>
    <row r="1524" spans="1:11">
      <c r="A1524" s="45">
        <v>43205</v>
      </c>
      <c r="B1524" t="s">
        <v>432</v>
      </c>
      <c r="C1524">
        <f t="shared" si="71"/>
        <v>14</v>
      </c>
      <c r="D1524">
        <v>5.5</v>
      </c>
      <c r="E1524" t="s">
        <v>525</v>
      </c>
      <c r="F1524" t="s">
        <v>526</v>
      </c>
      <c r="G1524">
        <f t="shared" si="73"/>
        <v>77</v>
      </c>
      <c r="H1524" t="str">
        <f t="shared" si="72"/>
        <v>Vegetable</v>
      </c>
    </row>
    <row r="1525" spans="1:11">
      <c r="A1525" s="45">
        <v>43205</v>
      </c>
      <c r="B1525" t="s">
        <v>430</v>
      </c>
      <c r="C1525">
        <f t="shared" si="71"/>
        <v>30</v>
      </c>
      <c r="D1525">
        <v>0.65</v>
      </c>
      <c r="E1525" t="s">
        <v>525</v>
      </c>
      <c r="F1525" t="s">
        <v>526</v>
      </c>
      <c r="G1525">
        <f t="shared" si="73"/>
        <v>19.5</v>
      </c>
      <c r="H1525" t="str">
        <f t="shared" si="72"/>
        <v>Vegetable</v>
      </c>
    </row>
    <row r="1526" spans="1:11">
      <c r="A1526" s="45">
        <v>43205</v>
      </c>
      <c r="B1526" t="s">
        <v>378</v>
      </c>
      <c r="C1526">
        <f t="shared" si="71"/>
        <v>25</v>
      </c>
      <c r="D1526">
        <f>0.25+0.1+0.23</f>
        <v>0.57999999999999996</v>
      </c>
      <c r="E1526" t="s">
        <v>525</v>
      </c>
      <c r="F1526" t="s">
        <v>526</v>
      </c>
      <c r="G1526">
        <f t="shared" si="73"/>
        <v>14.499999999999998</v>
      </c>
      <c r="H1526" t="str">
        <f t="shared" si="72"/>
        <v>Vegetable</v>
      </c>
    </row>
    <row r="1527" spans="1:11">
      <c r="A1527" s="45">
        <v>43205</v>
      </c>
      <c r="B1527" t="s">
        <v>452</v>
      </c>
      <c r="C1527">
        <f t="shared" si="71"/>
        <v>62</v>
      </c>
      <c r="D1527">
        <v>1.5</v>
      </c>
      <c r="E1527" t="s">
        <v>525</v>
      </c>
      <c r="F1527" t="s">
        <v>526</v>
      </c>
      <c r="G1527">
        <f t="shared" si="73"/>
        <v>93</v>
      </c>
      <c r="H1527" t="str">
        <f t="shared" si="72"/>
        <v>Dry Grocery</v>
      </c>
    </row>
    <row r="1528" spans="1:11">
      <c r="A1528" s="45">
        <v>43205</v>
      </c>
      <c r="B1528" t="s">
        <v>376</v>
      </c>
      <c r="C1528">
        <f t="shared" si="71"/>
        <v>220</v>
      </c>
      <c r="D1528">
        <v>5.0000000000000001E-3</v>
      </c>
      <c r="E1528" t="s">
        <v>525</v>
      </c>
      <c r="F1528" t="s">
        <v>526</v>
      </c>
      <c r="G1528">
        <f t="shared" si="73"/>
        <v>1.1000000000000001</v>
      </c>
      <c r="H1528" t="str">
        <f t="shared" si="72"/>
        <v>Spice</v>
      </c>
    </row>
    <row r="1529" spans="1:11">
      <c r="A1529" s="45">
        <v>43205</v>
      </c>
      <c r="B1529" t="s">
        <v>377</v>
      </c>
      <c r="C1529">
        <f t="shared" si="71"/>
        <v>740</v>
      </c>
      <c r="D1529">
        <v>5.0000000000000001E-3</v>
      </c>
      <c r="E1529" t="s">
        <v>525</v>
      </c>
      <c r="F1529" t="s">
        <v>526</v>
      </c>
      <c r="G1529">
        <f t="shared" si="73"/>
        <v>3.7</v>
      </c>
      <c r="H1529" t="str">
        <f t="shared" si="72"/>
        <v>Spice</v>
      </c>
    </row>
    <row r="1530" spans="1:11">
      <c r="A1530" s="45">
        <v>43205</v>
      </c>
      <c r="B1530" t="s">
        <v>461</v>
      </c>
      <c r="C1530">
        <f t="shared" si="71"/>
        <v>1450</v>
      </c>
      <c r="D1530">
        <v>5.0000000000000001E-3</v>
      </c>
      <c r="E1530" t="s">
        <v>525</v>
      </c>
      <c r="F1530" t="s">
        <v>526</v>
      </c>
      <c r="G1530">
        <f t="shared" si="73"/>
        <v>7.25</v>
      </c>
      <c r="H1530" t="str">
        <f t="shared" si="72"/>
        <v>Spice</v>
      </c>
    </row>
    <row r="1531" spans="1:11">
      <c r="A1531" s="45">
        <v>43205</v>
      </c>
      <c r="B1531" t="s">
        <v>464</v>
      </c>
      <c r="C1531">
        <f t="shared" si="71"/>
        <v>750</v>
      </c>
      <c r="D1531">
        <v>5.0000000000000001E-3</v>
      </c>
      <c r="E1531" t="s">
        <v>525</v>
      </c>
      <c r="F1531" t="s">
        <v>526</v>
      </c>
      <c r="G1531">
        <f t="shared" si="73"/>
        <v>3.75</v>
      </c>
      <c r="H1531" t="str">
        <f t="shared" si="72"/>
        <v>Spice</v>
      </c>
    </row>
    <row r="1532" spans="1:11">
      <c r="A1532" s="45">
        <v>43205</v>
      </c>
      <c r="B1532" t="s">
        <v>399</v>
      </c>
      <c r="C1532">
        <f t="shared" si="71"/>
        <v>1480</v>
      </c>
      <c r="D1532">
        <v>4.0000000000000001E-3</v>
      </c>
      <c r="E1532" t="s">
        <v>525</v>
      </c>
      <c r="F1532" t="s">
        <v>526</v>
      </c>
      <c r="G1532">
        <f t="shared" si="73"/>
        <v>5.92</v>
      </c>
      <c r="H1532" t="str">
        <f t="shared" si="72"/>
        <v>Spice</v>
      </c>
    </row>
    <row r="1533" spans="1:11">
      <c r="A1533" s="45">
        <v>43205</v>
      </c>
      <c r="B1533" t="s">
        <v>457</v>
      </c>
      <c r="C1533">
        <f t="shared" si="71"/>
        <v>64</v>
      </c>
      <c r="D1533">
        <v>2</v>
      </c>
      <c r="E1533" t="s">
        <v>525</v>
      </c>
      <c r="F1533" t="s">
        <v>526</v>
      </c>
      <c r="G1533">
        <f t="shared" si="73"/>
        <v>128</v>
      </c>
      <c r="H1533" t="str">
        <f t="shared" si="72"/>
        <v>Dry Grocery</v>
      </c>
    </row>
    <row r="1534" spans="1:11">
      <c r="A1534" s="45">
        <v>43205</v>
      </c>
      <c r="B1534" t="s">
        <v>393</v>
      </c>
      <c r="C1534">
        <f t="shared" si="71"/>
        <v>26</v>
      </c>
      <c r="D1534">
        <v>9.1</v>
      </c>
      <c r="E1534" t="s">
        <v>525</v>
      </c>
      <c r="F1534" t="s">
        <v>526</v>
      </c>
      <c r="G1534">
        <f t="shared" si="73"/>
        <v>236.6</v>
      </c>
      <c r="H1534" t="str">
        <f t="shared" si="72"/>
        <v>Heating</v>
      </c>
    </row>
    <row r="1535" spans="1:11">
      <c r="A1535" s="45">
        <v>43205</v>
      </c>
      <c r="B1535" t="s">
        <v>463</v>
      </c>
      <c r="C1535">
        <f t="shared" si="71"/>
        <v>29.51</v>
      </c>
      <c r="D1535">
        <v>3</v>
      </c>
      <c r="E1535" t="s">
        <v>525</v>
      </c>
      <c r="F1535" t="s">
        <v>526</v>
      </c>
      <c r="G1535">
        <f t="shared" si="73"/>
        <v>88.53</v>
      </c>
      <c r="H1535" t="str">
        <f t="shared" si="72"/>
        <v>Dry Grocery</v>
      </c>
    </row>
    <row r="1536" spans="1:11">
      <c r="A1536" s="45">
        <v>43205</v>
      </c>
      <c r="B1536" t="s">
        <v>474</v>
      </c>
      <c r="C1536">
        <f t="shared" si="71"/>
        <v>27</v>
      </c>
      <c r="D1536">
        <v>3</v>
      </c>
      <c r="E1536" t="s">
        <v>525</v>
      </c>
      <c r="F1536" t="s">
        <v>526</v>
      </c>
      <c r="G1536">
        <f t="shared" si="73"/>
        <v>81</v>
      </c>
      <c r="H1536" t="str">
        <f t="shared" si="72"/>
        <v>Dry Grocery</v>
      </c>
    </row>
    <row r="1537" spans="1:8">
      <c r="A1537" s="45">
        <v>43205</v>
      </c>
      <c r="B1537" t="s">
        <v>386</v>
      </c>
      <c r="C1537">
        <f t="shared" si="71"/>
        <v>82</v>
      </c>
      <c r="D1537">
        <v>5</v>
      </c>
      <c r="E1537" t="s">
        <v>525</v>
      </c>
      <c r="F1537" t="s">
        <v>526</v>
      </c>
      <c r="G1537">
        <f t="shared" si="73"/>
        <v>410</v>
      </c>
      <c r="H1537" t="str">
        <f t="shared" si="72"/>
        <v>Oil</v>
      </c>
    </row>
    <row r="1538" spans="1:8">
      <c r="A1538" s="45">
        <v>43205</v>
      </c>
      <c r="B1538" t="s">
        <v>434</v>
      </c>
      <c r="C1538">
        <f t="shared" si="71"/>
        <v>125</v>
      </c>
      <c r="D1538">
        <v>0.06</v>
      </c>
      <c r="E1538" t="s">
        <v>525</v>
      </c>
      <c r="F1538" t="s">
        <v>526</v>
      </c>
      <c r="G1538">
        <f t="shared" si="73"/>
        <v>7.5</v>
      </c>
      <c r="H1538" t="str">
        <f t="shared" si="72"/>
        <v>Vegetable</v>
      </c>
    </row>
    <row r="1539" spans="1:8">
      <c r="A1539" s="45">
        <v>43205</v>
      </c>
      <c r="B1539" t="s">
        <v>385</v>
      </c>
      <c r="C1539">
        <f t="shared" si="71"/>
        <v>36</v>
      </c>
      <c r="D1539">
        <v>0.5</v>
      </c>
      <c r="E1539" t="s">
        <v>525</v>
      </c>
      <c r="F1539" t="s">
        <v>526</v>
      </c>
      <c r="G1539">
        <f t="shared" si="73"/>
        <v>18</v>
      </c>
      <c r="H1539" t="str">
        <f t="shared" si="72"/>
        <v>Dairy</v>
      </c>
    </row>
    <row r="1540" spans="1:8">
      <c r="A1540" s="45">
        <v>43205</v>
      </c>
      <c r="B1540" t="s">
        <v>454</v>
      </c>
      <c r="C1540">
        <f t="shared" si="71"/>
        <v>43.06</v>
      </c>
      <c r="D1540">
        <v>1.25</v>
      </c>
      <c r="E1540" t="s">
        <v>525</v>
      </c>
      <c r="F1540" t="s">
        <v>526</v>
      </c>
      <c r="G1540">
        <f t="shared" si="73"/>
        <v>53.825000000000003</v>
      </c>
      <c r="H1540" t="str">
        <f t="shared" si="72"/>
        <v>Vegetable</v>
      </c>
    </row>
    <row r="1541" spans="1:8">
      <c r="A1541" s="45">
        <v>43205</v>
      </c>
      <c r="B1541" t="s">
        <v>391</v>
      </c>
      <c r="C1541">
        <f t="shared" ref="C1541:C1659" si="74">IF(B1541="","",VLOOKUP(B1541,$XEY$3:$XEZ$1158,2,FALSE))</f>
        <v>27.97</v>
      </c>
      <c r="D1541">
        <v>1</v>
      </c>
      <c r="E1541" t="s">
        <v>525</v>
      </c>
      <c r="F1541" t="s">
        <v>526</v>
      </c>
      <c r="G1541">
        <f t="shared" si="73"/>
        <v>27.97</v>
      </c>
      <c r="H1541" t="str">
        <f t="shared" si="72"/>
        <v>Vegetable</v>
      </c>
    </row>
    <row r="1542" spans="1:8">
      <c r="A1542" s="45">
        <v>43205</v>
      </c>
      <c r="B1542" t="s">
        <v>394</v>
      </c>
      <c r="C1542">
        <f t="shared" si="74"/>
        <v>45</v>
      </c>
      <c r="D1542">
        <v>1</v>
      </c>
      <c r="E1542" t="s">
        <v>525</v>
      </c>
      <c r="F1542" t="s">
        <v>526</v>
      </c>
      <c r="G1542">
        <f t="shared" si="73"/>
        <v>45</v>
      </c>
      <c r="H1542" t="str">
        <f t="shared" si="72"/>
        <v>Dry Grocery</v>
      </c>
    </row>
    <row r="1543" spans="1:8">
      <c r="A1543" s="45">
        <v>43205</v>
      </c>
      <c r="B1543" t="s">
        <v>458</v>
      </c>
      <c r="C1543">
        <f t="shared" si="74"/>
        <v>140</v>
      </c>
      <c r="D1543">
        <v>1</v>
      </c>
      <c r="E1543" t="s">
        <v>525</v>
      </c>
      <c r="F1543" t="s">
        <v>526</v>
      </c>
      <c r="G1543">
        <f t="shared" si="73"/>
        <v>140</v>
      </c>
      <c r="H1543" t="str">
        <f t="shared" si="72"/>
        <v>Dairy</v>
      </c>
    </row>
    <row r="1544" spans="1:8">
      <c r="A1544" s="45">
        <v>43205</v>
      </c>
      <c r="B1544" t="s">
        <v>485</v>
      </c>
      <c r="C1544">
        <f t="shared" si="74"/>
        <v>96</v>
      </c>
      <c r="D1544">
        <v>0.06</v>
      </c>
      <c r="E1544" t="s">
        <v>525</v>
      </c>
      <c r="F1544" t="s">
        <v>526</v>
      </c>
      <c r="G1544">
        <f t="shared" si="73"/>
        <v>5.76</v>
      </c>
      <c r="H1544" t="str">
        <f t="shared" si="72"/>
        <v>Oil</v>
      </c>
    </row>
    <row r="1545" spans="1:8">
      <c r="A1545" s="45">
        <v>43205</v>
      </c>
      <c r="B1545" t="s">
        <v>383</v>
      </c>
      <c r="C1545">
        <f t="shared" si="74"/>
        <v>230</v>
      </c>
      <c r="D1545">
        <v>0.05</v>
      </c>
      <c r="E1545" t="s">
        <v>525</v>
      </c>
      <c r="F1545" t="s">
        <v>526</v>
      </c>
      <c r="G1545">
        <f t="shared" si="73"/>
        <v>11.5</v>
      </c>
      <c r="H1545" t="str">
        <f t="shared" si="72"/>
        <v>Dry Grocery</v>
      </c>
    </row>
    <row r="1546" spans="1:8">
      <c r="A1546" s="45">
        <v>43205</v>
      </c>
      <c r="B1546" t="s">
        <v>492</v>
      </c>
      <c r="C1546">
        <f t="shared" si="74"/>
        <v>48</v>
      </c>
      <c r="D1546">
        <v>1</v>
      </c>
      <c r="E1546" t="s">
        <v>525</v>
      </c>
      <c r="F1546" t="s">
        <v>526</v>
      </c>
      <c r="G1546">
        <f t="shared" si="73"/>
        <v>48</v>
      </c>
      <c r="H1546" t="str">
        <f t="shared" si="72"/>
        <v>Food Color</v>
      </c>
    </row>
    <row r="1547" spans="1:8">
      <c r="A1547" s="45">
        <v>43205</v>
      </c>
      <c r="B1547" t="s">
        <v>384</v>
      </c>
      <c r="C1547">
        <f t="shared" si="74"/>
        <v>3</v>
      </c>
      <c r="D1547">
        <v>5</v>
      </c>
      <c r="E1547" t="s">
        <v>525</v>
      </c>
      <c r="F1547" t="s">
        <v>526</v>
      </c>
      <c r="G1547">
        <f t="shared" si="73"/>
        <v>15</v>
      </c>
      <c r="H1547" t="str">
        <f t="shared" si="72"/>
        <v>Vegetable</v>
      </c>
    </row>
    <row r="1548" spans="1:8">
      <c r="A1548" s="45">
        <v>43205</v>
      </c>
      <c r="B1548" t="s">
        <v>382</v>
      </c>
      <c r="C1548">
        <f t="shared" si="74"/>
        <v>42</v>
      </c>
      <c r="D1548">
        <v>0.5</v>
      </c>
      <c r="E1548" t="s">
        <v>525</v>
      </c>
      <c r="F1548" t="s">
        <v>526</v>
      </c>
      <c r="G1548">
        <f t="shared" si="73"/>
        <v>21</v>
      </c>
      <c r="H1548" t="str">
        <f t="shared" si="72"/>
        <v>Dairy</v>
      </c>
    </row>
    <row r="1549" spans="1:8">
      <c r="A1549" s="45">
        <v>43205</v>
      </c>
      <c r="B1549" t="s">
        <v>500</v>
      </c>
      <c r="C1549">
        <f t="shared" si="74"/>
        <v>72</v>
      </c>
      <c r="D1549">
        <v>0.1</v>
      </c>
      <c r="E1549" t="s">
        <v>525</v>
      </c>
      <c r="F1549" t="s">
        <v>526</v>
      </c>
      <c r="G1549">
        <f t="shared" si="73"/>
        <v>7.2</v>
      </c>
      <c r="H1549" t="str">
        <f t="shared" si="72"/>
        <v>Dry Grocery</v>
      </c>
    </row>
    <row r="1550" spans="1:8">
      <c r="A1550" s="45">
        <v>43205</v>
      </c>
      <c r="B1550" t="s">
        <v>561</v>
      </c>
      <c r="C1550">
        <f t="shared" si="74"/>
        <v>0</v>
      </c>
      <c r="D1550">
        <v>0.6</v>
      </c>
      <c r="E1550" t="s">
        <v>525</v>
      </c>
      <c r="F1550" t="s">
        <v>526</v>
      </c>
      <c r="G1550">
        <f t="shared" si="73"/>
        <v>0</v>
      </c>
      <c r="H1550" t="str">
        <f t="shared" si="72"/>
        <v>SemiFinished_Prod</v>
      </c>
    </row>
    <row r="1551" spans="1:8">
      <c r="A1551" s="45">
        <v>43205</v>
      </c>
      <c r="B1551" t="s">
        <v>675</v>
      </c>
      <c r="C1551">
        <f t="shared" si="74"/>
        <v>0</v>
      </c>
      <c r="D1551">
        <v>1.4</v>
      </c>
      <c r="E1551" t="s">
        <v>525</v>
      </c>
      <c r="F1551" t="s">
        <v>526</v>
      </c>
      <c r="G1551">
        <f t="shared" si="73"/>
        <v>0</v>
      </c>
      <c r="H1551" t="str">
        <f t="shared" si="72"/>
        <v>SemiFinished_Prod</v>
      </c>
    </row>
    <row r="1552" spans="1:8">
      <c r="A1552" s="45">
        <v>43205</v>
      </c>
      <c r="B1552" t="s">
        <v>490</v>
      </c>
      <c r="C1552">
        <f t="shared" si="74"/>
        <v>100</v>
      </c>
      <c r="D1552">
        <v>0.63</v>
      </c>
      <c r="E1552" t="s">
        <v>525</v>
      </c>
      <c r="F1552" t="s">
        <v>526</v>
      </c>
      <c r="G1552">
        <f t="shared" si="73"/>
        <v>63</v>
      </c>
      <c r="H1552" t="str">
        <f t="shared" si="72"/>
        <v>Processed Food</v>
      </c>
    </row>
    <row r="1553" spans="1:8">
      <c r="A1553" s="45">
        <v>43205</v>
      </c>
      <c r="B1553" t="s">
        <v>489</v>
      </c>
      <c r="C1553">
        <f t="shared" si="74"/>
        <v>280</v>
      </c>
      <c r="D1553">
        <v>1.18</v>
      </c>
      <c r="E1553" t="s">
        <v>525</v>
      </c>
      <c r="F1553" t="s">
        <v>526</v>
      </c>
      <c r="G1553">
        <f t="shared" si="73"/>
        <v>330.4</v>
      </c>
      <c r="H1553" t="str">
        <f t="shared" si="72"/>
        <v>Processed Food</v>
      </c>
    </row>
    <row r="1554" spans="1:8">
      <c r="A1554" s="45">
        <v>43205</v>
      </c>
      <c r="B1554" t="s">
        <v>420</v>
      </c>
      <c r="C1554">
        <f t="shared" si="74"/>
        <v>3</v>
      </c>
      <c r="D1554">
        <v>1.25</v>
      </c>
      <c r="E1554" t="s">
        <v>525</v>
      </c>
      <c r="F1554" t="s">
        <v>526</v>
      </c>
      <c r="G1554">
        <f t="shared" si="73"/>
        <v>3.75</v>
      </c>
      <c r="H1554" t="str">
        <f t="shared" si="72"/>
        <v>Vegetable</v>
      </c>
    </row>
    <row r="1555" spans="1:8">
      <c r="A1555" s="45">
        <v>43205</v>
      </c>
      <c r="B1555" t="s">
        <v>468</v>
      </c>
      <c r="C1555">
        <f t="shared" si="74"/>
        <v>32</v>
      </c>
      <c r="D1555">
        <v>9</v>
      </c>
      <c r="E1555" t="s">
        <v>525</v>
      </c>
      <c r="F1555" t="s">
        <v>526</v>
      </c>
      <c r="G1555">
        <f t="shared" si="73"/>
        <v>288</v>
      </c>
      <c r="H1555" t="str">
        <f t="shared" si="72"/>
        <v>Vegetable</v>
      </c>
    </row>
    <row r="1556" spans="1:8">
      <c r="A1556" s="45">
        <v>43205</v>
      </c>
      <c r="B1556" t="s">
        <v>451</v>
      </c>
      <c r="C1556">
        <f t="shared" si="74"/>
        <v>60</v>
      </c>
      <c r="D1556">
        <v>1</v>
      </c>
      <c r="E1556" t="s">
        <v>525</v>
      </c>
      <c r="F1556" t="s">
        <v>526</v>
      </c>
      <c r="G1556">
        <f t="shared" si="73"/>
        <v>60</v>
      </c>
      <c r="H1556" t="str">
        <f t="shared" si="72"/>
        <v>Vegetable</v>
      </c>
    </row>
    <row r="1557" spans="1:8">
      <c r="A1557" s="45">
        <v>43205</v>
      </c>
      <c r="B1557" t="s">
        <v>459</v>
      </c>
      <c r="C1557">
        <f t="shared" si="74"/>
        <v>190</v>
      </c>
      <c r="D1557">
        <v>0.3</v>
      </c>
      <c r="E1557" t="s">
        <v>525</v>
      </c>
      <c r="F1557" t="s">
        <v>526</v>
      </c>
      <c r="G1557">
        <f t="shared" si="73"/>
        <v>57</v>
      </c>
      <c r="H1557" t="str">
        <f t="shared" si="72"/>
        <v>Dairy</v>
      </c>
    </row>
    <row r="1558" spans="1:8">
      <c r="A1558" s="45">
        <v>43205</v>
      </c>
      <c r="B1558" t="s">
        <v>487</v>
      </c>
      <c r="C1558">
        <f t="shared" si="74"/>
        <v>40</v>
      </c>
      <c r="D1558">
        <v>1</v>
      </c>
      <c r="E1558" t="s">
        <v>525</v>
      </c>
      <c r="F1558" t="s">
        <v>526</v>
      </c>
      <c r="G1558">
        <f t="shared" si="73"/>
        <v>40</v>
      </c>
      <c r="H1558" t="str">
        <f t="shared" ref="H1558:H1621" si="75">IF(B1558="","",VLOOKUP(B1558,$XEY$3:$XFA$1200,3,FALSE))</f>
        <v>Dry Grocery</v>
      </c>
    </row>
    <row r="1559" spans="1:8">
      <c r="A1559" s="45">
        <v>43205</v>
      </c>
      <c r="B1559" t="s">
        <v>375</v>
      </c>
      <c r="C1559">
        <f t="shared" si="74"/>
        <v>280</v>
      </c>
      <c r="D1559">
        <v>0.15</v>
      </c>
      <c r="E1559" t="s">
        <v>525</v>
      </c>
      <c r="F1559" t="s">
        <v>526</v>
      </c>
      <c r="G1559">
        <f t="shared" si="73"/>
        <v>42</v>
      </c>
      <c r="H1559" t="str">
        <f t="shared" si="75"/>
        <v>Dry Grocery</v>
      </c>
    </row>
    <row r="1560" spans="1:8">
      <c r="A1560" s="45">
        <v>43205</v>
      </c>
      <c r="B1560" t="s">
        <v>426</v>
      </c>
      <c r="C1560">
        <f t="shared" si="74"/>
        <v>57.5</v>
      </c>
      <c r="D1560">
        <v>0.05</v>
      </c>
      <c r="E1560" t="s">
        <v>525</v>
      </c>
      <c r="F1560" t="s">
        <v>526</v>
      </c>
      <c r="G1560">
        <f t="shared" si="73"/>
        <v>2.875</v>
      </c>
      <c r="H1560" t="str">
        <f t="shared" si="75"/>
        <v>Dry Grocery</v>
      </c>
    </row>
    <row r="1561" spans="1:8">
      <c r="A1561" s="45">
        <v>43205</v>
      </c>
      <c r="B1561" t="s">
        <v>387</v>
      </c>
      <c r="C1561">
        <f t="shared" si="74"/>
        <v>187.41</v>
      </c>
      <c r="D1561">
        <v>0.01</v>
      </c>
      <c r="E1561" t="s">
        <v>525</v>
      </c>
      <c r="F1561" t="s">
        <v>526</v>
      </c>
      <c r="G1561">
        <f t="shared" si="73"/>
        <v>1.8741000000000001</v>
      </c>
      <c r="H1561" t="str">
        <f t="shared" si="75"/>
        <v>Dry Grocery</v>
      </c>
    </row>
    <row r="1562" spans="1:8">
      <c r="A1562" s="45">
        <v>43205</v>
      </c>
      <c r="B1562" t="s">
        <v>482</v>
      </c>
      <c r="C1562">
        <f t="shared" si="74"/>
        <v>48</v>
      </c>
      <c r="D1562">
        <v>0.1</v>
      </c>
      <c r="E1562" t="s">
        <v>525</v>
      </c>
      <c r="F1562" t="s">
        <v>526</v>
      </c>
      <c r="G1562">
        <f t="shared" si="73"/>
        <v>4.8000000000000007</v>
      </c>
      <c r="H1562" t="str">
        <f t="shared" si="75"/>
        <v>Dry Grocery</v>
      </c>
    </row>
    <row r="1563" spans="1:8">
      <c r="A1563" s="45">
        <v>43205</v>
      </c>
      <c r="B1563" t="s">
        <v>435</v>
      </c>
      <c r="C1563">
        <f t="shared" si="74"/>
        <v>17</v>
      </c>
      <c r="D1563">
        <v>1.07</v>
      </c>
      <c r="E1563" t="s">
        <v>525</v>
      </c>
      <c r="F1563" t="s">
        <v>526</v>
      </c>
      <c r="G1563">
        <f t="shared" si="73"/>
        <v>18.190000000000001</v>
      </c>
      <c r="H1563" t="str">
        <f t="shared" si="75"/>
        <v>Dry Grocery</v>
      </c>
    </row>
    <row r="1564" spans="1:8">
      <c r="A1564" s="45">
        <v>43205</v>
      </c>
      <c r="B1564" t="s">
        <v>455</v>
      </c>
      <c r="C1564">
        <f t="shared" si="74"/>
        <v>380</v>
      </c>
      <c r="D1564">
        <v>7.0000000000000007E-2</v>
      </c>
      <c r="E1564" t="s">
        <v>525</v>
      </c>
      <c r="F1564" t="s">
        <v>526</v>
      </c>
      <c r="G1564">
        <f t="shared" si="73"/>
        <v>26.6</v>
      </c>
      <c r="H1564" t="str">
        <f t="shared" si="75"/>
        <v>Dry Grocery</v>
      </c>
    </row>
    <row r="1565" spans="1:8">
      <c r="A1565" s="45">
        <v>43205</v>
      </c>
      <c r="B1565" t="s">
        <v>478</v>
      </c>
      <c r="C1565">
        <f t="shared" si="74"/>
        <v>180</v>
      </c>
      <c r="D1565">
        <v>0.3</v>
      </c>
      <c r="E1565" t="s">
        <v>525</v>
      </c>
      <c r="F1565" t="s">
        <v>526</v>
      </c>
      <c r="G1565">
        <f t="shared" si="73"/>
        <v>54</v>
      </c>
      <c r="H1565" t="str">
        <f t="shared" si="75"/>
        <v>Dry Grocery</v>
      </c>
    </row>
    <row r="1566" spans="1:8">
      <c r="A1566" s="45">
        <v>43205</v>
      </c>
      <c r="B1566" t="s">
        <v>475</v>
      </c>
      <c r="C1566">
        <f t="shared" si="74"/>
        <v>148</v>
      </c>
      <c r="D1566">
        <v>0.2</v>
      </c>
      <c r="E1566" t="s">
        <v>525</v>
      </c>
      <c r="F1566" t="s">
        <v>526</v>
      </c>
      <c r="G1566">
        <f t="shared" si="73"/>
        <v>29.6</v>
      </c>
      <c r="H1566" t="str">
        <f t="shared" si="75"/>
        <v>Dry Grocery</v>
      </c>
    </row>
    <row r="1567" spans="1:8">
      <c r="A1567" s="45">
        <v>43205</v>
      </c>
      <c r="B1567" t="s">
        <v>518</v>
      </c>
      <c r="C1567">
        <f t="shared" si="74"/>
        <v>24</v>
      </c>
      <c r="D1567">
        <v>0.20499999999999999</v>
      </c>
      <c r="E1567" t="s">
        <v>525</v>
      </c>
      <c r="F1567" t="s">
        <v>526</v>
      </c>
      <c r="G1567">
        <f t="shared" si="73"/>
        <v>4.92</v>
      </c>
      <c r="H1567" t="str">
        <f t="shared" si="75"/>
        <v>Dry Grocery</v>
      </c>
    </row>
    <row r="1568" spans="1:8">
      <c r="A1568" s="45">
        <v>43205</v>
      </c>
      <c r="B1568" t="s">
        <v>372</v>
      </c>
      <c r="C1568">
        <f t="shared" si="74"/>
        <v>33</v>
      </c>
      <c r="D1568">
        <v>0.155</v>
      </c>
      <c r="E1568" t="s">
        <v>525</v>
      </c>
      <c r="F1568" t="s">
        <v>526</v>
      </c>
      <c r="G1568">
        <f t="shared" si="73"/>
        <v>5.1150000000000002</v>
      </c>
      <c r="H1568" t="str">
        <f t="shared" si="75"/>
        <v>Sauce</v>
      </c>
    </row>
    <row r="1569" spans="1:8">
      <c r="A1569" s="45">
        <v>43205</v>
      </c>
      <c r="B1569" t="s">
        <v>473</v>
      </c>
      <c r="C1569">
        <f t="shared" si="74"/>
        <v>175</v>
      </c>
      <c r="D1569">
        <v>1</v>
      </c>
      <c r="E1569" t="s">
        <v>525</v>
      </c>
      <c r="F1569" t="s">
        <v>526</v>
      </c>
      <c r="G1569">
        <f t="shared" si="73"/>
        <v>175</v>
      </c>
      <c r="H1569" t="str">
        <f t="shared" si="75"/>
        <v>Dairy</v>
      </c>
    </row>
    <row r="1570" spans="1:8">
      <c r="A1570" s="45">
        <v>43205</v>
      </c>
      <c r="B1570" t="s">
        <v>385</v>
      </c>
      <c r="C1570">
        <f t="shared" si="74"/>
        <v>36</v>
      </c>
      <c r="D1570">
        <v>3</v>
      </c>
      <c r="E1570" t="s">
        <v>542</v>
      </c>
      <c r="F1570" t="s">
        <v>554</v>
      </c>
      <c r="G1570">
        <f t="shared" si="73"/>
        <v>108</v>
      </c>
      <c r="H1570" t="str">
        <f t="shared" si="75"/>
        <v>Dairy</v>
      </c>
    </row>
    <row r="1571" spans="1:8">
      <c r="A1571" s="45">
        <v>43205</v>
      </c>
      <c r="B1571" t="s">
        <v>436</v>
      </c>
      <c r="C1571">
        <f t="shared" si="74"/>
        <v>37</v>
      </c>
      <c r="D1571">
        <v>1.1599999999999999</v>
      </c>
      <c r="E1571" t="s">
        <v>542</v>
      </c>
      <c r="F1571" t="s">
        <v>554</v>
      </c>
      <c r="G1571">
        <f t="shared" ref="G1571:G1666" si="76">IF(C1571="","",C1571*D1571)</f>
        <v>42.919999999999995</v>
      </c>
      <c r="H1571" t="str">
        <f t="shared" si="75"/>
        <v>Dry Grocery</v>
      </c>
    </row>
    <row r="1572" spans="1:8">
      <c r="A1572" s="45">
        <v>43205</v>
      </c>
      <c r="B1572" t="s">
        <v>441</v>
      </c>
      <c r="C1572">
        <f t="shared" si="74"/>
        <v>390</v>
      </c>
      <c r="D1572">
        <f>0.15+0.185</f>
        <v>0.33499999999999996</v>
      </c>
      <c r="E1572" t="s">
        <v>542</v>
      </c>
      <c r="F1572" t="s">
        <v>554</v>
      </c>
      <c r="G1572">
        <f t="shared" si="76"/>
        <v>130.64999999999998</v>
      </c>
      <c r="H1572" t="str">
        <f t="shared" si="75"/>
        <v>Hot Beverage</v>
      </c>
    </row>
    <row r="1573" spans="1:8">
      <c r="A1573" s="45">
        <v>43205</v>
      </c>
      <c r="B1573" t="s">
        <v>382</v>
      </c>
      <c r="C1573">
        <f t="shared" si="74"/>
        <v>42</v>
      </c>
      <c r="D1573">
        <v>1.5</v>
      </c>
      <c r="E1573" t="s">
        <v>525</v>
      </c>
      <c r="F1573" t="s">
        <v>526</v>
      </c>
      <c r="G1573">
        <f t="shared" si="76"/>
        <v>63</v>
      </c>
      <c r="H1573" t="str">
        <f t="shared" si="75"/>
        <v>Dairy</v>
      </c>
    </row>
    <row r="1574" spans="1:8">
      <c r="A1574" s="45">
        <v>43205</v>
      </c>
      <c r="B1574" t="s">
        <v>427</v>
      </c>
      <c r="C1574">
        <f t="shared" si="74"/>
        <v>28</v>
      </c>
      <c r="D1574">
        <v>0.19</v>
      </c>
      <c r="E1574" t="s">
        <v>528</v>
      </c>
      <c r="F1574" t="s">
        <v>527</v>
      </c>
      <c r="G1574">
        <f t="shared" si="76"/>
        <v>5.32</v>
      </c>
      <c r="H1574" t="str">
        <f t="shared" si="75"/>
        <v>Vegetable</v>
      </c>
    </row>
    <row r="1575" spans="1:8">
      <c r="A1575" s="45">
        <v>43205</v>
      </c>
      <c r="B1575" t="s">
        <v>429</v>
      </c>
      <c r="C1575">
        <f t="shared" si="74"/>
        <v>40</v>
      </c>
      <c r="D1575">
        <v>0.06</v>
      </c>
      <c r="E1575" t="s">
        <v>528</v>
      </c>
      <c r="F1575" t="s">
        <v>527</v>
      </c>
      <c r="G1575">
        <f t="shared" si="76"/>
        <v>2.4</v>
      </c>
      <c r="H1575" t="str">
        <f t="shared" si="75"/>
        <v>Vegetable</v>
      </c>
    </row>
    <row r="1576" spans="1:8">
      <c r="A1576" s="45">
        <v>43205</v>
      </c>
      <c r="B1576" t="s">
        <v>430</v>
      </c>
      <c r="C1576">
        <f t="shared" si="74"/>
        <v>30</v>
      </c>
      <c r="D1576">
        <v>0.14000000000000001</v>
      </c>
      <c r="E1576" t="s">
        <v>528</v>
      </c>
      <c r="F1576" t="s">
        <v>527</v>
      </c>
      <c r="G1576">
        <f t="shared" si="76"/>
        <v>4.2</v>
      </c>
      <c r="H1576" t="str">
        <f t="shared" si="75"/>
        <v>Vegetable</v>
      </c>
    </row>
    <row r="1577" spans="1:8">
      <c r="A1577" s="45">
        <v>43205</v>
      </c>
      <c r="B1577" t="s">
        <v>476</v>
      </c>
      <c r="C1577">
        <f t="shared" si="74"/>
        <v>14.75</v>
      </c>
      <c r="D1577">
        <v>0.22</v>
      </c>
      <c r="E1577" t="s">
        <v>528</v>
      </c>
      <c r="F1577" t="s">
        <v>527</v>
      </c>
      <c r="G1577">
        <f t="shared" si="76"/>
        <v>3.2450000000000001</v>
      </c>
      <c r="H1577" t="str">
        <f t="shared" si="75"/>
        <v>Vegetable</v>
      </c>
    </row>
    <row r="1578" spans="1:8">
      <c r="A1578" s="45">
        <v>43205</v>
      </c>
      <c r="B1578" t="s">
        <v>434</v>
      </c>
      <c r="C1578">
        <f t="shared" si="74"/>
        <v>125</v>
      </c>
      <c r="D1578">
        <v>0.03</v>
      </c>
      <c r="E1578" t="s">
        <v>528</v>
      </c>
      <c r="F1578" t="s">
        <v>527</v>
      </c>
      <c r="G1578">
        <f t="shared" si="76"/>
        <v>3.75</v>
      </c>
      <c r="H1578" t="str">
        <f t="shared" si="75"/>
        <v>Vegetable</v>
      </c>
    </row>
    <row r="1579" spans="1:8">
      <c r="A1579" s="45">
        <v>43205</v>
      </c>
      <c r="B1579" t="s">
        <v>414</v>
      </c>
      <c r="C1579">
        <f t="shared" si="74"/>
        <v>48</v>
      </c>
      <c r="D1579">
        <v>0.15</v>
      </c>
      <c r="E1579" t="s">
        <v>528</v>
      </c>
      <c r="F1579" t="s">
        <v>527</v>
      </c>
      <c r="G1579">
        <f t="shared" si="76"/>
        <v>7.1999999999999993</v>
      </c>
      <c r="H1579" t="str">
        <f t="shared" si="75"/>
        <v>Dry Grocery</v>
      </c>
    </row>
    <row r="1580" spans="1:8">
      <c r="A1580" s="45">
        <v>43205</v>
      </c>
      <c r="B1580" t="s">
        <v>433</v>
      </c>
      <c r="C1580">
        <f t="shared" si="74"/>
        <v>20</v>
      </c>
      <c r="D1580">
        <v>0.3</v>
      </c>
      <c r="E1580" t="s">
        <v>528</v>
      </c>
      <c r="F1580" t="s">
        <v>527</v>
      </c>
      <c r="G1580">
        <f t="shared" si="76"/>
        <v>6</v>
      </c>
      <c r="H1580" t="str">
        <f t="shared" si="75"/>
        <v>Vegetable</v>
      </c>
    </row>
    <row r="1581" spans="1:8">
      <c r="A1581" s="45">
        <v>43205</v>
      </c>
      <c r="B1581" t="s">
        <v>378</v>
      </c>
      <c r="C1581">
        <f t="shared" si="74"/>
        <v>25</v>
      </c>
      <c r="D1581">
        <f>0.075+0.06</f>
        <v>0.13500000000000001</v>
      </c>
      <c r="E1581" t="s">
        <v>528</v>
      </c>
      <c r="F1581" t="s">
        <v>527</v>
      </c>
      <c r="G1581">
        <f t="shared" si="76"/>
        <v>3.375</v>
      </c>
      <c r="H1581" t="str">
        <f t="shared" si="75"/>
        <v>Vegetable</v>
      </c>
    </row>
    <row r="1582" spans="1:8">
      <c r="A1582" s="45">
        <v>43205</v>
      </c>
      <c r="B1582" t="s">
        <v>404</v>
      </c>
      <c r="C1582">
        <f t="shared" si="74"/>
        <v>28</v>
      </c>
      <c r="D1582">
        <v>1</v>
      </c>
      <c r="E1582" t="s">
        <v>528</v>
      </c>
      <c r="F1582" t="s">
        <v>527</v>
      </c>
      <c r="G1582">
        <f t="shared" si="76"/>
        <v>28</v>
      </c>
      <c r="H1582" t="str">
        <f t="shared" si="75"/>
        <v>Vegetable</v>
      </c>
    </row>
    <row r="1583" spans="1:8">
      <c r="A1583" s="45">
        <v>43205</v>
      </c>
      <c r="B1583" t="s">
        <v>426</v>
      </c>
      <c r="C1583">
        <f t="shared" si="74"/>
        <v>57.5</v>
      </c>
      <c r="D1583">
        <v>0.04</v>
      </c>
      <c r="E1583" t="s">
        <v>528</v>
      </c>
      <c r="F1583" t="s">
        <v>527</v>
      </c>
      <c r="G1583">
        <f t="shared" si="76"/>
        <v>2.3000000000000003</v>
      </c>
      <c r="H1583" t="str">
        <f t="shared" si="75"/>
        <v>Dry Grocery</v>
      </c>
    </row>
    <row r="1584" spans="1:8">
      <c r="A1584" s="45">
        <v>43205</v>
      </c>
      <c r="B1584" t="s">
        <v>413</v>
      </c>
      <c r="C1584">
        <f t="shared" si="74"/>
        <v>46.4</v>
      </c>
      <c r="D1584">
        <v>0.04</v>
      </c>
      <c r="E1584" t="s">
        <v>528</v>
      </c>
      <c r="F1584" t="s">
        <v>527</v>
      </c>
      <c r="G1584">
        <f t="shared" si="76"/>
        <v>1.8559999999999999</v>
      </c>
      <c r="H1584" t="str">
        <f t="shared" si="75"/>
        <v>Dry Grocery</v>
      </c>
    </row>
    <row r="1585" spans="1:12">
      <c r="A1585" s="45">
        <v>43205</v>
      </c>
      <c r="B1585" t="s">
        <v>482</v>
      </c>
      <c r="C1585">
        <f t="shared" si="74"/>
        <v>48</v>
      </c>
      <c r="D1585">
        <v>0.06</v>
      </c>
      <c r="E1585" t="s">
        <v>528</v>
      </c>
      <c r="F1585" t="s">
        <v>527</v>
      </c>
      <c r="G1585">
        <f t="shared" si="76"/>
        <v>2.88</v>
      </c>
      <c r="H1585" t="str">
        <f t="shared" si="75"/>
        <v>Dry Grocery</v>
      </c>
    </row>
    <row r="1586" spans="1:12">
      <c r="A1586" s="45">
        <v>43205</v>
      </c>
      <c r="B1586" t="s">
        <v>379</v>
      </c>
      <c r="C1586">
        <f t="shared" si="74"/>
        <v>120</v>
      </c>
      <c r="D1586">
        <v>0.05</v>
      </c>
      <c r="E1586" t="s">
        <v>528</v>
      </c>
      <c r="F1586" t="s">
        <v>527</v>
      </c>
      <c r="G1586">
        <f t="shared" si="76"/>
        <v>6</v>
      </c>
      <c r="H1586" t="str">
        <f t="shared" si="75"/>
        <v>Dry Grocery</v>
      </c>
    </row>
    <row r="1587" spans="1:12">
      <c r="A1587" s="45">
        <v>43205</v>
      </c>
      <c r="B1587" t="s">
        <v>381</v>
      </c>
      <c r="C1587">
        <f t="shared" si="74"/>
        <v>7</v>
      </c>
      <c r="D1587">
        <v>7.0000000000000007E-2</v>
      </c>
      <c r="E1587" t="s">
        <v>528</v>
      </c>
      <c r="F1587" t="s">
        <v>527</v>
      </c>
      <c r="G1587">
        <f t="shared" si="76"/>
        <v>0.49000000000000005</v>
      </c>
      <c r="H1587" t="str">
        <f t="shared" si="75"/>
        <v>Dry Grocery</v>
      </c>
    </row>
    <row r="1588" spans="1:12">
      <c r="A1588" s="45">
        <v>43205</v>
      </c>
      <c r="B1588" t="s">
        <v>411</v>
      </c>
      <c r="C1588">
        <f t="shared" si="74"/>
        <v>49.5</v>
      </c>
      <c r="D1588">
        <v>0.02</v>
      </c>
      <c r="E1588" t="s">
        <v>528</v>
      </c>
      <c r="F1588" t="s">
        <v>527</v>
      </c>
      <c r="G1588">
        <f t="shared" si="76"/>
        <v>0.99</v>
      </c>
      <c r="H1588" t="str">
        <f t="shared" si="75"/>
        <v>Dry Grocery</v>
      </c>
    </row>
    <row r="1589" spans="1:12">
      <c r="A1589" s="45">
        <v>43205</v>
      </c>
      <c r="B1589" t="s">
        <v>395</v>
      </c>
      <c r="C1589">
        <f t="shared" si="74"/>
        <v>450</v>
      </c>
      <c r="D1589">
        <v>5.0000000000000001E-3</v>
      </c>
      <c r="E1589" t="s">
        <v>528</v>
      </c>
      <c r="F1589" t="s">
        <v>527</v>
      </c>
      <c r="G1589">
        <f t="shared" si="76"/>
        <v>2.25</v>
      </c>
      <c r="H1589" t="str">
        <f t="shared" si="75"/>
        <v>Dry Grocery</v>
      </c>
    </row>
    <row r="1590" spans="1:12">
      <c r="A1590" s="45">
        <v>43205</v>
      </c>
      <c r="B1590" t="s">
        <v>436</v>
      </c>
      <c r="C1590">
        <f t="shared" si="74"/>
        <v>37</v>
      </c>
      <c r="D1590">
        <v>1.5</v>
      </c>
      <c r="E1590" t="s">
        <v>543</v>
      </c>
      <c r="F1590" t="s">
        <v>527</v>
      </c>
      <c r="G1590">
        <f t="shared" si="76"/>
        <v>55.5</v>
      </c>
      <c r="H1590" t="str">
        <f t="shared" si="75"/>
        <v>Dry Grocery</v>
      </c>
      <c r="L1590" t="s">
        <v>676</v>
      </c>
    </row>
    <row r="1591" spans="1:12">
      <c r="A1591" s="45">
        <v>43205</v>
      </c>
      <c r="B1591" t="s">
        <v>432</v>
      </c>
      <c r="C1591">
        <f t="shared" si="74"/>
        <v>14</v>
      </c>
      <c r="D1591">
        <v>0.66</v>
      </c>
      <c r="E1591" t="s">
        <v>528</v>
      </c>
      <c r="F1591" t="s">
        <v>527</v>
      </c>
      <c r="G1591">
        <f t="shared" si="76"/>
        <v>9.24</v>
      </c>
      <c r="H1591" t="str">
        <f t="shared" si="75"/>
        <v>Vegetable</v>
      </c>
    </row>
    <row r="1592" spans="1:12">
      <c r="A1592" s="45">
        <v>43205</v>
      </c>
      <c r="B1592" t="s">
        <v>476</v>
      </c>
      <c r="C1592">
        <f t="shared" si="74"/>
        <v>14.75</v>
      </c>
      <c r="D1592">
        <v>0.41</v>
      </c>
      <c r="E1592" t="s">
        <v>528</v>
      </c>
      <c r="F1592" t="s">
        <v>527</v>
      </c>
      <c r="G1592">
        <f t="shared" si="76"/>
        <v>6.0474999999999994</v>
      </c>
      <c r="H1592" t="str">
        <f t="shared" si="75"/>
        <v>Vegetable</v>
      </c>
    </row>
    <row r="1593" spans="1:12">
      <c r="A1593" s="45">
        <v>43205</v>
      </c>
      <c r="B1593" t="s">
        <v>485</v>
      </c>
      <c r="C1593">
        <f t="shared" si="74"/>
        <v>96</v>
      </c>
      <c r="D1593">
        <v>0.05</v>
      </c>
      <c r="E1593" t="s">
        <v>528</v>
      </c>
      <c r="F1593" t="s">
        <v>527</v>
      </c>
      <c r="G1593">
        <f t="shared" si="76"/>
        <v>4.8000000000000007</v>
      </c>
      <c r="H1593" t="str">
        <f t="shared" si="75"/>
        <v>Oil</v>
      </c>
    </row>
    <row r="1594" spans="1:12">
      <c r="A1594" s="45">
        <v>43205</v>
      </c>
      <c r="B1594" t="s">
        <v>391</v>
      </c>
      <c r="C1594">
        <f t="shared" si="74"/>
        <v>27.97</v>
      </c>
      <c r="D1594">
        <v>0.26</v>
      </c>
      <c r="E1594" t="s">
        <v>528</v>
      </c>
      <c r="F1594" t="s">
        <v>527</v>
      </c>
      <c r="G1594">
        <f t="shared" si="76"/>
        <v>7.2721999999999998</v>
      </c>
      <c r="H1594" t="str">
        <f t="shared" si="75"/>
        <v>Vegetable</v>
      </c>
    </row>
    <row r="1595" spans="1:12">
      <c r="A1595" s="45">
        <v>43205</v>
      </c>
      <c r="B1595" t="s">
        <v>385</v>
      </c>
      <c r="C1595">
        <f t="shared" si="74"/>
        <v>36</v>
      </c>
      <c r="D1595">
        <v>0.5</v>
      </c>
      <c r="E1595" t="s">
        <v>528</v>
      </c>
      <c r="F1595" t="s">
        <v>527</v>
      </c>
      <c r="G1595">
        <f t="shared" si="76"/>
        <v>18</v>
      </c>
      <c r="H1595" t="str">
        <f t="shared" si="75"/>
        <v>Dairy</v>
      </c>
    </row>
    <row r="1596" spans="1:12">
      <c r="A1596" s="45">
        <v>43205</v>
      </c>
      <c r="B1596" t="s">
        <v>382</v>
      </c>
      <c r="C1596">
        <f t="shared" si="74"/>
        <v>42</v>
      </c>
      <c r="D1596">
        <v>0.5</v>
      </c>
      <c r="E1596" t="s">
        <v>528</v>
      </c>
      <c r="F1596" t="s">
        <v>527</v>
      </c>
      <c r="G1596">
        <f t="shared" si="76"/>
        <v>21</v>
      </c>
      <c r="H1596" t="str">
        <f t="shared" si="75"/>
        <v>Dairy</v>
      </c>
    </row>
    <row r="1597" spans="1:12">
      <c r="A1597" s="45">
        <v>43205</v>
      </c>
      <c r="B1597" t="s">
        <v>449</v>
      </c>
      <c r="C1597">
        <f t="shared" si="74"/>
        <v>20</v>
      </c>
      <c r="D1597">
        <v>1.43</v>
      </c>
      <c r="E1597" t="s">
        <v>543</v>
      </c>
      <c r="F1597" t="s">
        <v>527</v>
      </c>
      <c r="G1597">
        <f t="shared" si="76"/>
        <v>28.599999999999998</v>
      </c>
      <c r="H1597" t="str">
        <f t="shared" si="75"/>
        <v>Fruits</v>
      </c>
    </row>
    <row r="1598" spans="1:12">
      <c r="A1598" s="45">
        <v>43205</v>
      </c>
      <c r="B1598" t="s">
        <v>444</v>
      </c>
      <c r="C1598">
        <f t="shared" si="74"/>
        <v>50</v>
      </c>
      <c r="D1598">
        <v>3</v>
      </c>
      <c r="E1598" t="s">
        <v>543</v>
      </c>
      <c r="F1598" t="s">
        <v>527</v>
      </c>
      <c r="G1598">
        <f t="shared" si="76"/>
        <v>150</v>
      </c>
      <c r="H1598" t="str">
        <f t="shared" si="75"/>
        <v>Fruits</v>
      </c>
    </row>
    <row r="1599" spans="1:12">
      <c r="A1599" s="45">
        <v>43205</v>
      </c>
      <c r="B1599" t="s">
        <v>384</v>
      </c>
      <c r="C1599">
        <f t="shared" si="74"/>
        <v>3</v>
      </c>
      <c r="D1599">
        <v>10</v>
      </c>
      <c r="E1599" t="s">
        <v>543</v>
      </c>
      <c r="F1599" t="s">
        <v>527</v>
      </c>
      <c r="G1599">
        <f t="shared" si="76"/>
        <v>30</v>
      </c>
      <c r="H1599" t="str">
        <f t="shared" si="75"/>
        <v>Vegetable</v>
      </c>
    </row>
    <row r="1600" spans="1:12">
      <c r="A1600" s="45">
        <v>43205</v>
      </c>
      <c r="B1600" t="s">
        <v>397</v>
      </c>
      <c r="C1600">
        <f t="shared" si="74"/>
        <v>75</v>
      </c>
      <c r="D1600">
        <v>0.5</v>
      </c>
      <c r="E1600" t="s">
        <v>525</v>
      </c>
      <c r="F1600" t="s">
        <v>526</v>
      </c>
      <c r="G1600">
        <f t="shared" si="76"/>
        <v>37.5</v>
      </c>
      <c r="H1600" t="str">
        <f t="shared" si="75"/>
        <v>Sauce</v>
      </c>
    </row>
    <row r="1601" spans="1:12">
      <c r="A1601" s="45">
        <v>43205</v>
      </c>
      <c r="B1601" t="s">
        <v>379</v>
      </c>
      <c r="C1601">
        <f t="shared" si="74"/>
        <v>120</v>
      </c>
      <c r="D1601">
        <v>0.1</v>
      </c>
      <c r="E1601" t="s">
        <v>525</v>
      </c>
      <c r="F1601" t="s">
        <v>526</v>
      </c>
      <c r="G1601">
        <f t="shared" si="76"/>
        <v>12</v>
      </c>
      <c r="H1601" t="str">
        <f t="shared" si="75"/>
        <v>Dry Grocery</v>
      </c>
    </row>
    <row r="1602" spans="1:12">
      <c r="A1602" s="45">
        <v>43205</v>
      </c>
      <c r="B1602" t="s">
        <v>672</v>
      </c>
      <c r="C1602">
        <f t="shared" si="74"/>
        <v>0</v>
      </c>
      <c r="D1602">
        <v>1.4999999999999999E-2</v>
      </c>
      <c r="E1602" t="s">
        <v>525</v>
      </c>
      <c r="F1602" t="s">
        <v>526</v>
      </c>
      <c r="G1602">
        <f t="shared" si="76"/>
        <v>0</v>
      </c>
      <c r="H1602" t="str">
        <f t="shared" si="75"/>
        <v>Dry Grocery</v>
      </c>
    </row>
    <row r="1603" spans="1:12">
      <c r="A1603" s="45">
        <v>43205</v>
      </c>
      <c r="B1603" t="s">
        <v>398</v>
      </c>
      <c r="C1603">
        <f t="shared" si="74"/>
        <v>51</v>
      </c>
      <c r="D1603">
        <v>0.08</v>
      </c>
      <c r="E1603" t="s">
        <v>525</v>
      </c>
      <c r="F1603" t="s">
        <v>526</v>
      </c>
      <c r="G1603">
        <f t="shared" si="76"/>
        <v>4.08</v>
      </c>
      <c r="H1603" t="str">
        <f t="shared" si="75"/>
        <v>Dry Grocery</v>
      </c>
    </row>
    <row r="1604" spans="1:12">
      <c r="A1604" s="45">
        <v>43206</v>
      </c>
      <c r="B1604" t="s">
        <v>452</v>
      </c>
      <c r="C1604">
        <f t="shared" si="74"/>
        <v>62</v>
      </c>
      <c r="D1604">
        <v>1.5</v>
      </c>
      <c r="E1604" t="s">
        <v>525</v>
      </c>
      <c r="F1604" t="s">
        <v>526</v>
      </c>
      <c r="G1604">
        <f t="shared" si="76"/>
        <v>93</v>
      </c>
      <c r="H1604" t="str">
        <f t="shared" si="75"/>
        <v>Dry Grocery</v>
      </c>
    </row>
    <row r="1605" spans="1:12">
      <c r="A1605" s="45">
        <v>43206</v>
      </c>
      <c r="B1605" t="s">
        <v>432</v>
      </c>
      <c r="C1605">
        <f t="shared" si="74"/>
        <v>14</v>
      </c>
      <c r="D1605">
        <v>6</v>
      </c>
      <c r="E1605" t="s">
        <v>525</v>
      </c>
      <c r="F1605" t="s">
        <v>526</v>
      </c>
      <c r="G1605">
        <f t="shared" si="76"/>
        <v>84</v>
      </c>
      <c r="H1605" t="str">
        <f t="shared" si="75"/>
        <v>Vegetable</v>
      </c>
    </row>
    <row r="1606" spans="1:12">
      <c r="A1606" s="45">
        <v>43206</v>
      </c>
      <c r="B1606" t="s">
        <v>390</v>
      </c>
      <c r="C1606">
        <f t="shared" si="74"/>
        <v>30</v>
      </c>
      <c r="D1606">
        <v>1.75</v>
      </c>
      <c r="E1606" t="s">
        <v>525</v>
      </c>
      <c r="F1606" t="s">
        <v>526</v>
      </c>
      <c r="G1606">
        <f t="shared" si="76"/>
        <v>52.5</v>
      </c>
      <c r="H1606" t="str">
        <f t="shared" si="75"/>
        <v>Vegetable</v>
      </c>
    </row>
    <row r="1607" spans="1:12">
      <c r="A1607" s="45">
        <v>43206</v>
      </c>
      <c r="B1607" t="s">
        <v>430</v>
      </c>
      <c r="C1607">
        <f t="shared" si="74"/>
        <v>30</v>
      </c>
      <c r="D1607">
        <v>0.65</v>
      </c>
      <c r="E1607" t="s">
        <v>525</v>
      </c>
      <c r="F1607" t="s">
        <v>526</v>
      </c>
      <c r="G1607">
        <f t="shared" si="76"/>
        <v>19.5</v>
      </c>
      <c r="H1607" t="str">
        <f t="shared" si="75"/>
        <v>Vegetable</v>
      </c>
    </row>
    <row r="1608" spans="1:12">
      <c r="A1608" s="45">
        <v>43206</v>
      </c>
      <c r="B1608" t="s">
        <v>457</v>
      </c>
      <c r="C1608">
        <f t="shared" si="74"/>
        <v>64</v>
      </c>
      <c r="D1608">
        <v>1.5</v>
      </c>
      <c r="E1608" t="s">
        <v>525</v>
      </c>
      <c r="F1608" t="s">
        <v>526</v>
      </c>
      <c r="G1608">
        <f t="shared" si="76"/>
        <v>96</v>
      </c>
      <c r="H1608" t="str">
        <f t="shared" si="75"/>
        <v>Dry Grocery</v>
      </c>
    </row>
    <row r="1609" spans="1:12">
      <c r="A1609" s="45">
        <v>43206</v>
      </c>
      <c r="B1609" t="s">
        <v>393</v>
      </c>
      <c r="C1609">
        <f t="shared" si="74"/>
        <v>26</v>
      </c>
      <c r="D1609">
        <v>6</v>
      </c>
      <c r="E1609" t="s">
        <v>525</v>
      </c>
      <c r="F1609" t="s">
        <v>526</v>
      </c>
      <c r="G1609">
        <f t="shared" si="76"/>
        <v>156</v>
      </c>
      <c r="H1609" t="str">
        <f t="shared" si="75"/>
        <v>Heating</v>
      </c>
    </row>
    <row r="1610" spans="1:12">
      <c r="A1610" s="45">
        <v>43206</v>
      </c>
      <c r="B1610" t="s">
        <v>463</v>
      </c>
      <c r="C1610">
        <f t="shared" si="74"/>
        <v>29.51</v>
      </c>
      <c r="D1610">
        <v>2</v>
      </c>
      <c r="E1610" t="s">
        <v>525</v>
      </c>
      <c r="F1610" t="s">
        <v>526</v>
      </c>
      <c r="G1610">
        <f t="shared" si="76"/>
        <v>59.02</v>
      </c>
      <c r="H1610" t="str">
        <f t="shared" si="75"/>
        <v>Dry Grocery</v>
      </c>
    </row>
    <row r="1611" spans="1:12">
      <c r="A1611" s="45">
        <v>43206</v>
      </c>
      <c r="B1611" t="s">
        <v>378</v>
      </c>
      <c r="C1611">
        <f t="shared" si="74"/>
        <v>25</v>
      </c>
      <c r="D1611">
        <f>0.28+0.25</f>
        <v>0.53</v>
      </c>
      <c r="E1611" t="s">
        <v>525</v>
      </c>
      <c r="F1611" t="s">
        <v>526</v>
      </c>
      <c r="G1611">
        <f t="shared" si="76"/>
        <v>13.25</v>
      </c>
      <c r="H1611" t="str">
        <f t="shared" si="75"/>
        <v>Vegetable</v>
      </c>
    </row>
    <row r="1612" spans="1:12">
      <c r="A1612" s="45">
        <v>43206</v>
      </c>
      <c r="B1612" t="s">
        <v>485</v>
      </c>
      <c r="C1612">
        <f t="shared" si="74"/>
        <v>96</v>
      </c>
      <c r="D1612">
        <v>0.65</v>
      </c>
      <c r="E1612" t="s">
        <v>525</v>
      </c>
      <c r="F1612" t="s">
        <v>526</v>
      </c>
      <c r="G1612">
        <f t="shared" si="76"/>
        <v>62.400000000000006</v>
      </c>
      <c r="H1612" t="str">
        <f t="shared" si="75"/>
        <v>Oil</v>
      </c>
    </row>
    <row r="1613" spans="1:12">
      <c r="A1613" s="45">
        <v>43206</v>
      </c>
      <c r="B1613" t="s">
        <v>463</v>
      </c>
      <c r="C1613">
        <f t="shared" si="74"/>
        <v>29.51</v>
      </c>
      <c r="D1613">
        <v>1</v>
      </c>
      <c r="E1613" t="s">
        <v>525</v>
      </c>
      <c r="F1613" t="s">
        <v>526</v>
      </c>
      <c r="G1613">
        <f t="shared" si="76"/>
        <v>29.51</v>
      </c>
      <c r="H1613" t="str">
        <f t="shared" si="75"/>
        <v>Dry Grocery</v>
      </c>
    </row>
    <row r="1614" spans="1:12">
      <c r="A1614" s="45">
        <v>43206</v>
      </c>
      <c r="B1614" t="s">
        <v>386</v>
      </c>
      <c r="C1614">
        <f t="shared" si="74"/>
        <v>82</v>
      </c>
      <c r="D1614">
        <v>4</v>
      </c>
      <c r="E1614" t="s">
        <v>525</v>
      </c>
      <c r="F1614" t="s">
        <v>526</v>
      </c>
      <c r="G1614">
        <f t="shared" si="76"/>
        <v>328</v>
      </c>
      <c r="H1614" t="str">
        <f t="shared" si="75"/>
        <v>Oil</v>
      </c>
    </row>
    <row r="1615" spans="1:12">
      <c r="A1615" s="45">
        <v>43206</v>
      </c>
      <c r="B1615" t="s">
        <v>473</v>
      </c>
      <c r="C1615">
        <f t="shared" si="74"/>
        <v>175</v>
      </c>
      <c r="D1615">
        <v>1.8</v>
      </c>
      <c r="E1615" t="s">
        <v>525</v>
      </c>
      <c r="F1615" t="s">
        <v>526</v>
      </c>
      <c r="G1615">
        <f t="shared" si="76"/>
        <v>315</v>
      </c>
      <c r="H1615" t="str">
        <f t="shared" si="75"/>
        <v>Dairy</v>
      </c>
    </row>
    <row r="1616" spans="1:12">
      <c r="A1616" s="45">
        <v>43206</v>
      </c>
      <c r="B1616" t="s">
        <v>461</v>
      </c>
      <c r="C1616">
        <f t="shared" si="74"/>
        <v>1450</v>
      </c>
      <c r="D1616">
        <v>5.0000000000000001E-3</v>
      </c>
      <c r="E1616" t="s">
        <v>525</v>
      </c>
      <c r="F1616" t="s">
        <v>526</v>
      </c>
      <c r="G1616">
        <f t="shared" si="76"/>
        <v>7.25</v>
      </c>
      <c r="H1616" t="str">
        <f t="shared" si="75"/>
        <v>Spice</v>
      </c>
      <c r="L1616" t="s">
        <v>561</v>
      </c>
    </row>
    <row r="1617" spans="1:12">
      <c r="A1617" s="45">
        <v>43206</v>
      </c>
      <c r="B1617" t="s">
        <v>376</v>
      </c>
      <c r="C1617">
        <f t="shared" si="74"/>
        <v>220</v>
      </c>
      <c r="D1617">
        <v>5.0000000000000001E-3</v>
      </c>
      <c r="E1617" t="s">
        <v>525</v>
      </c>
      <c r="F1617" t="s">
        <v>526</v>
      </c>
      <c r="G1617">
        <f t="shared" si="76"/>
        <v>1.1000000000000001</v>
      </c>
      <c r="H1617" t="str">
        <f t="shared" si="75"/>
        <v>Spice</v>
      </c>
      <c r="L1617" t="s">
        <v>561</v>
      </c>
    </row>
    <row r="1618" spans="1:12">
      <c r="A1618" s="45">
        <v>43206</v>
      </c>
      <c r="B1618" t="s">
        <v>377</v>
      </c>
      <c r="C1618">
        <f t="shared" si="74"/>
        <v>740</v>
      </c>
      <c r="D1618">
        <v>5.0000000000000001E-3</v>
      </c>
      <c r="E1618" t="s">
        <v>525</v>
      </c>
      <c r="F1618" t="s">
        <v>526</v>
      </c>
      <c r="G1618">
        <f t="shared" si="76"/>
        <v>3.7</v>
      </c>
      <c r="H1618" t="str">
        <f t="shared" si="75"/>
        <v>Spice</v>
      </c>
      <c r="L1618" t="s">
        <v>561</v>
      </c>
    </row>
    <row r="1619" spans="1:12">
      <c r="A1619" s="45">
        <v>43206</v>
      </c>
      <c r="B1619" t="s">
        <v>464</v>
      </c>
      <c r="C1619">
        <f t="shared" si="74"/>
        <v>750</v>
      </c>
      <c r="D1619">
        <v>5.0000000000000001E-3</v>
      </c>
      <c r="E1619" t="s">
        <v>525</v>
      </c>
      <c r="F1619" t="s">
        <v>526</v>
      </c>
      <c r="G1619">
        <f t="shared" si="76"/>
        <v>3.75</v>
      </c>
      <c r="H1619" t="str">
        <f t="shared" si="75"/>
        <v>Spice</v>
      </c>
      <c r="L1619" t="s">
        <v>561</v>
      </c>
    </row>
    <row r="1620" spans="1:12">
      <c r="A1620" s="45">
        <v>43206</v>
      </c>
      <c r="B1620" t="s">
        <v>399</v>
      </c>
      <c r="C1620">
        <f t="shared" si="74"/>
        <v>1480</v>
      </c>
      <c r="D1620">
        <v>5.0000000000000001E-3</v>
      </c>
      <c r="E1620" t="s">
        <v>525</v>
      </c>
      <c r="F1620" t="s">
        <v>526</v>
      </c>
      <c r="G1620">
        <f t="shared" si="76"/>
        <v>7.4</v>
      </c>
      <c r="H1620" t="str">
        <f t="shared" si="75"/>
        <v>Spice</v>
      </c>
      <c r="L1620" t="s">
        <v>561</v>
      </c>
    </row>
    <row r="1621" spans="1:12">
      <c r="A1621" s="45">
        <v>43206</v>
      </c>
      <c r="B1621" t="s">
        <v>500</v>
      </c>
      <c r="C1621">
        <f t="shared" si="74"/>
        <v>72</v>
      </c>
      <c r="D1621">
        <v>0.2</v>
      </c>
      <c r="E1621" t="s">
        <v>525</v>
      </c>
      <c r="F1621" t="s">
        <v>526</v>
      </c>
      <c r="G1621">
        <f t="shared" si="76"/>
        <v>14.4</v>
      </c>
      <c r="H1621" t="str">
        <f t="shared" si="75"/>
        <v>Dry Grocery</v>
      </c>
    </row>
    <row r="1622" spans="1:12">
      <c r="A1622" s="45">
        <v>43206</v>
      </c>
      <c r="B1622" t="s">
        <v>394</v>
      </c>
      <c r="C1622">
        <f t="shared" si="74"/>
        <v>45</v>
      </c>
      <c r="D1622">
        <v>1</v>
      </c>
      <c r="E1622" t="s">
        <v>525</v>
      </c>
      <c r="F1622" t="s">
        <v>526</v>
      </c>
      <c r="G1622">
        <f t="shared" si="76"/>
        <v>45</v>
      </c>
      <c r="H1622" t="str">
        <f t="shared" ref="H1622:H1685" si="77">IF(B1622="","",VLOOKUP(B1622,$XEY$3:$XFA$1200,3,FALSE))</f>
        <v>Dry Grocery</v>
      </c>
    </row>
    <row r="1623" spans="1:12">
      <c r="A1623" s="45">
        <v>43206</v>
      </c>
      <c r="B1623" t="s">
        <v>479</v>
      </c>
      <c r="C1623">
        <f t="shared" si="74"/>
        <v>312.14</v>
      </c>
      <c r="D1623">
        <v>0.04</v>
      </c>
      <c r="E1623" t="s">
        <v>525</v>
      </c>
      <c r="F1623" t="s">
        <v>526</v>
      </c>
      <c r="G1623">
        <f t="shared" si="76"/>
        <v>12.4856</v>
      </c>
      <c r="H1623" t="str">
        <f t="shared" si="77"/>
        <v>Vegetable</v>
      </c>
    </row>
    <row r="1624" spans="1:12">
      <c r="A1624" s="45">
        <v>43206</v>
      </c>
      <c r="B1624" t="s">
        <v>434</v>
      </c>
      <c r="C1624">
        <f t="shared" si="74"/>
        <v>125</v>
      </c>
      <c r="D1624">
        <v>0.12</v>
      </c>
      <c r="E1624" t="s">
        <v>525</v>
      </c>
      <c r="F1624" t="s">
        <v>526</v>
      </c>
      <c r="G1624">
        <f t="shared" si="76"/>
        <v>15</v>
      </c>
      <c r="H1624" t="str">
        <f t="shared" si="77"/>
        <v>Vegetable</v>
      </c>
    </row>
    <row r="1625" spans="1:12">
      <c r="A1625" s="45">
        <v>43206</v>
      </c>
      <c r="B1625" t="s">
        <v>474</v>
      </c>
      <c r="C1625">
        <f t="shared" si="74"/>
        <v>27</v>
      </c>
      <c r="D1625">
        <v>2.5</v>
      </c>
      <c r="E1625" t="s">
        <v>525</v>
      </c>
      <c r="F1625" t="s">
        <v>526</v>
      </c>
      <c r="G1625">
        <f t="shared" si="76"/>
        <v>67.5</v>
      </c>
      <c r="H1625" t="str">
        <f t="shared" si="77"/>
        <v>Dry Grocery</v>
      </c>
    </row>
    <row r="1626" spans="1:12">
      <c r="A1626" s="45">
        <v>43206</v>
      </c>
      <c r="B1626" t="s">
        <v>371</v>
      </c>
      <c r="C1626">
        <f t="shared" si="74"/>
        <v>23.33</v>
      </c>
      <c r="D1626">
        <v>2</v>
      </c>
      <c r="E1626" t="s">
        <v>525</v>
      </c>
      <c r="F1626" t="s">
        <v>526</v>
      </c>
      <c r="G1626">
        <f t="shared" si="76"/>
        <v>46.66</v>
      </c>
      <c r="H1626" t="str">
        <f t="shared" si="77"/>
        <v>Vegetable</v>
      </c>
    </row>
    <row r="1627" spans="1:12">
      <c r="A1627" s="45">
        <v>43206</v>
      </c>
      <c r="B1627" t="s">
        <v>420</v>
      </c>
      <c r="C1627">
        <f t="shared" si="74"/>
        <v>3</v>
      </c>
      <c r="D1627">
        <v>1</v>
      </c>
      <c r="E1627" t="s">
        <v>525</v>
      </c>
      <c r="F1627" t="s">
        <v>526</v>
      </c>
      <c r="G1627">
        <f t="shared" si="76"/>
        <v>3</v>
      </c>
      <c r="H1627" t="str">
        <f t="shared" si="77"/>
        <v>Vegetable</v>
      </c>
    </row>
    <row r="1628" spans="1:12">
      <c r="A1628" s="45">
        <v>43206</v>
      </c>
      <c r="B1628" t="s">
        <v>454</v>
      </c>
      <c r="C1628">
        <f t="shared" si="74"/>
        <v>43.06</v>
      </c>
      <c r="D1628">
        <v>0.3</v>
      </c>
      <c r="E1628" t="s">
        <v>525</v>
      </c>
      <c r="F1628" t="s">
        <v>526</v>
      </c>
      <c r="G1628">
        <f t="shared" si="76"/>
        <v>12.918000000000001</v>
      </c>
      <c r="H1628" t="str">
        <f t="shared" si="77"/>
        <v>Vegetable</v>
      </c>
    </row>
    <row r="1629" spans="1:12">
      <c r="A1629" s="45">
        <v>43206</v>
      </c>
      <c r="B1629" t="s">
        <v>391</v>
      </c>
      <c r="C1629">
        <f t="shared" si="74"/>
        <v>27.97</v>
      </c>
      <c r="D1629">
        <v>0.47</v>
      </c>
      <c r="E1629" t="s">
        <v>525</v>
      </c>
      <c r="F1629" t="s">
        <v>526</v>
      </c>
      <c r="G1629">
        <f t="shared" si="76"/>
        <v>13.145899999999999</v>
      </c>
      <c r="H1629" t="str">
        <f t="shared" si="77"/>
        <v>Vegetable</v>
      </c>
    </row>
    <row r="1630" spans="1:12">
      <c r="A1630" s="45">
        <v>43206</v>
      </c>
      <c r="B1630" t="s">
        <v>476</v>
      </c>
      <c r="C1630">
        <f t="shared" si="74"/>
        <v>14.75</v>
      </c>
      <c r="D1630">
        <v>1</v>
      </c>
      <c r="E1630" t="s">
        <v>525</v>
      </c>
      <c r="F1630" t="s">
        <v>526</v>
      </c>
      <c r="G1630">
        <f t="shared" si="76"/>
        <v>14.75</v>
      </c>
      <c r="H1630" t="str">
        <f t="shared" si="77"/>
        <v>Vegetable</v>
      </c>
    </row>
    <row r="1631" spans="1:12">
      <c r="A1631" s="45">
        <v>43206</v>
      </c>
      <c r="B1631" t="s">
        <v>468</v>
      </c>
      <c r="C1631">
        <f t="shared" si="74"/>
        <v>32</v>
      </c>
      <c r="D1631">
        <v>6</v>
      </c>
      <c r="E1631" t="s">
        <v>525</v>
      </c>
      <c r="F1631" t="s">
        <v>526</v>
      </c>
      <c r="G1631">
        <f t="shared" si="76"/>
        <v>192</v>
      </c>
      <c r="H1631" t="str">
        <f t="shared" si="77"/>
        <v>Vegetable</v>
      </c>
    </row>
    <row r="1632" spans="1:12">
      <c r="A1632" s="45">
        <v>43206</v>
      </c>
      <c r="B1632" t="s">
        <v>451</v>
      </c>
      <c r="C1632">
        <f t="shared" si="74"/>
        <v>60</v>
      </c>
      <c r="D1632">
        <v>0.7</v>
      </c>
      <c r="E1632" t="s">
        <v>525</v>
      </c>
      <c r="F1632" t="s">
        <v>526</v>
      </c>
      <c r="G1632">
        <f t="shared" si="76"/>
        <v>42</v>
      </c>
      <c r="H1632" t="str">
        <f t="shared" si="77"/>
        <v>Vegetable</v>
      </c>
    </row>
    <row r="1633" spans="1:12">
      <c r="A1633" s="45">
        <v>43206</v>
      </c>
      <c r="B1633" t="s">
        <v>401</v>
      </c>
      <c r="C1633">
        <f t="shared" si="74"/>
        <v>33</v>
      </c>
      <c r="D1633">
        <v>0.09</v>
      </c>
      <c r="E1633" t="s">
        <v>525</v>
      </c>
      <c r="F1633" t="s">
        <v>526</v>
      </c>
      <c r="G1633">
        <f t="shared" si="76"/>
        <v>2.9699999999999998</v>
      </c>
      <c r="H1633" t="str">
        <f t="shared" si="77"/>
        <v>Canned Food</v>
      </c>
    </row>
    <row r="1634" spans="1:12">
      <c r="A1634" s="45">
        <v>43206</v>
      </c>
      <c r="B1634" t="s">
        <v>459</v>
      </c>
      <c r="C1634">
        <f t="shared" si="74"/>
        <v>190</v>
      </c>
      <c r="D1634">
        <v>0.03</v>
      </c>
      <c r="E1634" t="s">
        <v>525</v>
      </c>
      <c r="F1634" t="s">
        <v>526</v>
      </c>
      <c r="G1634">
        <f t="shared" si="76"/>
        <v>5.7</v>
      </c>
      <c r="H1634" t="str">
        <f t="shared" si="77"/>
        <v>Dairy</v>
      </c>
    </row>
    <row r="1635" spans="1:12">
      <c r="A1635" s="45">
        <v>43206</v>
      </c>
      <c r="B1635" t="s">
        <v>375</v>
      </c>
      <c r="C1635">
        <f t="shared" si="74"/>
        <v>280</v>
      </c>
      <c r="D1635">
        <v>0.13</v>
      </c>
      <c r="E1635" t="s">
        <v>525</v>
      </c>
      <c r="F1635" t="s">
        <v>526</v>
      </c>
      <c r="G1635">
        <f t="shared" si="76"/>
        <v>36.4</v>
      </c>
      <c r="H1635" t="str">
        <f t="shared" si="77"/>
        <v>Dry Grocery</v>
      </c>
    </row>
    <row r="1636" spans="1:12">
      <c r="A1636" s="45">
        <v>43206</v>
      </c>
      <c r="B1636" t="s">
        <v>426</v>
      </c>
      <c r="C1636">
        <f t="shared" si="74"/>
        <v>57.5</v>
      </c>
      <c r="D1636">
        <v>5.5E-2</v>
      </c>
      <c r="E1636" t="s">
        <v>525</v>
      </c>
      <c r="F1636" t="s">
        <v>526</v>
      </c>
      <c r="G1636">
        <f t="shared" si="76"/>
        <v>3.1625000000000001</v>
      </c>
      <c r="H1636" t="str">
        <f t="shared" si="77"/>
        <v>Dry Grocery</v>
      </c>
      <c r="L1636" t="s">
        <v>561</v>
      </c>
    </row>
    <row r="1637" spans="1:12">
      <c r="A1637" s="45">
        <v>43206</v>
      </c>
      <c r="B1637" t="s">
        <v>387</v>
      </c>
      <c r="C1637">
        <f t="shared" si="74"/>
        <v>187.41</v>
      </c>
      <c r="D1637">
        <v>0.12</v>
      </c>
      <c r="E1637" t="s">
        <v>525</v>
      </c>
      <c r="F1637" t="s">
        <v>526</v>
      </c>
      <c r="G1637">
        <f t="shared" si="76"/>
        <v>22.4892</v>
      </c>
      <c r="H1637" t="str">
        <f t="shared" si="77"/>
        <v>Dry Grocery</v>
      </c>
      <c r="L1637" t="s">
        <v>561</v>
      </c>
    </row>
    <row r="1638" spans="1:12">
      <c r="A1638" s="45">
        <v>43206</v>
      </c>
      <c r="B1638" t="s">
        <v>482</v>
      </c>
      <c r="C1638">
        <f t="shared" si="74"/>
        <v>48</v>
      </c>
      <c r="D1638">
        <v>0.02</v>
      </c>
      <c r="E1638" t="s">
        <v>525</v>
      </c>
      <c r="F1638" t="s">
        <v>526</v>
      </c>
      <c r="G1638">
        <f t="shared" si="76"/>
        <v>0.96</v>
      </c>
      <c r="H1638" t="str">
        <f t="shared" si="77"/>
        <v>Dry Grocery</v>
      </c>
    </row>
    <row r="1639" spans="1:12">
      <c r="A1639" s="45">
        <v>43206</v>
      </c>
      <c r="B1639" t="s">
        <v>435</v>
      </c>
      <c r="C1639">
        <f t="shared" si="74"/>
        <v>17</v>
      </c>
      <c r="D1639">
        <v>0.96</v>
      </c>
      <c r="E1639" t="s">
        <v>525</v>
      </c>
      <c r="F1639" t="s">
        <v>526</v>
      </c>
      <c r="G1639">
        <f t="shared" si="76"/>
        <v>16.32</v>
      </c>
      <c r="H1639" t="str">
        <f t="shared" si="77"/>
        <v>Dry Grocery</v>
      </c>
    </row>
    <row r="1640" spans="1:12">
      <c r="A1640" s="45">
        <v>43206</v>
      </c>
      <c r="B1640" t="s">
        <v>455</v>
      </c>
      <c r="C1640">
        <f t="shared" si="74"/>
        <v>380</v>
      </c>
      <c r="D1640">
        <v>0</v>
      </c>
      <c r="E1640" t="s">
        <v>525</v>
      </c>
      <c r="F1640" t="s">
        <v>526</v>
      </c>
      <c r="G1640">
        <f t="shared" si="76"/>
        <v>0</v>
      </c>
      <c r="H1640" t="str">
        <f t="shared" si="77"/>
        <v>Dry Grocery</v>
      </c>
    </row>
    <row r="1641" spans="1:12">
      <c r="A1641" s="45">
        <v>43206</v>
      </c>
      <c r="B1641" t="s">
        <v>478</v>
      </c>
      <c r="C1641">
        <f t="shared" si="74"/>
        <v>180</v>
      </c>
      <c r="D1641">
        <v>0.35499999999999998</v>
      </c>
      <c r="E1641" t="s">
        <v>525</v>
      </c>
      <c r="F1641" t="s">
        <v>526</v>
      </c>
      <c r="G1641">
        <f t="shared" si="76"/>
        <v>63.9</v>
      </c>
      <c r="H1641" t="str">
        <f t="shared" si="77"/>
        <v>Dry Grocery</v>
      </c>
    </row>
    <row r="1642" spans="1:12">
      <c r="A1642" s="45">
        <v>43206</v>
      </c>
      <c r="B1642" t="s">
        <v>475</v>
      </c>
      <c r="C1642">
        <f t="shared" si="74"/>
        <v>148</v>
      </c>
      <c r="D1642">
        <v>0.23</v>
      </c>
      <c r="E1642" t="s">
        <v>525</v>
      </c>
      <c r="F1642" t="s">
        <v>526</v>
      </c>
      <c r="G1642">
        <f t="shared" si="76"/>
        <v>34.04</v>
      </c>
      <c r="H1642" t="str">
        <f t="shared" si="77"/>
        <v>Dry Grocery</v>
      </c>
    </row>
    <row r="1643" spans="1:12">
      <c r="A1643" s="45">
        <v>43206</v>
      </c>
      <c r="B1643" t="s">
        <v>518</v>
      </c>
      <c r="C1643">
        <f t="shared" si="74"/>
        <v>24</v>
      </c>
      <c r="D1643">
        <v>9.5000000000000001E-2</v>
      </c>
      <c r="E1643" t="s">
        <v>525</v>
      </c>
      <c r="F1643" t="s">
        <v>526</v>
      </c>
      <c r="G1643">
        <f t="shared" si="76"/>
        <v>2.2800000000000002</v>
      </c>
      <c r="H1643" t="str">
        <f t="shared" si="77"/>
        <v>Dry Grocery</v>
      </c>
    </row>
    <row r="1644" spans="1:12">
      <c r="A1644" s="45">
        <v>43206</v>
      </c>
      <c r="B1644" t="s">
        <v>372</v>
      </c>
      <c r="C1644">
        <f t="shared" si="74"/>
        <v>33</v>
      </c>
      <c r="D1644">
        <v>0.26</v>
      </c>
      <c r="E1644" t="s">
        <v>525</v>
      </c>
      <c r="F1644" t="s">
        <v>526</v>
      </c>
      <c r="G1644">
        <f t="shared" si="76"/>
        <v>8.58</v>
      </c>
      <c r="H1644" t="str">
        <f t="shared" si="77"/>
        <v>Sauce</v>
      </c>
    </row>
    <row r="1645" spans="1:12">
      <c r="A1645" s="45">
        <v>43206</v>
      </c>
      <c r="B1645" t="s">
        <v>400</v>
      </c>
      <c r="C1645">
        <f t="shared" si="74"/>
        <v>135</v>
      </c>
      <c r="D1645">
        <v>0.02</v>
      </c>
      <c r="E1645" t="s">
        <v>525</v>
      </c>
      <c r="F1645" t="s">
        <v>526</v>
      </c>
      <c r="G1645">
        <f t="shared" si="76"/>
        <v>2.7</v>
      </c>
      <c r="H1645" t="str">
        <f t="shared" si="77"/>
        <v>Oil</v>
      </c>
    </row>
    <row r="1646" spans="1:12">
      <c r="A1646" s="45">
        <v>43206</v>
      </c>
      <c r="B1646" t="s">
        <v>397</v>
      </c>
      <c r="C1646">
        <f t="shared" si="74"/>
        <v>75</v>
      </c>
      <c r="D1646">
        <v>0.52</v>
      </c>
      <c r="E1646" t="s">
        <v>525</v>
      </c>
      <c r="F1646" t="s">
        <v>526</v>
      </c>
      <c r="G1646">
        <f t="shared" si="76"/>
        <v>39</v>
      </c>
      <c r="H1646" t="str">
        <f t="shared" si="77"/>
        <v>Sauce</v>
      </c>
    </row>
    <row r="1647" spans="1:12">
      <c r="A1647" s="45">
        <v>43206</v>
      </c>
      <c r="B1647" t="s">
        <v>379</v>
      </c>
      <c r="C1647">
        <f t="shared" si="74"/>
        <v>120</v>
      </c>
      <c r="D1647">
        <v>0.11</v>
      </c>
      <c r="E1647" t="s">
        <v>525</v>
      </c>
      <c r="F1647" t="s">
        <v>526</v>
      </c>
      <c r="G1647">
        <f t="shared" si="76"/>
        <v>13.2</v>
      </c>
      <c r="H1647" t="str">
        <f t="shared" si="77"/>
        <v>Dry Grocery</v>
      </c>
    </row>
    <row r="1648" spans="1:12">
      <c r="A1648" s="45">
        <v>43206</v>
      </c>
      <c r="B1648" t="s">
        <v>370</v>
      </c>
      <c r="C1648">
        <f t="shared" si="74"/>
        <v>55</v>
      </c>
      <c r="D1648">
        <v>0.01</v>
      </c>
      <c r="E1648" t="s">
        <v>525</v>
      </c>
      <c r="F1648" t="s">
        <v>526</v>
      </c>
      <c r="G1648">
        <f t="shared" si="76"/>
        <v>0.55000000000000004</v>
      </c>
      <c r="H1648" t="str">
        <f t="shared" si="77"/>
        <v>Sauce</v>
      </c>
    </row>
    <row r="1649" spans="1:12">
      <c r="A1649" s="45">
        <v>43206</v>
      </c>
      <c r="B1649" t="s">
        <v>672</v>
      </c>
      <c r="C1649">
        <f t="shared" si="74"/>
        <v>0</v>
      </c>
      <c r="D1649">
        <v>0.01</v>
      </c>
      <c r="E1649" t="s">
        <v>525</v>
      </c>
      <c r="F1649" t="s">
        <v>526</v>
      </c>
      <c r="G1649">
        <f t="shared" si="76"/>
        <v>0</v>
      </c>
      <c r="H1649" t="str">
        <f t="shared" si="77"/>
        <v>Dry Grocery</v>
      </c>
    </row>
    <row r="1650" spans="1:12">
      <c r="A1650" s="45">
        <v>43206</v>
      </c>
      <c r="B1650" t="s">
        <v>561</v>
      </c>
      <c r="C1650">
        <f t="shared" si="74"/>
        <v>0</v>
      </c>
      <c r="D1650">
        <v>2.9</v>
      </c>
      <c r="E1650" t="s">
        <v>525</v>
      </c>
      <c r="F1650" t="s">
        <v>526</v>
      </c>
      <c r="G1650">
        <f t="shared" si="76"/>
        <v>0</v>
      </c>
      <c r="H1650" t="str">
        <f t="shared" si="77"/>
        <v>SemiFinished_Prod</v>
      </c>
    </row>
    <row r="1651" spans="1:12">
      <c r="A1651" s="45">
        <v>43206</v>
      </c>
      <c r="B1651" t="s">
        <v>385</v>
      </c>
      <c r="C1651">
        <f t="shared" si="74"/>
        <v>36</v>
      </c>
      <c r="D1651">
        <v>0.5</v>
      </c>
      <c r="E1651" t="s">
        <v>525</v>
      </c>
      <c r="F1651" t="s">
        <v>526</v>
      </c>
      <c r="G1651">
        <f t="shared" si="76"/>
        <v>18</v>
      </c>
      <c r="H1651" t="str">
        <f t="shared" si="77"/>
        <v>Dairy</v>
      </c>
    </row>
    <row r="1652" spans="1:12">
      <c r="A1652" s="45">
        <v>43206</v>
      </c>
      <c r="B1652" t="s">
        <v>675</v>
      </c>
      <c r="C1652">
        <f t="shared" si="74"/>
        <v>0</v>
      </c>
      <c r="D1652">
        <v>1.3</v>
      </c>
      <c r="E1652" t="s">
        <v>525</v>
      </c>
      <c r="F1652" t="s">
        <v>526</v>
      </c>
      <c r="G1652">
        <f t="shared" si="76"/>
        <v>0</v>
      </c>
      <c r="H1652" t="str">
        <f t="shared" si="77"/>
        <v>SemiFinished_Prod</v>
      </c>
    </row>
    <row r="1653" spans="1:12">
      <c r="A1653" s="45">
        <v>43206</v>
      </c>
      <c r="B1653" t="s">
        <v>398</v>
      </c>
      <c r="C1653">
        <f t="shared" si="74"/>
        <v>51</v>
      </c>
      <c r="D1653">
        <v>9.5000000000000001E-2</v>
      </c>
      <c r="E1653" t="s">
        <v>525</v>
      </c>
      <c r="F1653" t="s">
        <v>526</v>
      </c>
      <c r="G1653">
        <f t="shared" si="76"/>
        <v>4.8449999999999998</v>
      </c>
      <c r="H1653" t="str">
        <f t="shared" si="77"/>
        <v>Dry Grocery</v>
      </c>
    </row>
    <row r="1654" spans="1:12">
      <c r="A1654" s="45">
        <v>43206</v>
      </c>
      <c r="B1654" t="s">
        <v>490</v>
      </c>
      <c r="C1654">
        <f t="shared" si="74"/>
        <v>100</v>
      </c>
      <c r="D1654">
        <v>0.47</v>
      </c>
      <c r="E1654" t="s">
        <v>525</v>
      </c>
      <c r="F1654" t="s">
        <v>526</v>
      </c>
      <c r="G1654">
        <f t="shared" si="76"/>
        <v>47</v>
      </c>
      <c r="H1654" t="str">
        <f t="shared" si="77"/>
        <v>Processed Food</v>
      </c>
    </row>
    <row r="1655" spans="1:12">
      <c r="A1655" s="45">
        <v>43206</v>
      </c>
      <c r="B1655" t="s">
        <v>462</v>
      </c>
      <c r="C1655">
        <f t="shared" si="74"/>
        <v>138</v>
      </c>
      <c r="D1655">
        <v>0.15</v>
      </c>
      <c r="E1655" t="s">
        <v>525</v>
      </c>
      <c r="F1655" t="s">
        <v>526</v>
      </c>
      <c r="G1655">
        <f t="shared" si="76"/>
        <v>20.7</v>
      </c>
      <c r="H1655" t="str">
        <f t="shared" si="77"/>
        <v>Dry Grocery</v>
      </c>
    </row>
    <row r="1656" spans="1:12">
      <c r="A1656" s="45">
        <v>43206</v>
      </c>
      <c r="B1656" t="s">
        <v>389</v>
      </c>
      <c r="C1656">
        <f t="shared" si="74"/>
        <v>280</v>
      </c>
      <c r="D1656">
        <v>0.1</v>
      </c>
      <c r="E1656" t="s">
        <v>525</v>
      </c>
      <c r="F1656" t="s">
        <v>526</v>
      </c>
      <c r="G1656">
        <f t="shared" si="76"/>
        <v>28</v>
      </c>
      <c r="H1656" t="str">
        <f t="shared" si="77"/>
        <v>Dry Grocery</v>
      </c>
    </row>
    <row r="1657" spans="1:12">
      <c r="A1657" s="45">
        <v>43206</v>
      </c>
      <c r="B1657" t="s">
        <v>458</v>
      </c>
      <c r="C1657">
        <f t="shared" si="74"/>
        <v>140</v>
      </c>
      <c r="D1657">
        <v>0.25</v>
      </c>
      <c r="E1657" t="s">
        <v>525</v>
      </c>
      <c r="F1657" t="s">
        <v>526</v>
      </c>
      <c r="G1657">
        <f t="shared" si="76"/>
        <v>35</v>
      </c>
      <c r="H1657" t="str">
        <f t="shared" si="77"/>
        <v>Dairy</v>
      </c>
    </row>
    <row r="1658" spans="1:12">
      <c r="A1658" s="45">
        <v>43206</v>
      </c>
      <c r="B1658" t="s">
        <v>489</v>
      </c>
      <c r="C1658">
        <f t="shared" si="74"/>
        <v>280</v>
      </c>
      <c r="D1658">
        <v>0.25</v>
      </c>
      <c r="E1658" t="s">
        <v>525</v>
      </c>
      <c r="F1658" t="s">
        <v>526</v>
      </c>
      <c r="G1658">
        <f t="shared" si="76"/>
        <v>70</v>
      </c>
      <c r="H1658" t="str">
        <f t="shared" si="77"/>
        <v>Processed Food</v>
      </c>
    </row>
    <row r="1659" spans="1:12">
      <c r="A1659" s="45">
        <v>43206</v>
      </c>
      <c r="B1659" t="s">
        <v>382</v>
      </c>
      <c r="C1659">
        <f t="shared" si="74"/>
        <v>42</v>
      </c>
      <c r="D1659">
        <v>2</v>
      </c>
      <c r="E1659" t="s">
        <v>525</v>
      </c>
      <c r="F1659" t="s">
        <v>526</v>
      </c>
      <c r="G1659">
        <f t="shared" si="76"/>
        <v>84</v>
      </c>
      <c r="H1659" t="str">
        <f t="shared" si="77"/>
        <v>Dairy</v>
      </c>
      <c r="L1659" t="s">
        <v>625</v>
      </c>
    </row>
    <row r="1660" spans="1:12">
      <c r="A1660" s="45">
        <v>43206</v>
      </c>
      <c r="B1660" t="s">
        <v>432</v>
      </c>
      <c r="C1660">
        <f t="shared" ref="C1660:C1723" si="78">IF(B1660="","",VLOOKUP(B1660,$XEY$3:$XEZ$1158,2,FALSE))</f>
        <v>14</v>
      </c>
      <c r="D1660">
        <v>17</v>
      </c>
      <c r="E1660" t="s">
        <v>525</v>
      </c>
      <c r="F1660" t="s">
        <v>526</v>
      </c>
      <c r="G1660">
        <f t="shared" si="76"/>
        <v>238</v>
      </c>
      <c r="H1660" t="str">
        <f t="shared" si="77"/>
        <v>Vegetable</v>
      </c>
      <c r="L1660" t="s">
        <v>561</v>
      </c>
    </row>
    <row r="1661" spans="1:12">
      <c r="A1661" s="45">
        <v>43206</v>
      </c>
      <c r="B1661" t="s">
        <v>476</v>
      </c>
      <c r="C1661">
        <f t="shared" si="78"/>
        <v>14.75</v>
      </c>
      <c r="D1661">
        <v>5.5</v>
      </c>
      <c r="E1661" t="s">
        <v>525</v>
      </c>
      <c r="F1661" t="s">
        <v>526</v>
      </c>
      <c r="G1661">
        <f t="shared" si="76"/>
        <v>81.125</v>
      </c>
      <c r="H1661" t="str">
        <f t="shared" si="77"/>
        <v>Vegetable</v>
      </c>
      <c r="L1661" t="s">
        <v>561</v>
      </c>
    </row>
    <row r="1662" spans="1:12">
      <c r="A1662" s="45">
        <v>43206</v>
      </c>
      <c r="B1662" t="s">
        <v>477</v>
      </c>
      <c r="C1662">
        <f t="shared" si="78"/>
        <v>184</v>
      </c>
      <c r="D1662">
        <v>1</v>
      </c>
      <c r="E1662" t="s">
        <v>525</v>
      </c>
      <c r="F1662" t="s">
        <v>526</v>
      </c>
      <c r="G1662">
        <f t="shared" si="76"/>
        <v>184</v>
      </c>
      <c r="H1662" t="str">
        <f t="shared" si="77"/>
        <v>Dry Grocery</v>
      </c>
      <c r="L1662" t="s">
        <v>561</v>
      </c>
    </row>
    <row r="1663" spans="1:12">
      <c r="A1663" s="45">
        <v>43206</v>
      </c>
      <c r="B1663" t="s">
        <v>450</v>
      </c>
      <c r="C1663">
        <f t="shared" si="78"/>
        <v>580</v>
      </c>
      <c r="D1663">
        <v>0.1</v>
      </c>
      <c r="E1663" t="s">
        <v>525</v>
      </c>
      <c r="F1663" t="s">
        <v>526</v>
      </c>
      <c r="G1663">
        <f t="shared" si="76"/>
        <v>58</v>
      </c>
      <c r="H1663" t="str">
        <f t="shared" si="77"/>
        <v>Dry Grocery</v>
      </c>
      <c r="L1663" t="s">
        <v>561</v>
      </c>
    </row>
    <row r="1664" spans="1:12">
      <c r="A1664" s="45">
        <v>43206</v>
      </c>
      <c r="B1664" t="s">
        <v>488</v>
      </c>
      <c r="C1664">
        <f t="shared" si="78"/>
        <v>130</v>
      </c>
      <c r="D1664">
        <v>0.05</v>
      </c>
      <c r="E1664" t="s">
        <v>525</v>
      </c>
      <c r="F1664" t="s">
        <v>526</v>
      </c>
      <c r="G1664">
        <f t="shared" si="76"/>
        <v>6.5</v>
      </c>
      <c r="H1664" t="str">
        <f t="shared" si="77"/>
        <v>Dry Grocery</v>
      </c>
      <c r="L1664" t="s">
        <v>561</v>
      </c>
    </row>
    <row r="1665" spans="1:12">
      <c r="A1665" s="45">
        <v>43206</v>
      </c>
      <c r="B1665" t="s">
        <v>589</v>
      </c>
      <c r="C1665">
        <f t="shared" si="78"/>
        <v>560</v>
      </c>
      <c r="D1665">
        <v>0.25</v>
      </c>
      <c r="E1665" t="s">
        <v>525</v>
      </c>
      <c r="F1665" t="s">
        <v>526</v>
      </c>
      <c r="G1665">
        <f t="shared" si="76"/>
        <v>140</v>
      </c>
      <c r="H1665" t="str">
        <f t="shared" si="77"/>
        <v>Dry Grocery</v>
      </c>
      <c r="L1665" t="s">
        <v>561</v>
      </c>
    </row>
    <row r="1666" spans="1:12">
      <c r="A1666" s="45">
        <v>43206</v>
      </c>
      <c r="B1666" t="s">
        <v>426</v>
      </c>
      <c r="C1666">
        <f t="shared" si="78"/>
        <v>57.5</v>
      </c>
      <c r="D1666">
        <v>1</v>
      </c>
      <c r="E1666" t="s">
        <v>525</v>
      </c>
      <c r="F1666" t="s">
        <v>526</v>
      </c>
      <c r="G1666">
        <f t="shared" si="76"/>
        <v>57.5</v>
      </c>
      <c r="H1666" t="str">
        <f t="shared" si="77"/>
        <v>Dry Grocery</v>
      </c>
      <c r="L1666" t="s">
        <v>561</v>
      </c>
    </row>
    <row r="1667" spans="1:12">
      <c r="A1667" s="45">
        <v>43206</v>
      </c>
      <c r="B1667" t="s">
        <v>429</v>
      </c>
      <c r="C1667">
        <f t="shared" si="78"/>
        <v>40</v>
      </c>
      <c r="D1667">
        <v>0.25</v>
      </c>
      <c r="E1667" t="s">
        <v>525</v>
      </c>
      <c r="F1667" t="s">
        <v>526</v>
      </c>
      <c r="G1667">
        <f t="shared" ref="G1667:G1730" si="79">IF(C1667="","",C1667*D1667)</f>
        <v>10</v>
      </c>
      <c r="H1667" t="str">
        <f t="shared" si="77"/>
        <v>Vegetable</v>
      </c>
      <c r="L1667" t="s">
        <v>561</v>
      </c>
    </row>
    <row r="1668" spans="1:12">
      <c r="A1668" s="45">
        <v>43206</v>
      </c>
      <c r="B1668" t="s">
        <v>427</v>
      </c>
      <c r="C1668">
        <f t="shared" si="78"/>
        <v>28</v>
      </c>
      <c r="D1668">
        <v>0.25</v>
      </c>
      <c r="E1668" t="s">
        <v>525</v>
      </c>
      <c r="F1668" t="s">
        <v>526</v>
      </c>
      <c r="G1668">
        <f t="shared" si="79"/>
        <v>7</v>
      </c>
      <c r="H1668" t="str">
        <f t="shared" si="77"/>
        <v>Vegetable</v>
      </c>
      <c r="L1668" t="s">
        <v>561</v>
      </c>
    </row>
    <row r="1669" spans="1:12">
      <c r="A1669" s="45">
        <v>43206</v>
      </c>
      <c r="B1669" t="s">
        <v>386</v>
      </c>
      <c r="C1669">
        <f t="shared" si="78"/>
        <v>82</v>
      </c>
      <c r="D1669">
        <v>2</v>
      </c>
      <c r="E1669" t="s">
        <v>525</v>
      </c>
      <c r="F1669" t="s">
        <v>526</v>
      </c>
      <c r="G1669">
        <f t="shared" si="79"/>
        <v>164</v>
      </c>
      <c r="H1669" t="str">
        <f t="shared" si="77"/>
        <v>Oil</v>
      </c>
      <c r="L1669" t="s">
        <v>561</v>
      </c>
    </row>
    <row r="1670" spans="1:12">
      <c r="A1670" s="45">
        <v>43206</v>
      </c>
      <c r="B1670" t="s">
        <v>441</v>
      </c>
      <c r="C1670">
        <f t="shared" si="78"/>
        <v>390</v>
      </c>
      <c r="D1670">
        <v>0.29499999999999998</v>
      </c>
      <c r="E1670" t="s">
        <v>542</v>
      </c>
      <c r="F1670" t="s">
        <v>554</v>
      </c>
      <c r="G1670">
        <f t="shared" si="79"/>
        <v>115.05</v>
      </c>
      <c r="H1670" t="str">
        <f t="shared" si="77"/>
        <v>Hot Beverage</v>
      </c>
    </row>
    <row r="1671" spans="1:12">
      <c r="A1671" s="45">
        <v>43206</v>
      </c>
      <c r="B1671" t="s">
        <v>436</v>
      </c>
      <c r="C1671">
        <f t="shared" si="78"/>
        <v>37</v>
      </c>
      <c r="D1671">
        <v>0.65</v>
      </c>
      <c r="E1671" t="s">
        <v>542</v>
      </c>
      <c r="F1671" t="s">
        <v>554</v>
      </c>
      <c r="G1671">
        <f t="shared" si="79"/>
        <v>24.05</v>
      </c>
      <c r="H1671" t="str">
        <f t="shared" si="77"/>
        <v>Dry Grocery</v>
      </c>
    </row>
    <row r="1672" spans="1:12">
      <c r="A1672" s="45">
        <v>43206</v>
      </c>
      <c r="B1672" t="s">
        <v>385</v>
      </c>
      <c r="C1672">
        <f t="shared" si="78"/>
        <v>36</v>
      </c>
      <c r="D1672">
        <v>4</v>
      </c>
      <c r="E1672" t="s">
        <v>542</v>
      </c>
      <c r="F1672" t="s">
        <v>554</v>
      </c>
      <c r="G1672">
        <f t="shared" si="79"/>
        <v>144</v>
      </c>
      <c r="H1672" t="str">
        <f t="shared" si="77"/>
        <v>Dairy</v>
      </c>
    </row>
    <row r="1673" spans="1:12">
      <c r="A1673" s="45">
        <v>43206</v>
      </c>
      <c r="B1673" t="s">
        <v>385</v>
      </c>
      <c r="C1673">
        <f t="shared" si="78"/>
        <v>36</v>
      </c>
      <c r="D1673">
        <v>2.5</v>
      </c>
      <c r="E1673" t="s">
        <v>336</v>
      </c>
      <c r="F1673" t="s">
        <v>527</v>
      </c>
      <c r="G1673">
        <f t="shared" si="79"/>
        <v>90</v>
      </c>
      <c r="H1673" t="str">
        <f t="shared" si="77"/>
        <v>Dairy</v>
      </c>
    </row>
    <row r="1674" spans="1:12">
      <c r="A1674" s="45">
        <v>43206</v>
      </c>
      <c r="B1674" t="s">
        <v>382</v>
      </c>
      <c r="C1674">
        <f t="shared" si="78"/>
        <v>42</v>
      </c>
      <c r="D1674">
        <v>1.5</v>
      </c>
      <c r="E1674" t="s">
        <v>336</v>
      </c>
      <c r="F1674" t="s">
        <v>527</v>
      </c>
      <c r="G1674">
        <f t="shared" si="79"/>
        <v>63</v>
      </c>
      <c r="H1674" t="str">
        <f t="shared" si="77"/>
        <v>Dairy</v>
      </c>
    </row>
    <row r="1675" spans="1:12">
      <c r="A1675" s="45">
        <v>43206</v>
      </c>
      <c r="B1675" t="s">
        <v>404</v>
      </c>
      <c r="C1675">
        <f t="shared" si="78"/>
        <v>28</v>
      </c>
      <c r="D1675">
        <v>3</v>
      </c>
      <c r="E1675" t="s">
        <v>336</v>
      </c>
      <c r="F1675" t="s">
        <v>527</v>
      </c>
      <c r="G1675">
        <f t="shared" si="79"/>
        <v>84</v>
      </c>
      <c r="H1675" t="str">
        <f t="shared" si="77"/>
        <v>Vegetable</v>
      </c>
    </row>
    <row r="1676" spans="1:12">
      <c r="A1676" s="45">
        <v>43206</v>
      </c>
      <c r="B1676" t="s">
        <v>511</v>
      </c>
      <c r="C1676">
        <f t="shared" si="78"/>
        <v>52</v>
      </c>
      <c r="D1676">
        <v>5</v>
      </c>
      <c r="E1676" t="s">
        <v>336</v>
      </c>
      <c r="F1676" t="s">
        <v>527</v>
      </c>
      <c r="G1676">
        <f t="shared" si="79"/>
        <v>260</v>
      </c>
      <c r="H1676" t="str">
        <f t="shared" si="77"/>
        <v>Dry Grocery</v>
      </c>
    </row>
    <row r="1677" spans="1:12">
      <c r="A1677" s="45">
        <v>43206</v>
      </c>
      <c r="B1677" t="s">
        <v>436</v>
      </c>
      <c r="C1677">
        <f t="shared" si="78"/>
        <v>37</v>
      </c>
      <c r="D1677">
        <v>0.45</v>
      </c>
      <c r="E1677" t="s">
        <v>336</v>
      </c>
      <c r="F1677" t="s">
        <v>527</v>
      </c>
      <c r="G1677">
        <f t="shared" si="79"/>
        <v>16.650000000000002</v>
      </c>
      <c r="H1677" t="str">
        <f t="shared" si="77"/>
        <v>Dry Grocery</v>
      </c>
    </row>
    <row r="1678" spans="1:12">
      <c r="A1678" s="45">
        <v>43206</v>
      </c>
      <c r="B1678" t="s">
        <v>375</v>
      </c>
      <c r="C1678">
        <f t="shared" si="78"/>
        <v>280</v>
      </c>
      <c r="D1678">
        <v>0.04</v>
      </c>
      <c r="E1678" t="s">
        <v>336</v>
      </c>
      <c r="F1678" t="s">
        <v>527</v>
      </c>
      <c r="G1678">
        <f t="shared" si="79"/>
        <v>11.200000000000001</v>
      </c>
      <c r="H1678" t="str">
        <f t="shared" si="77"/>
        <v>Dry Grocery</v>
      </c>
    </row>
    <row r="1679" spans="1:12">
      <c r="A1679" s="45">
        <v>43206</v>
      </c>
      <c r="B1679" t="s">
        <v>379</v>
      </c>
      <c r="C1679">
        <f t="shared" si="78"/>
        <v>120</v>
      </c>
      <c r="D1679">
        <v>0.05</v>
      </c>
      <c r="E1679" t="s">
        <v>336</v>
      </c>
      <c r="F1679" t="s">
        <v>527</v>
      </c>
      <c r="G1679">
        <f t="shared" si="79"/>
        <v>6</v>
      </c>
      <c r="H1679" t="str">
        <f t="shared" si="77"/>
        <v>Dry Grocery</v>
      </c>
    </row>
    <row r="1680" spans="1:12">
      <c r="A1680" s="45">
        <v>43206</v>
      </c>
      <c r="B1680" t="s">
        <v>381</v>
      </c>
      <c r="C1680">
        <f t="shared" si="78"/>
        <v>7</v>
      </c>
      <c r="D1680">
        <v>0.04</v>
      </c>
      <c r="E1680" t="s">
        <v>336</v>
      </c>
      <c r="F1680" t="s">
        <v>527</v>
      </c>
      <c r="G1680">
        <f t="shared" si="79"/>
        <v>0.28000000000000003</v>
      </c>
      <c r="H1680" t="str">
        <f t="shared" si="77"/>
        <v>Dry Grocery</v>
      </c>
    </row>
    <row r="1681" spans="1:8">
      <c r="A1681" s="45">
        <v>43206</v>
      </c>
      <c r="B1681" t="s">
        <v>387</v>
      </c>
      <c r="C1681">
        <f t="shared" si="78"/>
        <v>187.41</v>
      </c>
      <c r="D1681">
        <v>0.03</v>
      </c>
      <c r="E1681" t="s">
        <v>336</v>
      </c>
      <c r="F1681" t="s">
        <v>527</v>
      </c>
      <c r="G1681">
        <f t="shared" si="79"/>
        <v>5.6223000000000001</v>
      </c>
      <c r="H1681" t="str">
        <f t="shared" si="77"/>
        <v>Dry Grocery</v>
      </c>
    </row>
    <row r="1682" spans="1:8">
      <c r="A1682" s="45">
        <v>43206</v>
      </c>
      <c r="B1682" t="s">
        <v>485</v>
      </c>
      <c r="C1682">
        <f t="shared" si="78"/>
        <v>96</v>
      </c>
      <c r="D1682">
        <v>0.38</v>
      </c>
      <c r="E1682" t="s">
        <v>336</v>
      </c>
      <c r="F1682" t="s">
        <v>527</v>
      </c>
      <c r="G1682">
        <f t="shared" si="79"/>
        <v>36.480000000000004</v>
      </c>
      <c r="H1682" t="str">
        <f t="shared" si="77"/>
        <v>Oil</v>
      </c>
    </row>
    <row r="1683" spans="1:8">
      <c r="A1683" s="45">
        <v>43206</v>
      </c>
      <c r="B1683" t="s">
        <v>386</v>
      </c>
      <c r="C1683">
        <f t="shared" si="78"/>
        <v>82</v>
      </c>
      <c r="D1683">
        <v>2</v>
      </c>
      <c r="E1683" t="s">
        <v>336</v>
      </c>
      <c r="F1683" t="s">
        <v>527</v>
      </c>
      <c r="G1683">
        <f t="shared" si="79"/>
        <v>164</v>
      </c>
      <c r="H1683" t="str">
        <f t="shared" si="77"/>
        <v>Oil</v>
      </c>
    </row>
    <row r="1684" spans="1:8">
      <c r="A1684" s="45">
        <v>43206</v>
      </c>
      <c r="B1684" t="s">
        <v>383</v>
      </c>
      <c r="C1684">
        <f t="shared" si="78"/>
        <v>230</v>
      </c>
      <c r="D1684">
        <v>0.155</v>
      </c>
      <c r="E1684" t="s">
        <v>336</v>
      </c>
      <c r="F1684" t="s">
        <v>527</v>
      </c>
      <c r="G1684">
        <f t="shared" si="79"/>
        <v>35.65</v>
      </c>
      <c r="H1684" t="str">
        <f t="shared" si="77"/>
        <v>Dry Grocery</v>
      </c>
    </row>
    <row r="1685" spans="1:8">
      <c r="A1685" s="45">
        <v>43206</v>
      </c>
      <c r="B1685" t="s">
        <v>431</v>
      </c>
      <c r="C1685">
        <f t="shared" si="78"/>
        <v>70</v>
      </c>
      <c r="D1685">
        <v>0.06</v>
      </c>
      <c r="E1685" t="s">
        <v>336</v>
      </c>
      <c r="F1685" t="s">
        <v>527</v>
      </c>
      <c r="G1685">
        <f t="shared" si="79"/>
        <v>4.2</v>
      </c>
      <c r="H1685" t="str">
        <f t="shared" si="77"/>
        <v>Dry Grocery</v>
      </c>
    </row>
    <row r="1686" spans="1:8">
      <c r="A1686" s="45">
        <v>43206</v>
      </c>
      <c r="B1686" t="s">
        <v>367</v>
      </c>
      <c r="C1686">
        <f t="shared" si="78"/>
        <v>55</v>
      </c>
      <c r="D1686">
        <v>0.19</v>
      </c>
      <c r="E1686" t="s">
        <v>336</v>
      </c>
      <c r="F1686" t="s">
        <v>527</v>
      </c>
      <c r="G1686">
        <f t="shared" si="79"/>
        <v>10.45</v>
      </c>
      <c r="H1686" t="str">
        <f t="shared" ref="H1686:H1749" si="80">IF(B1686="","",VLOOKUP(B1686,$XEY$3:$XFA$1200,3,FALSE))</f>
        <v>Dry Grocery</v>
      </c>
    </row>
    <row r="1687" spans="1:8">
      <c r="A1687" s="45">
        <v>43206</v>
      </c>
      <c r="B1687" t="s">
        <v>432</v>
      </c>
      <c r="C1687">
        <f t="shared" si="78"/>
        <v>14</v>
      </c>
      <c r="D1687">
        <v>2</v>
      </c>
      <c r="E1687" t="s">
        <v>336</v>
      </c>
      <c r="F1687" t="s">
        <v>527</v>
      </c>
      <c r="G1687">
        <f t="shared" si="79"/>
        <v>28</v>
      </c>
      <c r="H1687" t="str">
        <f t="shared" si="80"/>
        <v>Vegetable</v>
      </c>
    </row>
    <row r="1688" spans="1:8">
      <c r="A1688" s="45">
        <v>43206</v>
      </c>
      <c r="B1688" t="s">
        <v>427</v>
      </c>
      <c r="C1688">
        <f t="shared" si="78"/>
        <v>28</v>
      </c>
      <c r="D1688">
        <v>0.15</v>
      </c>
      <c r="E1688" t="s">
        <v>336</v>
      </c>
      <c r="F1688" t="s">
        <v>527</v>
      </c>
      <c r="G1688">
        <f t="shared" si="79"/>
        <v>4.2</v>
      </c>
      <c r="H1688" t="str">
        <f t="shared" si="80"/>
        <v>Vegetable</v>
      </c>
    </row>
    <row r="1689" spans="1:8">
      <c r="A1689" s="45">
        <v>43206</v>
      </c>
      <c r="B1689" t="s">
        <v>437</v>
      </c>
      <c r="C1689">
        <f t="shared" si="78"/>
        <v>34</v>
      </c>
      <c r="D1689">
        <v>0.75</v>
      </c>
      <c r="E1689" t="s">
        <v>336</v>
      </c>
      <c r="F1689" t="s">
        <v>527</v>
      </c>
      <c r="G1689">
        <f t="shared" si="79"/>
        <v>25.5</v>
      </c>
      <c r="H1689" t="str">
        <f t="shared" si="80"/>
        <v>Dry Grocery</v>
      </c>
    </row>
    <row r="1690" spans="1:8">
      <c r="A1690" s="45">
        <v>43206</v>
      </c>
      <c r="B1690" t="s">
        <v>409</v>
      </c>
      <c r="C1690">
        <f t="shared" si="78"/>
        <v>64.069999999999993</v>
      </c>
      <c r="D1690">
        <v>0.5</v>
      </c>
      <c r="E1690" t="s">
        <v>336</v>
      </c>
      <c r="F1690" t="s">
        <v>527</v>
      </c>
      <c r="G1690">
        <f t="shared" si="79"/>
        <v>32.034999999999997</v>
      </c>
      <c r="H1690" t="str">
        <f t="shared" si="80"/>
        <v>Dry Grocery</v>
      </c>
    </row>
    <row r="1691" spans="1:8">
      <c r="A1691" s="45">
        <v>43206</v>
      </c>
      <c r="B1691" t="s">
        <v>512</v>
      </c>
      <c r="C1691">
        <f t="shared" si="78"/>
        <v>170</v>
      </c>
      <c r="D1691">
        <v>0.1</v>
      </c>
      <c r="E1691" t="s">
        <v>336</v>
      </c>
      <c r="F1691" t="s">
        <v>527</v>
      </c>
      <c r="G1691">
        <f t="shared" si="79"/>
        <v>17</v>
      </c>
      <c r="H1691" t="str">
        <f t="shared" si="80"/>
        <v>Dry Grocery</v>
      </c>
    </row>
    <row r="1692" spans="1:8">
      <c r="A1692" s="45">
        <v>43206</v>
      </c>
      <c r="B1692" t="s">
        <v>462</v>
      </c>
      <c r="C1692">
        <f t="shared" si="78"/>
        <v>138</v>
      </c>
      <c r="D1692">
        <v>0.03</v>
      </c>
      <c r="E1692" t="s">
        <v>336</v>
      </c>
      <c r="F1692" t="s">
        <v>527</v>
      </c>
      <c r="G1692">
        <f t="shared" si="79"/>
        <v>4.1399999999999997</v>
      </c>
      <c r="H1692" t="str">
        <f t="shared" si="80"/>
        <v>Dry Grocery</v>
      </c>
    </row>
    <row r="1693" spans="1:8">
      <c r="A1693" s="45">
        <v>43206</v>
      </c>
      <c r="B1693" t="s">
        <v>389</v>
      </c>
      <c r="C1693">
        <f t="shared" si="78"/>
        <v>280</v>
      </c>
      <c r="D1693">
        <v>0.03</v>
      </c>
      <c r="E1693" t="s">
        <v>336</v>
      </c>
      <c r="F1693" t="s">
        <v>527</v>
      </c>
      <c r="G1693">
        <f t="shared" si="79"/>
        <v>8.4</v>
      </c>
      <c r="H1693" t="str">
        <f t="shared" si="80"/>
        <v>Dry Grocery</v>
      </c>
    </row>
    <row r="1694" spans="1:8">
      <c r="A1694" s="45">
        <v>43206</v>
      </c>
      <c r="B1694" t="s">
        <v>430</v>
      </c>
      <c r="C1694">
        <f t="shared" si="78"/>
        <v>30</v>
      </c>
      <c r="D1694">
        <v>0.2</v>
      </c>
      <c r="E1694" t="s">
        <v>336</v>
      </c>
      <c r="F1694" t="s">
        <v>527</v>
      </c>
      <c r="G1694">
        <f t="shared" si="79"/>
        <v>6</v>
      </c>
      <c r="H1694" t="str">
        <f t="shared" si="80"/>
        <v>Vegetable</v>
      </c>
    </row>
    <row r="1695" spans="1:8">
      <c r="A1695" s="45">
        <v>43206</v>
      </c>
      <c r="B1695" t="s">
        <v>466</v>
      </c>
      <c r="C1695">
        <f t="shared" si="78"/>
        <v>125</v>
      </c>
      <c r="D1695">
        <v>2.5000000000000001E-2</v>
      </c>
      <c r="E1695" t="s">
        <v>336</v>
      </c>
      <c r="F1695" t="s">
        <v>527</v>
      </c>
      <c r="G1695">
        <f t="shared" si="79"/>
        <v>3.125</v>
      </c>
      <c r="H1695" t="str">
        <f t="shared" si="80"/>
        <v>Dry Grocery</v>
      </c>
    </row>
    <row r="1696" spans="1:8">
      <c r="A1696" s="45">
        <v>43206</v>
      </c>
      <c r="B1696" t="s">
        <v>410</v>
      </c>
      <c r="C1696">
        <f t="shared" si="78"/>
        <v>76</v>
      </c>
      <c r="D1696">
        <v>4.4999999999999998E-2</v>
      </c>
      <c r="E1696" t="s">
        <v>336</v>
      </c>
      <c r="F1696" t="s">
        <v>527</v>
      </c>
      <c r="G1696">
        <f t="shared" si="79"/>
        <v>3.42</v>
      </c>
      <c r="H1696" t="str">
        <f t="shared" si="80"/>
        <v>Dry Grocery</v>
      </c>
    </row>
    <row r="1697" spans="1:8">
      <c r="A1697" s="45">
        <v>43206</v>
      </c>
      <c r="B1697" t="s">
        <v>434</v>
      </c>
      <c r="C1697">
        <f t="shared" si="78"/>
        <v>125</v>
      </c>
      <c r="D1697">
        <v>0.06</v>
      </c>
      <c r="E1697" t="s">
        <v>336</v>
      </c>
      <c r="F1697" t="s">
        <v>527</v>
      </c>
      <c r="G1697">
        <f t="shared" si="79"/>
        <v>7.5</v>
      </c>
      <c r="H1697" t="str">
        <f t="shared" si="80"/>
        <v>Vegetable</v>
      </c>
    </row>
    <row r="1698" spans="1:8">
      <c r="A1698" s="45">
        <v>43206</v>
      </c>
      <c r="B1698" t="s">
        <v>378</v>
      </c>
      <c r="C1698">
        <f t="shared" si="78"/>
        <v>25</v>
      </c>
      <c r="D1698">
        <v>0.02</v>
      </c>
      <c r="E1698" t="s">
        <v>336</v>
      </c>
      <c r="F1698" t="s">
        <v>527</v>
      </c>
      <c r="G1698">
        <f t="shared" si="79"/>
        <v>0.5</v>
      </c>
      <c r="H1698" t="str">
        <f t="shared" si="80"/>
        <v>Vegetable</v>
      </c>
    </row>
    <row r="1699" spans="1:8">
      <c r="A1699" s="45">
        <v>43206</v>
      </c>
      <c r="B1699" t="s">
        <v>479</v>
      </c>
      <c r="C1699">
        <f t="shared" si="78"/>
        <v>312.14</v>
      </c>
      <c r="D1699">
        <v>0.04</v>
      </c>
      <c r="E1699" t="s">
        <v>336</v>
      </c>
      <c r="F1699" t="s">
        <v>527</v>
      </c>
      <c r="G1699">
        <f t="shared" si="79"/>
        <v>12.4856</v>
      </c>
      <c r="H1699" t="str">
        <f t="shared" si="80"/>
        <v>Vegetable</v>
      </c>
    </row>
    <row r="1700" spans="1:8">
      <c r="A1700" s="45">
        <v>43206</v>
      </c>
      <c r="B1700" t="s">
        <v>510</v>
      </c>
      <c r="C1700">
        <f t="shared" si="78"/>
        <v>62.03</v>
      </c>
      <c r="D1700">
        <v>0.08</v>
      </c>
      <c r="E1700" t="s">
        <v>336</v>
      </c>
      <c r="F1700" t="s">
        <v>527</v>
      </c>
      <c r="G1700">
        <f t="shared" si="79"/>
        <v>4.9624000000000006</v>
      </c>
      <c r="H1700" t="str">
        <f t="shared" si="80"/>
        <v>Dry Grocery</v>
      </c>
    </row>
    <row r="1701" spans="1:8">
      <c r="A1701" s="45">
        <v>43206</v>
      </c>
      <c r="B1701" t="s">
        <v>471</v>
      </c>
      <c r="C1701">
        <f t="shared" si="78"/>
        <v>160</v>
      </c>
      <c r="D1701">
        <v>0.06</v>
      </c>
      <c r="E1701" t="s">
        <v>336</v>
      </c>
      <c r="F1701" t="s">
        <v>527</v>
      </c>
      <c r="G1701">
        <f t="shared" si="79"/>
        <v>9.6</v>
      </c>
      <c r="H1701" t="str">
        <f t="shared" si="80"/>
        <v>Dry Grocery</v>
      </c>
    </row>
    <row r="1702" spans="1:8">
      <c r="A1702" s="45">
        <v>43206</v>
      </c>
      <c r="B1702" t="s">
        <v>429</v>
      </c>
      <c r="C1702">
        <f t="shared" si="78"/>
        <v>40</v>
      </c>
      <c r="D1702">
        <v>0.1</v>
      </c>
      <c r="E1702" t="s">
        <v>336</v>
      </c>
      <c r="F1702" t="s">
        <v>527</v>
      </c>
      <c r="G1702">
        <f t="shared" si="79"/>
        <v>4</v>
      </c>
      <c r="H1702" t="str">
        <f t="shared" si="80"/>
        <v>Vegetable</v>
      </c>
    </row>
    <row r="1703" spans="1:8">
      <c r="A1703" s="45">
        <v>43206</v>
      </c>
      <c r="B1703" t="s">
        <v>461</v>
      </c>
      <c r="C1703">
        <f t="shared" si="78"/>
        <v>1450</v>
      </c>
      <c r="D1703">
        <v>0.03</v>
      </c>
      <c r="E1703" t="s">
        <v>336</v>
      </c>
      <c r="F1703" t="s">
        <v>527</v>
      </c>
      <c r="G1703">
        <f t="shared" si="79"/>
        <v>43.5</v>
      </c>
      <c r="H1703" t="str">
        <f t="shared" si="80"/>
        <v>Spice</v>
      </c>
    </row>
    <row r="1704" spans="1:8">
      <c r="A1704" s="45">
        <v>43206</v>
      </c>
      <c r="B1704" t="s">
        <v>392</v>
      </c>
      <c r="C1704">
        <f t="shared" si="78"/>
        <v>840</v>
      </c>
      <c r="D1704">
        <v>2.5000000000000001E-2</v>
      </c>
      <c r="E1704" t="s">
        <v>336</v>
      </c>
      <c r="F1704" t="s">
        <v>527</v>
      </c>
      <c r="G1704">
        <f t="shared" si="79"/>
        <v>21</v>
      </c>
      <c r="H1704" t="str">
        <f t="shared" si="80"/>
        <v>Dry Grocery</v>
      </c>
    </row>
    <row r="1705" spans="1:8">
      <c r="A1705" s="45">
        <v>43206</v>
      </c>
      <c r="B1705" t="s">
        <v>506</v>
      </c>
      <c r="C1705">
        <f t="shared" si="78"/>
        <v>240</v>
      </c>
      <c r="D1705">
        <v>2.5000000000000001E-2</v>
      </c>
      <c r="E1705" t="s">
        <v>336</v>
      </c>
      <c r="F1705" t="s">
        <v>527</v>
      </c>
      <c r="G1705">
        <f t="shared" si="79"/>
        <v>6</v>
      </c>
      <c r="H1705" t="str">
        <f t="shared" si="80"/>
        <v>Dry Grocery</v>
      </c>
    </row>
    <row r="1706" spans="1:8">
      <c r="A1706" s="45">
        <v>43206</v>
      </c>
      <c r="B1706" t="s">
        <v>467</v>
      </c>
      <c r="C1706">
        <f t="shared" si="78"/>
        <v>75</v>
      </c>
      <c r="D1706">
        <v>0.3</v>
      </c>
      <c r="E1706" t="s">
        <v>336</v>
      </c>
      <c r="F1706" t="s">
        <v>527</v>
      </c>
      <c r="G1706">
        <f t="shared" si="79"/>
        <v>22.5</v>
      </c>
      <c r="H1706" t="str">
        <f t="shared" si="80"/>
        <v>Dry Grocery</v>
      </c>
    </row>
    <row r="1707" spans="1:8">
      <c r="A1707" s="45">
        <v>43206</v>
      </c>
      <c r="B1707" t="s">
        <v>519</v>
      </c>
      <c r="C1707">
        <f t="shared" si="78"/>
        <v>35</v>
      </c>
      <c r="D1707">
        <v>1</v>
      </c>
      <c r="E1707" t="s">
        <v>336</v>
      </c>
      <c r="F1707" t="s">
        <v>527</v>
      </c>
      <c r="G1707">
        <f t="shared" si="79"/>
        <v>35</v>
      </c>
      <c r="H1707" t="str">
        <f t="shared" si="80"/>
        <v>Vegetable</v>
      </c>
    </row>
    <row r="1708" spans="1:8">
      <c r="A1708" s="45">
        <v>43206</v>
      </c>
      <c r="B1708" t="s">
        <v>405</v>
      </c>
      <c r="C1708">
        <f t="shared" si="78"/>
        <v>110</v>
      </c>
      <c r="D1708">
        <v>0.13</v>
      </c>
      <c r="E1708" t="s">
        <v>336</v>
      </c>
      <c r="F1708" t="s">
        <v>527</v>
      </c>
      <c r="G1708">
        <f t="shared" si="79"/>
        <v>14.3</v>
      </c>
      <c r="H1708" t="str">
        <f t="shared" si="80"/>
        <v>Vegetable</v>
      </c>
    </row>
    <row r="1709" spans="1:8">
      <c r="A1709" s="45">
        <v>43206</v>
      </c>
      <c r="B1709" t="s">
        <v>502</v>
      </c>
      <c r="C1709">
        <f t="shared" si="78"/>
        <v>40</v>
      </c>
      <c r="D1709">
        <v>0.1</v>
      </c>
      <c r="E1709" t="s">
        <v>336</v>
      </c>
      <c r="F1709" t="s">
        <v>527</v>
      </c>
      <c r="G1709">
        <f t="shared" si="79"/>
        <v>4</v>
      </c>
      <c r="H1709" t="str">
        <f t="shared" si="80"/>
        <v>Processed Food</v>
      </c>
    </row>
    <row r="1710" spans="1:8">
      <c r="A1710" s="45">
        <v>43206</v>
      </c>
      <c r="B1710" t="s">
        <v>432</v>
      </c>
      <c r="C1710">
        <f t="shared" si="78"/>
        <v>14</v>
      </c>
      <c r="D1710">
        <v>0.64</v>
      </c>
      <c r="E1710" t="s">
        <v>528</v>
      </c>
      <c r="F1710" t="s">
        <v>527</v>
      </c>
      <c r="G1710">
        <f t="shared" si="79"/>
        <v>8.9600000000000009</v>
      </c>
      <c r="H1710" t="str">
        <f t="shared" si="80"/>
        <v>Vegetable</v>
      </c>
    </row>
    <row r="1711" spans="1:8">
      <c r="A1711" s="45">
        <v>43206</v>
      </c>
      <c r="B1711" t="s">
        <v>476</v>
      </c>
      <c r="C1711">
        <f t="shared" si="78"/>
        <v>14.75</v>
      </c>
      <c r="D1711">
        <v>0.42</v>
      </c>
      <c r="E1711" t="s">
        <v>528</v>
      </c>
      <c r="F1711" t="s">
        <v>527</v>
      </c>
      <c r="G1711">
        <f t="shared" si="79"/>
        <v>6.1949999999999994</v>
      </c>
      <c r="H1711" t="str">
        <f t="shared" si="80"/>
        <v>Vegetable</v>
      </c>
    </row>
    <row r="1712" spans="1:8">
      <c r="A1712" s="45">
        <v>43206</v>
      </c>
      <c r="B1712" t="s">
        <v>385</v>
      </c>
      <c r="C1712">
        <f t="shared" si="78"/>
        <v>36</v>
      </c>
      <c r="D1712">
        <v>2</v>
      </c>
      <c r="E1712" t="s">
        <v>528</v>
      </c>
      <c r="F1712" t="s">
        <v>527</v>
      </c>
      <c r="G1712">
        <f t="shared" si="79"/>
        <v>72</v>
      </c>
      <c r="H1712" t="str">
        <f t="shared" si="80"/>
        <v>Dairy</v>
      </c>
    </row>
    <row r="1713" spans="1:12">
      <c r="A1713" s="45">
        <v>43206</v>
      </c>
      <c r="B1713" t="s">
        <v>382</v>
      </c>
      <c r="C1713">
        <f t="shared" si="78"/>
        <v>42</v>
      </c>
      <c r="D1713">
        <v>2</v>
      </c>
      <c r="E1713" t="s">
        <v>528</v>
      </c>
      <c r="F1713" t="s">
        <v>527</v>
      </c>
      <c r="G1713">
        <f t="shared" si="79"/>
        <v>84</v>
      </c>
      <c r="H1713" t="str">
        <f t="shared" si="80"/>
        <v>Dairy</v>
      </c>
    </row>
    <row r="1714" spans="1:12">
      <c r="A1714" s="45">
        <v>43206</v>
      </c>
      <c r="B1714" t="s">
        <v>391</v>
      </c>
      <c r="C1714">
        <f t="shared" si="78"/>
        <v>27.97</v>
      </c>
      <c r="D1714">
        <v>0.31</v>
      </c>
      <c r="E1714" t="s">
        <v>528</v>
      </c>
      <c r="F1714" t="s">
        <v>527</v>
      </c>
      <c r="G1714">
        <f t="shared" si="79"/>
        <v>8.6707000000000001</v>
      </c>
      <c r="H1714" t="str">
        <f t="shared" si="80"/>
        <v>Vegetable</v>
      </c>
    </row>
    <row r="1715" spans="1:12">
      <c r="A1715" s="45">
        <v>43206</v>
      </c>
      <c r="B1715" t="s">
        <v>378</v>
      </c>
      <c r="C1715">
        <f t="shared" si="78"/>
        <v>25</v>
      </c>
      <c r="D1715">
        <v>0.06</v>
      </c>
      <c r="E1715" t="s">
        <v>528</v>
      </c>
      <c r="F1715" t="s">
        <v>527</v>
      </c>
      <c r="G1715">
        <f t="shared" si="79"/>
        <v>1.5</v>
      </c>
      <c r="H1715" t="str">
        <f t="shared" si="80"/>
        <v>Vegetable</v>
      </c>
    </row>
    <row r="1716" spans="1:12">
      <c r="A1716" s="45">
        <v>43206</v>
      </c>
      <c r="B1716" t="s">
        <v>384</v>
      </c>
      <c r="C1716">
        <f t="shared" si="78"/>
        <v>3</v>
      </c>
      <c r="D1716">
        <v>35</v>
      </c>
      <c r="E1716" t="s">
        <v>543</v>
      </c>
      <c r="F1716" t="s">
        <v>527</v>
      </c>
      <c r="G1716">
        <f t="shared" si="79"/>
        <v>105</v>
      </c>
      <c r="H1716" t="str">
        <f t="shared" si="80"/>
        <v>Vegetable</v>
      </c>
    </row>
    <row r="1717" spans="1:12">
      <c r="A1717" s="45">
        <v>43206</v>
      </c>
      <c r="B1717" t="s">
        <v>447</v>
      </c>
      <c r="C1717">
        <f t="shared" si="78"/>
        <v>30</v>
      </c>
      <c r="D1717">
        <v>0.7</v>
      </c>
      <c r="E1717" t="s">
        <v>543</v>
      </c>
      <c r="F1717" t="s">
        <v>527</v>
      </c>
      <c r="G1717">
        <f t="shared" si="79"/>
        <v>21</v>
      </c>
      <c r="H1717" t="str">
        <f t="shared" si="80"/>
        <v>Fruits</v>
      </c>
    </row>
    <row r="1718" spans="1:12">
      <c r="A1718" s="45">
        <v>43206</v>
      </c>
      <c r="B1718" t="s">
        <v>553</v>
      </c>
      <c r="C1718">
        <f t="shared" si="78"/>
        <v>150</v>
      </c>
      <c r="D1718">
        <v>1.7</v>
      </c>
      <c r="E1718" t="s">
        <v>543</v>
      </c>
      <c r="F1718" t="s">
        <v>527</v>
      </c>
      <c r="G1718">
        <f t="shared" si="79"/>
        <v>255</v>
      </c>
      <c r="H1718" t="str">
        <f t="shared" si="80"/>
        <v>Fruits</v>
      </c>
    </row>
    <row r="1719" spans="1:12">
      <c r="A1719" s="45">
        <v>43206</v>
      </c>
      <c r="B1719" t="s">
        <v>449</v>
      </c>
      <c r="C1719">
        <f t="shared" si="78"/>
        <v>20</v>
      </c>
      <c r="D1719">
        <v>1.26</v>
      </c>
      <c r="E1719" t="s">
        <v>543</v>
      </c>
      <c r="F1719" t="s">
        <v>527</v>
      </c>
      <c r="G1719">
        <f t="shared" si="79"/>
        <v>25.2</v>
      </c>
      <c r="H1719" t="str">
        <f t="shared" si="80"/>
        <v>Fruits</v>
      </c>
    </row>
    <row r="1720" spans="1:12">
      <c r="A1720" s="45">
        <v>43206</v>
      </c>
      <c r="B1720" t="s">
        <v>430</v>
      </c>
      <c r="C1720">
        <f t="shared" si="78"/>
        <v>30</v>
      </c>
      <c r="D1720">
        <v>0.45</v>
      </c>
      <c r="E1720" t="s">
        <v>528</v>
      </c>
      <c r="F1720" t="s">
        <v>527</v>
      </c>
      <c r="G1720">
        <f t="shared" si="79"/>
        <v>13.5</v>
      </c>
      <c r="H1720" t="str">
        <f t="shared" si="80"/>
        <v>Vegetable</v>
      </c>
      <c r="L1720" t="s">
        <v>678</v>
      </c>
    </row>
    <row r="1721" spans="1:12">
      <c r="A1721" s="45">
        <v>43206</v>
      </c>
      <c r="B1721" t="s">
        <v>434</v>
      </c>
      <c r="C1721">
        <f t="shared" si="78"/>
        <v>125</v>
      </c>
      <c r="D1721">
        <v>0.3</v>
      </c>
      <c r="E1721" t="s">
        <v>528</v>
      </c>
      <c r="F1721" t="s">
        <v>527</v>
      </c>
      <c r="G1721">
        <f t="shared" si="79"/>
        <v>37.5</v>
      </c>
      <c r="H1721" t="str">
        <f t="shared" si="80"/>
        <v>Vegetable</v>
      </c>
      <c r="L1721" t="s">
        <v>678</v>
      </c>
    </row>
    <row r="1722" spans="1:12">
      <c r="A1722" s="45">
        <v>43206</v>
      </c>
      <c r="B1722" t="s">
        <v>378</v>
      </c>
      <c r="C1722">
        <f t="shared" si="78"/>
        <v>25</v>
      </c>
      <c r="D1722">
        <v>0.2</v>
      </c>
      <c r="E1722" t="s">
        <v>528</v>
      </c>
      <c r="F1722" t="s">
        <v>527</v>
      </c>
      <c r="G1722">
        <f t="shared" si="79"/>
        <v>5</v>
      </c>
      <c r="H1722" t="str">
        <f t="shared" si="80"/>
        <v>Vegetable</v>
      </c>
      <c r="L1722" t="s">
        <v>678</v>
      </c>
    </row>
    <row r="1723" spans="1:12">
      <c r="A1723" s="45">
        <v>43206</v>
      </c>
      <c r="B1723" t="s">
        <v>383</v>
      </c>
      <c r="C1723">
        <f t="shared" si="78"/>
        <v>230</v>
      </c>
      <c r="D1723">
        <v>0.05</v>
      </c>
      <c r="E1723" t="s">
        <v>528</v>
      </c>
      <c r="F1723" t="s">
        <v>527</v>
      </c>
      <c r="G1723">
        <f t="shared" si="79"/>
        <v>11.5</v>
      </c>
      <c r="H1723" t="str">
        <f t="shared" si="80"/>
        <v>Dry Grocery</v>
      </c>
      <c r="L1723" t="s">
        <v>678</v>
      </c>
    </row>
    <row r="1724" spans="1:12">
      <c r="A1724" s="45">
        <v>43206</v>
      </c>
      <c r="B1724" t="s">
        <v>429</v>
      </c>
      <c r="C1724">
        <f t="shared" ref="C1724:C1787" si="81">IF(B1724="","",VLOOKUP(B1724,$XEY$3:$XEZ$1158,2,FALSE))</f>
        <v>40</v>
      </c>
      <c r="D1724">
        <v>0.05</v>
      </c>
      <c r="E1724" t="s">
        <v>528</v>
      </c>
      <c r="F1724" t="s">
        <v>527</v>
      </c>
      <c r="G1724">
        <f t="shared" si="79"/>
        <v>2</v>
      </c>
      <c r="H1724" t="str">
        <f t="shared" si="80"/>
        <v>Vegetable</v>
      </c>
      <c r="L1724" t="s">
        <v>678</v>
      </c>
    </row>
    <row r="1725" spans="1:12">
      <c r="A1725" s="45">
        <v>43206</v>
      </c>
      <c r="B1725" t="s">
        <v>435</v>
      </c>
      <c r="C1725">
        <f t="shared" si="81"/>
        <v>17</v>
      </c>
      <c r="D1725">
        <v>0.04</v>
      </c>
      <c r="E1725" t="s">
        <v>528</v>
      </c>
      <c r="F1725" t="s">
        <v>527</v>
      </c>
      <c r="G1725">
        <f t="shared" si="79"/>
        <v>0.68</v>
      </c>
      <c r="H1725" t="str">
        <f t="shared" si="80"/>
        <v>Dry Grocery</v>
      </c>
      <c r="L1725" t="s">
        <v>678</v>
      </c>
    </row>
    <row r="1726" spans="1:12">
      <c r="A1726" s="45">
        <v>43206</v>
      </c>
      <c r="B1726" t="s">
        <v>427</v>
      </c>
      <c r="C1726">
        <f t="shared" si="81"/>
        <v>28</v>
      </c>
      <c r="D1726">
        <v>0.3</v>
      </c>
      <c r="E1726" t="s">
        <v>528</v>
      </c>
      <c r="F1726" t="s">
        <v>527</v>
      </c>
      <c r="G1726">
        <f t="shared" si="79"/>
        <v>8.4</v>
      </c>
      <c r="H1726" t="str">
        <f t="shared" si="80"/>
        <v>Vegetable</v>
      </c>
      <c r="L1726" t="s">
        <v>679</v>
      </c>
    </row>
    <row r="1727" spans="1:12">
      <c r="A1727" s="45">
        <v>43206</v>
      </c>
      <c r="B1727" t="s">
        <v>429</v>
      </c>
      <c r="C1727">
        <f t="shared" si="81"/>
        <v>40</v>
      </c>
      <c r="D1727">
        <v>0.15</v>
      </c>
      <c r="E1727" t="s">
        <v>528</v>
      </c>
      <c r="F1727" t="s">
        <v>527</v>
      </c>
      <c r="G1727">
        <f t="shared" si="79"/>
        <v>6</v>
      </c>
      <c r="H1727" t="str">
        <f t="shared" si="80"/>
        <v>Vegetable</v>
      </c>
      <c r="L1727" t="s">
        <v>679</v>
      </c>
    </row>
    <row r="1728" spans="1:12">
      <c r="A1728" s="45">
        <v>43206</v>
      </c>
      <c r="B1728" t="s">
        <v>389</v>
      </c>
      <c r="C1728">
        <f t="shared" si="81"/>
        <v>280</v>
      </c>
      <c r="D1728">
        <v>0.3</v>
      </c>
      <c r="E1728" t="s">
        <v>528</v>
      </c>
      <c r="F1728" t="s">
        <v>527</v>
      </c>
      <c r="G1728">
        <f t="shared" si="79"/>
        <v>84</v>
      </c>
      <c r="H1728" t="str">
        <f t="shared" si="80"/>
        <v>Dry Grocery</v>
      </c>
      <c r="L1728" t="s">
        <v>679</v>
      </c>
    </row>
    <row r="1729" spans="1:12">
      <c r="A1729" s="45">
        <v>43206</v>
      </c>
      <c r="B1729" t="s">
        <v>461</v>
      </c>
      <c r="C1729">
        <f t="shared" si="81"/>
        <v>1450</v>
      </c>
      <c r="D1729">
        <v>0.01</v>
      </c>
      <c r="E1729" t="s">
        <v>528</v>
      </c>
      <c r="F1729" t="s">
        <v>527</v>
      </c>
      <c r="G1729">
        <f t="shared" si="79"/>
        <v>14.5</v>
      </c>
      <c r="H1729" t="str">
        <f t="shared" si="80"/>
        <v>Spice</v>
      </c>
      <c r="L1729" t="s">
        <v>679</v>
      </c>
    </row>
    <row r="1730" spans="1:12">
      <c r="A1730" s="45">
        <v>43206</v>
      </c>
      <c r="B1730" t="s">
        <v>377</v>
      </c>
      <c r="C1730">
        <f t="shared" si="81"/>
        <v>740</v>
      </c>
      <c r="D1730">
        <v>5.0000000000000001E-3</v>
      </c>
      <c r="E1730" t="s">
        <v>528</v>
      </c>
      <c r="F1730" t="s">
        <v>527</v>
      </c>
      <c r="G1730">
        <f t="shared" si="79"/>
        <v>3.7</v>
      </c>
      <c r="H1730" t="str">
        <f t="shared" si="80"/>
        <v>Spice</v>
      </c>
      <c r="L1730" t="s">
        <v>679</v>
      </c>
    </row>
    <row r="1731" spans="1:12">
      <c r="A1731" s="45">
        <v>43206</v>
      </c>
      <c r="B1731" t="s">
        <v>376</v>
      </c>
      <c r="C1731">
        <f t="shared" si="81"/>
        <v>220</v>
      </c>
      <c r="D1731">
        <v>5.0000000000000001E-3</v>
      </c>
      <c r="E1731" t="s">
        <v>528</v>
      </c>
      <c r="F1731" t="s">
        <v>527</v>
      </c>
      <c r="G1731">
        <f t="shared" ref="G1731:G1794" si="82">IF(C1731="","",C1731*D1731)</f>
        <v>1.1000000000000001</v>
      </c>
      <c r="H1731" t="str">
        <f t="shared" si="80"/>
        <v>Spice</v>
      </c>
      <c r="L1731" t="s">
        <v>679</v>
      </c>
    </row>
    <row r="1732" spans="1:12">
      <c r="A1732" s="45">
        <v>43206</v>
      </c>
      <c r="B1732" t="s">
        <v>499</v>
      </c>
      <c r="C1732">
        <f t="shared" si="81"/>
        <v>60</v>
      </c>
      <c r="D1732">
        <v>0.15</v>
      </c>
      <c r="E1732" t="s">
        <v>528</v>
      </c>
      <c r="F1732" t="s">
        <v>527</v>
      </c>
      <c r="G1732">
        <f t="shared" si="82"/>
        <v>9</v>
      </c>
      <c r="H1732" t="str">
        <f t="shared" si="80"/>
        <v>Dry Grocery</v>
      </c>
      <c r="L1732" t="s">
        <v>679</v>
      </c>
    </row>
    <row r="1733" spans="1:12">
      <c r="A1733" s="45">
        <v>43206</v>
      </c>
      <c r="B1733" t="s">
        <v>381</v>
      </c>
      <c r="C1733">
        <f t="shared" si="81"/>
        <v>7</v>
      </c>
      <c r="D1733">
        <v>0.06</v>
      </c>
      <c r="E1733" t="s">
        <v>528</v>
      </c>
      <c r="F1733" t="s">
        <v>527</v>
      </c>
      <c r="G1733">
        <f t="shared" si="82"/>
        <v>0.42</v>
      </c>
      <c r="H1733" t="str">
        <f t="shared" si="80"/>
        <v>Dry Grocery</v>
      </c>
      <c r="L1733" t="s">
        <v>679</v>
      </c>
    </row>
    <row r="1734" spans="1:12">
      <c r="A1734" s="45">
        <v>43206</v>
      </c>
      <c r="B1734" t="s">
        <v>405</v>
      </c>
      <c r="C1734">
        <f t="shared" si="81"/>
        <v>110</v>
      </c>
      <c r="D1734">
        <v>0.23</v>
      </c>
      <c r="E1734" t="s">
        <v>528</v>
      </c>
      <c r="F1734" t="s">
        <v>527</v>
      </c>
      <c r="G1734">
        <f t="shared" si="82"/>
        <v>25.3</v>
      </c>
      <c r="H1734" t="str">
        <f t="shared" si="80"/>
        <v>Vegetable</v>
      </c>
      <c r="L1734" t="s">
        <v>679</v>
      </c>
    </row>
    <row r="1735" spans="1:12">
      <c r="A1735" s="45">
        <v>43206</v>
      </c>
      <c r="B1735" t="s">
        <v>414</v>
      </c>
      <c r="C1735">
        <f t="shared" si="81"/>
        <v>48</v>
      </c>
      <c r="D1735">
        <v>0.4</v>
      </c>
      <c r="E1735" t="s">
        <v>528</v>
      </c>
      <c r="F1735" t="s">
        <v>527</v>
      </c>
      <c r="G1735">
        <f t="shared" si="82"/>
        <v>19.200000000000003</v>
      </c>
      <c r="H1735" t="str">
        <f t="shared" si="80"/>
        <v>Dry Grocery</v>
      </c>
      <c r="L1735" t="s">
        <v>679</v>
      </c>
    </row>
    <row r="1736" spans="1:12">
      <c r="A1736" s="45">
        <v>43206</v>
      </c>
      <c r="B1736" t="s">
        <v>384</v>
      </c>
      <c r="C1736">
        <f t="shared" si="81"/>
        <v>3</v>
      </c>
      <c r="D1736">
        <v>12</v>
      </c>
      <c r="E1736" t="s">
        <v>555</v>
      </c>
      <c r="F1736" t="s">
        <v>556</v>
      </c>
      <c r="G1736">
        <f t="shared" si="82"/>
        <v>36</v>
      </c>
      <c r="H1736" t="str">
        <f t="shared" si="80"/>
        <v>Vegetable</v>
      </c>
    </row>
    <row r="1737" spans="1:12">
      <c r="A1737" s="45">
        <v>43206</v>
      </c>
      <c r="B1737" t="s">
        <v>432</v>
      </c>
      <c r="C1737">
        <f t="shared" si="81"/>
        <v>14</v>
      </c>
      <c r="D1737">
        <v>0.5</v>
      </c>
      <c r="E1737" t="s">
        <v>555</v>
      </c>
      <c r="F1737" t="s">
        <v>556</v>
      </c>
      <c r="G1737">
        <f t="shared" si="82"/>
        <v>7</v>
      </c>
      <c r="H1737" t="str">
        <f t="shared" si="80"/>
        <v>Vegetable</v>
      </c>
    </row>
    <row r="1738" spans="1:12">
      <c r="A1738" s="45">
        <v>43206</v>
      </c>
      <c r="B1738" t="s">
        <v>428</v>
      </c>
      <c r="C1738">
        <f t="shared" si="81"/>
        <v>78.95</v>
      </c>
      <c r="D1738">
        <v>2</v>
      </c>
      <c r="E1738" t="s">
        <v>336</v>
      </c>
      <c r="F1738" t="s">
        <v>527</v>
      </c>
      <c r="G1738">
        <f t="shared" si="82"/>
        <v>157.9</v>
      </c>
      <c r="H1738" t="str">
        <f t="shared" si="80"/>
        <v>Gas</v>
      </c>
    </row>
    <row r="1739" spans="1:12">
      <c r="A1739" s="45">
        <v>43206</v>
      </c>
      <c r="B1739" t="s">
        <v>428</v>
      </c>
      <c r="C1739">
        <f t="shared" si="81"/>
        <v>78.95</v>
      </c>
      <c r="D1739">
        <v>17</v>
      </c>
      <c r="E1739" t="s">
        <v>525</v>
      </c>
      <c r="F1739" t="s">
        <v>526</v>
      </c>
      <c r="G1739">
        <f t="shared" si="82"/>
        <v>1342.15</v>
      </c>
      <c r="H1739" t="str">
        <f t="shared" si="80"/>
        <v>Gas</v>
      </c>
    </row>
    <row r="1740" spans="1:12">
      <c r="A1740" s="45">
        <v>43207</v>
      </c>
      <c r="B1740" t="s">
        <v>432</v>
      </c>
      <c r="C1740">
        <f t="shared" si="81"/>
        <v>14</v>
      </c>
      <c r="D1740">
        <v>6</v>
      </c>
      <c r="E1740" t="s">
        <v>525</v>
      </c>
      <c r="F1740" t="s">
        <v>526</v>
      </c>
      <c r="G1740">
        <f t="shared" si="82"/>
        <v>84</v>
      </c>
      <c r="H1740" t="str">
        <f t="shared" si="80"/>
        <v>Vegetable</v>
      </c>
    </row>
    <row r="1741" spans="1:12">
      <c r="A1741" s="45">
        <v>43207</v>
      </c>
      <c r="B1741" t="s">
        <v>393</v>
      </c>
      <c r="C1741">
        <f t="shared" si="81"/>
        <v>26</v>
      </c>
      <c r="D1741">
        <v>9.9</v>
      </c>
      <c r="E1741" t="s">
        <v>525</v>
      </c>
      <c r="F1741" t="s">
        <v>526</v>
      </c>
      <c r="G1741">
        <f t="shared" si="82"/>
        <v>257.40000000000003</v>
      </c>
      <c r="H1741" t="str">
        <f t="shared" si="80"/>
        <v>Heating</v>
      </c>
    </row>
    <row r="1742" spans="1:12">
      <c r="A1742" s="45">
        <v>43207</v>
      </c>
      <c r="B1742" t="s">
        <v>430</v>
      </c>
      <c r="C1742">
        <f t="shared" si="81"/>
        <v>30</v>
      </c>
      <c r="D1742">
        <v>0.5</v>
      </c>
      <c r="E1742" t="s">
        <v>525</v>
      </c>
      <c r="F1742" t="s">
        <v>526</v>
      </c>
      <c r="G1742">
        <f t="shared" si="82"/>
        <v>15</v>
      </c>
      <c r="H1742" t="str">
        <f t="shared" si="80"/>
        <v>Vegetable</v>
      </c>
    </row>
    <row r="1743" spans="1:12">
      <c r="A1743" s="45">
        <v>43207</v>
      </c>
      <c r="B1743" t="s">
        <v>378</v>
      </c>
      <c r="C1743">
        <f t="shared" si="81"/>
        <v>25</v>
      </c>
      <c r="D1743">
        <v>0.55000000000000004</v>
      </c>
      <c r="E1743" t="s">
        <v>525</v>
      </c>
      <c r="F1743" t="s">
        <v>526</v>
      </c>
      <c r="G1743">
        <f t="shared" si="82"/>
        <v>13.750000000000002</v>
      </c>
      <c r="H1743" t="str">
        <f t="shared" si="80"/>
        <v>Vegetable</v>
      </c>
    </row>
    <row r="1744" spans="1:12">
      <c r="A1744" s="45">
        <v>43207</v>
      </c>
      <c r="B1744" t="s">
        <v>457</v>
      </c>
      <c r="C1744">
        <f t="shared" si="81"/>
        <v>64</v>
      </c>
      <c r="D1744">
        <v>2</v>
      </c>
      <c r="E1744" t="s">
        <v>525</v>
      </c>
      <c r="F1744" t="s">
        <v>526</v>
      </c>
      <c r="G1744">
        <f t="shared" si="82"/>
        <v>128</v>
      </c>
      <c r="H1744" t="str">
        <f t="shared" si="80"/>
        <v>Dry Grocery</v>
      </c>
    </row>
    <row r="1745" spans="1:8">
      <c r="A1745" s="45">
        <v>43207</v>
      </c>
      <c r="B1745" t="s">
        <v>391</v>
      </c>
      <c r="C1745">
        <f t="shared" si="81"/>
        <v>27.97</v>
      </c>
      <c r="D1745">
        <v>1.2</v>
      </c>
      <c r="E1745" t="s">
        <v>525</v>
      </c>
      <c r="F1745" t="s">
        <v>526</v>
      </c>
      <c r="G1745">
        <f t="shared" si="82"/>
        <v>33.564</v>
      </c>
      <c r="H1745" t="str">
        <f t="shared" si="80"/>
        <v>Vegetable</v>
      </c>
    </row>
    <row r="1746" spans="1:8">
      <c r="A1746" s="45">
        <v>43207</v>
      </c>
      <c r="B1746" t="s">
        <v>429</v>
      </c>
      <c r="C1746">
        <f t="shared" si="81"/>
        <v>40</v>
      </c>
      <c r="D1746">
        <v>0.17</v>
      </c>
      <c r="E1746" t="s">
        <v>525</v>
      </c>
      <c r="F1746" t="s">
        <v>526</v>
      </c>
      <c r="G1746">
        <f t="shared" si="82"/>
        <v>6.8000000000000007</v>
      </c>
      <c r="H1746" t="str">
        <f t="shared" si="80"/>
        <v>Vegetable</v>
      </c>
    </row>
    <row r="1747" spans="1:8">
      <c r="A1747" s="45">
        <v>43207</v>
      </c>
      <c r="B1747" t="s">
        <v>386</v>
      </c>
      <c r="C1747">
        <f t="shared" si="81"/>
        <v>82</v>
      </c>
      <c r="D1747">
        <v>4</v>
      </c>
      <c r="E1747" t="s">
        <v>525</v>
      </c>
      <c r="F1747" t="s">
        <v>526</v>
      </c>
      <c r="G1747">
        <f t="shared" si="82"/>
        <v>328</v>
      </c>
      <c r="H1747" t="str">
        <f t="shared" si="80"/>
        <v>Oil</v>
      </c>
    </row>
    <row r="1748" spans="1:8">
      <c r="A1748" s="45">
        <v>43207</v>
      </c>
      <c r="B1748" t="s">
        <v>463</v>
      </c>
      <c r="C1748">
        <f t="shared" si="81"/>
        <v>29.51</v>
      </c>
      <c r="D1748">
        <v>0.55000000000000004</v>
      </c>
      <c r="E1748" t="s">
        <v>525</v>
      </c>
      <c r="F1748" t="s">
        <v>526</v>
      </c>
      <c r="G1748">
        <f t="shared" si="82"/>
        <v>16.230500000000003</v>
      </c>
      <c r="H1748" t="str">
        <f t="shared" si="80"/>
        <v>Dry Grocery</v>
      </c>
    </row>
    <row r="1749" spans="1:8">
      <c r="A1749" s="45">
        <v>43207</v>
      </c>
      <c r="B1749" t="s">
        <v>458</v>
      </c>
      <c r="C1749">
        <f t="shared" si="81"/>
        <v>140</v>
      </c>
      <c r="D1749">
        <v>0.75</v>
      </c>
      <c r="E1749" t="s">
        <v>525</v>
      </c>
      <c r="F1749" t="s">
        <v>526</v>
      </c>
      <c r="G1749">
        <f t="shared" si="82"/>
        <v>105</v>
      </c>
      <c r="H1749" t="str">
        <f t="shared" si="80"/>
        <v>Dairy</v>
      </c>
    </row>
    <row r="1750" spans="1:8">
      <c r="A1750" s="45">
        <v>43207</v>
      </c>
      <c r="B1750" t="s">
        <v>467</v>
      </c>
      <c r="C1750">
        <f t="shared" si="81"/>
        <v>75</v>
      </c>
      <c r="D1750">
        <v>1</v>
      </c>
      <c r="E1750" t="s">
        <v>525</v>
      </c>
      <c r="F1750" t="s">
        <v>526</v>
      </c>
      <c r="G1750">
        <f t="shared" si="82"/>
        <v>75</v>
      </c>
      <c r="H1750" t="str">
        <f t="shared" ref="H1750:H1813" si="83">IF(B1750="","",VLOOKUP(B1750,$XEY$3:$XFA$1200,3,FALSE))</f>
        <v>Dry Grocery</v>
      </c>
    </row>
    <row r="1751" spans="1:8">
      <c r="A1751" s="45">
        <v>43207</v>
      </c>
      <c r="B1751" t="s">
        <v>491</v>
      </c>
      <c r="C1751">
        <f t="shared" si="81"/>
        <v>38</v>
      </c>
      <c r="D1751">
        <v>1.3</v>
      </c>
      <c r="E1751" t="s">
        <v>525</v>
      </c>
      <c r="F1751" t="s">
        <v>526</v>
      </c>
      <c r="G1751">
        <f t="shared" si="82"/>
        <v>49.4</v>
      </c>
      <c r="H1751" t="str">
        <f t="shared" si="83"/>
        <v>Vegetable</v>
      </c>
    </row>
    <row r="1752" spans="1:8">
      <c r="A1752" s="45">
        <v>43207</v>
      </c>
      <c r="B1752" t="s">
        <v>454</v>
      </c>
      <c r="C1752">
        <f t="shared" si="81"/>
        <v>43.06</v>
      </c>
      <c r="D1752">
        <v>0.25</v>
      </c>
      <c r="E1752" t="s">
        <v>525</v>
      </c>
      <c r="F1752" t="s">
        <v>526</v>
      </c>
      <c r="G1752">
        <f t="shared" si="82"/>
        <v>10.765000000000001</v>
      </c>
      <c r="H1752" t="str">
        <f t="shared" si="83"/>
        <v>Vegetable</v>
      </c>
    </row>
    <row r="1753" spans="1:8">
      <c r="A1753" s="45">
        <v>43207</v>
      </c>
      <c r="B1753" t="s">
        <v>452</v>
      </c>
      <c r="C1753">
        <f t="shared" si="81"/>
        <v>62</v>
      </c>
      <c r="D1753">
        <v>1</v>
      </c>
      <c r="E1753" t="s">
        <v>525</v>
      </c>
      <c r="F1753" t="s">
        <v>526</v>
      </c>
      <c r="G1753">
        <f t="shared" si="82"/>
        <v>62</v>
      </c>
      <c r="H1753" t="str">
        <f t="shared" si="83"/>
        <v>Dry Grocery</v>
      </c>
    </row>
    <row r="1754" spans="1:8">
      <c r="A1754" s="45">
        <v>43207</v>
      </c>
      <c r="B1754" t="s">
        <v>376</v>
      </c>
      <c r="C1754">
        <f t="shared" si="81"/>
        <v>220</v>
      </c>
      <c r="D1754">
        <v>4.0000000000000001E-3</v>
      </c>
      <c r="E1754" t="s">
        <v>525</v>
      </c>
      <c r="F1754" t="s">
        <v>526</v>
      </c>
      <c r="G1754">
        <f t="shared" si="82"/>
        <v>0.88</v>
      </c>
      <c r="H1754" t="str">
        <f t="shared" si="83"/>
        <v>Spice</v>
      </c>
    </row>
    <row r="1755" spans="1:8">
      <c r="A1755" s="45">
        <v>43207</v>
      </c>
      <c r="B1755" t="s">
        <v>377</v>
      </c>
      <c r="C1755">
        <f t="shared" si="81"/>
        <v>740</v>
      </c>
      <c r="D1755">
        <v>4.0000000000000001E-3</v>
      </c>
      <c r="E1755" t="s">
        <v>525</v>
      </c>
      <c r="F1755" t="s">
        <v>526</v>
      </c>
      <c r="G1755">
        <f t="shared" si="82"/>
        <v>2.96</v>
      </c>
      <c r="H1755" t="str">
        <f t="shared" si="83"/>
        <v>Spice</v>
      </c>
    </row>
    <row r="1756" spans="1:8">
      <c r="A1756" s="45">
        <v>43207</v>
      </c>
      <c r="B1756" t="s">
        <v>461</v>
      </c>
      <c r="C1756">
        <f t="shared" si="81"/>
        <v>1450</v>
      </c>
      <c r="D1756">
        <v>4.0000000000000001E-3</v>
      </c>
      <c r="E1756" t="s">
        <v>525</v>
      </c>
      <c r="F1756" t="s">
        <v>526</v>
      </c>
      <c r="G1756">
        <f t="shared" si="82"/>
        <v>5.8</v>
      </c>
      <c r="H1756" t="str">
        <f t="shared" si="83"/>
        <v>Spice</v>
      </c>
    </row>
    <row r="1757" spans="1:8">
      <c r="A1757" s="45">
        <v>43207</v>
      </c>
      <c r="B1757" t="s">
        <v>464</v>
      </c>
      <c r="C1757">
        <f t="shared" si="81"/>
        <v>750</v>
      </c>
      <c r="D1757">
        <v>4.0000000000000001E-3</v>
      </c>
      <c r="E1757" t="s">
        <v>525</v>
      </c>
      <c r="F1757" t="s">
        <v>526</v>
      </c>
      <c r="G1757">
        <f t="shared" si="82"/>
        <v>3</v>
      </c>
      <c r="H1757" t="str">
        <f t="shared" si="83"/>
        <v>Spice</v>
      </c>
    </row>
    <row r="1758" spans="1:8">
      <c r="A1758" s="45">
        <v>43207</v>
      </c>
      <c r="B1758" t="s">
        <v>476</v>
      </c>
      <c r="C1758">
        <f t="shared" si="81"/>
        <v>14.75</v>
      </c>
      <c r="D1758">
        <v>1.6</v>
      </c>
      <c r="E1758" t="s">
        <v>525</v>
      </c>
      <c r="F1758" t="s">
        <v>526</v>
      </c>
      <c r="G1758">
        <f t="shared" si="82"/>
        <v>23.6</v>
      </c>
      <c r="H1758" t="str">
        <f t="shared" si="83"/>
        <v>Vegetable</v>
      </c>
    </row>
    <row r="1759" spans="1:8">
      <c r="A1759" s="45">
        <v>43207</v>
      </c>
      <c r="B1759" t="s">
        <v>474</v>
      </c>
      <c r="C1759">
        <f t="shared" si="81"/>
        <v>27</v>
      </c>
      <c r="D1759">
        <v>2.5</v>
      </c>
      <c r="E1759" t="s">
        <v>525</v>
      </c>
      <c r="F1759" t="s">
        <v>526</v>
      </c>
      <c r="G1759">
        <f t="shared" si="82"/>
        <v>67.5</v>
      </c>
      <c r="H1759" t="str">
        <f t="shared" si="83"/>
        <v>Dry Grocery</v>
      </c>
    </row>
    <row r="1760" spans="1:8">
      <c r="A1760" s="45">
        <v>43207</v>
      </c>
      <c r="B1760" t="s">
        <v>384</v>
      </c>
      <c r="C1760">
        <f t="shared" si="81"/>
        <v>3</v>
      </c>
      <c r="D1760">
        <v>5</v>
      </c>
      <c r="E1760" t="s">
        <v>525</v>
      </c>
      <c r="F1760" t="s">
        <v>526</v>
      </c>
      <c r="G1760">
        <f t="shared" si="82"/>
        <v>15</v>
      </c>
      <c r="H1760" t="str">
        <f t="shared" si="83"/>
        <v>Vegetable</v>
      </c>
    </row>
    <row r="1761" spans="1:8">
      <c r="A1761" s="45">
        <v>43207</v>
      </c>
      <c r="B1761" t="s">
        <v>375</v>
      </c>
      <c r="C1761">
        <f t="shared" si="81"/>
        <v>280</v>
      </c>
      <c r="D1761">
        <v>0.08</v>
      </c>
      <c r="E1761" t="s">
        <v>525</v>
      </c>
      <c r="F1761" t="s">
        <v>526</v>
      </c>
      <c r="G1761">
        <f t="shared" si="82"/>
        <v>22.400000000000002</v>
      </c>
      <c r="H1761" t="str">
        <f t="shared" si="83"/>
        <v>Dry Grocery</v>
      </c>
    </row>
    <row r="1762" spans="1:8">
      <c r="A1762" s="45">
        <v>43207</v>
      </c>
      <c r="B1762" t="s">
        <v>426</v>
      </c>
      <c r="C1762">
        <f t="shared" si="81"/>
        <v>57.5</v>
      </c>
      <c r="D1762">
        <v>0.06</v>
      </c>
      <c r="E1762" t="s">
        <v>525</v>
      </c>
      <c r="F1762" t="s">
        <v>526</v>
      </c>
      <c r="G1762">
        <f t="shared" si="82"/>
        <v>3.4499999999999997</v>
      </c>
      <c r="H1762" t="str">
        <f t="shared" si="83"/>
        <v>Dry Grocery</v>
      </c>
    </row>
    <row r="1763" spans="1:8">
      <c r="A1763" s="45">
        <v>43207</v>
      </c>
      <c r="B1763" t="s">
        <v>387</v>
      </c>
      <c r="C1763">
        <f t="shared" si="81"/>
        <v>187.41</v>
      </c>
      <c r="D1763">
        <v>2.5000000000000001E-2</v>
      </c>
      <c r="E1763" t="s">
        <v>525</v>
      </c>
      <c r="F1763" t="s">
        <v>526</v>
      </c>
      <c r="G1763">
        <f t="shared" si="82"/>
        <v>4.6852499999999999</v>
      </c>
      <c r="H1763" t="str">
        <f t="shared" si="83"/>
        <v>Dry Grocery</v>
      </c>
    </row>
    <row r="1764" spans="1:8">
      <c r="A1764" s="45">
        <v>43207</v>
      </c>
      <c r="B1764" t="s">
        <v>482</v>
      </c>
      <c r="C1764">
        <f t="shared" si="81"/>
        <v>48</v>
      </c>
      <c r="D1764">
        <v>0.01</v>
      </c>
      <c r="E1764" t="s">
        <v>525</v>
      </c>
      <c r="F1764" t="s">
        <v>526</v>
      </c>
      <c r="G1764">
        <f t="shared" si="82"/>
        <v>0.48</v>
      </c>
      <c r="H1764" t="str">
        <f t="shared" si="83"/>
        <v>Dry Grocery</v>
      </c>
    </row>
    <row r="1765" spans="1:8">
      <c r="A1765" s="45">
        <v>43207</v>
      </c>
      <c r="B1765" t="s">
        <v>435</v>
      </c>
      <c r="C1765">
        <f t="shared" si="81"/>
        <v>17</v>
      </c>
      <c r="D1765">
        <v>0.4</v>
      </c>
      <c r="E1765" t="s">
        <v>525</v>
      </c>
      <c r="F1765" t="s">
        <v>526</v>
      </c>
      <c r="G1765">
        <f t="shared" si="82"/>
        <v>6.8000000000000007</v>
      </c>
      <c r="H1765" t="str">
        <f t="shared" si="83"/>
        <v>Dry Grocery</v>
      </c>
    </row>
    <row r="1766" spans="1:8">
      <c r="A1766" s="45">
        <v>43207</v>
      </c>
      <c r="B1766" t="s">
        <v>455</v>
      </c>
      <c r="C1766">
        <f t="shared" si="81"/>
        <v>380</v>
      </c>
      <c r="D1766">
        <v>0.01</v>
      </c>
      <c r="E1766" t="s">
        <v>525</v>
      </c>
      <c r="F1766" t="s">
        <v>526</v>
      </c>
      <c r="G1766">
        <f t="shared" si="82"/>
        <v>3.8000000000000003</v>
      </c>
      <c r="H1766" t="str">
        <f t="shared" si="83"/>
        <v>Dry Grocery</v>
      </c>
    </row>
    <row r="1767" spans="1:8">
      <c r="A1767" s="45">
        <v>43207</v>
      </c>
      <c r="B1767" t="s">
        <v>478</v>
      </c>
      <c r="C1767">
        <f t="shared" ref="C1767:C1786" si="84">IF(B1767="","",VLOOKUP(B1767,$XEY$3:$XEZ$1158,2,FALSE))</f>
        <v>180</v>
      </c>
      <c r="D1767">
        <v>0.16</v>
      </c>
      <c r="E1767" t="s">
        <v>525</v>
      </c>
      <c r="F1767" t="s">
        <v>526</v>
      </c>
      <c r="G1767">
        <f t="shared" si="82"/>
        <v>28.8</v>
      </c>
      <c r="H1767" t="str">
        <f t="shared" si="83"/>
        <v>Dry Grocery</v>
      </c>
    </row>
    <row r="1768" spans="1:8">
      <c r="A1768" s="45">
        <v>43207</v>
      </c>
      <c r="B1768" t="s">
        <v>475</v>
      </c>
      <c r="C1768">
        <f t="shared" si="84"/>
        <v>148</v>
      </c>
      <c r="D1768">
        <v>0.15</v>
      </c>
      <c r="E1768" t="s">
        <v>525</v>
      </c>
      <c r="F1768" t="s">
        <v>526</v>
      </c>
      <c r="G1768">
        <f t="shared" si="82"/>
        <v>22.2</v>
      </c>
      <c r="H1768" t="str">
        <f t="shared" si="83"/>
        <v>Dry Grocery</v>
      </c>
    </row>
    <row r="1769" spans="1:8">
      <c r="A1769" s="45">
        <v>43207</v>
      </c>
      <c r="B1769" t="s">
        <v>518</v>
      </c>
      <c r="C1769">
        <f t="shared" si="84"/>
        <v>24</v>
      </c>
      <c r="D1769">
        <v>0.1</v>
      </c>
      <c r="E1769" t="s">
        <v>525</v>
      </c>
      <c r="F1769" t="s">
        <v>526</v>
      </c>
      <c r="G1769">
        <f t="shared" si="82"/>
        <v>2.4000000000000004</v>
      </c>
      <c r="H1769" t="str">
        <f t="shared" si="83"/>
        <v>Dry Grocery</v>
      </c>
    </row>
    <row r="1770" spans="1:8">
      <c r="A1770" s="45">
        <v>43207</v>
      </c>
      <c r="B1770" t="s">
        <v>372</v>
      </c>
      <c r="C1770">
        <f t="shared" si="84"/>
        <v>33</v>
      </c>
      <c r="D1770">
        <v>0.1</v>
      </c>
      <c r="E1770" t="s">
        <v>525</v>
      </c>
      <c r="F1770" t="s">
        <v>526</v>
      </c>
      <c r="G1770">
        <f t="shared" si="82"/>
        <v>3.3000000000000003</v>
      </c>
      <c r="H1770" t="str">
        <f t="shared" si="83"/>
        <v>Sauce</v>
      </c>
    </row>
    <row r="1771" spans="1:8">
      <c r="A1771" s="45">
        <v>43207</v>
      </c>
      <c r="B1771" t="s">
        <v>400</v>
      </c>
      <c r="C1771">
        <f t="shared" si="84"/>
        <v>135</v>
      </c>
      <c r="D1771">
        <v>0.01</v>
      </c>
      <c r="E1771" t="s">
        <v>525</v>
      </c>
      <c r="F1771" t="s">
        <v>526</v>
      </c>
      <c r="G1771">
        <f t="shared" si="82"/>
        <v>1.35</v>
      </c>
      <c r="H1771" t="str">
        <f t="shared" si="83"/>
        <v>Oil</v>
      </c>
    </row>
    <row r="1772" spans="1:8">
      <c r="A1772" s="45">
        <v>43207</v>
      </c>
      <c r="B1772" t="s">
        <v>397</v>
      </c>
      <c r="C1772">
        <f t="shared" si="84"/>
        <v>75</v>
      </c>
      <c r="D1772">
        <v>0.35</v>
      </c>
      <c r="E1772" t="s">
        <v>525</v>
      </c>
      <c r="F1772" t="s">
        <v>526</v>
      </c>
      <c r="G1772">
        <f t="shared" si="82"/>
        <v>26.25</v>
      </c>
      <c r="H1772" t="str">
        <f t="shared" si="83"/>
        <v>Sauce</v>
      </c>
    </row>
    <row r="1773" spans="1:8">
      <c r="A1773" s="45">
        <v>43207</v>
      </c>
      <c r="B1773" t="s">
        <v>379</v>
      </c>
      <c r="C1773">
        <f t="shared" si="84"/>
        <v>120</v>
      </c>
      <c r="D1773">
        <v>0.04</v>
      </c>
      <c r="E1773" t="s">
        <v>525</v>
      </c>
      <c r="F1773" t="s">
        <v>526</v>
      </c>
      <c r="G1773">
        <f t="shared" si="82"/>
        <v>4.8</v>
      </c>
      <c r="H1773" t="str">
        <f t="shared" si="83"/>
        <v>Dry Grocery</v>
      </c>
    </row>
    <row r="1774" spans="1:8">
      <c r="A1774" s="45">
        <v>43207</v>
      </c>
      <c r="B1774" t="s">
        <v>561</v>
      </c>
      <c r="C1774">
        <f t="shared" si="84"/>
        <v>0</v>
      </c>
      <c r="D1774">
        <v>0.9</v>
      </c>
      <c r="E1774" t="s">
        <v>525</v>
      </c>
      <c r="F1774" t="s">
        <v>526</v>
      </c>
      <c r="G1774">
        <f t="shared" si="82"/>
        <v>0</v>
      </c>
      <c r="H1774" t="str">
        <f t="shared" si="83"/>
        <v>SemiFinished_Prod</v>
      </c>
    </row>
    <row r="1775" spans="1:8">
      <c r="A1775" s="45">
        <v>43207</v>
      </c>
      <c r="B1775" t="s">
        <v>485</v>
      </c>
      <c r="C1775">
        <f t="shared" si="84"/>
        <v>96</v>
      </c>
      <c r="D1775">
        <v>0.15</v>
      </c>
      <c r="E1775" t="s">
        <v>525</v>
      </c>
      <c r="F1775" t="s">
        <v>526</v>
      </c>
      <c r="G1775">
        <f t="shared" si="82"/>
        <v>14.399999999999999</v>
      </c>
      <c r="H1775" t="str">
        <f t="shared" si="83"/>
        <v>Oil</v>
      </c>
    </row>
    <row r="1776" spans="1:8">
      <c r="A1776" s="45">
        <v>43207</v>
      </c>
      <c r="B1776" t="s">
        <v>675</v>
      </c>
      <c r="C1776">
        <f t="shared" si="84"/>
        <v>0</v>
      </c>
      <c r="D1776">
        <v>0.9</v>
      </c>
      <c r="E1776" t="s">
        <v>525</v>
      </c>
      <c r="F1776" t="s">
        <v>526</v>
      </c>
      <c r="G1776">
        <f t="shared" si="82"/>
        <v>0</v>
      </c>
      <c r="H1776" t="str">
        <f t="shared" si="83"/>
        <v>SemiFinished_Prod</v>
      </c>
    </row>
    <row r="1777" spans="1:12">
      <c r="A1777" s="45">
        <v>43207</v>
      </c>
      <c r="B1777" t="s">
        <v>398</v>
      </c>
      <c r="C1777">
        <f t="shared" si="84"/>
        <v>51</v>
      </c>
      <c r="D1777">
        <v>8.5000000000000006E-2</v>
      </c>
      <c r="E1777" t="s">
        <v>525</v>
      </c>
      <c r="F1777" t="s">
        <v>526</v>
      </c>
      <c r="G1777">
        <f t="shared" si="82"/>
        <v>4.335</v>
      </c>
      <c r="H1777" t="str">
        <f t="shared" si="83"/>
        <v>Dry Grocery</v>
      </c>
    </row>
    <row r="1778" spans="1:12">
      <c r="A1778" s="45">
        <v>43207</v>
      </c>
      <c r="B1778" t="s">
        <v>490</v>
      </c>
      <c r="C1778">
        <f t="shared" si="84"/>
        <v>100</v>
      </c>
      <c r="D1778">
        <v>0.25</v>
      </c>
      <c r="E1778" t="s">
        <v>525</v>
      </c>
      <c r="F1778" t="s">
        <v>526</v>
      </c>
      <c r="G1778">
        <f t="shared" si="82"/>
        <v>25</v>
      </c>
      <c r="H1778" t="str">
        <f t="shared" si="83"/>
        <v>Processed Food</v>
      </c>
    </row>
    <row r="1779" spans="1:12">
      <c r="A1779" s="45">
        <v>43207</v>
      </c>
      <c r="B1779" t="s">
        <v>451</v>
      </c>
      <c r="C1779">
        <f t="shared" si="84"/>
        <v>60</v>
      </c>
      <c r="D1779">
        <v>0.2</v>
      </c>
      <c r="E1779" t="s">
        <v>525</v>
      </c>
      <c r="F1779" t="s">
        <v>526</v>
      </c>
      <c r="G1779">
        <f t="shared" si="82"/>
        <v>12</v>
      </c>
      <c r="H1779" t="str">
        <f t="shared" si="83"/>
        <v>Vegetable</v>
      </c>
    </row>
    <row r="1780" spans="1:12">
      <c r="A1780" s="45">
        <v>43207</v>
      </c>
      <c r="B1780" t="s">
        <v>401</v>
      </c>
      <c r="C1780">
        <f t="shared" si="84"/>
        <v>33</v>
      </c>
      <c r="D1780">
        <v>0.1</v>
      </c>
      <c r="E1780" t="s">
        <v>525</v>
      </c>
      <c r="F1780" t="s">
        <v>526</v>
      </c>
      <c r="G1780">
        <f t="shared" si="82"/>
        <v>3.3000000000000003</v>
      </c>
      <c r="H1780" t="str">
        <f t="shared" si="83"/>
        <v>Canned Food</v>
      </c>
    </row>
    <row r="1781" spans="1:12">
      <c r="A1781" s="45">
        <v>43207</v>
      </c>
      <c r="B1781" t="s">
        <v>473</v>
      </c>
      <c r="C1781">
        <f t="shared" si="84"/>
        <v>175</v>
      </c>
      <c r="D1781">
        <v>1</v>
      </c>
      <c r="E1781" t="s">
        <v>525</v>
      </c>
      <c r="F1781" t="s">
        <v>526</v>
      </c>
      <c r="G1781">
        <f t="shared" si="82"/>
        <v>175</v>
      </c>
      <c r="H1781" t="str">
        <f t="shared" si="83"/>
        <v>Dairy</v>
      </c>
    </row>
    <row r="1782" spans="1:12">
      <c r="A1782" s="45">
        <v>43207</v>
      </c>
      <c r="B1782" t="s">
        <v>468</v>
      </c>
      <c r="C1782">
        <f t="shared" si="84"/>
        <v>32</v>
      </c>
      <c r="D1782">
        <v>4</v>
      </c>
      <c r="E1782" t="s">
        <v>525</v>
      </c>
      <c r="F1782" t="s">
        <v>526</v>
      </c>
      <c r="G1782">
        <f t="shared" si="82"/>
        <v>128</v>
      </c>
      <c r="H1782" t="str">
        <f t="shared" si="83"/>
        <v>Vegetable</v>
      </c>
    </row>
    <row r="1783" spans="1:12">
      <c r="A1783" s="45">
        <v>43207</v>
      </c>
      <c r="B1783" t="s">
        <v>434</v>
      </c>
      <c r="C1783">
        <f t="shared" si="84"/>
        <v>125</v>
      </c>
      <c r="D1783">
        <v>0.12</v>
      </c>
      <c r="E1783" t="s">
        <v>525</v>
      </c>
      <c r="F1783" t="s">
        <v>526</v>
      </c>
      <c r="G1783">
        <f t="shared" si="82"/>
        <v>15</v>
      </c>
      <c r="H1783" t="str">
        <f t="shared" si="83"/>
        <v>Vegetable</v>
      </c>
    </row>
    <row r="1784" spans="1:12">
      <c r="A1784" s="45">
        <v>43207</v>
      </c>
      <c r="B1784" t="s">
        <v>382</v>
      </c>
      <c r="C1784">
        <f t="shared" si="84"/>
        <v>42</v>
      </c>
      <c r="D1784">
        <v>0.5</v>
      </c>
      <c r="E1784" t="s">
        <v>525</v>
      </c>
      <c r="F1784" t="s">
        <v>526</v>
      </c>
      <c r="G1784">
        <f t="shared" si="82"/>
        <v>21</v>
      </c>
      <c r="H1784" t="str">
        <f t="shared" si="83"/>
        <v>Dairy</v>
      </c>
    </row>
    <row r="1785" spans="1:12">
      <c r="A1785" s="45">
        <v>43207</v>
      </c>
      <c r="B1785" t="s">
        <v>428</v>
      </c>
      <c r="C1785">
        <f t="shared" si="84"/>
        <v>78.95</v>
      </c>
      <c r="D1785">
        <v>2</v>
      </c>
      <c r="E1785" t="s">
        <v>336</v>
      </c>
      <c r="F1785" t="s">
        <v>527</v>
      </c>
      <c r="G1785">
        <f t="shared" si="82"/>
        <v>157.9</v>
      </c>
      <c r="H1785" t="str">
        <f t="shared" si="83"/>
        <v>Gas</v>
      </c>
    </row>
    <row r="1786" spans="1:12">
      <c r="A1786" s="45">
        <v>43207</v>
      </c>
      <c r="B1786" t="s">
        <v>428</v>
      </c>
      <c r="C1786">
        <f t="shared" si="84"/>
        <v>78.95</v>
      </c>
      <c r="D1786">
        <v>17</v>
      </c>
      <c r="E1786" t="s">
        <v>525</v>
      </c>
      <c r="F1786" t="s">
        <v>526</v>
      </c>
      <c r="G1786">
        <f t="shared" si="82"/>
        <v>1342.15</v>
      </c>
      <c r="H1786" t="str">
        <f t="shared" si="83"/>
        <v>Gas</v>
      </c>
    </row>
    <row r="1787" spans="1:12">
      <c r="A1787" s="45">
        <v>43207</v>
      </c>
      <c r="B1787" t="s">
        <v>385</v>
      </c>
      <c r="C1787">
        <f t="shared" si="81"/>
        <v>36</v>
      </c>
      <c r="D1787">
        <v>5.5</v>
      </c>
      <c r="E1787" t="s">
        <v>542</v>
      </c>
      <c r="F1787" t="s">
        <v>554</v>
      </c>
      <c r="G1787">
        <f t="shared" si="82"/>
        <v>198</v>
      </c>
      <c r="H1787" t="str">
        <f t="shared" si="83"/>
        <v>Dairy</v>
      </c>
    </row>
    <row r="1788" spans="1:12">
      <c r="A1788" s="45">
        <v>43207</v>
      </c>
      <c r="B1788" t="s">
        <v>436</v>
      </c>
      <c r="C1788">
        <f t="shared" ref="C1788:C1851" si="85">IF(B1788="","",VLOOKUP(B1788,$XEY$3:$XEZ$1158,2,FALSE))</f>
        <v>37</v>
      </c>
      <c r="D1788">
        <v>0.6</v>
      </c>
      <c r="E1788" t="s">
        <v>542</v>
      </c>
      <c r="F1788" t="s">
        <v>554</v>
      </c>
      <c r="G1788">
        <f t="shared" si="82"/>
        <v>22.2</v>
      </c>
      <c r="H1788" t="str">
        <f t="shared" si="83"/>
        <v>Dry Grocery</v>
      </c>
    </row>
    <row r="1789" spans="1:12">
      <c r="A1789" s="45">
        <v>43207</v>
      </c>
      <c r="B1789" t="s">
        <v>382</v>
      </c>
      <c r="C1789">
        <f t="shared" si="85"/>
        <v>42</v>
      </c>
      <c r="D1789">
        <v>1.5</v>
      </c>
      <c r="E1789" t="s">
        <v>525</v>
      </c>
      <c r="F1789" t="s">
        <v>526</v>
      </c>
      <c r="G1789">
        <f t="shared" si="82"/>
        <v>63</v>
      </c>
      <c r="H1789" t="str">
        <f t="shared" si="83"/>
        <v>Dairy</v>
      </c>
      <c r="L1789" t="s">
        <v>625</v>
      </c>
    </row>
    <row r="1790" spans="1:12">
      <c r="A1790" s="45">
        <v>43207</v>
      </c>
      <c r="B1790" t="s">
        <v>385</v>
      </c>
      <c r="C1790">
        <f t="shared" si="85"/>
        <v>36</v>
      </c>
      <c r="D1790">
        <v>0.5</v>
      </c>
      <c r="E1790" t="s">
        <v>525</v>
      </c>
      <c r="F1790" t="s">
        <v>526</v>
      </c>
      <c r="G1790">
        <f t="shared" si="82"/>
        <v>18</v>
      </c>
      <c r="H1790" t="str">
        <f t="shared" si="83"/>
        <v>Dairy</v>
      </c>
      <c r="L1790" t="s">
        <v>624</v>
      </c>
    </row>
    <row r="1791" spans="1:12">
      <c r="A1791" s="45">
        <v>43207</v>
      </c>
      <c r="B1791" t="s">
        <v>445</v>
      </c>
      <c r="C1791">
        <f t="shared" si="85"/>
        <v>20</v>
      </c>
      <c r="D1791">
        <v>0.56999999999999995</v>
      </c>
      <c r="E1791" t="s">
        <v>543</v>
      </c>
      <c r="F1791" t="s">
        <v>527</v>
      </c>
      <c r="G1791">
        <f t="shared" si="82"/>
        <v>11.399999999999999</v>
      </c>
      <c r="H1791" t="str">
        <f t="shared" si="83"/>
        <v>Fruits</v>
      </c>
    </row>
    <row r="1792" spans="1:12">
      <c r="A1792" s="45">
        <v>43207</v>
      </c>
      <c r="B1792" t="s">
        <v>681</v>
      </c>
      <c r="C1792">
        <f t="shared" si="85"/>
        <v>0</v>
      </c>
      <c r="D1792">
        <v>1</v>
      </c>
      <c r="E1792" t="s">
        <v>543</v>
      </c>
      <c r="F1792" t="s">
        <v>527</v>
      </c>
      <c r="G1792">
        <f t="shared" si="82"/>
        <v>0</v>
      </c>
      <c r="H1792" t="str">
        <f t="shared" si="83"/>
        <v>Fruits</v>
      </c>
    </row>
    <row r="1793" spans="1:8">
      <c r="A1793" s="45">
        <v>43207</v>
      </c>
      <c r="B1793" t="s">
        <v>622</v>
      </c>
      <c r="C1793">
        <f t="shared" si="85"/>
        <v>130</v>
      </c>
      <c r="D1793">
        <v>1</v>
      </c>
      <c r="E1793" t="s">
        <v>543</v>
      </c>
      <c r="F1793" t="s">
        <v>527</v>
      </c>
      <c r="G1793">
        <f t="shared" si="82"/>
        <v>130</v>
      </c>
      <c r="H1793" t="str">
        <f t="shared" si="83"/>
        <v>Fruits</v>
      </c>
    </row>
    <row r="1794" spans="1:8">
      <c r="A1794" s="45">
        <v>43207</v>
      </c>
      <c r="B1794" t="s">
        <v>552</v>
      </c>
      <c r="C1794">
        <f t="shared" si="85"/>
        <v>40</v>
      </c>
      <c r="D1794">
        <v>2</v>
      </c>
      <c r="E1794" t="s">
        <v>543</v>
      </c>
      <c r="F1794" t="s">
        <v>527</v>
      </c>
      <c r="G1794">
        <f t="shared" si="82"/>
        <v>80</v>
      </c>
      <c r="H1794" t="str">
        <f t="shared" si="83"/>
        <v>Fruits</v>
      </c>
    </row>
    <row r="1795" spans="1:8">
      <c r="A1795" s="45">
        <v>43207</v>
      </c>
      <c r="B1795" t="s">
        <v>553</v>
      </c>
      <c r="C1795">
        <f t="shared" si="85"/>
        <v>150</v>
      </c>
      <c r="D1795">
        <v>2</v>
      </c>
      <c r="E1795" t="s">
        <v>543</v>
      </c>
      <c r="F1795" t="s">
        <v>527</v>
      </c>
      <c r="G1795">
        <f t="shared" ref="G1795:G1858" si="86">IF(C1795="","",C1795*D1795)</f>
        <v>300</v>
      </c>
      <c r="H1795" t="str">
        <f t="shared" si="83"/>
        <v>Fruits</v>
      </c>
    </row>
    <row r="1796" spans="1:8">
      <c r="A1796" s="45">
        <v>43207</v>
      </c>
      <c r="B1796" t="s">
        <v>382</v>
      </c>
      <c r="C1796">
        <f t="shared" si="85"/>
        <v>42</v>
      </c>
      <c r="D1796">
        <v>1.5</v>
      </c>
      <c r="E1796" t="s">
        <v>543</v>
      </c>
      <c r="F1796" t="s">
        <v>527</v>
      </c>
      <c r="G1796">
        <f t="shared" si="86"/>
        <v>63</v>
      </c>
      <c r="H1796" t="str">
        <f t="shared" si="83"/>
        <v>Dairy</v>
      </c>
    </row>
    <row r="1797" spans="1:8">
      <c r="A1797" s="45">
        <v>43207</v>
      </c>
      <c r="B1797" t="s">
        <v>385</v>
      </c>
      <c r="C1797">
        <f t="shared" si="85"/>
        <v>36</v>
      </c>
      <c r="D1797">
        <v>2.5</v>
      </c>
      <c r="E1797" t="s">
        <v>543</v>
      </c>
      <c r="F1797" t="s">
        <v>527</v>
      </c>
      <c r="G1797">
        <f t="shared" si="86"/>
        <v>90</v>
      </c>
      <c r="H1797" t="str">
        <f t="shared" si="83"/>
        <v>Dairy</v>
      </c>
    </row>
    <row r="1798" spans="1:8">
      <c r="A1798" s="45">
        <v>43207</v>
      </c>
      <c r="B1798" t="s">
        <v>447</v>
      </c>
      <c r="C1798">
        <f t="shared" si="85"/>
        <v>30</v>
      </c>
      <c r="D1798">
        <v>0.35</v>
      </c>
      <c r="E1798" t="s">
        <v>543</v>
      </c>
      <c r="F1798" t="s">
        <v>527</v>
      </c>
      <c r="G1798">
        <f t="shared" si="86"/>
        <v>10.5</v>
      </c>
      <c r="H1798" t="str">
        <f t="shared" si="83"/>
        <v>Fruits</v>
      </c>
    </row>
    <row r="1799" spans="1:8">
      <c r="A1799" s="45">
        <v>43207</v>
      </c>
      <c r="B1799" t="s">
        <v>432</v>
      </c>
      <c r="C1799">
        <f t="shared" si="85"/>
        <v>14</v>
      </c>
      <c r="D1799">
        <v>0.6</v>
      </c>
      <c r="E1799" t="s">
        <v>528</v>
      </c>
      <c r="F1799" t="s">
        <v>527</v>
      </c>
      <c r="G1799">
        <f t="shared" si="86"/>
        <v>8.4</v>
      </c>
      <c r="H1799" t="str">
        <f t="shared" si="83"/>
        <v>Vegetable</v>
      </c>
    </row>
    <row r="1800" spans="1:8">
      <c r="A1800" s="45">
        <v>43207</v>
      </c>
      <c r="B1800" t="s">
        <v>476</v>
      </c>
      <c r="C1800">
        <f t="shared" si="85"/>
        <v>14.75</v>
      </c>
      <c r="D1800">
        <v>0.43</v>
      </c>
      <c r="E1800" t="s">
        <v>528</v>
      </c>
      <c r="F1800" t="s">
        <v>527</v>
      </c>
      <c r="G1800">
        <f t="shared" si="86"/>
        <v>6.3425000000000002</v>
      </c>
      <c r="H1800" t="str">
        <f t="shared" si="83"/>
        <v>Vegetable</v>
      </c>
    </row>
    <row r="1801" spans="1:8">
      <c r="A1801" s="45">
        <v>43207</v>
      </c>
      <c r="B1801" t="s">
        <v>391</v>
      </c>
      <c r="C1801">
        <f t="shared" si="85"/>
        <v>27.97</v>
      </c>
      <c r="D1801">
        <v>0.30499999999999999</v>
      </c>
      <c r="E1801" t="s">
        <v>528</v>
      </c>
      <c r="F1801" t="s">
        <v>527</v>
      </c>
      <c r="G1801">
        <f t="shared" si="86"/>
        <v>8.5308499999999992</v>
      </c>
      <c r="H1801" t="str">
        <f t="shared" si="83"/>
        <v>Vegetable</v>
      </c>
    </row>
    <row r="1802" spans="1:8">
      <c r="A1802" s="45">
        <v>43207</v>
      </c>
      <c r="B1802" t="s">
        <v>378</v>
      </c>
      <c r="C1802">
        <f t="shared" si="85"/>
        <v>25</v>
      </c>
      <c r="D1802">
        <v>0.08</v>
      </c>
      <c r="E1802" t="s">
        <v>528</v>
      </c>
      <c r="F1802" t="s">
        <v>527</v>
      </c>
      <c r="G1802">
        <f t="shared" si="86"/>
        <v>2</v>
      </c>
      <c r="H1802" t="str">
        <f t="shared" si="83"/>
        <v>Vegetable</v>
      </c>
    </row>
    <row r="1803" spans="1:8">
      <c r="A1803" s="45">
        <v>43207</v>
      </c>
      <c r="B1803" t="s">
        <v>414</v>
      </c>
      <c r="C1803">
        <f t="shared" si="85"/>
        <v>48</v>
      </c>
      <c r="D1803">
        <v>0.4</v>
      </c>
      <c r="E1803" t="s">
        <v>528</v>
      </c>
      <c r="F1803" t="s">
        <v>527</v>
      </c>
      <c r="G1803">
        <f t="shared" si="86"/>
        <v>19.200000000000003</v>
      </c>
      <c r="H1803" t="str">
        <f t="shared" si="83"/>
        <v>Dry Grocery</v>
      </c>
    </row>
    <row r="1804" spans="1:8">
      <c r="A1804" s="45">
        <v>43207</v>
      </c>
      <c r="B1804" t="s">
        <v>403</v>
      </c>
      <c r="C1804">
        <f t="shared" si="85"/>
        <v>34</v>
      </c>
      <c r="D1804">
        <v>0.5</v>
      </c>
      <c r="E1804" t="s">
        <v>336</v>
      </c>
      <c r="F1804" t="s">
        <v>527</v>
      </c>
      <c r="G1804">
        <f t="shared" si="86"/>
        <v>17</v>
      </c>
      <c r="H1804" t="str">
        <f t="shared" si="83"/>
        <v>Dry Grocery</v>
      </c>
    </row>
    <row r="1805" spans="1:8">
      <c r="A1805" s="45">
        <v>43207</v>
      </c>
      <c r="B1805" t="s">
        <v>382</v>
      </c>
      <c r="C1805">
        <f t="shared" si="85"/>
        <v>42</v>
      </c>
      <c r="D1805">
        <v>1.5</v>
      </c>
      <c r="E1805" t="s">
        <v>336</v>
      </c>
      <c r="F1805" t="s">
        <v>527</v>
      </c>
      <c r="G1805">
        <f t="shared" si="86"/>
        <v>63</v>
      </c>
      <c r="H1805" t="str">
        <f t="shared" si="83"/>
        <v>Dairy</v>
      </c>
    </row>
    <row r="1806" spans="1:8">
      <c r="A1806" s="45">
        <v>43207</v>
      </c>
      <c r="B1806" t="s">
        <v>404</v>
      </c>
      <c r="C1806">
        <f t="shared" si="85"/>
        <v>28</v>
      </c>
      <c r="D1806">
        <v>3</v>
      </c>
      <c r="E1806" t="s">
        <v>336</v>
      </c>
      <c r="F1806" t="s">
        <v>527</v>
      </c>
      <c r="G1806">
        <f t="shared" si="86"/>
        <v>84</v>
      </c>
      <c r="H1806" t="str">
        <f t="shared" si="83"/>
        <v>Vegetable</v>
      </c>
    </row>
    <row r="1807" spans="1:8">
      <c r="A1807" s="45">
        <v>43207</v>
      </c>
      <c r="B1807" t="s">
        <v>511</v>
      </c>
      <c r="C1807">
        <f t="shared" si="85"/>
        <v>52</v>
      </c>
      <c r="D1807">
        <v>4</v>
      </c>
      <c r="E1807" t="s">
        <v>336</v>
      </c>
      <c r="F1807" t="s">
        <v>527</v>
      </c>
      <c r="G1807">
        <f t="shared" si="86"/>
        <v>208</v>
      </c>
      <c r="H1807" t="str">
        <f t="shared" si="83"/>
        <v>Dry Grocery</v>
      </c>
    </row>
    <row r="1808" spans="1:8">
      <c r="A1808" s="45">
        <v>43207</v>
      </c>
      <c r="B1808" t="s">
        <v>436</v>
      </c>
      <c r="C1808">
        <f t="shared" si="85"/>
        <v>37</v>
      </c>
      <c r="D1808">
        <v>0.9</v>
      </c>
      <c r="E1808" t="s">
        <v>336</v>
      </c>
      <c r="F1808" t="s">
        <v>527</v>
      </c>
      <c r="G1808">
        <f t="shared" si="86"/>
        <v>33.300000000000004</v>
      </c>
      <c r="H1808" t="str">
        <f t="shared" si="83"/>
        <v>Dry Grocery</v>
      </c>
    </row>
    <row r="1809" spans="1:8">
      <c r="A1809" s="45">
        <v>43207</v>
      </c>
      <c r="B1809" t="s">
        <v>375</v>
      </c>
      <c r="C1809">
        <f t="shared" si="85"/>
        <v>280</v>
      </c>
      <c r="D1809">
        <v>0.04</v>
      </c>
      <c r="E1809" t="s">
        <v>336</v>
      </c>
      <c r="F1809" t="s">
        <v>527</v>
      </c>
      <c r="G1809">
        <f t="shared" si="86"/>
        <v>11.200000000000001</v>
      </c>
      <c r="H1809" t="str">
        <f t="shared" si="83"/>
        <v>Dry Grocery</v>
      </c>
    </row>
    <row r="1810" spans="1:8">
      <c r="A1810" s="45">
        <v>43207</v>
      </c>
      <c r="B1810" t="s">
        <v>379</v>
      </c>
      <c r="C1810">
        <f t="shared" si="85"/>
        <v>120</v>
      </c>
      <c r="D1810">
        <v>0.03</v>
      </c>
      <c r="E1810" t="s">
        <v>336</v>
      </c>
      <c r="F1810" t="s">
        <v>527</v>
      </c>
      <c r="G1810">
        <f t="shared" si="86"/>
        <v>3.5999999999999996</v>
      </c>
      <c r="H1810" t="str">
        <f t="shared" si="83"/>
        <v>Dry Grocery</v>
      </c>
    </row>
    <row r="1811" spans="1:8">
      <c r="A1811" s="45">
        <v>43207</v>
      </c>
      <c r="B1811" t="s">
        <v>509</v>
      </c>
      <c r="C1811">
        <f t="shared" si="85"/>
        <v>500</v>
      </c>
      <c r="D1811">
        <v>0.1</v>
      </c>
      <c r="E1811" t="s">
        <v>336</v>
      </c>
      <c r="F1811" t="s">
        <v>527</v>
      </c>
      <c r="G1811">
        <f t="shared" si="86"/>
        <v>50</v>
      </c>
      <c r="H1811" t="str">
        <f t="shared" si="83"/>
        <v>Dry Grocery</v>
      </c>
    </row>
    <row r="1812" spans="1:8">
      <c r="A1812" s="45">
        <v>43207</v>
      </c>
      <c r="B1812" t="s">
        <v>381</v>
      </c>
      <c r="C1812">
        <f t="shared" si="85"/>
        <v>7</v>
      </c>
      <c r="D1812">
        <v>0.13</v>
      </c>
      <c r="E1812" t="s">
        <v>336</v>
      </c>
      <c r="F1812" t="s">
        <v>527</v>
      </c>
      <c r="G1812">
        <f t="shared" si="86"/>
        <v>0.91</v>
      </c>
      <c r="H1812" t="str">
        <f t="shared" si="83"/>
        <v>Dry Grocery</v>
      </c>
    </row>
    <row r="1813" spans="1:8">
      <c r="A1813" s="45">
        <v>43207</v>
      </c>
      <c r="B1813" t="s">
        <v>387</v>
      </c>
      <c r="C1813">
        <f t="shared" si="85"/>
        <v>187.41</v>
      </c>
      <c r="D1813">
        <v>0.04</v>
      </c>
      <c r="E1813" t="s">
        <v>336</v>
      </c>
      <c r="F1813" t="s">
        <v>527</v>
      </c>
      <c r="G1813">
        <f t="shared" si="86"/>
        <v>7.4964000000000004</v>
      </c>
      <c r="H1813" t="str">
        <f t="shared" si="83"/>
        <v>Dry Grocery</v>
      </c>
    </row>
    <row r="1814" spans="1:8">
      <c r="A1814" s="45">
        <v>43207</v>
      </c>
      <c r="B1814" t="s">
        <v>485</v>
      </c>
      <c r="C1814">
        <f t="shared" si="85"/>
        <v>96</v>
      </c>
      <c r="D1814">
        <v>0.22</v>
      </c>
      <c r="E1814" t="s">
        <v>336</v>
      </c>
      <c r="F1814" t="s">
        <v>527</v>
      </c>
      <c r="G1814">
        <f t="shared" si="86"/>
        <v>21.12</v>
      </c>
      <c r="H1814" t="str">
        <f t="shared" ref="H1814:H1970" si="87">IF(B1814="","",VLOOKUP(B1814,$XEY$3:$XFA$1200,3,FALSE))</f>
        <v>Oil</v>
      </c>
    </row>
    <row r="1815" spans="1:8">
      <c r="A1815" s="45">
        <v>43207</v>
      </c>
      <c r="B1815" t="s">
        <v>386</v>
      </c>
      <c r="C1815">
        <f t="shared" si="85"/>
        <v>82</v>
      </c>
      <c r="D1815">
        <v>1</v>
      </c>
      <c r="E1815" t="s">
        <v>336</v>
      </c>
      <c r="F1815" t="s">
        <v>527</v>
      </c>
      <c r="G1815">
        <f t="shared" si="86"/>
        <v>82</v>
      </c>
      <c r="H1815" t="str">
        <f t="shared" si="87"/>
        <v>Oil</v>
      </c>
    </row>
    <row r="1816" spans="1:8">
      <c r="A1816" s="45">
        <v>43207</v>
      </c>
      <c r="B1816" t="s">
        <v>383</v>
      </c>
      <c r="C1816">
        <f t="shared" si="85"/>
        <v>230</v>
      </c>
      <c r="D1816">
        <v>0.09</v>
      </c>
      <c r="E1816" t="s">
        <v>336</v>
      </c>
      <c r="F1816" t="s">
        <v>527</v>
      </c>
      <c r="G1816">
        <f t="shared" si="86"/>
        <v>20.7</v>
      </c>
      <c r="H1816" t="str">
        <f t="shared" si="87"/>
        <v>Dry Grocery</v>
      </c>
    </row>
    <row r="1817" spans="1:8">
      <c r="A1817" s="45">
        <v>43207</v>
      </c>
      <c r="B1817" t="s">
        <v>431</v>
      </c>
      <c r="C1817">
        <f t="shared" si="85"/>
        <v>70</v>
      </c>
      <c r="D1817">
        <v>0.06</v>
      </c>
      <c r="E1817" t="s">
        <v>336</v>
      </c>
      <c r="F1817" t="s">
        <v>527</v>
      </c>
      <c r="G1817">
        <f t="shared" si="86"/>
        <v>4.2</v>
      </c>
      <c r="H1817" t="str">
        <f t="shared" si="87"/>
        <v>Dry Grocery</v>
      </c>
    </row>
    <row r="1818" spans="1:8">
      <c r="A1818" s="45">
        <v>43207</v>
      </c>
      <c r="B1818" t="s">
        <v>432</v>
      </c>
      <c r="C1818">
        <f t="shared" si="85"/>
        <v>14</v>
      </c>
      <c r="D1818">
        <v>2.5</v>
      </c>
      <c r="E1818" t="s">
        <v>336</v>
      </c>
      <c r="F1818" t="s">
        <v>527</v>
      </c>
      <c r="G1818">
        <f t="shared" si="86"/>
        <v>35</v>
      </c>
      <c r="H1818" t="str">
        <f t="shared" si="87"/>
        <v>Vegetable</v>
      </c>
    </row>
    <row r="1819" spans="1:8">
      <c r="A1819" s="45">
        <v>43207</v>
      </c>
      <c r="B1819" t="s">
        <v>427</v>
      </c>
      <c r="C1819">
        <f t="shared" si="85"/>
        <v>28</v>
      </c>
      <c r="D1819">
        <v>0.25</v>
      </c>
      <c r="E1819" t="s">
        <v>336</v>
      </c>
      <c r="F1819" t="s">
        <v>527</v>
      </c>
      <c r="G1819">
        <f t="shared" si="86"/>
        <v>7</v>
      </c>
      <c r="H1819" t="str">
        <f t="shared" si="87"/>
        <v>Vegetable</v>
      </c>
    </row>
    <row r="1820" spans="1:8">
      <c r="A1820" s="45">
        <v>43207</v>
      </c>
      <c r="B1820" t="s">
        <v>437</v>
      </c>
      <c r="C1820">
        <f t="shared" si="85"/>
        <v>34</v>
      </c>
      <c r="D1820">
        <v>0.8</v>
      </c>
      <c r="E1820" t="s">
        <v>336</v>
      </c>
      <c r="F1820" t="s">
        <v>527</v>
      </c>
      <c r="G1820">
        <f t="shared" si="86"/>
        <v>27.200000000000003</v>
      </c>
      <c r="H1820" t="str">
        <f t="shared" si="87"/>
        <v>Dry Grocery</v>
      </c>
    </row>
    <row r="1821" spans="1:8">
      <c r="A1821" s="45">
        <v>43207</v>
      </c>
      <c r="B1821" t="s">
        <v>409</v>
      </c>
      <c r="C1821">
        <f t="shared" si="85"/>
        <v>64.069999999999993</v>
      </c>
      <c r="D1821">
        <v>0.5</v>
      </c>
      <c r="E1821" t="s">
        <v>336</v>
      </c>
      <c r="F1821" t="s">
        <v>527</v>
      </c>
      <c r="G1821">
        <f t="shared" si="86"/>
        <v>32.034999999999997</v>
      </c>
      <c r="H1821" t="str">
        <f t="shared" si="87"/>
        <v>Dry Grocery</v>
      </c>
    </row>
    <row r="1822" spans="1:8">
      <c r="A1822" s="45">
        <v>43207</v>
      </c>
      <c r="B1822" t="s">
        <v>512</v>
      </c>
      <c r="C1822">
        <f t="shared" si="85"/>
        <v>170</v>
      </c>
      <c r="D1822">
        <v>0.1</v>
      </c>
      <c r="E1822" t="s">
        <v>336</v>
      </c>
      <c r="F1822" t="s">
        <v>527</v>
      </c>
      <c r="G1822">
        <f t="shared" si="86"/>
        <v>17</v>
      </c>
      <c r="H1822" t="str">
        <f t="shared" si="87"/>
        <v>Dry Grocery</v>
      </c>
    </row>
    <row r="1823" spans="1:8">
      <c r="A1823" s="45">
        <v>43207</v>
      </c>
      <c r="B1823" t="s">
        <v>462</v>
      </c>
      <c r="C1823">
        <f t="shared" si="85"/>
        <v>138</v>
      </c>
      <c r="D1823">
        <v>0.03</v>
      </c>
      <c r="E1823" t="s">
        <v>336</v>
      </c>
      <c r="F1823" t="s">
        <v>527</v>
      </c>
      <c r="G1823">
        <f t="shared" si="86"/>
        <v>4.1399999999999997</v>
      </c>
      <c r="H1823" t="str">
        <f t="shared" si="87"/>
        <v>Dry Grocery</v>
      </c>
    </row>
    <row r="1824" spans="1:8">
      <c r="A1824" s="45">
        <v>43207</v>
      </c>
      <c r="B1824" t="s">
        <v>389</v>
      </c>
      <c r="C1824">
        <f t="shared" si="85"/>
        <v>280</v>
      </c>
      <c r="D1824">
        <v>0.03</v>
      </c>
      <c r="E1824" t="s">
        <v>336</v>
      </c>
      <c r="F1824" t="s">
        <v>527</v>
      </c>
      <c r="G1824">
        <f t="shared" si="86"/>
        <v>8.4</v>
      </c>
      <c r="H1824" t="str">
        <f t="shared" si="87"/>
        <v>Dry Grocery</v>
      </c>
    </row>
    <row r="1825" spans="1:8">
      <c r="A1825" s="45">
        <v>43207</v>
      </c>
      <c r="B1825" t="s">
        <v>430</v>
      </c>
      <c r="C1825">
        <f t="shared" si="85"/>
        <v>30</v>
      </c>
      <c r="D1825">
        <v>0.2</v>
      </c>
      <c r="E1825" t="s">
        <v>336</v>
      </c>
      <c r="F1825" t="s">
        <v>527</v>
      </c>
      <c r="G1825">
        <f t="shared" si="86"/>
        <v>6</v>
      </c>
      <c r="H1825" t="str">
        <f t="shared" si="87"/>
        <v>Vegetable</v>
      </c>
    </row>
    <row r="1826" spans="1:8">
      <c r="A1826" s="45">
        <v>43207</v>
      </c>
      <c r="B1826" t="s">
        <v>410</v>
      </c>
      <c r="C1826">
        <f t="shared" si="85"/>
        <v>76</v>
      </c>
      <c r="D1826">
        <v>4.4999999999999998E-2</v>
      </c>
      <c r="E1826" t="s">
        <v>336</v>
      </c>
      <c r="F1826" t="s">
        <v>527</v>
      </c>
      <c r="G1826">
        <f t="shared" si="86"/>
        <v>3.42</v>
      </c>
      <c r="H1826" t="str">
        <f t="shared" si="87"/>
        <v>Dry Grocery</v>
      </c>
    </row>
    <row r="1827" spans="1:8">
      <c r="A1827" s="45">
        <v>43207</v>
      </c>
      <c r="B1827" t="s">
        <v>434</v>
      </c>
      <c r="C1827">
        <f t="shared" si="85"/>
        <v>125</v>
      </c>
      <c r="D1827">
        <v>0.06</v>
      </c>
      <c r="E1827" t="s">
        <v>336</v>
      </c>
      <c r="F1827" t="s">
        <v>527</v>
      </c>
      <c r="G1827">
        <f t="shared" si="86"/>
        <v>7.5</v>
      </c>
      <c r="H1827" t="str">
        <f t="shared" si="87"/>
        <v>Vegetable</v>
      </c>
    </row>
    <row r="1828" spans="1:8">
      <c r="A1828" s="45">
        <v>43207</v>
      </c>
      <c r="B1828" t="s">
        <v>479</v>
      </c>
      <c r="C1828">
        <f t="shared" si="85"/>
        <v>312.14</v>
      </c>
      <c r="D1828">
        <v>0.04</v>
      </c>
      <c r="E1828" t="s">
        <v>336</v>
      </c>
      <c r="F1828" t="s">
        <v>527</v>
      </c>
      <c r="G1828">
        <f t="shared" si="86"/>
        <v>12.4856</v>
      </c>
      <c r="H1828" t="str">
        <f t="shared" si="87"/>
        <v>Vegetable</v>
      </c>
    </row>
    <row r="1829" spans="1:8">
      <c r="A1829" s="45">
        <v>43207</v>
      </c>
      <c r="B1829" t="s">
        <v>476</v>
      </c>
      <c r="C1829">
        <f t="shared" si="85"/>
        <v>14.75</v>
      </c>
      <c r="D1829">
        <v>1.5</v>
      </c>
      <c r="E1829" t="s">
        <v>336</v>
      </c>
      <c r="F1829" t="s">
        <v>527</v>
      </c>
      <c r="G1829">
        <f t="shared" si="86"/>
        <v>22.125</v>
      </c>
      <c r="H1829" t="str">
        <f t="shared" si="87"/>
        <v>Vegetable</v>
      </c>
    </row>
    <row r="1830" spans="1:8">
      <c r="A1830" s="45">
        <v>43207</v>
      </c>
      <c r="B1830" t="s">
        <v>378</v>
      </c>
      <c r="C1830">
        <f t="shared" si="85"/>
        <v>25</v>
      </c>
      <c r="D1830">
        <v>0.25</v>
      </c>
      <c r="E1830" t="s">
        <v>336</v>
      </c>
      <c r="F1830" t="s">
        <v>527</v>
      </c>
      <c r="G1830">
        <f t="shared" si="86"/>
        <v>6.25</v>
      </c>
      <c r="H1830" t="str">
        <f t="shared" si="87"/>
        <v>Vegetable</v>
      </c>
    </row>
    <row r="1831" spans="1:8">
      <c r="A1831" s="45">
        <v>43207</v>
      </c>
      <c r="B1831" t="s">
        <v>510</v>
      </c>
      <c r="C1831">
        <f t="shared" si="85"/>
        <v>62.03</v>
      </c>
      <c r="D1831">
        <v>0.06</v>
      </c>
      <c r="E1831" t="s">
        <v>336</v>
      </c>
      <c r="F1831" t="s">
        <v>527</v>
      </c>
      <c r="G1831">
        <f t="shared" si="86"/>
        <v>3.7218</v>
      </c>
      <c r="H1831" t="str">
        <f t="shared" si="87"/>
        <v>Dry Grocery</v>
      </c>
    </row>
    <row r="1832" spans="1:8">
      <c r="A1832" s="45">
        <v>43207</v>
      </c>
      <c r="B1832" t="s">
        <v>471</v>
      </c>
      <c r="C1832">
        <f t="shared" si="85"/>
        <v>160</v>
      </c>
      <c r="D1832">
        <v>7.0000000000000007E-2</v>
      </c>
      <c r="E1832" t="s">
        <v>336</v>
      </c>
      <c r="F1832" t="s">
        <v>527</v>
      </c>
      <c r="G1832">
        <f t="shared" si="86"/>
        <v>11.200000000000001</v>
      </c>
      <c r="H1832" t="str">
        <f t="shared" si="87"/>
        <v>Dry Grocery</v>
      </c>
    </row>
    <row r="1833" spans="1:8">
      <c r="A1833" s="45">
        <v>43207</v>
      </c>
      <c r="B1833" t="s">
        <v>447</v>
      </c>
      <c r="C1833">
        <f t="shared" si="85"/>
        <v>30</v>
      </c>
      <c r="D1833">
        <v>2.5</v>
      </c>
      <c r="E1833" t="s">
        <v>336</v>
      </c>
      <c r="F1833" t="s">
        <v>527</v>
      </c>
      <c r="G1833">
        <f t="shared" si="86"/>
        <v>75</v>
      </c>
      <c r="H1833" t="str">
        <f t="shared" si="87"/>
        <v>Fruits</v>
      </c>
    </row>
    <row r="1834" spans="1:8">
      <c r="A1834" s="45">
        <v>43207</v>
      </c>
      <c r="B1834" t="s">
        <v>429</v>
      </c>
      <c r="C1834">
        <f t="shared" si="85"/>
        <v>40</v>
      </c>
      <c r="D1834">
        <v>0.1</v>
      </c>
      <c r="E1834" t="s">
        <v>336</v>
      </c>
      <c r="F1834" t="s">
        <v>527</v>
      </c>
      <c r="G1834">
        <f t="shared" si="86"/>
        <v>4</v>
      </c>
      <c r="H1834" t="str">
        <f t="shared" si="87"/>
        <v>Vegetable</v>
      </c>
    </row>
    <row r="1835" spans="1:8">
      <c r="A1835" s="45">
        <v>43207</v>
      </c>
      <c r="B1835" t="s">
        <v>461</v>
      </c>
      <c r="C1835">
        <f t="shared" si="85"/>
        <v>1450</v>
      </c>
      <c r="D1835">
        <v>0.01</v>
      </c>
      <c r="E1835" t="s">
        <v>336</v>
      </c>
      <c r="F1835" t="s">
        <v>527</v>
      </c>
      <c r="G1835">
        <f t="shared" si="86"/>
        <v>14.5</v>
      </c>
      <c r="H1835" t="str">
        <f t="shared" si="87"/>
        <v>Spice</v>
      </c>
    </row>
    <row r="1836" spans="1:8">
      <c r="A1836" s="45">
        <v>43207</v>
      </c>
      <c r="B1836" t="s">
        <v>392</v>
      </c>
      <c r="C1836">
        <f t="shared" si="85"/>
        <v>840</v>
      </c>
      <c r="D1836">
        <v>2.5000000000000001E-2</v>
      </c>
      <c r="E1836" t="s">
        <v>336</v>
      </c>
      <c r="F1836" t="s">
        <v>527</v>
      </c>
      <c r="G1836">
        <f t="shared" si="86"/>
        <v>21</v>
      </c>
      <c r="H1836" t="str">
        <f t="shared" si="87"/>
        <v>Dry Grocery</v>
      </c>
    </row>
    <row r="1837" spans="1:8">
      <c r="A1837" s="45">
        <v>43207</v>
      </c>
      <c r="B1837" t="s">
        <v>506</v>
      </c>
      <c r="C1837">
        <f t="shared" si="85"/>
        <v>240</v>
      </c>
      <c r="D1837">
        <v>2.5000000000000001E-2</v>
      </c>
      <c r="E1837" t="s">
        <v>336</v>
      </c>
      <c r="F1837" t="s">
        <v>527</v>
      </c>
      <c r="G1837">
        <f t="shared" si="86"/>
        <v>6</v>
      </c>
      <c r="H1837" t="str">
        <f t="shared" si="87"/>
        <v>Dry Grocery</v>
      </c>
    </row>
    <row r="1838" spans="1:8">
      <c r="A1838" s="45">
        <v>43207</v>
      </c>
      <c r="B1838" t="s">
        <v>420</v>
      </c>
      <c r="C1838">
        <f t="shared" si="85"/>
        <v>3</v>
      </c>
      <c r="D1838">
        <v>1.5</v>
      </c>
      <c r="E1838" t="s">
        <v>336</v>
      </c>
      <c r="F1838" t="s">
        <v>527</v>
      </c>
      <c r="G1838">
        <f t="shared" si="86"/>
        <v>4.5</v>
      </c>
      <c r="H1838" t="str">
        <f t="shared" si="87"/>
        <v>Vegetable</v>
      </c>
    </row>
    <row r="1839" spans="1:8">
      <c r="A1839" s="45">
        <v>43207</v>
      </c>
      <c r="B1839" t="s">
        <v>502</v>
      </c>
      <c r="C1839">
        <f t="shared" si="85"/>
        <v>40</v>
      </c>
      <c r="D1839">
        <v>0.2</v>
      </c>
      <c r="E1839" t="s">
        <v>336</v>
      </c>
      <c r="F1839" t="s">
        <v>527</v>
      </c>
      <c r="G1839">
        <f t="shared" si="86"/>
        <v>8</v>
      </c>
      <c r="H1839" t="str">
        <f t="shared" si="87"/>
        <v>Processed Food</v>
      </c>
    </row>
    <row r="1840" spans="1:8">
      <c r="A1840" s="45">
        <v>43207</v>
      </c>
      <c r="B1840" t="s">
        <v>433</v>
      </c>
      <c r="C1840">
        <f t="shared" si="85"/>
        <v>20</v>
      </c>
      <c r="D1840">
        <v>1</v>
      </c>
      <c r="E1840" t="s">
        <v>336</v>
      </c>
      <c r="F1840" t="s">
        <v>527</v>
      </c>
      <c r="G1840">
        <f t="shared" si="86"/>
        <v>20</v>
      </c>
      <c r="H1840" t="str">
        <f t="shared" si="87"/>
        <v>Vegetable</v>
      </c>
    </row>
    <row r="1841" spans="1:9">
      <c r="A1841" s="45">
        <v>43207</v>
      </c>
      <c r="B1841" t="s">
        <v>382</v>
      </c>
      <c r="C1841">
        <f t="shared" si="85"/>
        <v>42</v>
      </c>
      <c r="E1841" t="s">
        <v>531</v>
      </c>
      <c r="F1841" t="s">
        <v>530</v>
      </c>
      <c r="G1841">
        <f t="shared" si="86"/>
        <v>0</v>
      </c>
      <c r="H1841" t="str">
        <f t="shared" si="87"/>
        <v>Dairy</v>
      </c>
      <c r="I1841">
        <v>1</v>
      </c>
    </row>
    <row r="1842" spans="1:9">
      <c r="A1842" s="45">
        <v>43207</v>
      </c>
      <c r="B1842" t="s">
        <v>473</v>
      </c>
      <c r="C1842">
        <f t="shared" si="85"/>
        <v>175</v>
      </c>
      <c r="E1842" t="s">
        <v>525</v>
      </c>
      <c r="F1842" t="s">
        <v>526</v>
      </c>
      <c r="G1842">
        <f t="shared" si="86"/>
        <v>0</v>
      </c>
      <c r="H1842" t="str">
        <f t="shared" si="87"/>
        <v>Dairy</v>
      </c>
      <c r="I1842">
        <v>1.2</v>
      </c>
    </row>
    <row r="1843" spans="1:9">
      <c r="A1843" s="45">
        <v>43207</v>
      </c>
      <c r="B1843" t="s">
        <v>459</v>
      </c>
      <c r="C1843">
        <f t="shared" si="85"/>
        <v>190</v>
      </c>
      <c r="E1843" t="s">
        <v>525</v>
      </c>
      <c r="F1843" t="s">
        <v>526</v>
      </c>
      <c r="G1843">
        <f t="shared" si="86"/>
        <v>0</v>
      </c>
      <c r="H1843" t="str">
        <f t="shared" si="87"/>
        <v>Dairy</v>
      </c>
      <c r="I1843">
        <v>0.43</v>
      </c>
    </row>
    <row r="1844" spans="1:9">
      <c r="A1844" s="45">
        <v>43207</v>
      </c>
      <c r="B1844" t="s">
        <v>401</v>
      </c>
      <c r="C1844">
        <f t="shared" si="85"/>
        <v>33</v>
      </c>
      <c r="E1844" t="s">
        <v>525</v>
      </c>
      <c r="F1844" t="s">
        <v>526</v>
      </c>
      <c r="G1844">
        <f t="shared" si="86"/>
        <v>0</v>
      </c>
      <c r="H1844" t="str">
        <f t="shared" si="87"/>
        <v>Canned Food</v>
      </c>
      <c r="I1844">
        <v>0.31</v>
      </c>
    </row>
    <row r="1845" spans="1:9">
      <c r="A1845" s="45">
        <v>43207</v>
      </c>
      <c r="B1845" t="s">
        <v>458</v>
      </c>
      <c r="C1845">
        <f t="shared" si="85"/>
        <v>140</v>
      </c>
      <c r="E1845" t="s">
        <v>525</v>
      </c>
      <c r="F1845" t="s">
        <v>526</v>
      </c>
      <c r="G1845">
        <f t="shared" si="86"/>
        <v>0</v>
      </c>
      <c r="H1845" t="str">
        <f t="shared" si="87"/>
        <v>Dairy</v>
      </c>
      <c r="I1845">
        <v>1.25</v>
      </c>
    </row>
    <row r="1846" spans="1:9">
      <c r="A1846" s="45">
        <v>43207</v>
      </c>
      <c r="B1846" t="s">
        <v>468</v>
      </c>
      <c r="C1846">
        <f t="shared" si="85"/>
        <v>32</v>
      </c>
      <c r="E1846" t="s">
        <v>525</v>
      </c>
      <c r="F1846" t="s">
        <v>526</v>
      </c>
      <c r="G1846">
        <f t="shared" si="86"/>
        <v>0</v>
      </c>
      <c r="H1846" t="str">
        <f t="shared" si="87"/>
        <v>Vegetable</v>
      </c>
      <c r="I1846">
        <v>5</v>
      </c>
    </row>
    <row r="1847" spans="1:9">
      <c r="A1847" s="45">
        <v>43207</v>
      </c>
      <c r="B1847" t="s">
        <v>490</v>
      </c>
      <c r="C1847">
        <f t="shared" si="85"/>
        <v>100</v>
      </c>
      <c r="E1847" t="s">
        <v>525</v>
      </c>
      <c r="F1847" t="s">
        <v>526</v>
      </c>
      <c r="G1847">
        <f t="shared" si="86"/>
        <v>0</v>
      </c>
      <c r="H1847" t="str">
        <f t="shared" si="87"/>
        <v>Processed Food</v>
      </c>
      <c r="I1847">
        <v>1</v>
      </c>
    </row>
    <row r="1848" spans="1:9">
      <c r="A1848" s="45">
        <v>43207</v>
      </c>
      <c r="B1848" t="s">
        <v>449</v>
      </c>
      <c r="C1848">
        <f t="shared" si="85"/>
        <v>20</v>
      </c>
      <c r="E1848" t="s">
        <v>543</v>
      </c>
      <c r="F1848" t="s">
        <v>527</v>
      </c>
      <c r="G1848">
        <f t="shared" si="86"/>
        <v>0</v>
      </c>
      <c r="H1848" t="str">
        <f t="shared" si="87"/>
        <v>Fruits</v>
      </c>
      <c r="I1848">
        <v>0.5</v>
      </c>
    </row>
    <row r="1849" spans="1:9">
      <c r="A1849" s="45">
        <v>43207</v>
      </c>
      <c r="B1849" t="s">
        <v>673</v>
      </c>
      <c r="C1849">
        <f t="shared" si="85"/>
        <v>20</v>
      </c>
      <c r="E1849" t="s">
        <v>543</v>
      </c>
      <c r="F1849" t="s">
        <v>527</v>
      </c>
      <c r="G1849">
        <f t="shared" si="86"/>
        <v>0</v>
      </c>
      <c r="H1849" t="str">
        <f t="shared" si="87"/>
        <v>Fruits</v>
      </c>
      <c r="I1849">
        <v>0.3</v>
      </c>
    </row>
    <row r="1850" spans="1:9">
      <c r="A1850" s="45">
        <v>43207</v>
      </c>
      <c r="B1850" t="s">
        <v>447</v>
      </c>
      <c r="C1850">
        <f t="shared" si="85"/>
        <v>30</v>
      </c>
      <c r="E1850" t="s">
        <v>543</v>
      </c>
      <c r="F1850" t="s">
        <v>527</v>
      </c>
      <c r="G1850">
        <f t="shared" si="86"/>
        <v>0</v>
      </c>
      <c r="H1850" t="str">
        <f t="shared" si="87"/>
        <v>Fruits</v>
      </c>
      <c r="I1850">
        <v>0.18</v>
      </c>
    </row>
    <row r="1851" spans="1:9">
      <c r="A1851" s="45">
        <v>43207</v>
      </c>
      <c r="B1851" t="s">
        <v>552</v>
      </c>
      <c r="C1851">
        <f t="shared" si="85"/>
        <v>40</v>
      </c>
      <c r="E1851" t="s">
        <v>543</v>
      </c>
      <c r="F1851" t="s">
        <v>527</v>
      </c>
      <c r="G1851">
        <f t="shared" si="86"/>
        <v>0</v>
      </c>
      <c r="H1851" t="str">
        <f t="shared" si="87"/>
        <v>Fruits</v>
      </c>
      <c r="I1851">
        <v>0.8</v>
      </c>
    </row>
    <row r="1852" spans="1:9">
      <c r="A1852" s="45">
        <v>43207</v>
      </c>
      <c r="B1852" t="s">
        <v>551</v>
      </c>
      <c r="C1852">
        <f t="shared" ref="C1852:C1971" si="88">IF(B1852="","",VLOOKUP(B1852,$XEY$3:$XEZ$1158,2,FALSE))</f>
        <v>120</v>
      </c>
      <c r="E1852" t="s">
        <v>543</v>
      </c>
      <c r="F1852" t="s">
        <v>527</v>
      </c>
      <c r="G1852">
        <f t="shared" si="86"/>
        <v>0</v>
      </c>
      <c r="H1852" t="str">
        <f t="shared" si="87"/>
        <v>Fruits</v>
      </c>
      <c r="I1852">
        <v>0.19</v>
      </c>
    </row>
    <row r="1853" spans="1:9">
      <c r="A1853" s="45">
        <v>43207</v>
      </c>
      <c r="B1853" t="s">
        <v>444</v>
      </c>
      <c r="C1853">
        <f t="shared" si="88"/>
        <v>50</v>
      </c>
      <c r="E1853" t="s">
        <v>543</v>
      </c>
      <c r="F1853" t="s">
        <v>527</v>
      </c>
      <c r="G1853">
        <f t="shared" si="86"/>
        <v>0</v>
      </c>
      <c r="H1853" t="str">
        <f t="shared" si="87"/>
        <v>Fruits</v>
      </c>
      <c r="I1853">
        <v>1.32</v>
      </c>
    </row>
    <row r="1854" spans="1:9">
      <c r="A1854" s="45">
        <v>43207</v>
      </c>
      <c r="B1854" t="s">
        <v>384</v>
      </c>
      <c r="C1854">
        <f t="shared" si="88"/>
        <v>3</v>
      </c>
      <c r="E1854" t="s">
        <v>543</v>
      </c>
      <c r="F1854" t="s">
        <v>527</v>
      </c>
      <c r="G1854">
        <f t="shared" si="86"/>
        <v>0</v>
      </c>
      <c r="H1854" t="str">
        <f t="shared" si="87"/>
        <v>Vegetable</v>
      </c>
      <c r="I1854">
        <v>22</v>
      </c>
    </row>
    <row r="1855" spans="1:9">
      <c r="A1855" s="45">
        <v>43207</v>
      </c>
      <c r="B1855" t="s">
        <v>553</v>
      </c>
      <c r="C1855">
        <f t="shared" si="88"/>
        <v>150</v>
      </c>
      <c r="E1855" t="s">
        <v>543</v>
      </c>
      <c r="F1855" t="s">
        <v>527</v>
      </c>
      <c r="G1855">
        <f t="shared" si="86"/>
        <v>0</v>
      </c>
      <c r="H1855" t="str">
        <f t="shared" si="87"/>
        <v>Fruits</v>
      </c>
      <c r="I1855">
        <v>1.64</v>
      </c>
    </row>
    <row r="1856" spans="1:9">
      <c r="A1856" s="45">
        <v>43207</v>
      </c>
      <c r="B1856" t="s">
        <v>622</v>
      </c>
      <c r="C1856">
        <f t="shared" si="88"/>
        <v>130</v>
      </c>
      <c r="E1856" t="s">
        <v>543</v>
      </c>
      <c r="F1856" t="s">
        <v>527</v>
      </c>
      <c r="G1856">
        <f t="shared" si="86"/>
        <v>0</v>
      </c>
      <c r="H1856" t="str">
        <f t="shared" si="87"/>
        <v>Fruits</v>
      </c>
      <c r="I1856">
        <v>1.5</v>
      </c>
    </row>
    <row r="1857" spans="1:10">
      <c r="A1857" s="45">
        <v>43207</v>
      </c>
      <c r="B1857" t="s">
        <v>432</v>
      </c>
      <c r="C1857">
        <f t="shared" si="88"/>
        <v>14</v>
      </c>
      <c r="D1857">
        <v>0.3</v>
      </c>
      <c r="E1857" t="s">
        <v>555</v>
      </c>
      <c r="F1857" t="s">
        <v>556</v>
      </c>
      <c r="G1857">
        <f t="shared" si="86"/>
        <v>4.2</v>
      </c>
      <c r="H1857" t="str">
        <f t="shared" si="87"/>
        <v>Vegetable</v>
      </c>
    </row>
    <row r="1858" spans="1:10">
      <c r="A1858" s="45">
        <v>43207</v>
      </c>
      <c r="B1858" t="s">
        <v>384</v>
      </c>
      <c r="C1858">
        <f t="shared" si="88"/>
        <v>3</v>
      </c>
      <c r="D1858">
        <v>6</v>
      </c>
      <c r="E1858" t="s">
        <v>555</v>
      </c>
      <c r="F1858" t="s">
        <v>556</v>
      </c>
      <c r="G1858">
        <f t="shared" si="86"/>
        <v>18</v>
      </c>
      <c r="H1858" t="str">
        <f t="shared" si="87"/>
        <v>Vegetable</v>
      </c>
    </row>
    <row r="1859" spans="1:10">
      <c r="A1859" s="45">
        <v>43207</v>
      </c>
      <c r="B1859" t="s">
        <v>385</v>
      </c>
      <c r="C1859">
        <f t="shared" si="88"/>
        <v>36</v>
      </c>
      <c r="G1859">
        <f t="shared" ref="G1859:G1922" si="89">IF(C1859="","",C1859*D1859)</f>
        <v>0</v>
      </c>
      <c r="H1859" t="str">
        <f t="shared" si="87"/>
        <v>Dairy</v>
      </c>
      <c r="J1859">
        <v>8</v>
      </c>
    </row>
    <row r="1860" spans="1:10">
      <c r="A1860" s="45">
        <v>43207</v>
      </c>
      <c r="B1860" t="s">
        <v>382</v>
      </c>
      <c r="C1860">
        <f t="shared" si="88"/>
        <v>42</v>
      </c>
      <c r="G1860">
        <f t="shared" si="89"/>
        <v>0</v>
      </c>
      <c r="H1860" t="str">
        <f t="shared" si="87"/>
        <v>Dairy</v>
      </c>
      <c r="J1860">
        <v>6</v>
      </c>
    </row>
    <row r="1861" spans="1:10">
      <c r="A1861" s="45">
        <v>43207</v>
      </c>
      <c r="B1861" t="s">
        <v>454</v>
      </c>
      <c r="C1861">
        <f t="shared" si="88"/>
        <v>43.06</v>
      </c>
      <c r="G1861">
        <f t="shared" si="89"/>
        <v>0</v>
      </c>
      <c r="H1861" t="str">
        <f t="shared" si="87"/>
        <v>Vegetable</v>
      </c>
      <c r="J1861">
        <v>2</v>
      </c>
    </row>
    <row r="1862" spans="1:10">
      <c r="A1862" s="45">
        <v>43207</v>
      </c>
      <c r="B1862" t="s">
        <v>430</v>
      </c>
      <c r="C1862">
        <f t="shared" si="88"/>
        <v>30</v>
      </c>
      <c r="G1862">
        <f t="shared" si="89"/>
        <v>0</v>
      </c>
      <c r="H1862" t="str">
        <f t="shared" si="87"/>
        <v>Vegetable</v>
      </c>
      <c r="J1862">
        <v>2</v>
      </c>
    </row>
    <row r="1863" spans="1:10">
      <c r="A1863" s="45">
        <v>43207</v>
      </c>
      <c r="B1863" t="s">
        <v>429</v>
      </c>
      <c r="C1863">
        <f t="shared" si="88"/>
        <v>40</v>
      </c>
      <c r="G1863">
        <f t="shared" si="89"/>
        <v>0</v>
      </c>
      <c r="H1863" t="str">
        <f t="shared" si="87"/>
        <v>Vegetable</v>
      </c>
      <c r="J1863">
        <v>1</v>
      </c>
    </row>
    <row r="1864" spans="1:10">
      <c r="A1864" s="45">
        <v>43207</v>
      </c>
      <c r="B1864" t="s">
        <v>391</v>
      </c>
      <c r="C1864">
        <f t="shared" si="88"/>
        <v>27.97</v>
      </c>
      <c r="G1864">
        <f t="shared" si="89"/>
        <v>0</v>
      </c>
      <c r="H1864" t="str">
        <f t="shared" si="87"/>
        <v>Vegetable</v>
      </c>
      <c r="J1864">
        <v>2</v>
      </c>
    </row>
    <row r="1865" spans="1:10">
      <c r="A1865" s="45">
        <v>43207</v>
      </c>
      <c r="B1865" t="s">
        <v>378</v>
      </c>
      <c r="C1865">
        <f t="shared" si="88"/>
        <v>25</v>
      </c>
      <c r="G1865">
        <f t="shared" si="89"/>
        <v>0</v>
      </c>
      <c r="H1865" t="str">
        <f t="shared" si="87"/>
        <v>Vegetable</v>
      </c>
      <c r="J1865">
        <v>1.65</v>
      </c>
    </row>
    <row r="1866" spans="1:10">
      <c r="A1866" s="45">
        <v>43207</v>
      </c>
      <c r="B1866" t="s">
        <v>476</v>
      </c>
      <c r="C1866">
        <f t="shared" si="88"/>
        <v>14.75</v>
      </c>
      <c r="G1866">
        <f t="shared" si="89"/>
        <v>0</v>
      </c>
      <c r="H1866" t="str">
        <f t="shared" si="87"/>
        <v>Vegetable</v>
      </c>
      <c r="J1866">
        <v>1.8</v>
      </c>
    </row>
    <row r="1867" spans="1:10">
      <c r="A1867" s="45">
        <v>43207</v>
      </c>
      <c r="B1867" t="s">
        <v>513</v>
      </c>
      <c r="C1867">
        <f t="shared" si="88"/>
        <v>15</v>
      </c>
      <c r="G1867">
        <f t="shared" si="89"/>
        <v>0</v>
      </c>
      <c r="H1867" t="str">
        <f t="shared" si="87"/>
        <v>Vegetable</v>
      </c>
      <c r="J1867">
        <v>1.5</v>
      </c>
    </row>
    <row r="1868" spans="1:10">
      <c r="A1868" s="45">
        <v>43207</v>
      </c>
      <c r="B1868" t="s">
        <v>390</v>
      </c>
      <c r="C1868">
        <f t="shared" si="88"/>
        <v>30</v>
      </c>
      <c r="G1868">
        <f t="shared" si="89"/>
        <v>0</v>
      </c>
      <c r="H1868" t="str">
        <f t="shared" si="87"/>
        <v>Vegetable</v>
      </c>
      <c r="J1868">
        <v>2</v>
      </c>
    </row>
    <row r="1869" spans="1:10">
      <c r="A1869" s="45">
        <v>43207</v>
      </c>
      <c r="B1869" t="s">
        <v>434</v>
      </c>
      <c r="C1869">
        <f t="shared" si="88"/>
        <v>125</v>
      </c>
      <c r="G1869">
        <f t="shared" si="89"/>
        <v>0</v>
      </c>
      <c r="H1869" t="str">
        <f t="shared" si="87"/>
        <v>Vegetable</v>
      </c>
      <c r="J1869">
        <v>0.3</v>
      </c>
    </row>
    <row r="1870" spans="1:10">
      <c r="A1870" s="45">
        <v>43207</v>
      </c>
      <c r="B1870" t="s">
        <v>479</v>
      </c>
      <c r="C1870">
        <f t="shared" si="88"/>
        <v>312.14</v>
      </c>
      <c r="G1870">
        <f t="shared" si="89"/>
        <v>0</v>
      </c>
      <c r="H1870" t="str">
        <f t="shared" si="87"/>
        <v>Vegetable</v>
      </c>
      <c r="J1870">
        <v>0.1</v>
      </c>
    </row>
    <row r="1871" spans="1:10">
      <c r="A1871" s="45">
        <v>43207</v>
      </c>
      <c r="B1871" t="s">
        <v>551</v>
      </c>
      <c r="C1871">
        <f t="shared" si="88"/>
        <v>120</v>
      </c>
      <c r="G1871">
        <f t="shared" si="89"/>
        <v>0</v>
      </c>
      <c r="H1871" t="str">
        <f t="shared" si="87"/>
        <v>Fruits</v>
      </c>
      <c r="J1871">
        <v>2</v>
      </c>
    </row>
    <row r="1872" spans="1:10">
      <c r="A1872" s="45">
        <v>43207</v>
      </c>
      <c r="B1872" t="s">
        <v>622</v>
      </c>
      <c r="C1872">
        <f t="shared" si="88"/>
        <v>130</v>
      </c>
      <c r="G1872">
        <f t="shared" si="89"/>
        <v>0</v>
      </c>
      <c r="H1872" t="str">
        <f t="shared" si="87"/>
        <v>Fruits</v>
      </c>
      <c r="J1872">
        <v>1</v>
      </c>
    </row>
    <row r="1873" spans="1:10">
      <c r="A1873" s="45">
        <v>43207</v>
      </c>
      <c r="B1873" t="s">
        <v>673</v>
      </c>
      <c r="C1873">
        <f t="shared" si="88"/>
        <v>20</v>
      </c>
      <c r="G1873">
        <f t="shared" si="89"/>
        <v>0</v>
      </c>
      <c r="H1873" t="str">
        <f t="shared" si="87"/>
        <v>Fruits</v>
      </c>
      <c r="J1873">
        <v>1.3</v>
      </c>
    </row>
    <row r="1874" spans="1:10">
      <c r="A1874" s="45">
        <v>43207</v>
      </c>
      <c r="B1874" t="s">
        <v>449</v>
      </c>
      <c r="C1874">
        <f t="shared" si="88"/>
        <v>20</v>
      </c>
      <c r="G1874">
        <f t="shared" si="89"/>
        <v>0</v>
      </c>
      <c r="H1874" t="str">
        <f t="shared" si="87"/>
        <v>Fruits</v>
      </c>
      <c r="J1874">
        <v>12.75</v>
      </c>
    </row>
    <row r="1875" spans="1:10">
      <c r="A1875" s="45">
        <v>43207</v>
      </c>
      <c r="B1875" t="s">
        <v>552</v>
      </c>
      <c r="C1875">
        <f t="shared" si="88"/>
        <v>40</v>
      </c>
      <c r="G1875">
        <f t="shared" si="89"/>
        <v>0</v>
      </c>
      <c r="H1875" t="str">
        <f t="shared" si="87"/>
        <v>Fruits</v>
      </c>
      <c r="J1875">
        <v>2</v>
      </c>
    </row>
    <row r="1876" spans="1:10">
      <c r="A1876" s="45">
        <v>43207</v>
      </c>
      <c r="B1876" t="s">
        <v>681</v>
      </c>
      <c r="C1876">
        <f t="shared" si="88"/>
        <v>0</v>
      </c>
      <c r="G1876">
        <f t="shared" si="89"/>
        <v>0</v>
      </c>
      <c r="H1876" t="str">
        <f t="shared" si="87"/>
        <v>Fruits</v>
      </c>
      <c r="J1876">
        <v>1</v>
      </c>
    </row>
    <row r="1877" spans="1:10">
      <c r="A1877" s="45">
        <v>43207</v>
      </c>
      <c r="B1877" t="s">
        <v>473</v>
      </c>
      <c r="C1877">
        <f t="shared" si="88"/>
        <v>175</v>
      </c>
      <c r="G1877">
        <f t="shared" si="89"/>
        <v>0</v>
      </c>
      <c r="H1877" t="str">
        <f t="shared" si="87"/>
        <v>Dairy</v>
      </c>
      <c r="J1877">
        <v>1</v>
      </c>
    </row>
    <row r="1878" spans="1:10">
      <c r="A1878" s="45">
        <v>43207</v>
      </c>
      <c r="B1878" t="s">
        <v>468</v>
      </c>
      <c r="C1878">
        <f t="shared" si="88"/>
        <v>32</v>
      </c>
      <c r="G1878">
        <f t="shared" si="89"/>
        <v>0</v>
      </c>
      <c r="H1878" t="str">
        <f t="shared" si="87"/>
        <v>Vegetable</v>
      </c>
      <c r="J1878">
        <v>5</v>
      </c>
    </row>
    <row r="1879" spans="1:10">
      <c r="A1879" s="45">
        <v>43207</v>
      </c>
      <c r="B1879" t="s">
        <v>459</v>
      </c>
      <c r="C1879">
        <f t="shared" si="88"/>
        <v>190</v>
      </c>
      <c r="G1879">
        <f t="shared" si="89"/>
        <v>0</v>
      </c>
      <c r="H1879" t="str">
        <f t="shared" si="87"/>
        <v>Dairy</v>
      </c>
      <c r="J1879">
        <v>1</v>
      </c>
    </row>
    <row r="1880" spans="1:10">
      <c r="A1880" s="45">
        <v>43207</v>
      </c>
      <c r="B1880" t="s">
        <v>451</v>
      </c>
      <c r="C1880">
        <f t="shared" si="88"/>
        <v>60</v>
      </c>
      <c r="G1880">
        <f t="shared" si="89"/>
        <v>0</v>
      </c>
      <c r="H1880" t="str">
        <f t="shared" si="87"/>
        <v>Vegetable</v>
      </c>
      <c r="J1880">
        <v>1</v>
      </c>
    </row>
    <row r="1881" spans="1:10">
      <c r="A1881" s="45">
        <v>43207</v>
      </c>
      <c r="B1881" t="s">
        <v>445</v>
      </c>
      <c r="C1881">
        <f t="shared" si="88"/>
        <v>20</v>
      </c>
      <c r="G1881">
        <f t="shared" si="89"/>
        <v>0</v>
      </c>
      <c r="H1881" t="str">
        <f t="shared" si="87"/>
        <v>Fruits</v>
      </c>
      <c r="J1881">
        <v>5</v>
      </c>
    </row>
    <row r="1882" spans="1:10">
      <c r="A1882" s="45">
        <v>43208</v>
      </c>
      <c r="B1882" t="s">
        <v>432</v>
      </c>
      <c r="C1882">
        <f t="shared" si="88"/>
        <v>14</v>
      </c>
      <c r="D1882">
        <v>3</v>
      </c>
      <c r="E1882" t="s">
        <v>525</v>
      </c>
      <c r="F1882" t="s">
        <v>526</v>
      </c>
      <c r="G1882">
        <f t="shared" si="89"/>
        <v>42</v>
      </c>
      <c r="H1882" t="str">
        <f t="shared" si="87"/>
        <v>Vegetable</v>
      </c>
    </row>
    <row r="1883" spans="1:10">
      <c r="A1883" s="45">
        <v>43208</v>
      </c>
      <c r="B1883" t="s">
        <v>390</v>
      </c>
      <c r="C1883">
        <f t="shared" si="88"/>
        <v>30</v>
      </c>
      <c r="D1883">
        <v>1.3</v>
      </c>
      <c r="E1883" t="s">
        <v>525</v>
      </c>
      <c r="F1883" t="s">
        <v>526</v>
      </c>
      <c r="G1883">
        <f t="shared" si="89"/>
        <v>39</v>
      </c>
      <c r="H1883" t="str">
        <f t="shared" si="87"/>
        <v>Vegetable</v>
      </c>
    </row>
    <row r="1884" spans="1:10">
      <c r="A1884" s="45">
        <v>43208</v>
      </c>
      <c r="B1884" t="s">
        <v>378</v>
      </c>
      <c r="C1884">
        <f t="shared" si="88"/>
        <v>25</v>
      </c>
      <c r="D1884">
        <v>0.3</v>
      </c>
      <c r="E1884" t="s">
        <v>525</v>
      </c>
      <c r="F1884" t="s">
        <v>526</v>
      </c>
      <c r="G1884">
        <f t="shared" si="89"/>
        <v>7.5</v>
      </c>
      <c r="H1884" t="str">
        <f t="shared" si="87"/>
        <v>Vegetable</v>
      </c>
    </row>
    <row r="1885" spans="1:10">
      <c r="A1885" s="45">
        <v>43208</v>
      </c>
      <c r="B1885" t="s">
        <v>430</v>
      </c>
      <c r="C1885">
        <f t="shared" si="88"/>
        <v>30</v>
      </c>
      <c r="D1885">
        <v>0.3</v>
      </c>
      <c r="E1885" t="s">
        <v>525</v>
      </c>
      <c r="F1885" t="s">
        <v>526</v>
      </c>
      <c r="G1885">
        <f t="shared" si="89"/>
        <v>9</v>
      </c>
      <c r="H1885" t="str">
        <f t="shared" si="87"/>
        <v>Vegetable</v>
      </c>
    </row>
    <row r="1886" spans="1:10">
      <c r="A1886" s="45">
        <v>43208</v>
      </c>
      <c r="B1886" t="s">
        <v>393</v>
      </c>
      <c r="C1886">
        <f t="shared" si="88"/>
        <v>26</v>
      </c>
      <c r="D1886">
        <v>13</v>
      </c>
      <c r="E1886" t="s">
        <v>525</v>
      </c>
      <c r="F1886" t="s">
        <v>526</v>
      </c>
      <c r="G1886">
        <f t="shared" si="89"/>
        <v>338</v>
      </c>
      <c r="H1886" t="str">
        <f t="shared" si="87"/>
        <v>Heating</v>
      </c>
    </row>
    <row r="1887" spans="1:10">
      <c r="A1887" s="45">
        <v>43208</v>
      </c>
      <c r="B1887" t="s">
        <v>386</v>
      </c>
      <c r="C1887">
        <f t="shared" si="88"/>
        <v>82</v>
      </c>
      <c r="D1887">
        <v>4</v>
      </c>
      <c r="E1887" t="s">
        <v>525</v>
      </c>
      <c r="F1887" t="s">
        <v>526</v>
      </c>
      <c r="G1887">
        <f t="shared" si="89"/>
        <v>328</v>
      </c>
      <c r="H1887" t="str">
        <f t="shared" si="87"/>
        <v>Oil</v>
      </c>
    </row>
    <row r="1888" spans="1:10">
      <c r="A1888" s="45">
        <v>43208</v>
      </c>
      <c r="B1888" t="s">
        <v>384</v>
      </c>
      <c r="C1888">
        <f t="shared" si="88"/>
        <v>3</v>
      </c>
      <c r="D1888">
        <v>5</v>
      </c>
      <c r="E1888" t="s">
        <v>525</v>
      </c>
      <c r="F1888" t="s">
        <v>526</v>
      </c>
      <c r="G1888">
        <f t="shared" si="89"/>
        <v>15</v>
      </c>
      <c r="H1888" t="str">
        <f t="shared" si="87"/>
        <v>Vegetable</v>
      </c>
    </row>
    <row r="1889" spans="1:8">
      <c r="A1889" s="45">
        <v>43208</v>
      </c>
      <c r="B1889" t="s">
        <v>391</v>
      </c>
      <c r="C1889">
        <f t="shared" si="88"/>
        <v>27.97</v>
      </c>
      <c r="D1889">
        <v>825</v>
      </c>
      <c r="E1889" t="s">
        <v>525</v>
      </c>
      <c r="F1889" t="s">
        <v>526</v>
      </c>
      <c r="G1889">
        <f t="shared" si="89"/>
        <v>23075.25</v>
      </c>
      <c r="H1889" t="str">
        <f t="shared" si="87"/>
        <v>Vegetable</v>
      </c>
    </row>
    <row r="1890" spans="1:8">
      <c r="A1890" s="45">
        <v>43208</v>
      </c>
      <c r="B1890" t="s">
        <v>371</v>
      </c>
      <c r="C1890">
        <f t="shared" si="88"/>
        <v>23.33</v>
      </c>
      <c r="D1890">
        <v>1.3</v>
      </c>
      <c r="E1890" t="s">
        <v>525</v>
      </c>
      <c r="F1890" t="s">
        <v>526</v>
      </c>
      <c r="G1890">
        <f t="shared" si="89"/>
        <v>30.328999999999997</v>
      </c>
      <c r="H1890" t="str">
        <f t="shared" si="87"/>
        <v>Vegetable</v>
      </c>
    </row>
    <row r="1891" spans="1:8">
      <c r="A1891" s="45">
        <v>43208</v>
      </c>
      <c r="B1891" t="s">
        <v>434</v>
      </c>
      <c r="C1891">
        <f t="shared" si="88"/>
        <v>125</v>
      </c>
      <c r="D1891">
        <v>0.12</v>
      </c>
      <c r="E1891" t="s">
        <v>525</v>
      </c>
      <c r="F1891" t="s">
        <v>526</v>
      </c>
      <c r="G1891">
        <f t="shared" si="89"/>
        <v>15</v>
      </c>
      <c r="H1891" t="str">
        <f t="shared" si="87"/>
        <v>Vegetable</v>
      </c>
    </row>
    <row r="1892" spans="1:8">
      <c r="A1892" s="45">
        <v>43208</v>
      </c>
      <c r="B1892" t="s">
        <v>433</v>
      </c>
      <c r="C1892">
        <f t="shared" si="88"/>
        <v>20</v>
      </c>
      <c r="D1892">
        <v>1</v>
      </c>
      <c r="E1892" t="s">
        <v>525</v>
      </c>
      <c r="F1892" t="s">
        <v>526</v>
      </c>
      <c r="G1892">
        <f t="shared" si="89"/>
        <v>20</v>
      </c>
      <c r="H1892" t="str">
        <f t="shared" si="87"/>
        <v>Vegetable</v>
      </c>
    </row>
    <row r="1893" spans="1:8">
      <c r="A1893" s="45">
        <v>43208</v>
      </c>
      <c r="B1893" t="s">
        <v>420</v>
      </c>
      <c r="C1893">
        <f t="shared" si="88"/>
        <v>3</v>
      </c>
      <c r="D1893">
        <v>1.2</v>
      </c>
      <c r="E1893" t="s">
        <v>525</v>
      </c>
      <c r="F1893" t="s">
        <v>526</v>
      </c>
      <c r="G1893">
        <f t="shared" si="89"/>
        <v>3.5999999999999996</v>
      </c>
      <c r="H1893" t="str">
        <f t="shared" si="87"/>
        <v>Vegetable</v>
      </c>
    </row>
    <row r="1894" spans="1:8">
      <c r="A1894" s="45">
        <v>43208</v>
      </c>
      <c r="B1894" t="s">
        <v>487</v>
      </c>
      <c r="C1894">
        <f t="shared" si="88"/>
        <v>40</v>
      </c>
      <c r="D1894">
        <v>1</v>
      </c>
      <c r="E1894" t="s">
        <v>525</v>
      </c>
      <c r="F1894" t="s">
        <v>526</v>
      </c>
      <c r="G1894">
        <f t="shared" si="89"/>
        <v>40</v>
      </c>
      <c r="H1894" t="str">
        <f t="shared" si="87"/>
        <v>Dry Grocery</v>
      </c>
    </row>
    <row r="1895" spans="1:8">
      <c r="A1895" s="45">
        <v>43208</v>
      </c>
      <c r="B1895" t="s">
        <v>454</v>
      </c>
      <c r="C1895">
        <f t="shared" si="88"/>
        <v>43.06</v>
      </c>
      <c r="D1895">
        <v>0.4</v>
      </c>
      <c r="E1895" t="s">
        <v>525</v>
      </c>
      <c r="F1895" t="s">
        <v>526</v>
      </c>
      <c r="G1895">
        <f t="shared" si="89"/>
        <v>17.224</v>
      </c>
      <c r="H1895" t="str">
        <f t="shared" si="87"/>
        <v>Vegetable</v>
      </c>
    </row>
    <row r="1896" spans="1:8">
      <c r="A1896" s="45">
        <v>43208</v>
      </c>
      <c r="B1896" t="s">
        <v>463</v>
      </c>
      <c r="C1896">
        <f t="shared" si="88"/>
        <v>29.51</v>
      </c>
      <c r="D1896">
        <v>2</v>
      </c>
      <c r="E1896" t="s">
        <v>525</v>
      </c>
      <c r="F1896" t="s">
        <v>526</v>
      </c>
      <c r="G1896">
        <f t="shared" si="89"/>
        <v>59.02</v>
      </c>
      <c r="H1896" t="str">
        <f t="shared" si="87"/>
        <v>Dry Grocery</v>
      </c>
    </row>
    <row r="1897" spans="1:8">
      <c r="A1897" s="45">
        <v>43208</v>
      </c>
      <c r="B1897" t="s">
        <v>457</v>
      </c>
      <c r="C1897">
        <f t="shared" si="88"/>
        <v>64</v>
      </c>
      <c r="D1897">
        <v>1.5</v>
      </c>
      <c r="E1897" t="s">
        <v>525</v>
      </c>
      <c r="F1897" t="s">
        <v>526</v>
      </c>
      <c r="G1897">
        <f t="shared" si="89"/>
        <v>96</v>
      </c>
      <c r="H1897" t="str">
        <f t="shared" si="87"/>
        <v>Dry Grocery</v>
      </c>
    </row>
    <row r="1898" spans="1:8">
      <c r="A1898" s="45">
        <v>43208</v>
      </c>
      <c r="B1898" t="s">
        <v>474</v>
      </c>
      <c r="C1898">
        <f t="shared" si="88"/>
        <v>27</v>
      </c>
      <c r="D1898">
        <v>3.5</v>
      </c>
      <c r="E1898" t="s">
        <v>525</v>
      </c>
      <c r="F1898" t="s">
        <v>526</v>
      </c>
      <c r="G1898">
        <f t="shared" si="89"/>
        <v>94.5</v>
      </c>
      <c r="H1898" t="str">
        <f t="shared" si="87"/>
        <v>Dry Grocery</v>
      </c>
    </row>
    <row r="1899" spans="1:8">
      <c r="A1899" s="45">
        <v>43208</v>
      </c>
      <c r="B1899" t="s">
        <v>463</v>
      </c>
      <c r="C1899">
        <f t="shared" si="88"/>
        <v>29.51</v>
      </c>
      <c r="D1899">
        <v>0.46</v>
      </c>
      <c r="E1899" t="s">
        <v>525</v>
      </c>
      <c r="F1899" t="s">
        <v>526</v>
      </c>
      <c r="G1899">
        <f t="shared" si="89"/>
        <v>13.574600000000002</v>
      </c>
      <c r="H1899" t="str">
        <f t="shared" si="87"/>
        <v>Dry Grocery</v>
      </c>
    </row>
    <row r="1900" spans="1:8">
      <c r="A1900" s="45">
        <v>43208</v>
      </c>
      <c r="B1900" t="s">
        <v>492</v>
      </c>
      <c r="C1900">
        <f t="shared" si="88"/>
        <v>48</v>
      </c>
      <c r="D1900">
        <v>1</v>
      </c>
      <c r="E1900" t="s">
        <v>525</v>
      </c>
      <c r="F1900" t="s">
        <v>526</v>
      </c>
      <c r="G1900">
        <f t="shared" si="89"/>
        <v>48</v>
      </c>
      <c r="H1900" t="str">
        <f t="shared" si="87"/>
        <v>Food Color</v>
      </c>
    </row>
    <row r="1901" spans="1:8">
      <c r="A1901" s="45">
        <v>43208</v>
      </c>
      <c r="B1901" t="s">
        <v>458</v>
      </c>
      <c r="C1901">
        <f t="shared" si="88"/>
        <v>140</v>
      </c>
      <c r="D1901">
        <v>0.75</v>
      </c>
      <c r="E1901" t="s">
        <v>525</v>
      </c>
      <c r="F1901" t="s">
        <v>526</v>
      </c>
      <c r="G1901">
        <f t="shared" si="89"/>
        <v>105</v>
      </c>
      <c r="H1901" t="str">
        <f t="shared" si="87"/>
        <v>Dairy</v>
      </c>
    </row>
    <row r="1902" spans="1:8">
      <c r="A1902" s="45">
        <v>43208</v>
      </c>
      <c r="B1902" t="s">
        <v>451</v>
      </c>
      <c r="C1902">
        <f t="shared" si="88"/>
        <v>60</v>
      </c>
      <c r="D1902">
        <v>0.16500000000000001</v>
      </c>
      <c r="E1902" t="s">
        <v>525</v>
      </c>
      <c r="F1902" t="s">
        <v>526</v>
      </c>
      <c r="G1902">
        <f t="shared" si="89"/>
        <v>9.9</v>
      </c>
      <c r="H1902" t="str">
        <f t="shared" si="87"/>
        <v>Vegetable</v>
      </c>
    </row>
    <row r="1903" spans="1:8">
      <c r="A1903" s="45">
        <v>43208</v>
      </c>
      <c r="B1903" t="s">
        <v>490</v>
      </c>
      <c r="C1903">
        <f t="shared" si="88"/>
        <v>100</v>
      </c>
      <c r="D1903">
        <v>0.57499999999999996</v>
      </c>
      <c r="E1903" t="s">
        <v>525</v>
      </c>
      <c r="F1903" t="s">
        <v>526</v>
      </c>
      <c r="G1903">
        <f t="shared" si="89"/>
        <v>57.499999999999993</v>
      </c>
      <c r="H1903" t="str">
        <f t="shared" si="87"/>
        <v>Processed Food</v>
      </c>
    </row>
    <row r="1904" spans="1:8">
      <c r="A1904" s="45">
        <v>43208</v>
      </c>
      <c r="B1904" t="s">
        <v>401</v>
      </c>
      <c r="C1904">
        <f t="shared" si="88"/>
        <v>33</v>
      </c>
      <c r="D1904">
        <v>0.3</v>
      </c>
      <c r="E1904" t="s">
        <v>525</v>
      </c>
      <c r="F1904" t="s">
        <v>526</v>
      </c>
      <c r="G1904">
        <f t="shared" si="89"/>
        <v>9.9</v>
      </c>
      <c r="H1904" t="str">
        <f t="shared" si="87"/>
        <v>Canned Food</v>
      </c>
    </row>
    <row r="1905" spans="1:8">
      <c r="A1905" s="45">
        <v>43208</v>
      </c>
      <c r="B1905" t="s">
        <v>473</v>
      </c>
      <c r="C1905">
        <f t="shared" si="88"/>
        <v>175</v>
      </c>
      <c r="D1905">
        <v>0</v>
      </c>
      <c r="E1905" t="s">
        <v>525</v>
      </c>
      <c r="F1905" t="s">
        <v>526</v>
      </c>
      <c r="G1905">
        <f t="shared" si="89"/>
        <v>0</v>
      </c>
      <c r="H1905" t="str">
        <f t="shared" si="87"/>
        <v>Dairy</v>
      </c>
    </row>
    <row r="1906" spans="1:8">
      <c r="A1906" s="45">
        <v>43208</v>
      </c>
      <c r="B1906" t="s">
        <v>375</v>
      </c>
      <c r="C1906">
        <f t="shared" si="88"/>
        <v>280</v>
      </c>
      <c r="D1906">
        <v>0.1</v>
      </c>
      <c r="E1906" t="s">
        <v>525</v>
      </c>
      <c r="F1906" t="s">
        <v>526</v>
      </c>
      <c r="G1906">
        <f t="shared" si="89"/>
        <v>28</v>
      </c>
      <c r="H1906" t="str">
        <f t="shared" si="87"/>
        <v>Dry Grocery</v>
      </c>
    </row>
    <row r="1907" spans="1:8">
      <c r="A1907" s="45">
        <v>43208</v>
      </c>
      <c r="B1907" t="s">
        <v>426</v>
      </c>
      <c r="C1907">
        <f t="shared" si="88"/>
        <v>57.5</v>
      </c>
      <c r="D1907">
        <v>0.03</v>
      </c>
      <c r="E1907" t="s">
        <v>525</v>
      </c>
      <c r="F1907" t="s">
        <v>526</v>
      </c>
      <c r="G1907">
        <f t="shared" si="89"/>
        <v>1.7249999999999999</v>
      </c>
      <c r="H1907" t="str">
        <f t="shared" si="87"/>
        <v>Dry Grocery</v>
      </c>
    </row>
    <row r="1908" spans="1:8">
      <c r="A1908" s="45">
        <v>43208</v>
      </c>
      <c r="B1908" t="s">
        <v>387</v>
      </c>
      <c r="C1908">
        <f t="shared" si="88"/>
        <v>187.41</v>
      </c>
      <c r="D1908">
        <v>0.03</v>
      </c>
      <c r="E1908" t="s">
        <v>525</v>
      </c>
      <c r="F1908" t="s">
        <v>526</v>
      </c>
      <c r="G1908">
        <f t="shared" si="89"/>
        <v>5.6223000000000001</v>
      </c>
      <c r="H1908" t="str">
        <f t="shared" si="87"/>
        <v>Dry Grocery</v>
      </c>
    </row>
    <row r="1909" spans="1:8">
      <c r="A1909" s="45">
        <v>43208</v>
      </c>
      <c r="B1909" t="s">
        <v>482</v>
      </c>
      <c r="C1909">
        <f t="shared" si="88"/>
        <v>48</v>
      </c>
      <c r="D1909">
        <v>2.5000000000000001E-2</v>
      </c>
      <c r="E1909" t="s">
        <v>525</v>
      </c>
      <c r="F1909" t="s">
        <v>526</v>
      </c>
      <c r="G1909">
        <f t="shared" si="89"/>
        <v>1.2000000000000002</v>
      </c>
      <c r="H1909" t="str">
        <f t="shared" si="87"/>
        <v>Dry Grocery</v>
      </c>
    </row>
    <row r="1910" spans="1:8">
      <c r="A1910" s="45">
        <v>43208</v>
      </c>
      <c r="B1910" t="s">
        <v>435</v>
      </c>
      <c r="C1910">
        <f t="shared" si="88"/>
        <v>17</v>
      </c>
      <c r="D1910">
        <v>0.54500000000000004</v>
      </c>
      <c r="E1910" t="s">
        <v>525</v>
      </c>
      <c r="F1910" t="s">
        <v>526</v>
      </c>
      <c r="G1910">
        <f t="shared" si="89"/>
        <v>9.2650000000000006</v>
      </c>
      <c r="H1910" t="str">
        <f t="shared" si="87"/>
        <v>Dry Grocery</v>
      </c>
    </row>
    <row r="1911" spans="1:8">
      <c r="A1911" s="45">
        <v>43208</v>
      </c>
      <c r="B1911" t="s">
        <v>455</v>
      </c>
      <c r="C1911">
        <f t="shared" si="88"/>
        <v>380</v>
      </c>
      <c r="D1911">
        <v>0.03</v>
      </c>
      <c r="E1911" t="s">
        <v>525</v>
      </c>
      <c r="F1911" t="s">
        <v>526</v>
      </c>
      <c r="G1911">
        <f t="shared" si="89"/>
        <v>11.4</v>
      </c>
      <c r="H1911" t="str">
        <f t="shared" si="87"/>
        <v>Dry Grocery</v>
      </c>
    </row>
    <row r="1912" spans="1:8">
      <c r="A1912" s="45">
        <v>43208</v>
      </c>
      <c r="B1912" t="s">
        <v>475</v>
      </c>
      <c r="C1912">
        <f t="shared" si="88"/>
        <v>148</v>
      </c>
      <c r="D1912">
        <v>0.877</v>
      </c>
      <c r="E1912" t="s">
        <v>525</v>
      </c>
      <c r="F1912" t="s">
        <v>526</v>
      </c>
      <c r="G1912">
        <f t="shared" si="89"/>
        <v>129.79599999999999</v>
      </c>
      <c r="H1912" t="str">
        <f t="shared" si="87"/>
        <v>Dry Grocery</v>
      </c>
    </row>
    <row r="1913" spans="1:8">
      <c r="A1913" s="45">
        <v>43208</v>
      </c>
      <c r="B1913" t="s">
        <v>518</v>
      </c>
      <c r="C1913">
        <f t="shared" si="88"/>
        <v>24</v>
      </c>
      <c r="D1913">
        <v>0.01</v>
      </c>
      <c r="E1913" t="s">
        <v>525</v>
      </c>
      <c r="F1913" t="s">
        <v>526</v>
      </c>
      <c r="G1913">
        <f t="shared" si="89"/>
        <v>0.24</v>
      </c>
      <c r="H1913" t="str">
        <f t="shared" si="87"/>
        <v>Dry Grocery</v>
      </c>
    </row>
    <row r="1914" spans="1:8">
      <c r="A1914" s="45">
        <v>43208</v>
      </c>
      <c r="B1914" t="s">
        <v>397</v>
      </c>
      <c r="C1914">
        <f t="shared" si="88"/>
        <v>75</v>
      </c>
      <c r="D1914">
        <v>0.37</v>
      </c>
      <c r="E1914" t="s">
        <v>525</v>
      </c>
      <c r="F1914" t="s">
        <v>526</v>
      </c>
      <c r="G1914">
        <f t="shared" si="89"/>
        <v>27.75</v>
      </c>
      <c r="H1914" t="str">
        <f t="shared" si="87"/>
        <v>Sauce</v>
      </c>
    </row>
    <row r="1915" spans="1:8">
      <c r="A1915" s="45">
        <v>43208</v>
      </c>
      <c r="B1915" t="s">
        <v>385</v>
      </c>
      <c r="C1915">
        <f t="shared" si="88"/>
        <v>36</v>
      </c>
      <c r="D1915">
        <v>0.5</v>
      </c>
      <c r="E1915" t="s">
        <v>525</v>
      </c>
      <c r="F1915" t="s">
        <v>526</v>
      </c>
      <c r="G1915">
        <f t="shared" si="89"/>
        <v>18</v>
      </c>
      <c r="H1915" t="str">
        <f t="shared" si="87"/>
        <v>Dairy</v>
      </c>
    </row>
    <row r="1916" spans="1:8">
      <c r="A1916" s="45">
        <v>43208</v>
      </c>
      <c r="B1916" t="s">
        <v>379</v>
      </c>
      <c r="C1916">
        <f t="shared" si="88"/>
        <v>120</v>
      </c>
      <c r="D1916">
        <v>0.05</v>
      </c>
      <c r="E1916" t="s">
        <v>525</v>
      </c>
      <c r="F1916" t="s">
        <v>526</v>
      </c>
      <c r="G1916">
        <f t="shared" si="89"/>
        <v>6</v>
      </c>
      <c r="H1916" t="str">
        <f t="shared" si="87"/>
        <v>Dry Grocery</v>
      </c>
    </row>
    <row r="1917" spans="1:8">
      <c r="A1917" s="45">
        <v>43208</v>
      </c>
      <c r="B1917" t="s">
        <v>672</v>
      </c>
      <c r="C1917">
        <f t="shared" si="88"/>
        <v>0</v>
      </c>
      <c r="D1917">
        <v>0.1</v>
      </c>
      <c r="E1917" t="s">
        <v>525</v>
      </c>
      <c r="F1917" t="s">
        <v>526</v>
      </c>
      <c r="G1917">
        <f t="shared" si="89"/>
        <v>0</v>
      </c>
      <c r="H1917" t="str">
        <f t="shared" si="87"/>
        <v>Dry Grocery</v>
      </c>
    </row>
    <row r="1918" spans="1:8">
      <c r="A1918" s="45">
        <v>43208</v>
      </c>
      <c r="B1918" t="s">
        <v>561</v>
      </c>
      <c r="C1918">
        <f t="shared" si="88"/>
        <v>0</v>
      </c>
      <c r="D1918">
        <v>0.77500000000000002</v>
      </c>
      <c r="E1918" t="s">
        <v>525</v>
      </c>
      <c r="F1918" t="s">
        <v>526</v>
      </c>
      <c r="G1918">
        <f t="shared" si="89"/>
        <v>0</v>
      </c>
      <c r="H1918" t="str">
        <f t="shared" si="87"/>
        <v>SemiFinished_Prod</v>
      </c>
    </row>
    <row r="1919" spans="1:8">
      <c r="A1919" s="45">
        <v>43208</v>
      </c>
      <c r="B1919" t="s">
        <v>675</v>
      </c>
      <c r="C1919">
        <f t="shared" si="88"/>
        <v>0</v>
      </c>
      <c r="D1919">
        <v>1.6</v>
      </c>
      <c r="E1919" t="s">
        <v>525</v>
      </c>
      <c r="F1919" t="s">
        <v>526</v>
      </c>
      <c r="G1919">
        <f t="shared" si="89"/>
        <v>0</v>
      </c>
      <c r="H1919" t="str">
        <f t="shared" si="87"/>
        <v>SemiFinished_Prod</v>
      </c>
    </row>
    <row r="1920" spans="1:8">
      <c r="A1920" s="45">
        <v>43208</v>
      </c>
      <c r="B1920" t="s">
        <v>398</v>
      </c>
      <c r="C1920">
        <f t="shared" si="88"/>
        <v>51</v>
      </c>
      <c r="D1920">
        <v>7.4999999999999997E-2</v>
      </c>
      <c r="E1920" t="s">
        <v>525</v>
      </c>
      <c r="F1920" t="s">
        <v>526</v>
      </c>
      <c r="G1920">
        <f t="shared" si="89"/>
        <v>3.8249999999999997</v>
      </c>
      <c r="H1920" t="str">
        <f t="shared" si="87"/>
        <v>Dry Grocery</v>
      </c>
    </row>
    <row r="1921" spans="1:8">
      <c r="A1921" s="45">
        <v>43208</v>
      </c>
      <c r="B1921" t="s">
        <v>485</v>
      </c>
      <c r="C1921">
        <f t="shared" si="88"/>
        <v>96</v>
      </c>
      <c r="D1921">
        <v>0.11600000000000001</v>
      </c>
      <c r="E1921" t="s">
        <v>525</v>
      </c>
      <c r="F1921" t="s">
        <v>526</v>
      </c>
      <c r="G1921">
        <f t="shared" si="89"/>
        <v>11.136000000000001</v>
      </c>
      <c r="H1921" t="str">
        <f t="shared" si="87"/>
        <v>Oil</v>
      </c>
    </row>
    <row r="1922" spans="1:8">
      <c r="A1922" s="45">
        <v>43208</v>
      </c>
      <c r="B1922" t="s">
        <v>370</v>
      </c>
      <c r="C1922">
        <f t="shared" si="88"/>
        <v>55</v>
      </c>
      <c r="D1922">
        <v>1.4999999999999999E-2</v>
      </c>
      <c r="E1922" t="s">
        <v>525</v>
      </c>
      <c r="F1922" t="s">
        <v>526</v>
      </c>
      <c r="G1922">
        <f t="shared" si="89"/>
        <v>0.82499999999999996</v>
      </c>
      <c r="H1922" t="str">
        <f t="shared" si="87"/>
        <v>Sauce</v>
      </c>
    </row>
    <row r="1923" spans="1:8">
      <c r="A1923" s="45">
        <v>43208</v>
      </c>
      <c r="B1923" t="s">
        <v>462</v>
      </c>
      <c r="C1923">
        <f t="shared" si="88"/>
        <v>138</v>
      </c>
      <c r="D1923">
        <v>0.04</v>
      </c>
      <c r="E1923" t="s">
        <v>525</v>
      </c>
      <c r="F1923" t="s">
        <v>526</v>
      </c>
      <c r="G1923">
        <f t="shared" ref="G1923:G1986" si="90">IF(C1923="","",C1923*D1923)</f>
        <v>5.5200000000000005</v>
      </c>
      <c r="H1923" t="str">
        <f t="shared" si="87"/>
        <v>Dry Grocery</v>
      </c>
    </row>
    <row r="1924" spans="1:8">
      <c r="A1924" s="45">
        <v>43208</v>
      </c>
      <c r="B1924" t="s">
        <v>392</v>
      </c>
      <c r="C1924">
        <f t="shared" si="88"/>
        <v>840</v>
      </c>
      <c r="D1924">
        <v>0.06</v>
      </c>
      <c r="E1924" t="s">
        <v>525</v>
      </c>
      <c r="F1924" t="s">
        <v>526</v>
      </c>
      <c r="G1924">
        <f t="shared" si="90"/>
        <v>50.4</v>
      </c>
      <c r="H1924" t="str">
        <f t="shared" si="87"/>
        <v>Dry Grocery</v>
      </c>
    </row>
    <row r="1925" spans="1:8">
      <c r="A1925" s="45">
        <v>43208</v>
      </c>
      <c r="B1925" t="s">
        <v>468</v>
      </c>
      <c r="C1925">
        <f t="shared" si="88"/>
        <v>32</v>
      </c>
      <c r="D1925">
        <v>5</v>
      </c>
      <c r="E1925" t="s">
        <v>525</v>
      </c>
      <c r="F1925" t="s">
        <v>526</v>
      </c>
      <c r="G1925">
        <f t="shared" si="90"/>
        <v>160</v>
      </c>
      <c r="H1925" t="str">
        <f t="shared" si="87"/>
        <v>Vegetable</v>
      </c>
    </row>
    <row r="1926" spans="1:8">
      <c r="A1926" s="45">
        <v>43208</v>
      </c>
      <c r="B1926" t="s">
        <v>434</v>
      </c>
      <c r="C1926">
        <f t="shared" si="88"/>
        <v>125</v>
      </c>
      <c r="D1926">
        <v>0.15</v>
      </c>
      <c r="E1926" t="s">
        <v>525</v>
      </c>
      <c r="F1926" t="s">
        <v>526</v>
      </c>
      <c r="G1926">
        <f t="shared" si="90"/>
        <v>18.75</v>
      </c>
      <c r="H1926" t="str">
        <f t="shared" si="87"/>
        <v>Vegetable</v>
      </c>
    </row>
    <row r="1927" spans="1:8">
      <c r="A1927" s="45">
        <v>43208</v>
      </c>
      <c r="B1927" t="s">
        <v>489</v>
      </c>
      <c r="C1927">
        <f t="shared" si="88"/>
        <v>280</v>
      </c>
      <c r="D1927">
        <v>0.375</v>
      </c>
      <c r="E1927" t="s">
        <v>525</v>
      </c>
      <c r="F1927" t="s">
        <v>526</v>
      </c>
      <c r="G1927">
        <f t="shared" si="90"/>
        <v>105</v>
      </c>
      <c r="H1927" t="str">
        <f t="shared" si="87"/>
        <v>Processed Food</v>
      </c>
    </row>
    <row r="1928" spans="1:8">
      <c r="A1928" s="45">
        <v>43208</v>
      </c>
      <c r="B1928" t="s">
        <v>425</v>
      </c>
      <c r="C1928">
        <f t="shared" si="88"/>
        <v>580</v>
      </c>
      <c r="D1928">
        <v>0.02</v>
      </c>
      <c r="E1928" t="s">
        <v>525</v>
      </c>
      <c r="F1928" t="s">
        <v>526</v>
      </c>
      <c r="G1928">
        <f t="shared" si="90"/>
        <v>11.6</v>
      </c>
      <c r="H1928" t="str">
        <f t="shared" si="87"/>
        <v>Dry Grocery</v>
      </c>
    </row>
    <row r="1929" spans="1:8">
      <c r="A1929" s="45">
        <v>43208</v>
      </c>
      <c r="B1929" t="s">
        <v>502</v>
      </c>
      <c r="C1929">
        <f t="shared" si="88"/>
        <v>40</v>
      </c>
      <c r="D1929">
        <v>0.2</v>
      </c>
      <c r="E1929" t="s">
        <v>336</v>
      </c>
      <c r="F1929" t="s">
        <v>527</v>
      </c>
      <c r="G1929">
        <f t="shared" si="90"/>
        <v>8</v>
      </c>
      <c r="H1929" t="str">
        <f t="shared" si="87"/>
        <v>Processed Food</v>
      </c>
    </row>
    <row r="1930" spans="1:8">
      <c r="A1930" s="45">
        <v>43208</v>
      </c>
      <c r="B1930" t="s">
        <v>385</v>
      </c>
      <c r="C1930">
        <f t="shared" si="88"/>
        <v>36</v>
      </c>
      <c r="D1930">
        <v>3</v>
      </c>
      <c r="E1930" t="s">
        <v>336</v>
      </c>
      <c r="F1930" t="s">
        <v>527</v>
      </c>
      <c r="G1930">
        <f t="shared" si="90"/>
        <v>108</v>
      </c>
      <c r="H1930" t="str">
        <f t="shared" si="87"/>
        <v>Dairy</v>
      </c>
    </row>
    <row r="1931" spans="1:8">
      <c r="A1931" s="45">
        <v>43208</v>
      </c>
      <c r="B1931" t="s">
        <v>382</v>
      </c>
      <c r="C1931">
        <f t="shared" si="88"/>
        <v>42</v>
      </c>
      <c r="D1931">
        <v>1.5</v>
      </c>
      <c r="E1931" t="s">
        <v>336</v>
      </c>
      <c r="F1931" t="s">
        <v>527</v>
      </c>
      <c r="G1931">
        <f t="shared" si="90"/>
        <v>63</v>
      </c>
      <c r="H1931" t="str">
        <f t="shared" si="87"/>
        <v>Dairy</v>
      </c>
    </row>
    <row r="1932" spans="1:8">
      <c r="A1932" s="45">
        <v>43208</v>
      </c>
      <c r="B1932" t="s">
        <v>404</v>
      </c>
      <c r="C1932">
        <f t="shared" si="88"/>
        <v>28</v>
      </c>
      <c r="D1932">
        <v>4</v>
      </c>
      <c r="E1932" t="s">
        <v>336</v>
      </c>
      <c r="F1932" t="s">
        <v>527</v>
      </c>
      <c r="G1932">
        <f t="shared" si="90"/>
        <v>112</v>
      </c>
      <c r="H1932" t="str">
        <f t="shared" si="87"/>
        <v>Vegetable</v>
      </c>
    </row>
    <row r="1933" spans="1:8">
      <c r="A1933" s="45">
        <v>43208</v>
      </c>
      <c r="B1933" t="s">
        <v>511</v>
      </c>
      <c r="C1933">
        <f t="shared" si="88"/>
        <v>52</v>
      </c>
      <c r="D1933">
        <v>4.4000000000000004</v>
      </c>
      <c r="E1933" t="s">
        <v>336</v>
      </c>
      <c r="F1933" t="s">
        <v>527</v>
      </c>
      <c r="G1933">
        <f t="shared" si="90"/>
        <v>228.8</v>
      </c>
      <c r="H1933" t="str">
        <f t="shared" si="87"/>
        <v>Dry Grocery</v>
      </c>
    </row>
    <row r="1934" spans="1:8">
      <c r="A1934" s="45">
        <v>43208</v>
      </c>
      <c r="B1934" t="s">
        <v>436</v>
      </c>
      <c r="C1934">
        <f t="shared" si="88"/>
        <v>37</v>
      </c>
      <c r="D1934">
        <v>0.45</v>
      </c>
      <c r="E1934" t="s">
        <v>336</v>
      </c>
      <c r="F1934" t="s">
        <v>527</v>
      </c>
      <c r="G1934">
        <f t="shared" si="90"/>
        <v>16.650000000000002</v>
      </c>
      <c r="H1934" t="str">
        <f t="shared" si="87"/>
        <v>Dry Grocery</v>
      </c>
    </row>
    <row r="1935" spans="1:8">
      <c r="A1935" s="45">
        <v>43208</v>
      </c>
      <c r="B1935" t="s">
        <v>375</v>
      </c>
      <c r="C1935">
        <f t="shared" si="88"/>
        <v>280</v>
      </c>
      <c r="D1935">
        <v>0.12</v>
      </c>
      <c r="E1935" t="s">
        <v>336</v>
      </c>
      <c r="F1935" t="s">
        <v>527</v>
      </c>
      <c r="G1935">
        <f t="shared" si="90"/>
        <v>33.6</v>
      </c>
      <c r="H1935" t="str">
        <f t="shared" si="87"/>
        <v>Dry Grocery</v>
      </c>
    </row>
    <row r="1936" spans="1:8">
      <c r="A1936" s="45">
        <v>43208</v>
      </c>
      <c r="B1936" t="s">
        <v>379</v>
      </c>
      <c r="C1936">
        <f t="shared" si="88"/>
        <v>120</v>
      </c>
      <c r="D1936">
        <v>3.5000000000000003E-2</v>
      </c>
      <c r="E1936" t="s">
        <v>336</v>
      </c>
      <c r="F1936" t="s">
        <v>527</v>
      </c>
      <c r="G1936">
        <f t="shared" si="90"/>
        <v>4.2</v>
      </c>
      <c r="H1936" t="str">
        <f t="shared" si="87"/>
        <v>Dry Grocery</v>
      </c>
    </row>
    <row r="1937" spans="1:8">
      <c r="A1937" s="45">
        <v>43208</v>
      </c>
      <c r="B1937" t="s">
        <v>507</v>
      </c>
      <c r="C1937">
        <f t="shared" si="88"/>
        <v>340</v>
      </c>
      <c r="D1937">
        <v>0</v>
      </c>
      <c r="E1937" t="s">
        <v>336</v>
      </c>
      <c r="F1937" t="s">
        <v>527</v>
      </c>
      <c r="G1937">
        <f t="shared" si="90"/>
        <v>0</v>
      </c>
      <c r="H1937" t="str">
        <f t="shared" si="87"/>
        <v>Dry Grocery</v>
      </c>
    </row>
    <row r="1938" spans="1:8">
      <c r="A1938" s="45">
        <v>43208</v>
      </c>
      <c r="B1938" t="s">
        <v>509</v>
      </c>
      <c r="C1938">
        <f t="shared" si="88"/>
        <v>500</v>
      </c>
      <c r="D1938">
        <v>0.11</v>
      </c>
      <c r="E1938" t="s">
        <v>336</v>
      </c>
      <c r="F1938" t="s">
        <v>527</v>
      </c>
      <c r="G1938">
        <f t="shared" si="90"/>
        <v>55</v>
      </c>
      <c r="H1938" t="str">
        <f t="shared" si="87"/>
        <v>Dry Grocery</v>
      </c>
    </row>
    <row r="1939" spans="1:8">
      <c r="A1939" s="45">
        <v>43208</v>
      </c>
      <c r="B1939" t="s">
        <v>381</v>
      </c>
      <c r="C1939">
        <f t="shared" si="88"/>
        <v>7</v>
      </c>
      <c r="D1939">
        <v>0.6</v>
      </c>
      <c r="E1939" t="s">
        <v>336</v>
      </c>
      <c r="F1939" t="s">
        <v>527</v>
      </c>
      <c r="G1939">
        <f t="shared" si="90"/>
        <v>4.2</v>
      </c>
      <c r="H1939" t="str">
        <f t="shared" si="87"/>
        <v>Dry Grocery</v>
      </c>
    </row>
    <row r="1940" spans="1:8">
      <c r="A1940" s="45">
        <v>43208</v>
      </c>
      <c r="B1940" t="s">
        <v>387</v>
      </c>
      <c r="C1940">
        <f t="shared" si="88"/>
        <v>187.41</v>
      </c>
      <c r="D1940">
        <v>0.08</v>
      </c>
      <c r="E1940" t="s">
        <v>336</v>
      </c>
      <c r="F1940" t="s">
        <v>527</v>
      </c>
      <c r="G1940">
        <f t="shared" si="90"/>
        <v>14.992800000000001</v>
      </c>
      <c r="H1940" t="str">
        <f t="shared" si="87"/>
        <v>Dry Grocery</v>
      </c>
    </row>
    <row r="1941" spans="1:8">
      <c r="A1941" s="45">
        <v>43208</v>
      </c>
      <c r="B1941" t="s">
        <v>485</v>
      </c>
      <c r="C1941">
        <f t="shared" si="88"/>
        <v>96</v>
      </c>
      <c r="D1941">
        <v>0.44</v>
      </c>
      <c r="E1941" t="s">
        <v>336</v>
      </c>
      <c r="F1941" t="s">
        <v>527</v>
      </c>
      <c r="G1941">
        <f t="shared" si="90"/>
        <v>42.24</v>
      </c>
      <c r="H1941" t="str">
        <f t="shared" si="87"/>
        <v>Oil</v>
      </c>
    </row>
    <row r="1942" spans="1:8">
      <c r="A1942" s="45">
        <v>43208</v>
      </c>
      <c r="B1942" t="s">
        <v>386</v>
      </c>
      <c r="C1942">
        <f t="shared" si="88"/>
        <v>82</v>
      </c>
      <c r="D1942">
        <v>1</v>
      </c>
      <c r="E1942" t="s">
        <v>336</v>
      </c>
      <c r="F1942" t="s">
        <v>527</v>
      </c>
      <c r="G1942">
        <f t="shared" si="90"/>
        <v>82</v>
      </c>
      <c r="H1942" t="str">
        <f t="shared" si="87"/>
        <v>Oil</v>
      </c>
    </row>
    <row r="1943" spans="1:8">
      <c r="A1943" s="45">
        <v>43208</v>
      </c>
      <c r="B1943" t="s">
        <v>383</v>
      </c>
      <c r="C1943">
        <f t="shared" si="88"/>
        <v>230</v>
      </c>
      <c r="D1943">
        <v>7.0000000000000007E-2</v>
      </c>
      <c r="E1943" t="s">
        <v>336</v>
      </c>
      <c r="F1943" t="s">
        <v>527</v>
      </c>
      <c r="G1943">
        <f t="shared" si="90"/>
        <v>16.100000000000001</v>
      </c>
      <c r="H1943" t="str">
        <f t="shared" si="87"/>
        <v>Dry Grocery</v>
      </c>
    </row>
    <row r="1944" spans="1:8">
      <c r="A1944" s="45">
        <v>43208</v>
      </c>
      <c r="B1944" t="s">
        <v>431</v>
      </c>
      <c r="C1944">
        <f t="shared" si="88"/>
        <v>70</v>
      </c>
      <c r="D1944">
        <v>0.03</v>
      </c>
      <c r="E1944" t="s">
        <v>336</v>
      </c>
      <c r="F1944" t="s">
        <v>527</v>
      </c>
      <c r="G1944">
        <f t="shared" si="90"/>
        <v>2.1</v>
      </c>
      <c r="H1944" t="str">
        <f t="shared" si="87"/>
        <v>Dry Grocery</v>
      </c>
    </row>
    <row r="1945" spans="1:8">
      <c r="A1945" s="45">
        <v>43208</v>
      </c>
      <c r="B1945" t="s">
        <v>367</v>
      </c>
      <c r="C1945">
        <f t="shared" si="88"/>
        <v>55</v>
      </c>
      <c r="D1945">
        <v>0.1</v>
      </c>
      <c r="E1945" t="s">
        <v>336</v>
      </c>
      <c r="F1945" t="s">
        <v>527</v>
      </c>
      <c r="G1945">
        <f t="shared" si="90"/>
        <v>5.5</v>
      </c>
      <c r="H1945" t="str">
        <f t="shared" si="87"/>
        <v>Dry Grocery</v>
      </c>
    </row>
    <row r="1946" spans="1:8">
      <c r="A1946" s="45">
        <v>43208</v>
      </c>
      <c r="B1946" t="s">
        <v>432</v>
      </c>
      <c r="C1946">
        <f t="shared" si="88"/>
        <v>14</v>
      </c>
      <c r="D1946">
        <v>3</v>
      </c>
      <c r="E1946" t="s">
        <v>336</v>
      </c>
      <c r="F1946" t="s">
        <v>527</v>
      </c>
      <c r="G1946">
        <f t="shared" si="90"/>
        <v>42</v>
      </c>
      <c r="H1946" t="str">
        <f t="shared" si="87"/>
        <v>Vegetable</v>
      </c>
    </row>
    <row r="1947" spans="1:8">
      <c r="A1947" s="45">
        <v>43208</v>
      </c>
      <c r="B1947" t="s">
        <v>427</v>
      </c>
      <c r="C1947">
        <f t="shared" si="88"/>
        <v>28</v>
      </c>
      <c r="D1947">
        <v>0.3</v>
      </c>
      <c r="E1947" t="s">
        <v>336</v>
      </c>
      <c r="F1947" t="s">
        <v>527</v>
      </c>
      <c r="G1947">
        <f t="shared" si="90"/>
        <v>8.4</v>
      </c>
      <c r="H1947" t="str">
        <f t="shared" si="87"/>
        <v>Vegetable</v>
      </c>
    </row>
    <row r="1948" spans="1:8">
      <c r="A1948" s="45">
        <v>43208</v>
      </c>
      <c r="B1948" t="s">
        <v>437</v>
      </c>
      <c r="C1948">
        <f t="shared" si="88"/>
        <v>34</v>
      </c>
      <c r="D1948">
        <v>0.75</v>
      </c>
      <c r="E1948" t="s">
        <v>336</v>
      </c>
      <c r="F1948" t="s">
        <v>527</v>
      </c>
      <c r="G1948">
        <f t="shared" si="90"/>
        <v>25.5</v>
      </c>
      <c r="H1948" t="str">
        <f t="shared" si="87"/>
        <v>Dry Grocery</v>
      </c>
    </row>
    <row r="1949" spans="1:8">
      <c r="A1949" s="45">
        <v>43208</v>
      </c>
      <c r="B1949" t="s">
        <v>409</v>
      </c>
      <c r="C1949">
        <f t="shared" si="88"/>
        <v>64.069999999999993</v>
      </c>
      <c r="D1949">
        <v>0.6</v>
      </c>
      <c r="E1949" t="s">
        <v>336</v>
      </c>
      <c r="F1949" t="s">
        <v>527</v>
      </c>
      <c r="G1949">
        <f t="shared" si="90"/>
        <v>38.441999999999993</v>
      </c>
      <c r="H1949" t="str">
        <f t="shared" si="87"/>
        <v>Dry Grocery</v>
      </c>
    </row>
    <row r="1950" spans="1:8">
      <c r="A1950" s="45">
        <v>43208</v>
      </c>
      <c r="B1950" t="s">
        <v>512</v>
      </c>
      <c r="C1950">
        <f t="shared" si="88"/>
        <v>170</v>
      </c>
      <c r="D1950">
        <v>0.16</v>
      </c>
      <c r="E1950" t="s">
        <v>336</v>
      </c>
      <c r="F1950" t="s">
        <v>527</v>
      </c>
      <c r="G1950">
        <f t="shared" si="90"/>
        <v>27.2</v>
      </c>
      <c r="H1950" t="str">
        <f t="shared" si="87"/>
        <v>Dry Grocery</v>
      </c>
    </row>
    <row r="1951" spans="1:8">
      <c r="A1951" s="45">
        <v>43208</v>
      </c>
      <c r="B1951" t="s">
        <v>499</v>
      </c>
      <c r="C1951">
        <f t="shared" si="88"/>
        <v>60</v>
      </c>
      <c r="D1951">
        <v>0.15</v>
      </c>
      <c r="E1951" t="s">
        <v>336</v>
      </c>
      <c r="F1951" t="s">
        <v>527</v>
      </c>
      <c r="G1951">
        <f t="shared" si="90"/>
        <v>9</v>
      </c>
      <c r="H1951" t="str">
        <f t="shared" si="87"/>
        <v>Dry Grocery</v>
      </c>
    </row>
    <row r="1952" spans="1:8">
      <c r="A1952" s="45">
        <v>43208</v>
      </c>
      <c r="B1952" t="s">
        <v>514</v>
      </c>
      <c r="C1952">
        <f t="shared" si="88"/>
        <v>61.08</v>
      </c>
      <c r="D1952">
        <v>0.4</v>
      </c>
      <c r="E1952" t="s">
        <v>336</v>
      </c>
      <c r="F1952" t="s">
        <v>527</v>
      </c>
      <c r="G1952">
        <f t="shared" si="90"/>
        <v>24.432000000000002</v>
      </c>
      <c r="H1952" t="str">
        <f t="shared" si="87"/>
        <v>Dry Grocery</v>
      </c>
    </row>
    <row r="1953" spans="1:8">
      <c r="A1953" s="45">
        <v>43208</v>
      </c>
      <c r="B1953" t="s">
        <v>462</v>
      </c>
      <c r="C1953">
        <f t="shared" si="88"/>
        <v>138</v>
      </c>
      <c r="D1953">
        <v>0.03</v>
      </c>
      <c r="E1953" t="s">
        <v>336</v>
      </c>
      <c r="F1953" t="s">
        <v>527</v>
      </c>
      <c r="G1953">
        <f t="shared" si="90"/>
        <v>4.1399999999999997</v>
      </c>
      <c r="H1953" t="str">
        <f t="shared" si="87"/>
        <v>Dry Grocery</v>
      </c>
    </row>
    <row r="1954" spans="1:8">
      <c r="A1954" s="45">
        <v>43208</v>
      </c>
      <c r="B1954" t="s">
        <v>430</v>
      </c>
      <c r="C1954">
        <f t="shared" si="88"/>
        <v>30</v>
      </c>
      <c r="D1954">
        <v>0.2</v>
      </c>
      <c r="E1954" t="s">
        <v>336</v>
      </c>
      <c r="F1954" t="s">
        <v>527</v>
      </c>
      <c r="G1954">
        <f t="shared" si="90"/>
        <v>6</v>
      </c>
      <c r="H1954" t="str">
        <f t="shared" si="87"/>
        <v>Vegetable</v>
      </c>
    </row>
    <row r="1955" spans="1:8">
      <c r="A1955" s="45">
        <v>43208</v>
      </c>
      <c r="B1955" t="s">
        <v>466</v>
      </c>
      <c r="C1955">
        <f t="shared" si="88"/>
        <v>125</v>
      </c>
      <c r="D1955">
        <v>0.01</v>
      </c>
      <c r="E1955" t="s">
        <v>336</v>
      </c>
      <c r="F1955" t="s">
        <v>527</v>
      </c>
      <c r="G1955">
        <f t="shared" si="90"/>
        <v>1.25</v>
      </c>
      <c r="H1955" t="str">
        <f t="shared" si="87"/>
        <v>Dry Grocery</v>
      </c>
    </row>
    <row r="1956" spans="1:8">
      <c r="A1956" s="45">
        <v>43208</v>
      </c>
      <c r="B1956" t="s">
        <v>410</v>
      </c>
      <c r="C1956">
        <f t="shared" si="88"/>
        <v>76</v>
      </c>
      <c r="D1956">
        <v>0.115</v>
      </c>
      <c r="E1956" t="s">
        <v>336</v>
      </c>
      <c r="F1956" t="s">
        <v>527</v>
      </c>
      <c r="G1956">
        <f t="shared" si="90"/>
        <v>8.74</v>
      </c>
      <c r="H1956" t="str">
        <f t="shared" si="87"/>
        <v>Dry Grocery</v>
      </c>
    </row>
    <row r="1957" spans="1:8">
      <c r="A1957" s="45">
        <v>43208</v>
      </c>
      <c r="B1957" t="s">
        <v>454</v>
      </c>
      <c r="C1957">
        <f t="shared" si="88"/>
        <v>43.06</v>
      </c>
      <c r="D1957">
        <v>1.25</v>
      </c>
      <c r="E1957" t="s">
        <v>336</v>
      </c>
      <c r="F1957" t="s">
        <v>527</v>
      </c>
      <c r="G1957">
        <f t="shared" si="90"/>
        <v>53.825000000000003</v>
      </c>
      <c r="H1957" t="str">
        <f t="shared" si="87"/>
        <v>Vegetable</v>
      </c>
    </row>
    <row r="1958" spans="1:8">
      <c r="A1958" s="45">
        <v>43208</v>
      </c>
      <c r="B1958" t="s">
        <v>391</v>
      </c>
      <c r="C1958">
        <f t="shared" si="88"/>
        <v>27.97</v>
      </c>
      <c r="D1958">
        <v>0.25</v>
      </c>
      <c r="E1958" t="s">
        <v>336</v>
      </c>
      <c r="F1958" t="s">
        <v>527</v>
      </c>
      <c r="G1958">
        <f t="shared" si="90"/>
        <v>6.9924999999999997</v>
      </c>
      <c r="H1958" t="str">
        <f t="shared" si="87"/>
        <v>Vegetable</v>
      </c>
    </row>
    <row r="1959" spans="1:8">
      <c r="A1959" s="45">
        <v>43208</v>
      </c>
      <c r="B1959" t="s">
        <v>434</v>
      </c>
      <c r="C1959">
        <f t="shared" si="88"/>
        <v>125</v>
      </c>
      <c r="D1959">
        <v>0.2</v>
      </c>
      <c r="E1959" t="s">
        <v>336</v>
      </c>
      <c r="F1959" t="s">
        <v>527</v>
      </c>
      <c r="G1959">
        <f t="shared" si="90"/>
        <v>25</v>
      </c>
      <c r="H1959" t="str">
        <f t="shared" si="87"/>
        <v>Vegetable</v>
      </c>
    </row>
    <row r="1960" spans="1:8">
      <c r="A1960" s="45">
        <v>43208</v>
      </c>
      <c r="B1960" t="s">
        <v>378</v>
      </c>
      <c r="C1960">
        <f t="shared" si="88"/>
        <v>25</v>
      </c>
      <c r="D1960">
        <v>0.3</v>
      </c>
      <c r="E1960" t="s">
        <v>336</v>
      </c>
      <c r="F1960" t="s">
        <v>527</v>
      </c>
      <c r="G1960">
        <f t="shared" si="90"/>
        <v>7.5</v>
      </c>
      <c r="H1960" t="str">
        <f t="shared" si="87"/>
        <v>Vegetable</v>
      </c>
    </row>
    <row r="1961" spans="1:8">
      <c r="A1961" s="45">
        <v>43208</v>
      </c>
      <c r="B1961" t="s">
        <v>479</v>
      </c>
      <c r="C1961">
        <f t="shared" si="88"/>
        <v>312.14</v>
      </c>
      <c r="D1961">
        <v>0.06</v>
      </c>
      <c r="E1961" t="s">
        <v>336</v>
      </c>
      <c r="F1961" t="s">
        <v>527</v>
      </c>
      <c r="G1961">
        <f t="shared" si="90"/>
        <v>18.728399999999997</v>
      </c>
      <c r="H1961" t="str">
        <f t="shared" si="87"/>
        <v>Vegetable</v>
      </c>
    </row>
    <row r="1962" spans="1:8">
      <c r="A1962" s="45">
        <v>43208</v>
      </c>
      <c r="B1962" t="s">
        <v>476</v>
      </c>
      <c r="C1962">
        <f t="shared" si="88"/>
        <v>14.75</v>
      </c>
      <c r="D1962">
        <v>1.5</v>
      </c>
      <c r="E1962" t="s">
        <v>336</v>
      </c>
      <c r="F1962" t="s">
        <v>527</v>
      </c>
      <c r="G1962">
        <f t="shared" si="90"/>
        <v>22.125</v>
      </c>
      <c r="H1962" t="str">
        <f t="shared" si="87"/>
        <v>Vegetable</v>
      </c>
    </row>
    <row r="1963" spans="1:8">
      <c r="A1963" s="45">
        <v>43208</v>
      </c>
      <c r="B1963" t="s">
        <v>510</v>
      </c>
      <c r="C1963">
        <f t="shared" si="88"/>
        <v>62.03</v>
      </c>
      <c r="D1963">
        <v>0.08</v>
      </c>
      <c r="E1963" t="s">
        <v>336</v>
      </c>
      <c r="F1963" t="s">
        <v>527</v>
      </c>
      <c r="G1963">
        <f t="shared" si="90"/>
        <v>4.9624000000000006</v>
      </c>
      <c r="H1963" t="str">
        <f t="shared" si="87"/>
        <v>Dry Grocery</v>
      </c>
    </row>
    <row r="1964" spans="1:8">
      <c r="A1964" s="45">
        <v>43208</v>
      </c>
      <c r="B1964" t="s">
        <v>471</v>
      </c>
      <c r="C1964">
        <f t="shared" si="88"/>
        <v>160</v>
      </c>
      <c r="D1964">
        <v>0.05</v>
      </c>
      <c r="E1964" t="s">
        <v>336</v>
      </c>
      <c r="F1964" t="s">
        <v>527</v>
      </c>
      <c r="G1964">
        <f t="shared" si="90"/>
        <v>8</v>
      </c>
      <c r="H1964" t="str">
        <f t="shared" si="87"/>
        <v>Dry Grocery</v>
      </c>
    </row>
    <row r="1965" spans="1:8">
      <c r="A1965" s="45">
        <v>43208</v>
      </c>
      <c r="B1965" t="s">
        <v>429</v>
      </c>
      <c r="C1965">
        <f t="shared" si="88"/>
        <v>40</v>
      </c>
      <c r="D1965">
        <v>0.15</v>
      </c>
      <c r="E1965" t="s">
        <v>336</v>
      </c>
      <c r="F1965" t="s">
        <v>527</v>
      </c>
      <c r="G1965">
        <f t="shared" si="90"/>
        <v>6</v>
      </c>
      <c r="H1965" t="str">
        <f t="shared" si="87"/>
        <v>Vegetable</v>
      </c>
    </row>
    <row r="1966" spans="1:8">
      <c r="A1966" s="45">
        <v>43208</v>
      </c>
      <c r="B1966" t="s">
        <v>461</v>
      </c>
      <c r="C1966">
        <f t="shared" si="88"/>
        <v>1450</v>
      </c>
      <c r="D1966">
        <v>2.5000000000000001E-2</v>
      </c>
      <c r="E1966" t="s">
        <v>336</v>
      </c>
      <c r="F1966" t="s">
        <v>527</v>
      </c>
      <c r="G1966">
        <f t="shared" si="90"/>
        <v>36.25</v>
      </c>
      <c r="H1966" t="str">
        <f t="shared" si="87"/>
        <v>Spice</v>
      </c>
    </row>
    <row r="1967" spans="1:8">
      <c r="A1967" s="45">
        <v>43208</v>
      </c>
      <c r="B1967" t="s">
        <v>392</v>
      </c>
      <c r="C1967">
        <f t="shared" si="88"/>
        <v>840</v>
      </c>
      <c r="D1967">
        <v>2.5000000000000001E-2</v>
      </c>
      <c r="E1967" t="s">
        <v>336</v>
      </c>
      <c r="F1967" t="s">
        <v>527</v>
      </c>
      <c r="G1967">
        <f t="shared" si="90"/>
        <v>21</v>
      </c>
      <c r="H1967" t="str">
        <f t="shared" si="87"/>
        <v>Dry Grocery</v>
      </c>
    </row>
    <row r="1968" spans="1:8">
      <c r="A1968" s="45">
        <v>43208</v>
      </c>
      <c r="B1968" t="s">
        <v>506</v>
      </c>
      <c r="C1968">
        <f t="shared" si="88"/>
        <v>240</v>
      </c>
      <c r="D1968">
        <v>2.5000000000000001E-2</v>
      </c>
      <c r="E1968" t="s">
        <v>336</v>
      </c>
      <c r="F1968" t="s">
        <v>527</v>
      </c>
      <c r="G1968">
        <f t="shared" si="90"/>
        <v>6</v>
      </c>
      <c r="H1968" t="str">
        <f t="shared" si="87"/>
        <v>Dry Grocery</v>
      </c>
    </row>
    <row r="1969" spans="1:8">
      <c r="A1969" s="45">
        <v>43208</v>
      </c>
      <c r="B1969" t="s">
        <v>519</v>
      </c>
      <c r="C1969">
        <f t="shared" si="88"/>
        <v>35</v>
      </c>
      <c r="D1969">
        <v>2</v>
      </c>
      <c r="E1969" t="s">
        <v>336</v>
      </c>
      <c r="F1969" t="s">
        <v>527</v>
      </c>
      <c r="G1969">
        <f t="shared" si="90"/>
        <v>70</v>
      </c>
      <c r="H1969" t="str">
        <f t="shared" si="87"/>
        <v>Vegetable</v>
      </c>
    </row>
    <row r="1970" spans="1:8">
      <c r="A1970" s="45">
        <v>43208</v>
      </c>
      <c r="B1970" t="s">
        <v>371</v>
      </c>
      <c r="C1970">
        <f t="shared" si="88"/>
        <v>23.33</v>
      </c>
      <c r="D1970">
        <v>0.09</v>
      </c>
      <c r="E1970" t="s">
        <v>336</v>
      </c>
      <c r="F1970" t="s">
        <v>527</v>
      </c>
      <c r="G1970">
        <f t="shared" si="90"/>
        <v>2.0996999999999999</v>
      </c>
      <c r="H1970" t="str">
        <f t="shared" si="87"/>
        <v>Vegetable</v>
      </c>
    </row>
    <row r="1971" spans="1:8">
      <c r="A1971" s="45">
        <v>43208</v>
      </c>
      <c r="B1971" t="s">
        <v>380</v>
      </c>
      <c r="C1971">
        <f t="shared" si="88"/>
        <v>90</v>
      </c>
      <c r="D1971">
        <v>0.09</v>
      </c>
      <c r="E1971" t="s">
        <v>336</v>
      </c>
      <c r="F1971" t="s">
        <v>527</v>
      </c>
      <c r="G1971">
        <f t="shared" si="90"/>
        <v>8.1</v>
      </c>
    </row>
    <row r="1972" spans="1:8">
      <c r="A1972" s="45">
        <v>43208</v>
      </c>
      <c r="B1972" t="s">
        <v>449</v>
      </c>
      <c r="C1972">
        <f t="shared" ref="C1972:C2035" si="91">IF(B1972="","",VLOOKUP(B1972,$XEY$3:$XEZ$1158,2,FALSE))</f>
        <v>20</v>
      </c>
      <c r="D1972">
        <v>1</v>
      </c>
      <c r="E1972" t="s">
        <v>543</v>
      </c>
      <c r="F1972" t="s">
        <v>527</v>
      </c>
      <c r="G1972">
        <f t="shared" si="90"/>
        <v>20</v>
      </c>
    </row>
    <row r="1973" spans="1:8">
      <c r="A1973" s="45">
        <v>43208</v>
      </c>
      <c r="B1973" t="s">
        <v>445</v>
      </c>
      <c r="C1973">
        <f t="shared" si="91"/>
        <v>20</v>
      </c>
      <c r="D1973">
        <v>1.25</v>
      </c>
      <c r="E1973" t="s">
        <v>543</v>
      </c>
      <c r="F1973" t="s">
        <v>527</v>
      </c>
      <c r="G1973">
        <f t="shared" si="90"/>
        <v>25</v>
      </c>
    </row>
    <row r="1974" spans="1:8">
      <c r="A1974" s="45">
        <v>43208</v>
      </c>
      <c r="B1974" t="s">
        <v>385</v>
      </c>
      <c r="C1974">
        <f t="shared" si="91"/>
        <v>36</v>
      </c>
      <c r="D1974">
        <v>2.5</v>
      </c>
      <c r="E1974" t="s">
        <v>543</v>
      </c>
      <c r="F1974" t="s">
        <v>527</v>
      </c>
      <c r="G1974">
        <f t="shared" si="90"/>
        <v>90</v>
      </c>
    </row>
    <row r="1975" spans="1:8">
      <c r="A1975" s="45">
        <v>43208</v>
      </c>
      <c r="B1975" t="s">
        <v>382</v>
      </c>
      <c r="C1975">
        <f t="shared" si="91"/>
        <v>42</v>
      </c>
      <c r="D1975">
        <v>1</v>
      </c>
      <c r="E1975" t="s">
        <v>543</v>
      </c>
      <c r="F1975" t="s">
        <v>527</v>
      </c>
      <c r="G1975">
        <f t="shared" si="90"/>
        <v>42</v>
      </c>
    </row>
    <row r="1976" spans="1:8">
      <c r="A1976" s="45">
        <v>43208</v>
      </c>
      <c r="B1976" t="s">
        <v>449</v>
      </c>
      <c r="C1976">
        <f t="shared" si="91"/>
        <v>20</v>
      </c>
      <c r="D1976">
        <v>1.3</v>
      </c>
      <c r="E1976" t="s">
        <v>543</v>
      </c>
      <c r="F1976" t="s">
        <v>527</v>
      </c>
      <c r="G1976">
        <f t="shared" si="90"/>
        <v>26</v>
      </c>
    </row>
    <row r="1977" spans="1:8">
      <c r="A1977" s="45">
        <v>43208</v>
      </c>
      <c r="B1977" t="s">
        <v>444</v>
      </c>
      <c r="C1977">
        <f t="shared" si="91"/>
        <v>50</v>
      </c>
      <c r="D1977">
        <v>1.1000000000000001</v>
      </c>
      <c r="E1977" t="s">
        <v>543</v>
      </c>
      <c r="F1977" t="s">
        <v>527</v>
      </c>
      <c r="G1977">
        <f t="shared" si="90"/>
        <v>55.000000000000007</v>
      </c>
    </row>
    <row r="1978" spans="1:8">
      <c r="A1978" s="45">
        <v>43208</v>
      </c>
      <c r="B1978" t="s">
        <v>442</v>
      </c>
      <c r="C1978">
        <f t="shared" si="91"/>
        <v>220</v>
      </c>
      <c r="D1978">
        <v>0.5</v>
      </c>
      <c r="E1978" t="s">
        <v>543</v>
      </c>
      <c r="F1978" t="s">
        <v>527</v>
      </c>
      <c r="G1978">
        <f t="shared" si="90"/>
        <v>110</v>
      </c>
    </row>
    <row r="1979" spans="1:8">
      <c r="A1979" s="45">
        <v>43208</v>
      </c>
      <c r="B1979" t="s">
        <v>447</v>
      </c>
      <c r="C1979">
        <f t="shared" si="91"/>
        <v>30</v>
      </c>
      <c r="D1979">
        <v>0.8</v>
      </c>
      <c r="E1979" t="s">
        <v>543</v>
      </c>
      <c r="F1979" t="s">
        <v>527</v>
      </c>
      <c r="G1979">
        <f t="shared" si="90"/>
        <v>24</v>
      </c>
    </row>
    <row r="1980" spans="1:8">
      <c r="A1980" s="45">
        <v>43208</v>
      </c>
      <c r="B1980" t="s">
        <v>385</v>
      </c>
      <c r="C1980">
        <f t="shared" si="91"/>
        <v>36</v>
      </c>
      <c r="D1980">
        <v>1</v>
      </c>
      <c r="E1980" t="s">
        <v>543</v>
      </c>
      <c r="F1980" t="s">
        <v>527</v>
      </c>
      <c r="G1980">
        <f t="shared" si="90"/>
        <v>36</v>
      </c>
    </row>
    <row r="1981" spans="1:8">
      <c r="A1981" s="45">
        <v>43208</v>
      </c>
      <c r="B1981" t="s">
        <v>427</v>
      </c>
      <c r="C1981">
        <f t="shared" si="91"/>
        <v>28</v>
      </c>
      <c r="D1981">
        <v>0.185</v>
      </c>
      <c r="E1981" t="s">
        <v>528</v>
      </c>
      <c r="F1981" t="s">
        <v>527</v>
      </c>
      <c r="G1981">
        <f t="shared" si="90"/>
        <v>5.18</v>
      </c>
    </row>
    <row r="1982" spans="1:8">
      <c r="A1982" s="45">
        <v>43208</v>
      </c>
      <c r="B1982" t="s">
        <v>429</v>
      </c>
      <c r="C1982">
        <f t="shared" si="91"/>
        <v>40</v>
      </c>
      <c r="D1982">
        <v>7.4999999999999997E-2</v>
      </c>
      <c r="E1982" t="s">
        <v>528</v>
      </c>
      <c r="F1982" t="s">
        <v>527</v>
      </c>
      <c r="G1982">
        <f t="shared" si="90"/>
        <v>3</v>
      </c>
    </row>
    <row r="1983" spans="1:8">
      <c r="A1983" s="45">
        <v>43208</v>
      </c>
      <c r="B1983" t="s">
        <v>378</v>
      </c>
      <c r="C1983">
        <f t="shared" si="91"/>
        <v>25</v>
      </c>
      <c r="D1983">
        <v>0.09</v>
      </c>
      <c r="E1983" t="s">
        <v>528</v>
      </c>
      <c r="F1983" t="s">
        <v>527</v>
      </c>
      <c r="G1983">
        <f t="shared" si="90"/>
        <v>2.25</v>
      </c>
    </row>
    <row r="1984" spans="1:8">
      <c r="A1984" s="45">
        <v>43208</v>
      </c>
      <c r="B1984" t="s">
        <v>404</v>
      </c>
      <c r="C1984">
        <f t="shared" si="91"/>
        <v>28</v>
      </c>
      <c r="D1984">
        <v>1</v>
      </c>
      <c r="E1984" t="s">
        <v>528</v>
      </c>
      <c r="F1984" t="s">
        <v>527</v>
      </c>
      <c r="G1984">
        <f t="shared" si="90"/>
        <v>28</v>
      </c>
    </row>
    <row r="1985" spans="1:12">
      <c r="A1985" s="45">
        <v>43208</v>
      </c>
      <c r="B1985" t="s">
        <v>432</v>
      </c>
      <c r="C1985">
        <f t="shared" si="91"/>
        <v>14</v>
      </c>
      <c r="D1985">
        <v>0.71</v>
      </c>
      <c r="E1985" t="s">
        <v>528</v>
      </c>
      <c r="F1985" t="s">
        <v>527</v>
      </c>
      <c r="G1985">
        <f t="shared" si="90"/>
        <v>9.94</v>
      </c>
    </row>
    <row r="1986" spans="1:12">
      <c r="A1986" s="45">
        <v>43208</v>
      </c>
      <c r="B1986" t="s">
        <v>391</v>
      </c>
      <c r="C1986">
        <f t="shared" si="91"/>
        <v>27.97</v>
      </c>
      <c r="D1986">
        <v>0.255</v>
      </c>
      <c r="E1986" t="s">
        <v>528</v>
      </c>
      <c r="F1986" t="s">
        <v>527</v>
      </c>
      <c r="G1986">
        <f t="shared" si="90"/>
        <v>7.1323499999999997</v>
      </c>
    </row>
    <row r="1987" spans="1:12">
      <c r="A1987" s="45">
        <v>43208</v>
      </c>
      <c r="B1987" t="s">
        <v>476</v>
      </c>
      <c r="C1987">
        <f t="shared" si="91"/>
        <v>14.75</v>
      </c>
      <c r="D1987">
        <v>0.45</v>
      </c>
      <c r="E1987" t="s">
        <v>528</v>
      </c>
      <c r="F1987" t="s">
        <v>527</v>
      </c>
      <c r="G1987">
        <f t="shared" ref="G1987:G2050" si="92">IF(C1987="","",C1987*D1987)</f>
        <v>6.6375000000000002</v>
      </c>
    </row>
    <row r="1988" spans="1:12">
      <c r="A1988" s="45">
        <v>43208</v>
      </c>
      <c r="B1988" t="s">
        <v>482</v>
      </c>
      <c r="C1988">
        <f t="shared" si="91"/>
        <v>48</v>
      </c>
      <c r="D1988">
        <v>0.01</v>
      </c>
      <c r="E1988" t="s">
        <v>528</v>
      </c>
      <c r="F1988" t="s">
        <v>527</v>
      </c>
      <c r="G1988">
        <f t="shared" si="92"/>
        <v>0.48</v>
      </c>
    </row>
    <row r="1989" spans="1:12">
      <c r="A1989" s="45">
        <v>43208</v>
      </c>
      <c r="B1989" t="s">
        <v>413</v>
      </c>
      <c r="C1989">
        <f t="shared" si="91"/>
        <v>46.4</v>
      </c>
      <c r="D1989">
        <v>0.01</v>
      </c>
      <c r="E1989" t="s">
        <v>528</v>
      </c>
      <c r="F1989" t="s">
        <v>527</v>
      </c>
      <c r="G1989">
        <f t="shared" si="92"/>
        <v>0.46399999999999997</v>
      </c>
    </row>
    <row r="1990" spans="1:12">
      <c r="A1990" s="45">
        <v>43208</v>
      </c>
      <c r="B1990" t="s">
        <v>382</v>
      </c>
      <c r="C1990">
        <f t="shared" si="91"/>
        <v>42</v>
      </c>
      <c r="D1990">
        <v>0.5</v>
      </c>
      <c r="E1990" t="s">
        <v>528</v>
      </c>
      <c r="F1990" t="s">
        <v>527</v>
      </c>
      <c r="G1990">
        <f t="shared" si="92"/>
        <v>21</v>
      </c>
    </row>
    <row r="1991" spans="1:12">
      <c r="A1991" s="45">
        <v>43208</v>
      </c>
      <c r="B1991" t="s">
        <v>384</v>
      </c>
      <c r="C1991">
        <f t="shared" si="91"/>
        <v>3</v>
      </c>
      <c r="D1991">
        <v>4</v>
      </c>
      <c r="E1991" t="s">
        <v>555</v>
      </c>
      <c r="F1991" t="s">
        <v>556</v>
      </c>
      <c r="G1991">
        <f t="shared" si="92"/>
        <v>12</v>
      </c>
    </row>
    <row r="1992" spans="1:12">
      <c r="A1992" s="45">
        <v>43208</v>
      </c>
      <c r="B1992" t="s">
        <v>432</v>
      </c>
      <c r="C1992">
        <f t="shared" si="91"/>
        <v>14</v>
      </c>
      <c r="D1992">
        <v>0.25</v>
      </c>
      <c r="E1992" t="s">
        <v>555</v>
      </c>
      <c r="F1992" t="s">
        <v>556</v>
      </c>
      <c r="G1992">
        <f t="shared" si="92"/>
        <v>3.5</v>
      </c>
    </row>
    <row r="1993" spans="1:12">
      <c r="A1993" s="45">
        <v>43208</v>
      </c>
      <c r="B1993" t="s">
        <v>436</v>
      </c>
      <c r="C1993">
        <f t="shared" si="91"/>
        <v>37</v>
      </c>
      <c r="D1993">
        <v>0.6</v>
      </c>
      <c r="E1993" t="s">
        <v>542</v>
      </c>
      <c r="F1993" t="s">
        <v>556</v>
      </c>
      <c r="G1993">
        <f t="shared" si="92"/>
        <v>22.2</v>
      </c>
    </row>
    <row r="1994" spans="1:12">
      <c r="A1994" s="45">
        <v>43208</v>
      </c>
      <c r="B1994" t="s">
        <v>385</v>
      </c>
      <c r="C1994">
        <f t="shared" si="91"/>
        <v>36</v>
      </c>
      <c r="D1994">
        <v>3.5</v>
      </c>
      <c r="E1994" t="s">
        <v>542</v>
      </c>
      <c r="F1994" t="s">
        <v>556</v>
      </c>
      <c r="G1994">
        <f t="shared" si="92"/>
        <v>126</v>
      </c>
    </row>
    <row r="1995" spans="1:12">
      <c r="A1995" s="45">
        <v>43208</v>
      </c>
      <c r="B1995" t="s">
        <v>382</v>
      </c>
      <c r="C1995">
        <f t="shared" si="91"/>
        <v>42</v>
      </c>
      <c r="D1995">
        <v>2</v>
      </c>
      <c r="E1995" t="s">
        <v>525</v>
      </c>
      <c r="F1995" t="s">
        <v>526</v>
      </c>
      <c r="G1995">
        <f t="shared" si="92"/>
        <v>84</v>
      </c>
      <c r="L1995" t="s">
        <v>625</v>
      </c>
    </row>
    <row r="1996" spans="1:12">
      <c r="A1996" s="45">
        <v>43208</v>
      </c>
      <c r="B1996" t="s">
        <v>385</v>
      </c>
      <c r="C1996">
        <f t="shared" si="91"/>
        <v>36</v>
      </c>
      <c r="D1996">
        <v>0.5</v>
      </c>
      <c r="E1996" t="s">
        <v>525</v>
      </c>
      <c r="F1996" t="s">
        <v>526</v>
      </c>
      <c r="G1996">
        <f t="shared" si="92"/>
        <v>18</v>
      </c>
      <c r="L1996" t="s">
        <v>624</v>
      </c>
    </row>
    <row r="1997" spans="1:12">
      <c r="A1997" s="45">
        <v>43208</v>
      </c>
      <c r="B1997" t="s">
        <v>441</v>
      </c>
      <c r="C1997">
        <f t="shared" si="91"/>
        <v>390</v>
      </c>
      <c r="E1997" t="s">
        <v>542</v>
      </c>
      <c r="F1997" t="s">
        <v>556</v>
      </c>
      <c r="G1997">
        <f t="shared" si="92"/>
        <v>0</v>
      </c>
    </row>
    <row r="1998" spans="1:12">
      <c r="A1998" s="45">
        <v>43208</v>
      </c>
      <c r="B1998" t="s">
        <v>385</v>
      </c>
      <c r="C1998">
        <f t="shared" si="91"/>
        <v>36</v>
      </c>
      <c r="E1998" t="s">
        <v>542</v>
      </c>
      <c r="F1998" t="s">
        <v>556</v>
      </c>
      <c r="G1998">
        <f t="shared" si="92"/>
        <v>0</v>
      </c>
    </row>
    <row r="1999" spans="1:12">
      <c r="A1999" s="45">
        <v>43209</v>
      </c>
      <c r="B1999" t="s">
        <v>428</v>
      </c>
      <c r="C1999">
        <f t="shared" si="91"/>
        <v>78.95</v>
      </c>
      <c r="D1999">
        <v>15</v>
      </c>
      <c r="E1999" t="s">
        <v>531</v>
      </c>
      <c r="F1999" t="s">
        <v>530</v>
      </c>
      <c r="G1999">
        <f t="shared" si="92"/>
        <v>1184.25</v>
      </c>
    </row>
    <row r="2000" spans="1:12">
      <c r="A2000" s="45">
        <v>43209</v>
      </c>
      <c r="B2000" t="s">
        <v>393</v>
      </c>
      <c r="C2000">
        <f t="shared" si="91"/>
        <v>26</v>
      </c>
      <c r="D2000">
        <v>7</v>
      </c>
      <c r="E2000" t="s">
        <v>525</v>
      </c>
      <c r="F2000" t="s">
        <v>526</v>
      </c>
      <c r="G2000">
        <f t="shared" si="92"/>
        <v>182</v>
      </c>
    </row>
    <row r="2001" spans="1:7">
      <c r="A2001" s="45">
        <v>43209</v>
      </c>
      <c r="B2001" t="s">
        <v>390</v>
      </c>
      <c r="C2001">
        <f t="shared" si="91"/>
        <v>30</v>
      </c>
      <c r="D2001">
        <v>1</v>
      </c>
      <c r="E2001" t="s">
        <v>525</v>
      </c>
      <c r="F2001" t="s">
        <v>526</v>
      </c>
      <c r="G2001">
        <f t="shared" si="92"/>
        <v>30</v>
      </c>
    </row>
    <row r="2002" spans="1:7">
      <c r="A2002" s="45">
        <v>43209</v>
      </c>
      <c r="B2002" t="s">
        <v>432</v>
      </c>
      <c r="C2002">
        <f t="shared" si="91"/>
        <v>14</v>
      </c>
      <c r="D2002">
        <v>3</v>
      </c>
      <c r="E2002" t="s">
        <v>525</v>
      </c>
      <c r="F2002" t="s">
        <v>526</v>
      </c>
      <c r="G2002">
        <f t="shared" si="92"/>
        <v>42</v>
      </c>
    </row>
    <row r="2003" spans="1:7">
      <c r="A2003" s="45">
        <v>43209</v>
      </c>
      <c r="B2003" t="s">
        <v>430</v>
      </c>
      <c r="C2003">
        <f t="shared" si="91"/>
        <v>30</v>
      </c>
      <c r="D2003">
        <v>0.5</v>
      </c>
      <c r="E2003" t="s">
        <v>525</v>
      </c>
      <c r="F2003" t="s">
        <v>526</v>
      </c>
      <c r="G2003">
        <f t="shared" si="92"/>
        <v>15</v>
      </c>
    </row>
    <row r="2004" spans="1:7">
      <c r="A2004" s="45">
        <v>43209</v>
      </c>
      <c r="B2004" t="s">
        <v>452</v>
      </c>
      <c r="C2004">
        <f t="shared" si="91"/>
        <v>62</v>
      </c>
      <c r="D2004">
        <v>2</v>
      </c>
      <c r="E2004" t="s">
        <v>525</v>
      </c>
      <c r="F2004" t="s">
        <v>526</v>
      </c>
      <c r="G2004">
        <f t="shared" si="92"/>
        <v>124</v>
      </c>
    </row>
    <row r="2005" spans="1:7">
      <c r="A2005" s="45">
        <v>43209</v>
      </c>
      <c r="B2005" t="s">
        <v>378</v>
      </c>
      <c r="C2005">
        <f t="shared" si="91"/>
        <v>25</v>
      </c>
      <c r="D2005">
        <v>0.81</v>
      </c>
      <c r="E2005" t="s">
        <v>525</v>
      </c>
      <c r="F2005" t="s">
        <v>526</v>
      </c>
      <c r="G2005">
        <f t="shared" si="92"/>
        <v>20.25</v>
      </c>
    </row>
    <row r="2006" spans="1:7">
      <c r="A2006" s="45">
        <v>43209</v>
      </c>
      <c r="B2006" t="s">
        <v>427</v>
      </c>
      <c r="C2006">
        <f t="shared" si="91"/>
        <v>28</v>
      </c>
      <c r="D2006">
        <v>0.3</v>
      </c>
      <c r="E2006" t="s">
        <v>525</v>
      </c>
      <c r="F2006" t="s">
        <v>526</v>
      </c>
      <c r="G2006">
        <f t="shared" si="92"/>
        <v>8.4</v>
      </c>
    </row>
    <row r="2007" spans="1:7">
      <c r="A2007" s="45">
        <v>43209</v>
      </c>
      <c r="B2007" t="s">
        <v>386</v>
      </c>
      <c r="C2007">
        <f t="shared" si="91"/>
        <v>82</v>
      </c>
      <c r="D2007">
        <v>4</v>
      </c>
      <c r="E2007" t="s">
        <v>525</v>
      </c>
      <c r="F2007" t="s">
        <v>526</v>
      </c>
      <c r="G2007">
        <f t="shared" si="92"/>
        <v>328</v>
      </c>
    </row>
    <row r="2008" spans="1:7">
      <c r="A2008" s="45">
        <v>43209</v>
      </c>
      <c r="B2008" t="s">
        <v>376</v>
      </c>
      <c r="C2008">
        <f t="shared" si="91"/>
        <v>220</v>
      </c>
      <c r="D2008">
        <v>5.0000000000000001E-3</v>
      </c>
      <c r="E2008" t="s">
        <v>525</v>
      </c>
      <c r="F2008" t="s">
        <v>526</v>
      </c>
      <c r="G2008">
        <f t="shared" si="92"/>
        <v>1.1000000000000001</v>
      </c>
    </row>
    <row r="2009" spans="1:7">
      <c r="A2009" s="45">
        <v>43209</v>
      </c>
      <c r="B2009" t="s">
        <v>377</v>
      </c>
      <c r="C2009">
        <f t="shared" si="91"/>
        <v>740</v>
      </c>
      <c r="D2009">
        <v>5.0000000000000001E-3</v>
      </c>
      <c r="E2009" t="s">
        <v>525</v>
      </c>
      <c r="F2009" t="s">
        <v>526</v>
      </c>
      <c r="G2009">
        <f t="shared" si="92"/>
        <v>3.7</v>
      </c>
    </row>
    <row r="2010" spans="1:7">
      <c r="A2010" s="45">
        <v>43209</v>
      </c>
      <c r="B2010" t="s">
        <v>461</v>
      </c>
      <c r="C2010">
        <f t="shared" si="91"/>
        <v>1450</v>
      </c>
      <c r="D2010">
        <v>5.0000000000000001E-3</v>
      </c>
      <c r="E2010" t="s">
        <v>525</v>
      </c>
      <c r="F2010" t="s">
        <v>526</v>
      </c>
      <c r="G2010">
        <f t="shared" si="92"/>
        <v>7.25</v>
      </c>
    </row>
    <row r="2011" spans="1:7">
      <c r="A2011" s="45">
        <v>43209</v>
      </c>
      <c r="B2011" t="s">
        <v>464</v>
      </c>
      <c r="C2011">
        <f t="shared" si="91"/>
        <v>750</v>
      </c>
      <c r="D2011">
        <v>5.0000000000000001E-3</v>
      </c>
      <c r="E2011" t="s">
        <v>525</v>
      </c>
      <c r="F2011" t="s">
        <v>526</v>
      </c>
      <c r="G2011">
        <f t="shared" si="92"/>
        <v>3.75</v>
      </c>
    </row>
    <row r="2012" spans="1:7">
      <c r="A2012" s="45">
        <v>43209</v>
      </c>
      <c r="B2012" t="s">
        <v>399</v>
      </c>
      <c r="C2012">
        <f t="shared" si="91"/>
        <v>1480</v>
      </c>
      <c r="D2012">
        <v>5.0000000000000001E-3</v>
      </c>
      <c r="E2012" t="s">
        <v>525</v>
      </c>
      <c r="F2012" t="s">
        <v>526</v>
      </c>
      <c r="G2012">
        <f t="shared" si="92"/>
        <v>7.4</v>
      </c>
    </row>
    <row r="2013" spans="1:7">
      <c r="A2013" s="45">
        <v>43209</v>
      </c>
      <c r="B2013" t="s">
        <v>429</v>
      </c>
      <c r="C2013">
        <f t="shared" si="91"/>
        <v>40</v>
      </c>
      <c r="D2013">
        <v>0.3</v>
      </c>
      <c r="E2013" t="s">
        <v>525</v>
      </c>
      <c r="F2013" t="s">
        <v>526</v>
      </c>
      <c r="G2013">
        <f t="shared" si="92"/>
        <v>12</v>
      </c>
    </row>
    <row r="2014" spans="1:7">
      <c r="A2014" s="45">
        <v>43209</v>
      </c>
      <c r="B2014" t="s">
        <v>462</v>
      </c>
      <c r="C2014">
        <f t="shared" si="91"/>
        <v>138</v>
      </c>
      <c r="D2014">
        <v>0.02</v>
      </c>
      <c r="E2014" t="s">
        <v>525</v>
      </c>
      <c r="F2014" t="s">
        <v>526</v>
      </c>
      <c r="G2014">
        <f t="shared" si="92"/>
        <v>2.7600000000000002</v>
      </c>
    </row>
    <row r="2015" spans="1:7">
      <c r="A2015" s="45">
        <v>43209</v>
      </c>
      <c r="B2015" t="s">
        <v>487</v>
      </c>
      <c r="C2015">
        <f t="shared" si="91"/>
        <v>40</v>
      </c>
      <c r="D2015">
        <v>1</v>
      </c>
      <c r="E2015" t="s">
        <v>525</v>
      </c>
      <c r="F2015" t="s">
        <v>526</v>
      </c>
      <c r="G2015">
        <f t="shared" si="92"/>
        <v>40</v>
      </c>
    </row>
    <row r="2016" spans="1:7">
      <c r="A2016" s="45">
        <v>43209</v>
      </c>
      <c r="B2016" t="s">
        <v>491</v>
      </c>
      <c r="C2016">
        <f t="shared" si="91"/>
        <v>38</v>
      </c>
      <c r="D2016">
        <v>1.7</v>
      </c>
      <c r="E2016" t="s">
        <v>525</v>
      </c>
      <c r="F2016" t="s">
        <v>526</v>
      </c>
      <c r="G2016">
        <f t="shared" si="92"/>
        <v>64.599999999999994</v>
      </c>
    </row>
    <row r="2017" spans="1:7">
      <c r="A2017" s="45">
        <v>43209</v>
      </c>
      <c r="B2017" t="s">
        <v>463</v>
      </c>
      <c r="C2017">
        <f t="shared" si="91"/>
        <v>29.51</v>
      </c>
      <c r="D2017">
        <v>0.56000000000000005</v>
      </c>
      <c r="E2017" t="s">
        <v>525</v>
      </c>
      <c r="F2017" t="s">
        <v>526</v>
      </c>
      <c r="G2017">
        <f t="shared" si="92"/>
        <v>16.525600000000001</v>
      </c>
    </row>
    <row r="2018" spans="1:7">
      <c r="A2018" s="45">
        <v>43209</v>
      </c>
      <c r="B2018" t="s">
        <v>454</v>
      </c>
      <c r="C2018">
        <f t="shared" si="91"/>
        <v>43.06</v>
      </c>
      <c r="D2018">
        <v>0.8</v>
      </c>
      <c r="E2018" t="s">
        <v>525</v>
      </c>
      <c r="F2018" t="s">
        <v>526</v>
      </c>
      <c r="G2018">
        <f t="shared" si="92"/>
        <v>34.448</v>
      </c>
    </row>
    <row r="2019" spans="1:7">
      <c r="A2019" s="45">
        <v>43209</v>
      </c>
      <c r="B2019" t="s">
        <v>391</v>
      </c>
      <c r="C2019">
        <f t="shared" si="91"/>
        <v>27.97</v>
      </c>
      <c r="D2019">
        <v>1.05</v>
      </c>
      <c r="E2019" t="s">
        <v>525</v>
      </c>
      <c r="F2019" t="s">
        <v>526</v>
      </c>
      <c r="G2019">
        <f t="shared" si="92"/>
        <v>29.368500000000001</v>
      </c>
    </row>
    <row r="2020" spans="1:7">
      <c r="A2020" s="45">
        <v>43209</v>
      </c>
      <c r="B2020" t="s">
        <v>500</v>
      </c>
      <c r="C2020">
        <f t="shared" si="91"/>
        <v>72</v>
      </c>
      <c r="D2020">
        <v>0.11</v>
      </c>
      <c r="E2020" t="s">
        <v>525</v>
      </c>
      <c r="F2020" t="s">
        <v>526</v>
      </c>
      <c r="G2020">
        <f t="shared" si="92"/>
        <v>7.92</v>
      </c>
    </row>
    <row r="2021" spans="1:7">
      <c r="A2021" s="45">
        <v>43209</v>
      </c>
      <c r="B2021" t="s">
        <v>394</v>
      </c>
      <c r="C2021">
        <f t="shared" si="91"/>
        <v>45</v>
      </c>
      <c r="D2021">
        <v>1</v>
      </c>
      <c r="E2021" t="s">
        <v>525</v>
      </c>
      <c r="F2021" t="s">
        <v>526</v>
      </c>
      <c r="G2021">
        <f t="shared" si="92"/>
        <v>45</v>
      </c>
    </row>
    <row r="2022" spans="1:7">
      <c r="A2022" s="45">
        <v>43209</v>
      </c>
      <c r="B2022" t="s">
        <v>427</v>
      </c>
      <c r="C2022">
        <f t="shared" si="91"/>
        <v>28</v>
      </c>
      <c r="D2022">
        <v>0.25</v>
      </c>
      <c r="E2022" t="s">
        <v>525</v>
      </c>
      <c r="F2022" t="s">
        <v>526</v>
      </c>
      <c r="G2022">
        <f t="shared" si="92"/>
        <v>7</v>
      </c>
    </row>
    <row r="2023" spans="1:7">
      <c r="A2023" s="45">
        <v>43209</v>
      </c>
      <c r="B2023" t="s">
        <v>375</v>
      </c>
      <c r="C2023">
        <f t="shared" si="91"/>
        <v>280</v>
      </c>
      <c r="D2023">
        <v>0.14000000000000001</v>
      </c>
      <c r="E2023" t="s">
        <v>525</v>
      </c>
      <c r="F2023" t="s">
        <v>526</v>
      </c>
      <c r="G2023">
        <f t="shared" si="92"/>
        <v>39.200000000000003</v>
      </c>
    </row>
    <row r="2024" spans="1:7">
      <c r="A2024" s="45">
        <v>43209</v>
      </c>
      <c r="B2024" t="s">
        <v>426</v>
      </c>
      <c r="C2024">
        <f t="shared" si="91"/>
        <v>57.5</v>
      </c>
      <c r="D2024">
        <v>0.02</v>
      </c>
      <c r="E2024" t="s">
        <v>525</v>
      </c>
      <c r="F2024" t="s">
        <v>526</v>
      </c>
      <c r="G2024">
        <f t="shared" si="92"/>
        <v>1.1500000000000001</v>
      </c>
    </row>
    <row r="2025" spans="1:7">
      <c r="A2025" s="45">
        <v>43209</v>
      </c>
      <c r="B2025" t="s">
        <v>387</v>
      </c>
      <c r="C2025">
        <f t="shared" si="91"/>
        <v>187.41</v>
      </c>
      <c r="D2025">
        <v>0.03</v>
      </c>
      <c r="E2025" t="s">
        <v>525</v>
      </c>
      <c r="F2025" t="s">
        <v>526</v>
      </c>
      <c r="G2025">
        <f t="shared" si="92"/>
        <v>5.6223000000000001</v>
      </c>
    </row>
    <row r="2026" spans="1:7">
      <c r="A2026" s="45">
        <v>43209</v>
      </c>
      <c r="B2026" t="s">
        <v>482</v>
      </c>
      <c r="C2026">
        <f t="shared" si="91"/>
        <v>48</v>
      </c>
      <c r="D2026">
        <v>0.01</v>
      </c>
      <c r="E2026" t="s">
        <v>525</v>
      </c>
      <c r="F2026" t="s">
        <v>526</v>
      </c>
      <c r="G2026">
        <f t="shared" si="92"/>
        <v>0.48</v>
      </c>
    </row>
    <row r="2027" spans="1:7">
      <c r="A2027" s="45">
        <v>43209</v>
      </c>
      <c r="B2027" t="s">
        <v>435</v>
      </c>
      <c r="C2027">
        <f t="shared" si="91"/>
        <v>17</v>
      </c>
      <c r="D2027">
        <v>0.59499999999999997</v>
      </c>
      <c r="E2027" t="s">
        <v>525</v>
      </c>
      <c r="F2027" t="s">
        <v>526</v>
      </c>
      <c r="G2027">
        <f t="shared" si="92"/>
        <v>10.115</v>
      </c>
    </row>
    <row r="2028" spans="1:7">
      <c r="A2028" s="45">
        <v>43209</v>
      </c>
      <c r="B2028" t="s">
        <v>455</v>
      </c>
      <c r="C2028">
        <f t="shared" si="91"/>
        <v>380</v>
      </c>
      <c r="D2028">
        <v>0.03</v>
      </c>
      <c r="E2028" t="s">
        <v>525</v>
      </c>
      <c r="F2028" t="s">
        <v>526</v>
      </c>
      <c r="G2028">
        <f t="shared" si="92"/>
        <v>11.4</v>
      </c>
    </row>
    <row r="2029" spans="1:7">
      <c r="A2029" s="45">
        <v>43209</v>
      </c>
      <c r="B2029" t="s">
        <v>478</v>
      </c>
      <c r="C2029">
        <f t="shared" si="91"/>
        <v>180</v>
      </c>
      <c r="D2029">
        <v>0.27500000000000002</v>
      </c>
      <c r="E2029" t="s">
        <v>525</v>
      </c>
      <c r="F2029" t="s">
        <v>526</v>
      </c>
      <c r="G2029">
        <f t="shared" si="92"/>
        <v>49.500000000000007</v>
      </c>
    </row>
    <row r="2030" spans="1:7">
      <c r="A2030" s="45">
        <v>43209</v>
      </c>
      <c r="B2030" t="s">
        <v>475</v>
      </c>
      <c r="C2030">
        <f t="shared" si="91"/>
        <v>148</v>
      </c>
      <c r="D2030">
        <v>0.17499999999999999</v>
      </c>
      <c r="E2030" t="s">
        <v>525</v>
      </c>
      <c r="F2030" t="s">
        <v>526</v>
      </c>
      <c r="G2030">
        <f t="shared" si="92"/>
        <v>25.9</v>
      </c>
    </row>
    <row r="2031" spans="1:7">
      <c r="A2031" s="45">
        <v>43209</v>
      </c>
      <c r="B2031" t="s">
        <v>518</v>
      </c>
      <c r="C2031">
        <f t="shared" si="91"/>
        <v>24</v>
      </c>
      <c r="D2031">
        <v>7.4999999999999997E-2</v>
      </c>
      <c r="E2031" t="s">
        <v>525</v>
      </c>
      <c r="F2031" t="s">
        <v>526</v>
      </c>
      <c r="G2031">
        <f t="shared" si="92"/>
        <v>1.7999999999999998</v>
      </c>
    </row>
    <row r="2032" spans="1:7">
      <c r="A2032" s="45">
        <v>43209</v>
      </c>
      <c r="B2032" t="s">
        <v>372</v>
      </c>
      <c r="C2032">
        <f t="shared" si="91"/>
        <v>33</v>
      </c>
      <c r="D2032">
        <v>0.15</v>
      </c>
      <c r="E2032" t="s">
        <v>525</v>
      </c>
      <c r="F2032" t="s">
        <v>526</v>
      </c>
      <c r="G2032">
        <f t="shared" si="92"/>
        <v>4.95</v>
      </c>
    </row>
    <row r="2033" spans="1:7">
      <c r="A2033" s="45">
        <v>43209</v>
      </c>
      <c r="B2033" t="s">
        <v>397</v>
      </c>
      <c r="C2033">
        <f t="shared" si="91"/>
        <v>75</v>
      </c>
      <c r="D2033">
        <v>0.51</v>
      </c>
      <c r="E2033" t="s">
        <v>525</v>
      </c>
      <c r="F2033" t="s">
        <v>526</v>
      </c>
      <c r="G2033">
        <f t="shared" si="92"/>
        <v>38.25</v>
      </c>
    </row>
    <row r="2034" spans="1:7">
      <c r="A2034" s="45">
        <v>43209</v>
      </c>
      <c r="B2034" t="s">
        <v>379</v>
      </c>
      <c r="C2034">
        <f t="shared" si="91"/>
        <v>120</v>
      </c>
      <c r="D2034">
        <v>0.02</v>
      </c>
      <c r="E2034" t="s">
        <v>525</v>
      </c>
      <c r="F2034" t="s">
        <v>526</v>
      </c>
      <c r="G2034">
        <f t="shared" si="92"/>
        <v>2.4</v>
      </c>
    </row>
    <row r="2035" spans="1:7">
      <c r="A2035" s="45">
        <v>43209</v>
      </c>
      <c r="B2035" t="s">
        <v>561</v>
      </c>
      <c r="C2035">
        <f t="shared" si="91"/>
        <v>0</v>
      </c>
      <c r="D2035">
        <v>0.9</v>
      </c>
      <c r="E2035" t="s">
        <v>525</v>
      </c>
      <c r="F2035" t="s">
        <v>526</v>
      </c>
      <c r="G2035">
        <f t="shared" si="92"/>
        <v>0</v>
      </c>
    </row>
    <row r="2036" spans="1:7">
      <c r="A2036" s="45">
        <v>43209</v>
      </c>
      <c r="B2036" t="s">
        <v>675</v>
      </c>
      <c r="C2036">
        <f t="shared" ref="C2036:C2099" si="93">IF(B2036="","",VLOOKUP(B2036,$XEY$3:$XEZ$1158,2,FALSE))</f>
        <v>0</v>
      </c>
      <c r="D2036">
        <v>1</v>
      </c>
      <c r="E2036" t="s">
        <v>525</v>
      </c>
      <c r="F2036" t="s">
        <v>526</v>
      </c>
      <c r="G2036">
        <f t="shared" si="92"/>
        <v>0</v>
      </c>
    </row>
    <row r="2037" spans="1:7">
      <c r="A2037" s="45">
        <v>43209</v>
      </c>
      <c r="B2037" t="s">
        <v>398</v>
      </c>
      <c r="C2037">
        <f t="shared" si="93"/>
        <v>51</v>
      </c>
      <c r="D2037">
        <v>1</v>
      </c>
      <c r="E2037" t="s">
        <v>525</v>
      </c>
      <c r="F2037" t="s">
        <v>526</v>
      </c>
      <c r="G2037">
        <f t="shared" si="92"/>
        <v>51</v>
      </c>
    </row>
    <row r="2038" spans="1:7">
      <c r="A2038" s="45">
        <v>43209</v>
      </c>
      <c r="B2038" t="s">
        <v>485</v>
      </c>
      <c r="C2038">
        <f t="shared" si="93"/>
        <v>96</v>
      </c>
      <c r="D2038">
        <v>9.5000000000000001E-2</v>
      </c>
      <c r="E2038" t="s">
        <v>525</v>
      </c>
      <c r="F2038" t="s">
        <v>526</v>
      </c>
      <c r="G2038">
        <f t="shared" si="92"/>
        <v>9.120000000000001</v>
      </c>
    </row>
    <row r="2039" spans="1:7">
      <c r="A2039" s="45">
        <v>43209</v>
      </c>
      <c r="B2039" t="s">
        <v>459</v>
      </c>
      <c r="C2039">
        <f t="shared" si="93"/>
        <v>190</v>
      </c>
      <c r="D2039">
        <v>0.19</v>
      </c>
      <c r="E2039" t="s">
        <v>525</v>
      </c>
      <c r="F2039" t="s">
        <v>526</v>
      </c>
      <c r="G2039">
        <f t="shared" si="92"/>
        <v>36.1</v>
      </c>
    </row>
    <row r="2040" spans="1:7">
      <c r="A2040" s="45">
        <v>43209</v>
      </c>
      <c r="B2040" t="s">
        <v>484</v>
      </c>
      <c r="C2040">
        <f t="shared" si="93"/>
        <v>430</v>
      </c>
      <c r="D2040">
        <v>0.22</v>
      </c>
      <c r="E2040" t="s">
        <v>525</v>
      </c>
      <c r="F2040" t="s">
        <v>526</v>
      </c>
      <c r="G2040">
        <f t="shared" si="92"/>
        <v>94.6</v>
      </c>
    </row>
    <row r="2041" spans="1:7">
      <c r="A2041" s="45">
        <v>43209</v>
      </c>
      <c r="B2041" t="s">
        <v>458</v>
      </c>
      <c r="C2041">
        <f t="shared" si="93"/>
        <v>140</v>
      </c>
      <c r="D2041">
        <v>0.5</v>
      </c>
      <c r="E2041" t="s">
        <v>525</v>
      </c>
      <c r="F2041" t="s">
        <v>526</v>
      </c>
      <c r="G2041">
        <f t="shared" si="92"/>
        <v>70</v>
      </c>
    </row>
    <row r="2042" spans="1:7">
      <c r="A2042" s="45">
        <v>43209</v>
      </c>
      <c r="B2042" t="s">
        <v>451</v>
      </c>
      <c r="C2042">
        <f t="shared" si="93"/>
        <v>60</v>
      </c>
      <c r="D2042">
        <v>0.435</v>
      </c>
      <c r="E2042" t="s">
        <v>525</v>
      </c>
      <c r="F2042" t="s">
        <v>526</v>
      </c>
      <c r="G2042">
        <f t="shared" si="92"/>
        <v>26.1</v>
      </c>
    </row>
    <row r="2043" spans="1:7">
      <c r="A2043" s="45">
        <v>43209</v>
      </c>
      <c r="B2043" t="s">
        <v>473</v>
      </c>
      <c r="C2043">
        <f t="shared" si="93"/>
        <v>175</v>
      </c>
      <c r="D2043">
        <v>1.33</v>
      </c>
      <c r="E2043" t="s">
        <v>525</v>
      </c>
      <c r="F2043" t="s">
        <v>526</v>
      </c>
      <c r="G2043">
        <f t="shared" si="92"/>
        <v>232.75</v>
      </c>
    </row>
    <row r="2044" spans="1:7">
      <c r="A2044" s="45">
        <v>43209</v>
      </c>
      <c r="B2044" t="s">
        <v>468</v>
      </c>
      <c r="C2044">
        <f t="shared" si="93"/>
        <v>32</v>
      </c>
      <c r="D2044">
        <v>5</v>
      </c>
      <c r="E2044" t="s">
        <v>525</v>
      </c>
      <c r="F2044" t="s">
        <v>526</v>
      </c>
      <c r="G2044">
        <f t="shared" si="92"/>
        <v>160</v>
      </c>
    </row>
    <row r="2045" spans="1:7">
      <c r="A2045" s="45">
        <v>43209</v>
      </c>
      <c r="B2045" t="s">
        <v>489</v>
      </c>
      <c r="C2045">
        <f t="shared" si="93"/>
        <v>280</v>
      </c>
      <c r="D2045">
        <v>0.625</v>
      </c>
      <c r="E2045" t="s">
        <v>525</v>
      </c>
      <c r="F2045" t="s">
        <v>526</v>
      </c>
      <c r="G2045">
        <f t="shared" si="92"/>
        <v>175</v>
      </c>
    </row>
    <row r="2046" spans="1:7">
      <c r="A2046" s="45">
        <v>43209</v>
      </c>
      <c r="B2046" t="s">
        <v>447</v>
      </c>
      <c r="C2046">
        <f t="shared" si="93"/>
        <v>30</v>
      </c>
      <c r="D2046">
        <v>1.1399999999999999</v>
      </c>
      <c r="E2046" t="s">
        <v>543</v>
      </c>
      <c r="F2046" t="s">
        <v>527</v>
      </c>
      <c r="G2046">
        <f t="shared" si="92"/>
        <v>34.199999999999996</v>
      </c>
    </row>
    <row r="2047" spans="1:7">
      <c r="A2047" s="45">
        <v>43209</v>
      </c>
      <c r="B2047" t="s">
        <v>385</v>
      </c>
      <c r="C2047">
        <f t="shared" si="93"/>
        <v>36</v>
      </c>
      <c r="D2047">
        <v>2</v>
      </c>
      <c r="E2047" t="s">
        <v>543</v>
      </c>
      <c r="F2047" t="s">
        <v>527</v>
      </c>
      <c r="G2047">
        <f t="shared" si="92"/>
        <v>72</v>
      </c>
    </row>
    <row r="2048" spans="1:7">
      <c r="A2048" s="45">
        <v>43209</v>
      </c>
      <c r="B2048" t="s">
        <v>445</v>
      </c>
      <c r="C2048">
        <f t="shared" si="93"/>
        <v>20</v>
      </c>
      <c r="D2048">
        <v>1.8</v>
      </c>
      <c r="E2048" t="s">
        <v>543</v>
      </c>
      <c r="F2048" t="s">
        <v>527</v>
      </c>
      <c r="G2048">
        <f t="shared" si="92"/>
        <v>36</v>
      </c>
    </row>
    <row r="2049" spans="1:12">
      <c r="A2049" s="45">
        <v>43209</v>
      </c>
      <c r="B2049" t="s">
        <v>444</v>
      </c>
      <c r="C2049">
        <f t="shared" si="93"/>
        <v>50</v>
      </c>
      <c r="D2049">
        <v>2</v>
      </c>
      <c r="E2049" t="s">
        <v>543</v>
      </c>
      <c r="F2049" t="s">
        <v>527</v>
      </c>
      <c r="G2049">
        <f t="shared" si="92"/>
        <v>100</v>
      </c>
    </row>
    <row r="2050" spans="1:12">
      <c r="A2050" s="45">
        <v>43209</v>
      </c>
      <c r="B2050" t="s">
        <v>384</v>
      </c>
      <c r="C2050">
        <f t="shared" si="93"/>
        <v>3</v>
      </c>
      <c r="D2050">
        <v>40</v>
      </c>
      <c r="E2050" t="s">
        <v>543</v>
      </c>
      <c r="F2050" t="s">
        <v>527</v>
      </c>
      <c r="G2050">
        <f t="shared" si="92"/>
        <v>120</v>
      </c>
    </row>
    <row r="2051" spans="1:12">
      <c r="A2051" s="45">
        <v>43209</v>
      </c>
      <c r="B2051" t="s">
        <v>449</v>
      </c>
      <c r="C2051">
        <f t="shared" si="93"/>
        <v>20</v>
      </c>
      <c r="D2051">
        <v>2.6850000000000001</v>
      </c>
      <c r="E2051" t="s">
        <v>543</v>
      </c>
      <c r="F2051" t="s">
        <v>527</v>
      </c>
      <c r="G2051">
        <f t="shared" ref="G2051:G2146" si="94">IF(C2051="","",C2051*D2051)</f>
        <v>53.7</v>
      </c>
    </row>
    <row r="2052" spans="1:12">
      <c r="A2052" s="45">
        <v>43209</v>
      </c>
      <c r="B2052" t="s">
        <v>436</v>
      </c>
      <c r="C2052">
        <f t="shared" si="93"/>
        <v>37</v>
      </c>
      <c r="D2052">
        <v>4.8</v>
      </c>
      <c r="E2052" t="s">
        <v>543</v>
      </c>
      <c r="F2052" t="s">
        <v>527</v>
      </c>
      <c r="G2052">
        <f t="shared" si="94"/>
        <v>177.6</v>
      </c>
    </row>
    <row r="2053" spans="1:12">
      <c r="A2053" s="45">
        <v>43209</v>
      </c>
      <c r="B2053" t="s">
        <v>449</v>
      </c>
      <c r="C2053">
        <f t="shared" si="93"/>
        <v>20</v>
      </c>
      <c r="D2053">
        <v>1.76</v>
      </c>
      <c r="E2053" t="s">
        <v>543</v>
      </c>
      <c r="F2053" t="s">
        <v>527</v>
      </c>
      <c r="G2053">
        <f t="shared" si="94"/>
        <v>35.200000000000003</v>
      </c>
    </row>
    <row r="2054" spans="1:12">
      <c r="A2054" s="45">
        <v>43209</v>
      </c>
      <c r="B2054" t="s">
        <v>382</v>
      </c>
      <c r="C2054">
        <f t="shared" si="93"/>
        <v>42</v>
      </c>
      <c r="D2054">
        <v>1.5</v>
      </c>
      <c r="E2054" t="s">
        <v>543</v>
      </c>
      <c r="F2054" t="s">
        <v>527</v>
      </c>
      <c r="G2054">
        <f t="shared" si="94"/>
        <v>63</v>
      </c>
    </row>
    <row r="2055" spans="1:12">
      <c r="A2055" s="45">
        <v>43209</v>
      </c>
      <c r="B2055" t="s">
        <v>397</v>
      </c>
      <c r="C2055">
        <f t="shared" si="93"/>
        <v>75</v>
      </c>
      <c r="D2055">
        <v>0.76</v>
      </c>
      <c r="E2055" t="s">
        <v>710</v>
      </c>
      <c r="F2055" t="s">
        <v>711</v>
      </c>
      <c r="G2055">
        <f t="shared" si="94"/>
        <v>57</v>
      </c>
    </row>
    <row r="2056" spans="1:12">
      <c r="A2056" s="45">
        <v>43209</v>
      </c>
      <c r="B2056" t="s">
        <v>481</v>
      </c>
      <c r="C2056">
        <f t="shared" si="93"/>
        <v>33</v>
      </c>
      <c r="D2056">
        <v>0.36</v>
      </c>
      <c r="E2056" t="s">
        <v>710</v>
      </c>
      <c r="F2056" t="s">
        <v>711</v>
      </c>
      <c r="G2056">
        <f t="shared" si="94"/>
        <v>11.879999999999999</v>
      </c>
    </row>
    <row r="2057" spans="1:12">
      <c r="A2057" s="45">
        <v>43209</v>
      </c>
      <c r="B2057" t="s">
        <v>709</v>
      </c>
      <c r="C2057">
        <f t="shared" si="93"/>
        <v>14</v>
      </c>
      <c r="D2057">
        <v>3</v>
      </c>
      <c r="E2057" t="s">
        <v>710</v>
      </c>
      <c r="F2057" t="s">
        <v>711</v>
      </c>
      <c r="G2057">
        <f t="shared" si="94"/>
        <v>42</v>
      </c>
    </row>
    <row r="2058" spans="1:12">
      <c r="A2058" s="45">
        <v>43209</v>
      </c>
      <c r="B2058" t="s">
        <v>432</v>
      </c>
      <c r="C2058">
        <f t="shared" si="93"/>
        <v>14</v>
      </c>
      <c r="D2058">
        <v>0.3</v>
      </c>
      <c r="E2058" t="s">
        <v>555</v>
      </c>
      <c r="F2058" t="s">
        <v>556</v>
      </c>
      <c r="G2058">
        <f t="shared" si="94"/>
        <v>4.2</v>
      </c>
    </row>
    <row r="2059" spans="1:12">
      <c r="A2059" s="45">
        <v>43209</v>
      </c>
      <c r="B2059" t="s">
        <v>385</v>
      </c>
      <c r="C2059">
        <f t="shared" si="93"/>
        <v>36</v>
      </c>
      <c r="D2059">
        <v>5.5</v>
      </c>
      <c r="E2059" t="s">
        <v>542</v>
      </c>
      <c r="F2059" t="s">
        <v>554</v>
      </c>
      <c r="G2059">
        <f t="shared" si="94"/>
        <v>198</v>
      </c>
    </row>
    <row r="2060" spans="1:12">
      <c r="A2060" s="45">
        <v>43209</v>
      </c>
      <c r="B2060" t="s">
        <v>441</v>
      </c>
      <c r="C2060">
        <f t="shared" si="93"/>
        <v>390</v>
      </c>
      <c r="D2060">
        <v>0.22</v>
      </c>
      <c r="E2060" t="s">
        <v>542</v>
      </c>
      <c r="F2060" t="s">
        <v>554</v>
      </c>
      <c r="G2060">
        <f t="shared" si="94"/>
        <v>85.8</v>
      </c>
    </row>
    <row r="2061" spans="1:12">
      <c r="A2061" s="45">
        <v>43209</v>
      </c>
      <c r="B2061" t="s">
        <v>436</v>
      </c>
      <c r="C2061">
        <f t="shared" si="93"/>
        <v>37</v>
      </c>
      <c r="D2061">
        <f>0.63+0.61</f>
        <v>1.24</v>
      </c>
      <c r="E2061" t="s">
        <v>542</v>
      </c>
      <c r="F2061" t="s">
        <v>554</v>
      </c>
      <c r="G2061">
        <f t="shared" si="94"/>
        <v>45.88</v>
      </c>
    </row>
    <row r="2062" spans="1:12">
      <c r="A2062" s="45">
        <v>43209</v>
      </c>
      <c r="B2062" t="s">
        <v>382</v>
      </c>
      <c r="C2062">
        <f t="shared" si="93"/>
        <v>42</v>
      </c>
      <c r="D2062">
        <v>2.5</v>
      </c>
      <c r="E2062" t="s">
        <v>542</v>
      </c>
      <c r="F2062" t="s">
        <v>554</v>
      </c>
      <c r="G2062">
        <f t="shared" si="94"/>
        <v>105</v>
      </c>
      <c r="L2062" t="s">
        <v>625</v>
      </c>
    </row>
    <row r="2063" spans="1:12">
      <c r="A2063" s="45">
        <v>43209</v>
      </c>
      <c r="B2063" t="s">
        <v>385</v>
      </c>
      <c r="C2063">
        <f t="shared" si="93"/>
        <v>36</v>
      </c>
      <c r="D2063">
        <v>3.5</v>
      </c>
      <c r="E2063" t="s">
        <v>336</v>
      </c>
      <c r="F2063" t="s">
        <v>527</v>
      </c>
      <c r="G2063">
        <f t="shared" si="94"/>
        <v>126</v>
      </c>
    </row>
    <row r="2064" spans="1:12">
      <c r="A2064" s="45">
        <v>43209</v>
      </c>
      <c r="B2064" t="s">
        <v>382</v>
      </c>
      <c r="C2064">
        <f t="shared" si="93"/>
        <v>42</v>
      </c>
      <c r="D2064">
        <v>3</v>
      </c>
      <c r="E2064" t="s">
        <v>336</v>
      </c>
      <c r="F2064" t="s">
        <v>527</v>
      </c>
      <c r="G2064">
        <f t="shared" si="94"/>
        <v>126</v>
      </c>
    </row>
    <row r="2065" spans="1:7">
      <c r="A2065" s="45">
        <v>43209</v>
      </c>
      <c r="B2065" t="s">
        <v>511</v>
      </c>
      <c r="C2065">
        <f t="shared" si="93"/>
        <v>52</v>
      </c>
      <c r="D2065">
        <v>4.5</v>
      </c>
      <c r="E2065" t="s">
        <v>336</v>
      </c>
      <c r="F2065" t="s">
        <v>527</v>
      </c>
      <c r="G2065">
        <f t="shared" si="94"/>
        <v>234</v>
      </c>
    </row>
    <row r="2066" spans="1:7">
      <c r="A2066" s="45">
        <v>43209</v>
      </c>
      <c r="B2066" t="s">
        <v>502</v>
      </c>
      <c r="C2066">
        <f t="shared" si="93"/>
        <v>40</v>
      </c>
      <c r="D2066">
        <v>0.2</v>
      </c>
      <c r="E2066" t="s">
        <v>336</v>
      </c>
      <c r="F2066" t="s">
        <v>527</v>
      </c>
      <c r="G2066">
        <f t="shared" si="94"/>
        <v>8</v>
      </c>
    </row>
    <row r="2067" spans="1:7">
      <c r="A2067" s="45">
        <v>43209</v>
      </c>
      <c r="B2067" t="s">
        <v>404</v>
      </c>
      <c r="C2067">
        <f t="shared" si="93"/>
        <v>28</v>
      </c>
      <c r="D2067">
        <v>4</v>
      </c>
      <c r="E2067" t="s">
        <v>336</v>
      </c>
      <c r="F2067" t="s">
        <v>527</v>
      </c>
      <c r="G2067">
        <f t="shared" si="94"/>
        <v>112</v>
      </c>
    </row>
    <row r="2068" spans="1:7">
      <c r="A2068" s="45">
        <v>43209</v>
      </c>
      <c r="B2068" t="s">
        <v>436</v>
      </c>
      <c r="C2068">
        <f t="shared" si="93"/>
        <v>37</v>
      </c>
      <c r="D2068">
        <v>0.45</v>
      </c>
      <c r="E2068" t="s">
        <v>336</v>
      </c>
      <c r="F2068" t="s">
        <v>527</v>
      </c>
      <c r="G2068">
        <f t="shared" si="94"/>
        <v>16.650000000000002</v>
      </c>
    </row>
    <row r="2069" spans="1:7">
      <c r="A2069" s="45">
        <v>43209</v>
      </c>
      <c r="B2069" t="s">
        <v>375</v>
      </c>
      <c r="C2069">
        <f t="shared" si="93"/>
        <v>280</v>
      </c>
      <c r="D2069">
        <v>0.04</v>
      </c>
      <c r="E2069" t="s">
        <v>336</v>
      </c>
      <c r="F2069" t="s">
        <v>527</v>
      </c>
      <c r="G2069">
        <f t="shared" si="94"/>
        <v>11.200000000000001</v>
      </c>
    </row>
    <row r="2070" spans="1:7">
      <c r="A2070" s="45">
        <v>43209</v>
      </c>
      <c r="B2070" t="s">
        <v>379</v>
      </c>
      <c r="C2070">
        <f t="shared" si="93"/>
        <v>120</v>
      </c>
      <c r="D2070">
        <v>0.04</v>
      </c>
      <c r="E2070" t="s">
        <v>336</v>
      </c>
      <c r="F2070" t="s">
        <v>527</v>
      </c>
      <c r="G2070">
        <f t="shared" si="94"/>
        <v>4.8</v>
      </c>
    </row>
    <row r="2071" spans="1:7">
      <c r="A2071" s="45">
        <v>43209</v>
      </c>
      <c r="B2071" t="s">
        <v>509</v>
      </c>
      <c r="C2071">
        <f t="shared" si="93"/>
        <v>500</v>
      </c>
      <c r="D2071">
        <v>0.09</v>
      </c>
      <c r="E2071" t="s">
        <v>336</v>
      </c>
      <c r="F2071" t="s">
        <v>527</v>
      </c>
      <c r="G2071">
        <f t="shared" si="94"/>
        <v>45</v>
      </c>
    </row>
    <row r="2072" spans="1:7">
      <c r="A2072" s="45">
        <v>43209</v>
      </c>
      <c r="B2072" t="s">
        <v>381</v>
      </c>
      <c r="C2072">
        <f t="shared" si="93"/>
        <v>7</v>
      </c>
      <c r="D2072">
        <v>0.62</v>
      </c>
      <c r="E2072" t="s">
        <v>336</v>
      </c>
      <c r="F2072" t="s">
        <v>527</v>
      </c>
      <c r="G2072">
        <f t="shared" si="94"/>
        <v>4.34</v>
      </c>
    </row>
    <row r="2073" spans="1:7">
      <c r="A2073" s="45">
        <v>43209</v>
      </c>
      <c r="B2073" t="s">
        <v>387</v>
      </c>
      <c r="C2073">
        <f t="shared" si="93"/>
        <v>187.41</v>
      </c>
      <c r="D2073">
        <v>0.01</v>
      </c>
      <c r="E2073" t="s">
        <v>336</v>
      </c>
      <c r="F2073" t="s">
        <v>527</v>
      </c>
      <c r="G2073">
        <f t="shared" si="94"/>
        <v>1.8741000000000001</v>
      </c>
    </row>
    <row r="2074" spans="1:7">
      <c r="A2074" s="45">
        <v>43209</v>
      </c>
      <c r="B2074" t="s">
        <v>485</v>
      </c>
      <c r="C2074">
        <f t="shared" si="93"/>
        <v>96</v>
      </c>
      <c r="D2074">
        <v>0.4</v>
      </c>
      <c r="E2074" t="s">
        <v>336</v>
      </c>
      <c r="F2074" t="s">
        <v>527</v>
      </c>
      <c r="G2074">
        <f t="shared" si="94"/>
        <v>38.400000000000006</v>
      </c>
    </row>
    <row r="2075" spans="1:7">
      <c r="A2075" s="45">
        <v>43209</v>
      </c>
      <c r="B2075" t="s">
        <v>386</v>
      </c>
      <c r="C2075">
        <f t="shared" si="93"/>
        <v>82</v>
      </c>
      <c r="D2075">
        <v>2</v>
      </c>
      <c r="E2075" t="s">
        <v>336</v>
      </c>
      <c r="F2075" t="s">
        <v>527</v>
      </c>
      <c r="G2075">
        <f t="shared" si="94"/>
        <v>164</v>
      </c>
    </row>
    <row r="2076" spans="1:7">
      <c r="A2076" s="45">
        <v>43209</v>
      </c>
      <c r="B2076" t="s">
        <v>383</v>
      </c>
      <c r="C2076">
        <f t="shared" si="93"/>
        <v>230</v>
      </c>
      <c r="D2076">
        <v>0.09</v>
      </c>
      <c r="E2076" t="s">
        <v>336</v>
      </c>
      <c r="F2076" t="s">
        <v>527</v>
      </c>
      <c r="G2076">
        <f t="shared" si="94"/>
        <v>20.7</v>
      </c>
    </row>
    <row r="2077" spans="1:7">
      <c r="A2077" s="45">
        <v>43209</v>
      </c>
      <c r="B2077" t="s">
        <v>431</v>
      </c>
      <c r="C2077">
        <f t="shared" si="93"/>
        <v>70</v>
      </c>
      <c r="D2077">
        <v>7.0000000000000007E-2</v>
      </c>
      <c r="E2077" t="s">
        <v>336</v>
      </c>
      <c r="F2077" t="s">
        <v>527</v>
      </c>
      <c r="G2077">
        <f t="shared" si="94"/>
        <v>4.9000000000000004</v>
      </c>
    </row>
    <row r="2078" spans="1:7">
      <c r="A2078" s="45">
        <v>43209</v>
      </c>
      <c r="B2078" t="s">
        <v>367</v>
      </c>
      <c r="C2078">
        <f t="shared" si="93"/>
        <v>55</v>
      </c>
      <c r="D2078">
        <v>0.185</v>
      </c>
      <c r="E2078" t="s">
        <v>336</v>
      </c>
      <c r="F2078" t="s">
        <v>527</v>
      </c>
      <c r="G2078">
        <f t="shared" si="94"/>
        <v>10.175000000000001</v>
      </c>
    </row>
    <row r="2079" spans="1:7">
      <c r="A2079" s="45">
        <v>43209</v>
      </c>
      <c r="B2079" t="s">
        <v>432</v>
      </c>
      <c r="C2079">
        <f t="shared" si="93"/>
        <v>14</v>
      </c>
      <c r="D2079">
        <v>3</v>
      </c>
      <c r="E2079" t="s">
        <v>336</v>
      </c>
      <c r="F2079" t="s">
        <v>527</v>
      </c>
      <c r="G2079">
        <f t="shared" si="94"/>
        <v>42</v>
      </c>
    </row>
    <row r="2080" spans="1:7">
      <c r="A2080" s="45">
        <v>43209</v>
      </c>
      <c r="B2080" t="s">
        <v>427</v>
      </c>
      <c r="C2080">
        <f t="shared" si="93"/>
        <v>28</v>
      </c>
      <c r="D2080">
        <v>0.3</v>
      </c>
      <c r="E2080" t="s">
        <v>336</v>
      </c>
      <c r="F2080" t="s">
        <v>527</v>
      </c>
      <c r="G2080">
        <f t="shared" si="94"/>
        <v>8.4</v>
      </c>
    </row>
    <row r="2081" spans="1:7">
      <c r="A2081" s="45">
        <v>43209</v>
      </c>
      <c r="B2081" t="s">
        <v>437</v>
      </c>
      <c r="C2081">
        <f t="shared" si="93"/>
        <v>34</v>
      </c>
      <c r="D2081">
        <v>0.75</v>
      </c>
      <c r="E2081" t="s">
        <v>336</v>
      </c>
      <c r="F2081" t="s">
        <v>527</v>
      </c>
      <c r="G2081">
        <f t="shared" si="94"/>
        <v>25.5</v>
      </c>
    </row>
    <row r="2082" spans="1:7">
      <c r="A2082" s="45">
        <v>43209</v>
      </c>
      <c r="B2082" t="s">
        <v>512</v>
      </c>
      <c r="C2082">
        <f t="shared" si="93"/>
        <v>170</v>
      </c>
      <c r="D2082">
        <v>0.15</v>
      </c>
      <c r="E2082" t="s">
        <v>336</v>
      </c>
      <c r="F2082" t="s">
        <v>527</v>
      </c>
      <c r="G2082">
        <f t="shared" si="94"/>
        <v>25.5</v>
      </c>
    </row>
    <row r="2083" spans="1:7">
      <c r="A2083" s="45">
        <v>43209</v>
      </c>
      <c r="B2083" t="s">
        <v>499</v>
      </c>
      <c r="C2083">
        <f t="shared" si="93"/>
        <v>60</v>
      </c>
      <c r="D2083">
        <v>0.15</v>
      </c>
      <c r="E2083" t="s">
        <v>336</v>
      </c>
      <c r="F2083" t="s">
        <v>527</v>
      </c>
      <c r="G2083">
        <f t="shared" si="94"/>
        <v>9</v>
      </c>
    </row>
    <row r="2084" spans="1:7">
      <c r="A2084" s="45">
        <v>43209</v>
      </c>
      <c r="B2084" t="s">
        <v>508</v>
      </c>
      <c r="C2084">
        <f t="shared" si="93"/>
        <v>86</v>
      </c>
      <c r="D2084">
        <v>0.35</v>
      </c>
      <c r="E2084" t="s">
        <v>336</v>
      </c>
      <c r="F2084" t="s">
        <v>527</v>
      </c>
      <c r="G2084">
        <f t="shared" si="94"/>
        <v>30.099999999999998</v>
      </c>
    </row>
    <row r="2085" spans="1:7">
      <c r="A2085" s="45">
        <v>43209</v>
      </c>
      <c r="B2085" t="s">
        <v>462</v>
      </c>
      <c r="C2085">
        <f t="shared" si="93"/>
        <v>138</v>
      </c>
      <c r="D2085">
        <v>0.03</v>
      </c>
      <c r="E2085" t="s">
        <v>336</v>
      </c>
      <c r="F2085" t="s">
        <v>527</v>
      </c>
      <c r="G2085">
        <f t="shared" si="94"/>
        <v>4.1399999999999997</v>
      </c>
    </row>
    <row r="2086" spans="1:7">
      <c r="A2086" s="45">
        <v>43209</v>
      </c>
      <c r="B2086" t="s">
        <v>430</v>
      </c>
      <c r="C2086">
        <f t="shared" si="93"/>
        <v>30</v>
      </c>
      <c r="D2086">
        <v>0.2</v>
      </c>
      <c r="E2086" t="s">
        <v>336</v>
      </c>
      <c r="F2086" t="s">
        <v>527</v>
      </c>
      <c r="G2086">
        <f t="shared" si="94"/>
        <v>6</v>
      </c>
    </row>
    <row r="2087" spans="1:7">
      <c r="A2087" s="45">
        <v>43209</v>
      </c>
      <c r="B2087" t="s">
        <v>486</v>
      </c>
      <c r="C2087">
        <f t="shared" si="93"/>
        <v>108</v>
      </c>
      <c r="D2087">
        <v>0.2</v>
      </c>
      <c r="E2087" t="s">
        <v>336</v>
      </c>
      <c r="F2087" t="s">
        <v>527</v>
      </c>
      <c r="G2087">
        <f t="shared" si="94"/>
        <v>21.6</v>
      </c>
    </row>
    <row r="2088" spans="1:7">
      <c r="A2088" s="45">
        <v>43209</v>
      </c>
      <c r="B2088" t="s">
        <v>454</v>
      </c>
      <c r="C2088">
        <f t="shared" si="93"/>
        <v>43.06</v>
      </c>
      <c r="D2088">
        <v>0.75</v>
      </c>
      <c r="E2088" t="s">
        <v>336</v>
      </c>
      <c r="F2088" t="s">
        <v>527</v>
      </c>
      <c r="G2088">
        <f t="shared" si="94"/>
        <v>32.295000000000002</v>
      </c>
    </row>
    <row r="2089" spans="1:7">
      <c r="A2089" s="45">
        <v>43209</v>
      </c>
      <c r="B2089" t="s">
        <v>391</v>
      </c>
      <c r="C2089">
        <f t="shared" si="93"/>
        <v>27.97</v>
      </c>
      <c r="D2089">
        <v>1.25</v>
      </c>
      <c r="E2089" t="s">
        <v>336</v>
      </c>
      <c r="F2089" t="s">
        <v>527</v>
      </c>
      <c r="G2089">
        <f t="shared" si="94"/>
        <v>34.962499999999999</v>
      </c>
    </row>
    <row r="2090" spans="1:7">
      <c r="A2090" s="45">
        <v>43209</v>
      </c>
      <c r="B2090" t="s">
        <v>479</v>
      </c>
      <c r="C2090">
        <f t="shared" si="93"/>
        <v>312.14</v>
      </c>
      <c r="D2090">
        <v>0.06</v>
      </c>
      <c r="E2090" t="s">
        <v>336</v>
      </c>
      <c r="F2090" t="s">
        <v>527</v>
      </c>
      <c r="G2090">
        <f t="shared" si="94"/>
        <v>18.728399999999997</v>
      </c>
    </row>
    <row r="2091" spans="1:7">
      <c r="A2091" s="45">
        <v>43209</v>
      </c>
      <c r="B2091" t="s">
        <v>434</v>
      </c>
      <c r="C2091">
        <f t="shared" si="93"/>
        <v>125</v>
      </c>
      <c r="D2091">
        <v>0.06</v>
      </c>
      <c r="E2091" t="s">
        <v>336</v>
      </c>
      <c r="F2091" t="s">
        <v>527</v>
      </c>
      <c r="G2091">
        <f t="shared" si="94"/>
        <v>7.5</v>
      </c>
    </row>
    <row r="2092" spans="1:7">
      <c r="A2092" s="45">
        <v>43209</v>
      </c>
      <c r="B2092" t="s">
        <v>378</v>
      </c>
      <c r="C2092">
        <f t="shared" si="93"/>
        <v>25</v>
      </c>
      <c r="D2092">
        <v>0.25</v>
      </c>
      <c r="E2092" t="s">
        <v>336</v>
      </c>
      <c r="F2092" t="s">
        <v>527</v>
      </c>
      <c r="G2092">
        <f t="shared" si="94"/>
        <v>6.25</v>
      </c>
    </row>
    <row r="2093" spans="1:7">
      <c r="A2093" s="45">
        <v>43209</v>
      </c>
      <c r="B2093" t="s">
        <v>513</v>
      </c>
      <c r="C2093">
        <f t="shared" si="93"/>
        <v>15</v>
      </c>
      <c r="D2093">
        <v>1.5</v>
      </c>
      <c r="E2093" t="s">
        <v>336</v>
      </c>
      <c r="F2093" t="s">
        <v>527</v>
      </c>
      <c r="G2093">
        <f t="shared" si="94"/>
        <v>22.5</v>
      </c>
    </row>
    <row r="2094" spans="1:7">
      <c r="A2094" s="45">
        <v>43209</v>
      </c>
      <c r="B2094" t="s">
        <v>510</v>
      </c>
      <c r="C2094">
        <f t="shared" si="93"/>
        <v>62.03</v>
      </c>
      <c r="D2094">
        <v>0.08</v>
      </c>
      <c r="E2094" t="s">
        <v>336</v>
      </c>
      <c r="F2094" t="s">
        <v>527</v>
      </c>
      <c r="G2094">
        <f t="shared" si="94"/>
        <v>4.9624000000000006</v>
      </c>
    </row>
    <row r="2095" spans="1:7">
      <c r="A2095" s="45">
        <v>43209</v>
      </c>
      <c r="B2095" t="s">
        <v>471</v>
      </c>
      <c r="C2095">
        <f t="shared" si="93"/>
        <v>160</v>
      </c>
      <c r="D2095">
        <v>0.04</v>
      </c>
      <c r="E2095" t="s">
        <v>336</v>
      </c>
      <c r="F2095" t="s">
        <v>527</v>
      </c>
      <c r="G2095">
        <f t="shared" si="94"/>
        <v>6.4</v>
      </c>
    </row>
    <row r="2096" spans="1:7">
      <c r="A2096" s="45">
        <v>43209</v>
      </c>
      <c r="B2096" t="s">
        <v>429</v>
      </c>
      <c r="C2096">
        <f t="shared" si="93"/>
        <v>40</v>
      </c>
      <c r="D2096">
        <v>0.15</v>
      </c>
      <c r="E2096" t="s">
        <v>336</v>
      </c>
      <c r="F2096" t="s">
        <v>527</v>
      </c>
      <c r="G2096">
        <f t="shared" si="94"/>
        <v>6</v>
      </c>
    </row>
    <row r="2097" spans="1:7">
      <c r="A2097" s="45">
        <v>43209</v>
      </c>
      <c r="B2097" t="s">
        <v>390</v>
      </c>
      <c r="C2097">
        <f t="shared" si="93"/>
        <v>30</v>
      </c>
      <c r="D2097">
        <v>0.25</v>
      </c>
      <c r="E2097" t="s">
        <v>336</v>
      </c>
      <c r="F2097" t="s">
        <v>527</v>
      </c>
      <c r="G2097">
        <f t="shared" si="94"/>
        <v>7.5</v>
      </c>
    </row>
    <row r="2098" spans="1:7">
      <c r="A2098" s="45">
        <v>43209</v>
      </c>
      <c r="B2098" t="s">
        <v>461</v>
      </c>
      <c r="C2098">
        <f t="shared" si="93"/>
        <v>1450</v>
      </c>
      <c r="D2098">
        <v>0.01</v>
      </c>
      <c r="E2098" t="s">
        <v>336</v>
      </c>
      <c r="F2098" t="s">
        <v>527</v>
      </c>
      <c r="G2098">
        <f t="shared" si="94"/>
        <v>14.5</v>
      </c>
    </row>
    <row r="2099" spans="1:7">
      <c r="A2099" s="45">
        <v>43209</v>
      </c>
      <c r="B2099" t="s">
        <v>392</v>
      </c>
      <c r="C2099">
        <f t="shared" si="93"/>
        <v>840</v>
      </c>
      <c r="D2099">
        <v>2.5000000000000001E-2</v>
      </c>
      <c r="E2099" t="s">
        <v>336</v>
      </c>
      <c r="F2099" t="s">
        <v>527</v>
      </c>
      <c r="G2099">
        <f t="shared" si="94"/>
        <v>21</v>
      </c>
    </row>
    <row r="2100" spans="1:7">
      <c r="A2100" s="45">
        <v>43209</v>
      </c>
      <c r="B2100" t="s">
        <v>506</v>
      </c>
      <c r="C2100">
        <f t="shared" ref="C2100:C2234" si="95">IF(B2100="","",VLOOKUP(B2100,$XEY$3:$XEZ$1158,2,FALSE))</f>
        <v>240</v>
      </c>
      <c r="D2100">
        <v>2.5000000000000001E-2</v>
      </c>
      <c r="E2100" t="s">
        <v>336</v>
      </c>
      <c r="F2100" t="s">
        <v>527</v>
      </c>
      <c r="G2100">
        <f t="shared" si="94"/>
        <v>6</v>
      </c>
    </row>
    <row r="2101" spans="1:7">
      <c r="A2101" s="45">
        <v>43209</v>
      </c>
      <c r="B2101" t="s">
        <v>519</v>
      </c>
      <c r="C2101">
        <f t="shared" si="95"/>
        <v>35</v>
      </c>
      <c r="D2101">
        <v>1.5</v>
      </c>
      <c r="E2101" t="s">
        <v>336</v>
      </c>
      <c r="F2101" t="s">
        <v>527</v>
      </c>
      <c r="G2101">
        <f t="shared" si="94"/>
        <v>52.5</v>
      </c>
    </row>
    <row r="2102" spans="1:7">
      <c r="A2102" s="45">
        <v>43209</v>
      </c>
      <c r="B2102" t="s">
        <v>371</v>
      </c>
      <c r="C2102">
        <f t="shared" si="95"/>
        <v>23.33</v>
      </c>
      <c r="D2102">
        <v>0.09</v>
      </c>
      <c r="E2102" t="s">
        <v>336</v>
      </c>
      <c r="F2102" t="s">
        <v>527</v>
      </c>
      <c r="G2102">
        <f t="shared" si="94"/>
        <v>2.0996999999999999</v>
      </c>
    </row>
    <row r="2103" spans="1:7">
      <c r="A2103" s="45">
        <v>43209</v>
      </c>
      <c r="B2103" t="s">
        <v>399</v>
      </c>
      <c r="C2103">
        <f t="shared" si="95"/>
        <v>1480</v>
      </c>
      <c r="D2103">
        <v>0.01</v>
      </c>
      <c r="E2103" t="s">
        <v>336</v>
      </c>
      <c r="F2103" t="s">
        <v>527</v>
      </c>
      <c r="G2103">
        <f t="shared" si="94"/>
        <v>14.8</v>
      </c>
    </row>
    <row r="2104" spans="1:7">
      <c r="A2104" s="45">
        <v>43209</v>
      </c>
      <c r="B2104" t="s">
        <v>464</v>
      </c>
      <c r="C2104">
        <f t="shared" si="95"/>
        <v>750</v>
      </c>
      <c r="D2104">
        <v>0.01</v>
      </c>
      <c r="E2104" t="s">
        <v>336</v>
      </c>
      <c r="F2104" t="s">
        <v>527</v>
      </c>
      <c r="G2104">
        <f t="shared" si="94"/>
        <v>7.5</v>
      </c>
    </row>
    <row r="2105" spans="1:7">
      <c r="A2105" s="45">
        <v>43209</v>
      </c>
      <c r="B2105" t="s">
        <v>461</v>
      </c>
      <c r="C2105">
        <f t="shared" si="95"/>
        <v>1450</v>
      </c>
      <c r="D2105">
        <v>5.0000000000000001E-3</v>
      </c>
      <c r="E2105" t="s">
        <v>336</v>
      </c>
      <c r="F2105" t="s">
        <v>527</v>
      </c>
      <c r="G2105">
        <f t="shared" si="94"/>
        <v>7.25</v>
      </c>
    </row>
    <row r="2106" spans="1:7">
      <c r="A2106" s="45">
        <v>43209</v>
      </c>
      <c r="B2106" t="s">
        <v>376</v>
      </c>
      <c r="C2106">
        <f t="shared" si="95"/>
        <v>220</v>
      </c>
      <c r="D2106">
        <v>5.0000000000000001E-3</v>
      </c>
      <c r="E2106" t="s">
        <v>336</v>
      </c>
      <c r="F2106" t="s">
        <v>527</v>
      </c>
      <c r="G2106">
        <f t="shared" si="94"/>
        <v>1.1000000000000001</v>
      </c>
    </row>
    <row r="2107" spans="1:7">
      <c r="A2107" s="45">
        <v>43209</v>
      </c>
      <c r="B2107" t="s">
        <v>377</v>
      </c>
      <c r="C2107">
        <f t="shared" si="95"/>
        <v>740</v>
      </c>
      <c r="D2107">
        <v>5.0000000000000001E-3</v>
      </c>
      <c r="E2107" t="s">
        <v>336</v>
      </c>
      <c r="F2107" t="s">
        <v>527</v>
      </c>
      <c r="G2107">
        <f t="shared" si="94"/>
        <v>3.7</v>
      </c>
    </row>
    <row r="2108" spans="1:7">
      <c r="A2108" s="45">
        <v>43209</v>
      </c>
      <c r="B2108" t="s">
        <v>380</v>
      </c>
      <c r="C2108">
        <f t="shared" si="95"/>
        <v>90</v>
      </c>
      <c r="D2108">
        <v>0.09</v>
      </c>
      <c r="E2108" t="s">
        <v>336</v>
      </c>
      <c r="F2108" t="s">
        <v>527</v>
      </c>
      <c r="G2108">
        <f t="shared" si="94"/>
        <v>8.1</v>
      </c>
    </row>
    <row r="2109" spans="1:7">
      <c r="A2109" s="45">
        <v>43209</v>
      </c>
      <c r="B2109" t="s">
        <v>511</v>
      </c>
      <c r="C2109">
        <f t="shared" si="95"/>
        <v>52</v>
      </c>
      <c r="D2109">
        <v>2</v>
      </c>
      <c r="E2109" t="s">
        <v>336</v>
      </c>
      <c r="F2109" t="s">
        <v>527</v>
      </c>
      <c r="G2109">
        <f t="shared" si="94"/>
        <v>104</v>
      </c>
    </row>
    <row r="2110" spans="1:7">
      <c r="A2110" s="45">
        <v>43209</v>
      </c>
      <c r="B2110" t="s">
        <v>433</v>
      </c>
      <c r="C2110">
        <f t="shared" si="95"/>
        <v>20</v>
      </c>
      <c r="D2110">
        <v>0.6</v>
      </c>
      <c r="E2110" t="s">
        <v>336</v>
      </c>
      <c r="F2110" t="s">
        <v>527</v>
      </c>
      <c r="G2110">
        <f t="shared" si="94"/>
        <v>12</v>
      </c>
    </row>
    <row r="2111" spans="1:7">
      <c r="A2111" s="45">
        <v>43209</v>
      </c>
      <c r="B2111" t="s">
        <v>390</v>
      </c>
      <c r="C2111">
        <f t="shared" si="95"/>
        <v>30</v>
      </c>
      <c r="D2111">
        <v>0.34</v>
      </c>
      <c r="E2111" t="s">
        <v>336</v>
      </c>
      <c r="F2111" t="s">
        <v>527</v>
      </c>
      <c r="G2111">
        <f t="shared" si="94"/>
        <v>10.200000000000001</v>
      </c>
    </row>
    <row r="2112" spans="1:7">
      <c r="A2112" s="45">
        <v>43209</v>
      </c>
      <c r="B2112" t="s">
        <v>384</v>
      </c>
      <c r="C2112">
        <f t="shared" si="95"/>
        <v>3</v>
      </c>
      <c r="D2112">
        <v>2</v>
      </c>
      <c r="E2112" t="s">
        <v>336</v>
      </c>
      <c r="F2112" t="s">
        <v>527</v>
      </c>
      <c r="G2112">
        <f t="shared" si="94"/>
        <v>6</v>
      </c>
    </row>
    <row r="2113" spans="1:12">
      <c r="A2113" s="45">
        <v>43209</v>
      </c>
      <c r="B2113" t="s">
        <v>414</v>
      </c>
      <c r="C2113">
        <f t="shared" si="95"/>
        <v>48</v>
      </c>
      <c r="D2113">
        <v>0.4</v>
      </c>
      <c r="E2113" t="s">
        <v>528</v>
      </c>
      <c r="F2113" t="s">
        <v>527</v>
      </c>
      <c r="G2113">
        <f t="shared" si="94"/>
        <v>19.200000000000003</v>
      </c>
    </row>
    <row r="2114" spans="1:12">
      <c r="A2114" s="45">
        <v>43209</v>
      </c>
      <c r="B2114" t="s">
        <v>430</v>
      </c>
      <c r="C2114">
        <f t="shared" si="95"/>
        <v>30</v>
      </c>
      <c r="D2114">
        <v>0.28499999999999998</v>
      </c>
      <c r="E2114" t="s">
        <v>528</v>
      </c>
      <c r="F2114" t="s">
        <v>527</v>
      </c>
      <c r="G2114">
        <f t="shared" si="94"/>
        <v>8.5499999999999989</v>
      </c>
    </row>
    <row r="2115" spans="1:12">
      <c r="A2115" s="45">
        <v>43209</v>
      </c>
      <c r="B2115" t="s">
        <v>432</v>
      </c>
      <c r="C2115">
        <f t="shared" si="95"/>
        <v>14</v>
      </c>
      <c r="D2115">
        <v>0.64</v>
      </c>
      <c r="E2115" t="s">
        <v>528</v>
      </c>
      <c r="F2115" t="s">
        <v>527</v>
      </c>
      <c r="G2115">
        <f t="shared" si="94"/>
        <v>8.9600000000000009</v>
      </c>
    </row>
    <row r="2116" spans="1:12">
      <c r="A2116" s="45">
        <v>43209</v>
      </c>
      <c r="B2116" t="s">
        <v>391</v>
      </c>
      <c r="C2116">
        <f t="shared" si="95"/>
        <v>27.97</v>
      </c>
      <c r="D2116">
        <v>0.21</v>
      </c>
      <c r="E2116" t="s">
        <v>528</v>
      </c>
      <c r="F2116" t="s">
        <v>527</v>
      </c>
      <c r="G2116">
        <f t="shared" si="94"/>
        <v>5.8736999999999995</v>
      </c>
    </row>
    <row r="2117" spans="1:12">
      <c r="A2117" s="45">
        <v>43209</v>
      </c>
      <c r="B2117" t="s">
        <v>476</v>
      </c>
      <c r="C2117">
        <f t="shared" si="95"/>
        <v>14.75</v>
      </c>
      <c r="D2117">
        <v>0.42499999999999999</v>
      </c>
      <c r="E2117" t="s">
        <v>528</v>
      </c>
      <c r="F2117" t="s">
        <v>527</v>
      </c>
      <c r="G2117">
        <f t="shared" si="94"/>
        <v>6.2687499999999998</v>
      </c>
    </row>
    <row r="2118" spans="1:12">
      <c r="A2118" s="45">
        <v>43209</v>
      </c>
      <c r="B2118" t="s">
        <v>378</v>
      </c>
      <c r="C2118">
        <f t="shared" si="95"/>
        <v>25</v>
      </c>
      <c r="D2118">
        <v>0.125</v>
      </c>
      <c r="E2118" t="s">
        <v>528</v>
      </c>
      <c r="F2118" t="s">
        <v>527</v>
      </c>
      <c r="G2118">
        <f t="shared" si="94"/>
        <v>3.125</v>
      </c>
    </row>
    <row r="2119" spans="1:12">
      <c r="A2119" s="45">
        <v>43209</v>
      </c>
      <c r="B2119" t="s">
        <v>385</v>
      </c>
      <c r="C2119">
        <f t="shared" si="95"/>
        <v>36</v>
      </c>
      <c r="D2119">
        <v>2</v>
      </c>
      <c r="E2119" t="s">
        <v>713</v>
      </c>
      <c r="F2119" t="s">
        <v>713</v>
      </c>
      <c r="G2119">
        <f t="shared" si="94"/>
        <v>72</v>
      </c>
    </row>
    <row r="2120" spans="1:12">
      <c r="A2120" s="45">
        <v>43210</v>
      </c>
      <c r="B2120" t="s">
        <v>436</v>
      </c>
      <c r="C2120">
        <f t="shared" si="95"/>
        <v>37</v>
      </c>
      <c r="D2120">
        <v>1.2450000000000001</v>
      </c>
      <c r="E2120" t="s">
        <v>542</v>
      </c>
      <c r="F2120" t="s">
        <v>554</v>
      </c>
      <c r="G2120">
        <f t="shared" si="94"/>
        <v>46.065000000000005</v>
      </c>
    </row>
    <row r="2121" spans="1:12">
      <c r="A2121" s="45">
        <v>43210</v>
      </c>
      <c r="B2121" t="s">
        <v>385</v>
      </c>
      <c r="C2121">
        <f t="shared" si="95"/>
        <v>36</v>
      </c>
      <c r="D2121">
        <v>6.5</v>
      </c>
      <c r="E2121" t="s">
        <v>542</v>
      </c>
      <c r="F2121" t="s">
        <v>554</v>
      </c>
      <c r="G2121">
        <f t="shared" si="94"/>
        <v>234</v>
      </c>
    </row>
    <row r="2122" spans="1:12">
      <c r="A2122" s="45">
        <v>43210</v>
      </c>
      <c r="B2122" t="s">
        <v>441</v>
      </c>
      <c r="C2122">
        <f t="shared" si="95"/>
        <v>390</v>
      </c>
      <c r="D2122">
        <v>0.2</v>
      </c>
      <c r="E2122" t="s">
        <v>542</v>
      </c>
      <c r="F2122" t="s">
        <v>554</v>
      </c>
      <c r="G2122">
        <f t="shared" si="94"/>
        <v>78</v>
      </c>
    </row>
    <row r="2123" spans="1:12">
      <c r="A2123" s="45">
        <v>43210</v>
      </c>
      <c r="B2123" t="s">
        <v>382</v>
      </c>
      <c r="C2123">
        <f t="shared" si="95"/>
        <v>42</v>
      </c>
      <c r="D2123">
        <v>2</v>
      </c>
      <c r="E2123" t="s">
        <v>542</v>
      </c>
      <c r="F2123" t="s">
        <v>554</v>
      </c>
      <c r="G2123">
        <f t="shared" si="94"/>
        <v>84</v>
      </c>
      <c r="L2123" t="s">
        <v>625</v>
      </c>
    </row>
    <row r="2124" spans="1:12">
      <c r="A2124" s="45">
        <v>43210</v>
      </c>
      <c r="B2124" t="s">
        <v>390</v>
      </c>
      <c r="C2124">
        <f t="shared" si="95"/>
        <v>30</v>
      </c>
      <c r="D2124">
        <v>1</v>
      </c>
      <c r="E2124" t="s">
        <v>525</v>
      </c>
      <c r="F2124" t="s">
        <v>526</v>
      </c>
      <c r="G2124">
        <f t="shared" si="94"/>
        <v>30</v>
      </c>
    </row>
    <row r="2125" spans="1:12">
      <c r="A2125" s="45">
        <v>43210</v>
      </c>
      <c r="B2125" t="s">
        <v>432</v>
      </c>
      <c r="C2125">
        <f t="shared" si="95"/>
        <v>14</v>
      </c>
      <c r="D2125">
        <v>6.3</v>
      </c>
      <c r="E2125" t="s">
        <v>525</v>
      </c>
      <c r="F2125" t="s">
        <v>526</v>
      </c>
      <c r="G2125">
        <f t="shared" si="94"/>
        <v>88.2</v>
      </c>
    </row>
    <row r="2126" spans="1:12">
      <c r="A2126" s="45">
        <v>43210</v>
      </c>
      <c r="B2126" t="s">
        <v>430</v>
      </c>
      <c r="C2126">
        <f t="shared" si="95"/>
        <v>30</v>
      </c>
      <c r="D2126">
        <v>0.5</v>
      </c>
      <c r="E2126" t="s">
        <v>525</v>
      </c>
      <c r="F2126" t="s">
        <v>526</v>
      </c>
      <c r="G2126">
        <f t="shared" si="94"/>
        <v>15</v>
      </c>
    </row>
    <row r="2127" spans="1:12">
      <c r="A2127" s="45">
        <v>43210</v>
      </c>
      <c r="B2127" t="s">
        <v>391</v>
      </c>
      <c r="C2127">
        <f t="shared" si="95"/>
        <v>27.97</v>
      </c>
      <c r="D2127">
        <v>0.6</v>
      </c>
      <c r="E2127" t="s">
        <v>525</v>
      </c>
      <c r="F2127" t="s">
        <v>526</v>
      </c>
      <c r="G2127">
        <f t="shared" si="94"/>
        <v>16.782</v>
      </c>
    </row>
    <row r="2128" spans="1:12">
      <c r="A2128" s="45">
        <v>43210</v>
      </c>
      <c r="B2128" t="s">
        <v>476</v>
      </c>
      <c r="C2128">
        <f t="shared" si="95"/>
        <v>14.75</v>
      </c>
      <c r="D2128">
        <v>0.8</v>
      </c>
      <c r="E2128" t="s">
        <v>525</v>
      </c>
      <c r="F2128" t="s">
        <v>526</v>
      </c>
      <c r="G2128">
        <f t="shared" si="94"/>
        <v>11.8</v>
      </c>
    </row>
    <row r="2129" spans="1:7">
      <c r="A2129" s="45">
        <v>43210</v>
      </c>
      <c r="B2129" t="s">
        <v>393</v>
      </c>
      <c r="C2129">
        <f t="shared" si="95"/>
        <v>26</v>
      </c>
      <c r="D2129">
        <v>11.9</v>
      </c>
      <c r="E2129" t="s">
        <v>525</v>
      </c>
      <c r="F2129" t="s">
        <v>526</v>
      </c>
      <c r="G2129">
        <f t="shared" si="94"/>
        <v>309.40000000000003</v>
      </c>
    </row>
    <row r="2130" spans="1:7">
      <c r="A2130" s="45">
        <v>43210</v>
      </c>
      <c r="B2130" t="s">
        <v>467</v>
      </c>
      <c r="C2130">
        <f t="shared" si="95"/>
        <v>75</v>
      </c>
      <c r="D2130">
        <v>1</v>
      </c>
      <c r="E2130" t="s">
        <v>525</v>
      </c>
      <c r="F2130" t="s">
        <v>526</v>
      </c>
      <c r="G2130">
        <f t="shared" si="94"/>
        <v>75</v>
      </c>
    </row>
    <row r="2131" spans="1:7">
      <c r="A2131" s="45">
        <v>43210</v>
      </c>
      <c r="B2131" t="s">
        <v>378</v>
      </c>
      <c r="C2131">
        <f t="shared" si="95"/>
        <v>25</v>
      </c>
      <c r="D2131">
        <v>0.28000000000000003</v>
      </c>
      <c r="E2131" t="s">
        <v>525</v>
      </c>
      <c r="F2131" t="s">
        <v>526</v>
      </c>
      <c r="G2131">
        <f t="shared" si="94"/>
        <v>7.0000000000000009</v>
      </c>
    </row>
    <row r="2132" spans="1:7">
      <c r="A2132" s="45">
        <v>43210</v>
      </c>
      <c r="B2132" t="s">
        <v>434</v>
      </c>
      <c r="C2132">
        <f t="shared" si="95"/>
        <v>125</v>
      </c>
      <c r="D2132">
        <v>0.12</v>
      </c>
      <c r="E2132" t="s">
        <v>525</v>
      </c>
      <c r="F2132" t="s">
        <v>526</v>
      </c>
      <c r="G2132">
        <f t="shared" si="94"/>
        <v>15</v>
      </c>
    </row>
    <row r="2133" spans="1:7">
      <c r="A2133" s="45">
        <v>43210</v>
      </c>
      <c r="B2133" t="s">
        <v>454</v>
      </c>
      <c r="C2133">
        <f t="shared" si="95"/>
        <v>43.06</v>
      </c>
      <c r="D2133">
        <v>0.5</v>
      </c>
      <c r="E2133" t="s">
        <v>525</v>
      </c>
      <c r="F2133" t="s">
        <v>526</v>
      </c>
      <c r="G2133">
        <f t="shared" si="94"/>
        <v>21.53</v>
      </c>
    </row>
    <row r="2134" spans="1:7">
      <c r="A2134" s="45">
        <v>43210</v>
      </c>
      <c r="B2134" t="s">
        <v>386</v>
      </c>
      <c r="C2134">
        <f t="shared" si="95"/>
        <v>82</v>
      </c>
      <c r="D2134">
        <v>3</v>
      </c>
      <c r="E2134" t="s">
        <v>525</v>
      </c>
      <c r="F2134" t="s">
        <v>526</v>
      </c>
      <c r="G2134">
        <f t="shared" si="94"/>
        <v>246</v>
      </c>
    </row>
    <row r="2135" spans="1:7">
      <c r="A2135" s="45">
        <v>43210</v>
      </c>
      <c r="B2135" t="s">
        <v>389</v>
      </c>
      <c r="C2135">
        <f t="shared" si="95"/>
        <v>280</v>
      </c>
      <c r="D2135">
        <v>0.2</v>
      </c>
      <c r="E2135" t="s">
        <v>525</v>
      </c>
      <c r="F2135" t="s">
        <v>526</v>
      </c>
      <c r="G2135">
        <f t="shared" si="94"/>
        <v>56</v>
      </c>
    </row>
    <row r="2136" spans="1:7">
      <c r="A2136" s="45">
        <v>43210</v>
      </c>
      <c r="B2136" t="s">
        <v>462</v>
      </c>
      <c r="C2136">
        <f t="shared" si="95"/>
        <v>138</v>
      </c>
      <c r="D2136">
        <v>0.3</v>
      </c>
      <c r="E2136" t="s">
        <v>525</v>
      </c>
      <c r="F2136" t="s">
        <v>526</v>
      </c>
      <c r="G2136">
        <f t="shared" si="94"/>
        <v>41.4</v>
      </c>
    </row>
    <row r="2137" spans="1:7">
      <c r="A2137" s="45">
        <v>43210</v>
      </c>
      <c r="B2137" t="s">
        <v>474</v>
      </c>
      <c r="C2137">
        <f t="shared" si="95"/>
        <v>27</v>
      </c>
      <c r="D2137">
        <v>2.64</v>
      </c>
      <c r="E2137" t="s">
        <v>525</v>
      </c>
      <c r="F2137" t="s">
        <v>526</v>
      </c>
      <c r="G2137">
        <f t="shared" si="94"/>
        <v>71.28</v>
      </c>
    </row>
    <row r="2138" spans="1:7">
      <c r="A2138" s="45">
        <v>43210</v>
      </c>
      <c r="B2138" t="s">
        <v>427</v>
      </c>
      <c r="C2138">
        <f t="shared" si="95"/>
        <v>28</v>
      </c>
      <c r="D2138">
        <v>0.7</v>
      </c>
      <c r="E2138" t="s">
        <v>525</v>
      </c>
      <c r="F2138" t="s">
        <v>526</v>
      </c>
      <c r="G2138">
        <f t="shared" si="94"/>
        <v>19.599999999999998</v>
      </c>
    </row>
    <row r="2139" spans="1:7">
      <c r="A2139" s="45">
        <v>43210</v>
      </c>
      <c r="B2139" t="s">
        <v>463</v>
      </c>
      <c r="C2139">
        <f t="shared" si="95"/>
        <v>29.51</v>
      </c>
      <c r="D2139">
        <v>2.6</v>
      </c>
      <c r="E2139" t="s">
        <v>525</v>
      </c>
      <c r="F2139" t="s">
        <v>526</v>
      </c>
      <c r="G2139">
        <f t="shared" si="94"/>
        <v>76.726000000000013</v>
      </c>
    </row>
    <row r="2140" spans="1:7">
      <c r="A2140" s="45">
        <v>43210</v>
      </c>
      <c r="B2140" t="s">
        <v>429</v>
      </c>
      <c r="C2140">
        <f t="shared" si="95"/>
        <v>40</v>
      </c>
      <c r="D2140">
        <v>0.15</v>
      </c>
      <c r="E2140" t="s">
        <v>525</v>
      </c>
      <c r="F2140" t="s">
        <v>526</v>
      </c>
      <c r="G2140">
        <f t="shared" si="94"/>
        <v>6</v>
      </c>
    </row>
    <row r="2141" spans="1:7">
      <c r="A2141" s="45">
        <v>43210</v>
      </c>
      <c r="B2141" t="s">
        <v>371</v>
      </c>
      <c r="C2141">
        <f t="shared" si="95"/>
        <v>23.33</v>
      </c>
      <c r="D2141">
        <v>3</v>
      </c>
      <c r="E2141" t="s">
        <v>525</v>
      </c>
      <c r="F2141" t="s">
        <v>526</v>
      </c>
      <c r="G2141">
        <f t="shared" si="94"/>
        <v>69.989999999999995</v>
      </c>
    </row>
    <row r="2142" spans="1:7">
      <c r="A2142" s="45">
        <v>43210</v>
      </c>
      <c r="B2142" t="s">
        <v>452</v>
      </c>
      <c r="C2142">
        <f t="shared" si="95"/>
        <v>62</v>
      </c>
      <c r="D2142">
        <v>1.5</v>
      </c>
      <c r="E2142" t="s">
        <v>525</v>
      </c>
      <c r="F2142" t="s">
        <v>526</v>
      </c>
      <c r="G2142">
        <f t="shared" si="94"/>
        <v>93</v>
      </c>
    </row>
    <row r="2143" spans="1:7">
      <c r="A2143" s="45">
        <v>43210</v>
      </c>
      <c r="B2143" t="s">
        <v>382</v>
      </c>
      <c r="C2143">
        <f t="shared" si="95"/>
        <v>42</v>
      </c>
      <c r="D2143">
        <v>0.5</v>
      </c>
      <c r="E2143" t="s">
        <v>525</v>
      </c>
      <c r="F2143" t="s">
        <v>526</v>
      </c>
      <c r="G2143">
        <f t="shared" si="94"/>
        <v>21</v>
      </c>
    </row>
    <row r="2144" spans="1:7">
      <c r="A2144" s="45">
        <v>43210</v>
      </c>
      <c r="B2144" t="s">
        <v>385</v>
      </c>
      <c r="C2144">
        <f t="shared" si="95"/>
        <v>36</v>
      </c>
      <c r="D2144">
        <v>0.5</v>
      </c>
      <c r="E2144" t="s">
        <v>525</v>
      </c>
      <c r="F2144" t="s">
        <v>526</v>
      </c>
      <c r="G2144">
        <f t="shared" si="94"/>
        <v>18</v>
      </c>
    </row>
    <row r="2145" spans="1:7">
      <c r="A2145" s="45">
        <v>43210</v>
      </c>
      <c r="B2145" t="s">
        <v>376</v>
      </c>
      <c r="C2145">
        <f t="shared" si="95"/>
        <v>220</v>
      </c>
      <c r="D2145">
        <v>5.0000000000000001E-3</v>
      </c>
      <c r="E2145" t="s">
        <v>525</v>
      </c>
      <c r="F2145" t="s">
        <v>526</v>
      </c>
      <c r="G2145">
        <f t="shared" si="94"/>
        <v>1.1000000000000001</v>
      </c>
    </row>
    <row r="2146" spans="1:7">
      <c r="A2146" s="45">
        <v>43210</v>
      </c>
      <c r="B2146" t="s">
        <v>399</v>
      </c>
      <c r="C2146">
        <f t="shared" si="95"/>
        <v>1480</v>
      </c>
      <c r="D2146">
        <v>5.0000000000000001E-3</v>
      </c>
      <c r="E2146" t="s">
        <v>525</v>
      </c>
      <c r="F2146" t="s">
        <v>526</v>
      </c>
      <c r="G2146">
        <f t="shared" si="94"/>
        <v>7.4</v>
      </c>
    </row>
    <row r="2147" spans="1:7">
      <c r="A2147" s="45">
        <v>43210</v>
      </c>
      <c r="B2147" t="s">
        <v>377</v>
      </c>
      <c r="C2147">
        <f t="shared" si="95"/>
        <v>740</v>
      </c>
      <c r="D2147">
        <v>5.0000000000000001E-3</v>
      </c>
      <c r="E2147" t="s">
        <v>525</v>
      </c>
      <c r="F2147" t="s">
        <v>526</v>
      </c>
      <c r="G2147">
        <f t="shared" ref="G2147:G2234" si="96">IF(C2147="","",C2147*D2147)</f>
        <v>3.7</v>
      </c>
    </row>
    <row r="2148" spans="1:7">
      <c r="A2148" s="45">
        <v>43210</v>
      </c>
      <c r="B2148" t="s">
        <v>464</v>
      </c>
      <c r="C2148">
        <f t="shared" si="95"/>
        <v>750</v>
      </c>
      <c r="D2148">
        <v>5.0000000000000001E-3</v>
      </c>
      <c r="E2148" t="s">
        <v>525</v>
      </c>
      <c r="F2148" t="s">
        <v>526</v>
      </c>
      <c r="G2148">
        <f t="shared" si="96"/>
        <v>3.75</v>
      </c>
    </row>
    <row r="2149" spans="1:7">
      <c r="A2149" s="45">
        <v>43210</v>
      </c>
      <c r="B2149" t="s">
        <v>461</v>
      </c>
      <c r="C2149">
        <f t="shared" si="95"/>
        <v>1450</v>
      </c>
      <c r="D2149">
        <v>5.0000000000000001E-3</v>
      </c>
      <c r="E2149" t="s">
        <v>525</v>
      </c>
      <c r="F2149" t="s">
        <v>526</v>
      </c>
      <c r="G2149">
        <f t="shared" si="96"/>
        <v>7.25</v>
      </c>
    </row>
    <row r="2150" spans="1:7">
      <c r="A2150" s="45">
        <v>43210</v>
      </c>
      <c r="B2150" t="s">
        <v>476</v>
      </c>
      <c r="C2150">
        <f t="shared" si="95"/>
        <v>14.75</v>
      </c>
      <c r="D2150">
        <v>2</v>
      </c>
      <c r="E2150" t="s">
        <v>525</v>
      </c>
      <c r="F2150" t="s">
        <v>526</v>
      </c>
      <c r="G2150">
        <f t="shared" si="96"/>
        <v>29.5</v>
      </c>
    </row>
    <row r="2151" spans="1:7">
      <c r="A2151" s="45">
        <v>43210</v>
      </c>
      <c r="B2151" t="s">
        <v>460</v>
      </c>
      <c r="C2151">
        <f t="shared" si="95"/>
        <v>43.98</v>
      </c>
      <c r="D2151">
        <v>0.25</v>
      </c>
      <c r="E2151" t="s">
        <v>525</v>
      </c>
      <c r="F2151" t="s">
        <v>526</v>
      </c>
      <c r="G2151">
        <f t="shared" si="96"/>
        <v>10.994999999999999</v>
      </c>
    </row>
    <row r="2152" spans="1:7">
      <c r="A2152" s="45">
        <v>43210</v>
      </c>
      <c r="B2152" t="s">
        <v>375</v>
      </c>
      <c r="C2152">
        <f t="shared" si="95"/>
        <v>280</v>
      </c>
      <c r="D2152">
        <v>0.14000000000000001</v>
      </c>
      <c r="E2152" t="s">
        <v>525</v>
      </c>
      <c r="F2152" t="s">
        <v>526</v>
      </c>
      <c r="G2152">
        <f t="shared" si="96"/>
        <v>39.200000000000003</v>
      </c>
    </row>
    <row r="2153" spans="1:7">
      <c r="A2153" s="45">
        <v>43210</v>
      </c>
      <c r="B2153" t="s">
        <v>426</v>
      </c>
      <c r="C2153">
        <f t="shared" si="95"/>
        <v>57.5</v>
      </c>
      <c r="D2153">
        <v>0.03</v>
      </c>
      <c r="E2153" t="s">
        <v>525</v>
      </c>
      <c r="F2153" t="s">
        <v>526</v>
      </c>
      <c r="G2153">
        <f t="shared" si="96"/>
        <v>1.7249999999999999</v>
      </c>
    </row>
    <row r="2154" spans="1:7">
      <c r="A2154" s="45">
        <v>43210</v>
      </c>
      <c r="B2154" t="s">
        <v>553</v>
      </c>
      <c r="C2154">
        <f t="shared" si="95"/>
        <v>150</v>
      </c>
      <c r="D2154">
        <v>1</v>
      </c>
      <c r="E2154" t="s">
        <v>543</v>
      </c>
      <c r="F2154" t="s">
        <v>527</v>
      </c>
      <c r="G2154">
        <f t="shared" si="96"/>
        <v>150</v>
      </c>
    </row>
    <row r="2155" spans="1:7">
      <c r="A2155" s="45">
        <v>43210</v>
      </c>
      <c r="B2155" t="s">
        <v>385</v>
      </c>
      <c r="C2155">
        <f t="shared" si="95"/>
        <v>36</v>
      </c>
      <c r="D2155">
        <v>2</v>
      </c>
      <c r="E2155" t="s">
        <v>543</v>
      </c>
      <c r="F2155" t="s">
        <v>527</v>
      </c>
      <c r="G2155">
        <f t="shared" si="96"/>
        <v>72</v>
      </c>
    </row>
    <row r="2156" spans="1:7">
      <c r="A2156" s="45">
        <v>43210</v>
      </c>
      <c r="B2156" t="s">
        <v>382</v>
      </c>
      <c r="C2156">
        <f t="shared" si="95"/>
        <v>42</v>
      </c>
      <c r="D2156">
        <v>1</v>
      </c>
      <c r="E2156" t="s">
        <v>543</v>
      </c>
      <c r="F2156" t="s">
        <v>527</v>
      </c>
      <c r="G2156">
        <f t="shared" si="96"/>
        <v>42</v>
      </c>
    </row>
    <row r="2157" spans="1:7">
      <c r="A2157" s="45">
        <v>43210</v>
      </c>
      <c r="B2157" t="s">
        <v>449</v>
      </c>
      <c r="C2157">
        <f t="shared" si="95"/>
        <v>20</v>
      </c>
      <c r="D2157">
        <v>1.2</v>
      </c>
      <c r="E2157" t="s">
        <v>543</v>
      </c>
      <c r="F2157" t="s">
        <v>527</v>
      </c>
      <c r="G2157">
        <f t="shared" si="96"/>
        <v>24</v>
      </c>
    </row>
    <row r="2158" spans="1:7">
      <c r="A2158" s="45">
        <v>43210</v>
      </c>
      <c r="B2158" t="s">
        <v>445</v>
      </c>
      <c r="C2158">
        <f t="shared" si="95"/>
        <v>20</v>
      </c>
      <c r="D2158">
        <f>0.8+1.25+0.8</f>
        <v>2.8499999999999996</v>
      </c>
      <c r="E2158" t="s">
        <v>543</v>
      </c>
      <c r="F2158" t="s">
        <v>527</v>
      </c>
      <c r="G2158">
        <f t="shared" si="96"/>
        <v>56.999999999999993</v>
      </c>
    </row>
    <row r="2159" spans="1:7">
      <c r="A2159" s="45">
        <v>43210</v>
      </c>
      <c r="B2159" t="s">
        <v>427</v>
      </c>
      <c r="C2159">
        <f t="shared" si="95"/>
        <v>28</v>
      </c>
      <c r="D2159">
        <v>0.21</v>
      </c>
      <c r="E2159" t="s">
        <v>528</v>
      </c>
      <c r="F2159" t="s">
        <v>527</v>
      </c>
      <c r="G2159">
        <f t="shared" si="96"/>
        <v>5.88</v>
      </c>
    </row>
    <row r="2160" spans="1:7">
      <c r="A2160" s="45">
        <v>43210</v>
      </c>
      <c r="B2160" t="s">
        <v>429</v>
      </c>
      <c r="C2160">
        <f t="shared" si="95"/>
        <v>40</v>
      </c>
      <c r="D2160">
        <v>5.5E-2</v>
      </c>
      <c r="E2160" t="s">
        <v>528</v>
      </c>
      <c r="F2160" t="s">
        <v>527</v>
      </c>
      <c r="G2160">
        <f t="shared" si="96"/>
        <v>2.2000000000000002</v>
      </c>
    </row>
    <row r="2161" spans="1:7">
      <c r="A2161" s="45">
        <v>43210</v>
      </c>
      <c r="B2161" t="s">
        <v>476</v>
      </c>
      <c r="C2161">
        <f t="shared" si="95"/>
        <v>14.75</v>
      </c>
      <c r="D2161">
        <v>0.11</v>
      </c>
      <c r="E2161" t="s">
        <v>528</v>
      </c>
      <c r="F2161" t="s">
        <v>527</v>
      </c>
      <c r="G2161">
        <f t="shared" si="96"/>
        <v>1.6225000000000001</v>
      </c>
    </row>
    <row r="2162" spans="1:7">
      <c r="A2162" s="45">
        <v>43210</v>
      </c>
      <c r="B2162" t="s">
        <v>378</v>
      </c>
      <c r="C2162">
        <f t="shared" si="95"/>
        <v>25</v>
      </c>
      <c r="D2162">
        <v>0.09</v>
      </c>
      <c r="E2162" t="s">
        <v>528</v>
      </c>
      <c r="F2162" t="s">
        <v>527</v>
      </c>
      <c r="G2162">
        <f t="shared" si="96"/>
        <v>2.25</v>
      </c>
    </row>
    <row r="2163" spans="1:7">
      <c r="A2163" s="45">
        <v>43210</v>
      </c>
      <c r="B2163" t="s">
        <v>404</v>
      </c>
      <c r="C2163">
        <f t="shared" si="95"/>
        <v>28</v>
      </c>
      <c r="D2163">
        <v>1</v>
      </c>
      <c r="E2163" t="s">
        <v>528</v>
      </c>
      <c r="F2163" t="s">
        <v>527</v>
      </c>
      <c r="G2163">
        <f t="shared" si="96"/>
        <v>28</v>
      </c>
    </row>
    <row r="2164" spans="1:7">
      <c r="A2164" s="45">
        <v>43210</v>
      </c>
      <c r="B2164" t="s">
        <v>433</v>
      </c>
      <c r="C2164">
        <f t="shared" si="95"/>
        <v>20</v>
      </c>
      <c r="D2164">
        <v>0.3</v>
      </c>
      <c r="E2164" t="s">
        <v>528</v>
      </c>
      <c r="F2164" t="s">
        <v>527</v>
      </c>
      <c r="G2164">
        <f t="shared" si="96"/>
        <v>6</v>
      </c>
    </row>
    <row r="2165" spans="1:7">
      <c r="A2165" s="45">
        <v>43210</v>
      </c>
      <c r="B2165" t="s">
        <v>499</v>
      </c>
      <c r="C2165">
        <f t="shared" si="95"/>
        <v>60</v>
      </c>
      <c r="D2165">
        <v>0.05</v>
      </c>
      <c r="E2165" t="s">
        <v>528</v>
      </c>
      <c r="F2165" t="s">
        <v>527</v>
      </c>
      <c r="G2165">
        <f t="shared" si="96"/>
        <v>3</v>
      </c>
    </row>
    <row r="2166" spans="1:7">
      <c r="A2166" s="45">
        <v>43210</v>
      </c>
      <c r="B2166" t="s">
        <v>376</v>
      </c>
      <c r="C2166">
        <f t="shared" si="95"/>
        <v>220</v>
      </c>
      <c r="D2166">
        <v>0.01</v>
      </c>
      <c r="E2166" t="s">
        <v>528</v>
      </c>
      <c r="F2166" t="s">
        <v>527</v>
      </c>
      <c r="G2166">
        <f t="shared" si="96"/>
        <v>2.2000000000000002</v>
      </c>
    </row>
    <row r="2167" spans="1:7">
      <c r="A2167" s="45">
        <v>43210</v>
      </c>
      <c r="B2167" t="s">
        <v>377</v>
      </c>
      <c r="C2167">
        <f t="shared" si="95"/>
        <v>740</v>
      </c>
      <c r="D2167">
        <v>0.01</v>
      </c>
      <c r="E2167" t="s">
        <v>528</v>
      </c>
      <c r="F2167" t="s">
        <v>527</v>
      </c>
      <c r="G2167">
        <f t="shared" si="96"/>
        <v>7.4</v>
      </c>
    </row>
    <row r="2168" spans="1:7">
      <c r="A2168" s="45">
        <v>43210</v>
      </c>
      <c r="B2168" t="s">
        <v>411</v>
      </c>
      <c r="C2168">
        <f t="shared" si="95"/>
        <v>49.5</v>
      </c>
      <c r="D2168">
        <v>0.4</v>
      </c>
      <c r="E2168" t="s">
        <v>528</v>
      </c>
      <c r="F2168" t="s">
        <v>527</v>
      </c>
      <c r="G2168">
        <f t="shared" si="96"/>
        <v>19.8</v>
      </c>
    </row>
    <row r="2169" spans="1:7">
      <c r="A2169" s="45">
        <v>43210</v>
      </c>
      <c r="B2169" t="s">
        <v>432</v>
      </c>
      <c r="C2169">
        <f t="shared" si="95"/>
        <v>14</v>
      </c>
      <c r="D2169">
        <v>0.61499999999999999</v>
      </c>
      <c r="E2169" t="s">
        <v>528</v>
      </c>
      <c r="F2169" t="s">
        <v>527</v>
      </c>
      <c r="G2169">
        <f t="shared" si="96"/>
        <v>8.61</v>
      </c>
    </row>
    <row r="2170" spans="1:7">
      <c r="A2170" s="45">
        <v>43210</v>
      </c>
      <c r="B2170" t="s">
        <v>395</v>
      </c>
      <c r="C2170">
        <f t="shared" si="95"/>
        <v>450</v>
      </c>
      <c r="D2170">
        <v>5.0000000000000001E-3</v>
      </c>
      <c r="E2170" t="s">
        <v>528</v>
      </c>
      <c r="F2170" t="s">
        <v>527</v>
      </c>
      <c r="G2170">
        <f t="shared" si="96"/>
        <v>2.25</v>
      </c>
    </row>
    <row r="2171" spans="1:7">
      <c r="A2171" s="45">
        <v>43210</v>
      </c>
      <c r="B2171" t="s">
        <v>476</v>
      </c>
      <c r="C2171">
        <f t="shared" si="95"/>
        <v>14.75</v>
      </c>
      <c r="D2171">
        <v>0.35</v>
      </c>
      <c r="E2171" t="s">
        <v>528</v>
      </c>
      <c r="F2171" t="s">
        <v>527</v>
      </c>
      <c r="G2171">
        <f t="shared" si="96"/>
        <v>5.1624999999999996</v>
      </c>
    </row>
    <row r="2172" spans="1:7">
      <c r="A2172" s="45">
        <v>43210</v>
      </c>
      <c r="B2172" t="s">
        <v>391</v>
      </c>
      <c r="C2172">
        <f t="shared" si="95"/>
        <v>27.97</v>
      </c>
      <c r="D2172">
        <v>0.3</v>
      </c>
      <c r="E2172" t="s">
        <v>528</v>
      </c>
      <c r="F2172" t="s">
        <v>527</v>
      </c>
      <c r="G2172">
        <f t="shared" si="96"/>
        <v>8.391</v>
      </c>
    </row>
    <row r="2173" spans="1:7">
      <c r="A2173" s="45">
        <v>43210</v>
      </c>
      <c r="B2173" t="s">
        <v>378</v>
      </c>
      <c r="C2173">
        <f t="shared" si="95"/>
        <v>25</v>
      </c>
      <c r="D2173">
        <v>0.08</v>
      </c>
      <c r="E2173" t="s">
        <v>528</v>
      </c>
      <c r="F2173" t="s">
        <v>527</v>
      </c>
      <c r="G2173">
        <f t="shared" si="96"/>
        <v>2</v>
      </c>
    </row>
    <row r="2174" spans="1:7">
      <c r="A2174" s="45">
        <v>43210</v>
      </c>
      <c r="B2174" t="s">
        <v>432</v>
      </c>
      <c r="C2174">
        <f t="shared" si="95"/>
        <v>14</v>
      </c>
      <c r="D2174">
        <v>0.37</v>
      </c>
      <c r="E2174" t="s">
        <v>555</v>
      </c>
      <c r="F2174" t="s">
        <v>556</v>
      </c>
      <c r="G2174">
        <f t="shared" si="96"/>
        <v>5.18</v>
      </c>
    </row>
    <row r="2175" spans="1:7">
      <c r="A2175" s="45">
        <v>43210</v>
      </c>
      <c r="B2175" t="s">
        <v>384</v>
      </c>
      <c r="C2175">
        <f t="shared" si="95"/>
        <v>3</v>
      </c>
      <c r="D2175">
        <v>4</v>
      </c>
      <c r="E2175" t="s">
        <v>555</v>
      </c>
      <c r="F2175" t="s">
        <v>556</v>
      </c>
      <c r="G2175">
        <f t="shared" si="96"/>
        <v>12</v>
      </c>
    </row>
    <row r="2176" spans="1:7">
      <c r="A2176" s="45">
        <v>43210</v>
      </c>
      <c r="B2176" t="s">
        <v>709</v>
      </c>
      <c r="C2176">
        <f t="shared" si="95"/>
        <v>14</v>
      </c>
      <c r="D2176">
        <v>3</v>
      </c>
      <c r="E2176" t="s">
        <v>710</v>
      </c>
      <c r="F2176" t="s">
        <v>711</v>
      </c>
      <c r="G2176">
        <f t="shared" si="96"/>
        <v>42</v>
      </c>
    </row>
    <row r="2177" spans="1:7">
      <c r="A2177" s="45">
        <v>43210</v>
      </c>
      <c r="B2177" t="s">
        <v>436</v>
      </c>
      <c r="C2177">
        <f t="shared" si="95"/>
        <v>37</v>
      </c>
      <c r="D2177">
        <v>0.31</v>
      </c>
      <c r="E2177" t="s">
        <v>710</v>
      </c>
      <c r="F2177" t="s">
        <v>711</v>
      </c>
      <c r="G2177">
        <f t="shared" si="96"/>
        <v>11.47</v>
      </c>
    </row>
    <row r="2178" spans="1:7">
      <c r="A2178" s="45">
        <v>43210</v>
      </c>
      <c r="B2178" t="s">
        <v>387</v>
      </c>
      <c r="C2178">
        <f t="shared" si="95"/>
        <v>187.41</v>
      </c>
      <c r="D2178">
        <v>0.45</v>
      </c>
      <c r="E2178" t="s">
        <v>525</v>
      </c>
      <c r="F2178" t="s">
        <v>526</v>
      </c>
      <c r="G2178">
        <f t="shared" si="96"/>
        <v>84.334500000000006</v>
      </c>
    </row>
    <row r="2179" spans="1:7">
      <c r="A2179" s="45">
        <v>43210</v>
      </c>
      <c r="B2179" t="s">
        <v>482</v>
      </c>
      <c r="C2179">
        <f t="shared" si="95"/>
        <v>48</v>
      </c>
      <c r="D2179">
        <v>0.2</v>
      </c>
      <c r="E2179" t="s">
        <v>525</v>
      </c>
      <c r="F2179" t="s">
        <v>526</v>
      </c>
      <c r="G2179">
        <f t="shared" si="96"/>
        <v>9.6000000000000014</v>
      </c>
    </row>
    <row r="2180" spans="1:7">
      <c r="A2180" s="45">
        <v>43210</v>
      </c>
      <c r="B2180" t="s">
        <v>520</v>
      </c>
      <c r="C2180">
        <f t="shared" si="95"/>
        <v>45</v>
      </c>
      <c r="D2180">
        <v>0.1</v>
      </c>
      <c r="E2180" t="s">
        <v>525</v>
      </c>
      <c r="F2180" t="s">
        <v>526</v>
      </c>
      <c r="G2180">
        <f t="shared" si="96"/>
        <v>4.5</v>
      </c>
    </row>
    <row r="2181" spans="1:7">
      <c r="A2181" s="45">
        <v>43210</v>
      </c>
      <c r="B2181" t="s">
        <v>435</v>
      </c>
      <c r="C2181">
        <f t="shared" si="95"/>
        <v>17</v>
      </c>
      <c r="D2181">
        <v>0.54</v>
      </c>
      <c r="E2181" t="s">
        <v>525</v>
      </c>
      <c r="F2181" t="s">
        <v>526</v>
      </c>
      <c r="G2181">
        <f t="shared" si="96"/>
        <v>9.18</v>
      </c>
    </row>
    <row r="2182" spans="1:7">
      <c r="A2182" s="45">
        <v>43210</v>
      </c>
      <c r="B2182" t="s">
        <v>455</v>
      </c>
      <c r="C2182">
        <f t="shared" si="95"/>
        <v>380</v>
      </c>
      <c r="D2182">
        <v>1.4999999999999999E-2</v>
      </c>
      <c r="E2182" t="s">
        <v>525</v>
      </c>
      <c r="F2182" t="s">
        <v>526</v>
      </c>
      <c r="G2182">
        <f t="shared" si="96"/>
        <v>5.7</v>
      </c>
    </row>
    <row r="2183" spans="1:7">
      <c r="A2183" s="45">
        <v>43210</v>
      </c>
      <c r="B2183" t="s">
        <v>478</v>
      </c>
      <c r="C2183">
        <f t="shared" si="95"/>
        <v>180</v>
      </c>
      <c r="D2183">
        <v>0.19</v>
      </c>
      <c r="E2183" t="s">
        <v>525</v>
      </c>
      <c r="F2183" t="s">
        <v>526</v>
      </c>
      <c r="G2183">
        <f t="shared" si="96"/>
        <v>34.200000000000003</v>
      </c>
    </row>
    <row r="2184" spans="1:7">
      <c r="A2184" s="45">
        <v>43210</v>
      </c>
      <c r="B2184" t="s">
        <v>475</v>
      </c>
      <c r="C2184">
        <f t="shared" si="95"/>
        <v>148</v>
      </c>
      <c r="D2184">
        <v>0.11</v>
      </c>
      <c r="E2184" t="s">
        <v>525</v>
      </c>
      <c r="F2184" t="s">
        <v>526</v>
      </c>
      <c r="G2184">
        <f t="shared" si="96"/>
        <v>16.28</v>
      </c>
    </row>
    <row r="2185" spans="1:7">
      <c r="A2185" s="45">
        <v>43210</v>
      </c>
      <c r="B2185" t="s">
        <v>518</v>
      </c>
      <c r="C2185">
        <f t="shared" si="95"/>
        <v>24</v>
      </c>
      <c r="D2185">
        <v>7.0000000000000007E-2</v>
      </c>
      <c r="E2185" t="s">
        <v>525</v>
      </c>
      <c r="F2185" t="s">
        <v>526</v>
      </c>
      <c r="G2185">
        <f t="shared" si="96"/>
        <v>1.6800000000000002</v>
      </c>
    </row>
    <row r="2186" spans="1:7">
      <c r="A2186" s="45">
        <v>43210</v>
      </c>
      <c r="B2186" t="s">
        <v>372</v>
      </c>
      <c r="C2186">
        <f t="shared" si="95"/>
        <v>33</v>
      </c>
      <c r="D2186">
        <v>0.05</v>
      </c>
      <c r="E2186" t="s">
        <v>525</v>
      </c>
      <c r="F2186" t="s">
        <v>526</v>
      </c>
      <c r="G2186">
        <f t="shared" si="96"/>
        <v>1.6500000000000001</v>
      </c>
    </row>
    <row r="2187" spans="1:7">
      <c r="A2187" s="45">
        <v>43210</v>
      </c>
      <c r="B2187" t="s">
        <v>397</v>
      </c>
      <c r="C2187">
        <f t="shared" si="95"/>
        <v>75</v>
      </c>
      <c r="D2187">
        <v>0.34</v>
      </c>
      <c r="E2187" t="s">
        <v>525</v>
      </c>
      <c r="F2187" t="s">
        <v>526</v>
      </c>
      <c r="G2187">
        <f t="shared" si="96"/>
        <v>25.500000000000004</v>
      </c>
    </row>
    <row r="2188" spans="1:7">
      <c r="A2188" s="45">
        <v>43210</v>
      </c>
      <c r="B2188" t="s">
        <v>379</v>
      </c>
      <c r="C2188">
        <f t="shared" si="95"/>
        <v>120</v>
      </c>
      <c r="D2188">
        <v>0.02</v>
      </c>
      <c r="E2188" t="s">
        <v>525</v>
      </c>
      <c r="F2188" t="s">
        <v>526</v>
      </c>
      <c r="G2188">
        <f t="shared" si="96"/>
        <v>2.4</v>
      </c>
    </row>
    <row r="2189" spans="1:7">
      <c r="A2189" s="45">
        <v>43210</v>
      </c>
      <c r="B2189" t="s">
        <v>561</v>
      </c>
      <c r="C2189">
        <f t="shared" si="95"/>
        <v>0</v>
      </c>
      <c r="D2189">
        <v>2.1</v>
      </c>
      <c r="E2189" t="s">
        <v>525</v>
      </c>
      <c r="F2189" t="s">
        <v>526</v>
      </c>
      <c r="G2189">
        <f t="shared" si="96"/>
        <v>0</v>
      </c>
    </row>
    <row r="2190" spans="1:7">
      <c r="A2190" s="45">
        <v>43210</v>
      </c>
      <c r="B2190" t="s">
        <v>675</v>
      </c>
      <c r="C2190">
        <f t="shared" si="95"/>
        <v>0</v>
      </c>
      <c r="D2190">
        <v>0.32</v>
      </c>
      <c r="E2190" t="s">
        <v>525</v>
      </c>
      <c r="F2190" t="s">
        <v>526</v>
      </c>
      <c r="G2190">
        <f t="shared" si="96"/>
        <v>0</v>
      </c>
    </row>
    <row r="2191" spans="1:7">
      <c r="A2191" s="45">
        <v>43210</v>
      </c>
      <c r="B2191" t="s">
        <v>398</v>
      </c>
      <c r="C2191">
        <f t="shared" si="95"/>
        <v>51</v>
      </c>
      <c r="D2191">
        <v>0.9</v>
      </c>
      <c r="E2191" t="s">
        <v>525</v>
      </c>
      <c r="F2191" t="s">
        <v>526</v>
      </c>
      <c r="G2191">
        <f t="shared" si="96"/>
        <v>45.9</v>
      </c>
    </row>
    <row r="2192" spans="1:7">
      <c r="A2192" s="45">
        <v>43210</v>
      </c>
      <c r="B2192" t="s">
        <v>459</v>
      </c>
      <c r="C2192">
        <f t="shared" si="95"/>
        <v>190</v>
      </c>
      <c r="D2192">
        <v>0.04</v>
      </c>
      <c r="E2192" t="s">
        <v>525</v>
      </c>
      <c r="F2192" t="s">
        <v>526</v>
      </c>
      <c r="G2192">
        <f t="shared" si="96"/>
        <v>7.6000000000000005</v>
      </c>
    </row>
    <row r="2193" spans="1:7">
      <c r="A2193" s="45">
        <v>43210</v>
      </c>
      <c r="B2193" t="s">
        <v>484</v>
      </c>
      <c r="C2193">
        <f t="shared" si="95"/>
        <v>430</v>
      </c>
      <c r="D2193">
        <v>0.05</v>
      </c>
      <c r="E2193" t="s">
        <v>525</v>
      </c>
      <c r="F2193" t="s">
        <v>526</v>
      </c>
      <c r="G2193">
        <f t="shared" si="96"/>
        <v>21.5</v>
      </c>
    </row>
    <row r="2194" spans="1:7">
      <c r="A2194" s="45">
        <v>43210</v>
      </c>
      <c r="B2194" t="s">
        <v>468</v>
      </c>
      <c r="C2194">
        <f t="shared" si="95"/>
        <v>32</v>
      </c>
      <c r="D2194">
        <v>5</v>
      </c>
      <c r="E2194" t="s">
        <v>525</v>
      </c>
      <c r="F2194" t="s">
        <v>526</v>
      </c>
      <c r="G2194">
        <f t="shared" si="96"/>
        <v>160</v>
      </c>
    </row>
    <row r="2195" spans="1:7">
      <c r="A2195" s="45">
        <v>43210</v>
      </c>
      <c r="B2195" t="s">
        <v>458</v>
      </c>
      <c r="C2195">
        <f t="shared" si="95"/>
        <v>140</v>
      </c>
      <c r="D2195">
        <v>0.4</v>
      </c>
      <c r="E2195" t="s">
        <v>525</v>
      </c>
      <c r="F2195" t="s">
        <v>526</v>
      </c>
      <c r="G2195">
        <f t="shared" si="96"/>
        <v>56</v>
      </c>
    </row>
    <row r="2196" spans="1:7">
      <c r="A2196" s="45">
        <v>43210</v>
      </c>
      <c r="B2196" t="s">
        <v>473</v>
      </c>
      <c r="C2196">
        <f t="shared" si="95"/>
        <v>175</v>
      </c>
      <c r="D2196">
        <v>0.35</v>
      </c>
      <c r="E2196" t="s">
        <v>525</v>
      </c>
      <c r="F2196" t="s">
        <v>526</v>
      </c>
      <c r="G2196">
        <f t="shared" si="96"/>
        <v>61.249999999999993</v>
      </c>
    </row>
    <row r="2197" spans="1:7">
      <c r="A2197" s="45">
        <v>43210</v>
      </c>
      <c r="B2197" t="s">
        <v>451</v>
      </c>
      <c r="C2197">
        <f t="shared" si="95"/>
        <v>60</v>
      </c>
      <c r="D2197">
        <v>0.2</v>
      </c>
      <c r="E2197" t="s">
        <v>525</v>
      </c>
      <c r="F2197" t="s">
        <v>526</v>
      </c>
      <c r="G2197">
        <f t="shared" si="96"/>
        <v>12</v>
      </c>
    </row>
    <row r="2198" spans="1:7">
      <c r="A2198" s="45">
        <v>43210</v>
      </c>
      <c r="B2198" t="s">
        <v>490</v>
      </c>
      <c r="C2198">
        <f t="shared" si="95"/>
        <v>100</v>
      </c>
      <c r="D2198">
        <v>0.7</v>
      </c>
      <c r="E2198" t="s">
        <v>525</v>
      </c>
      <c r="F2198" t="s">
        <v>526</v>
      </c>
      <c r="G2198">
        <f t="shared" si="96"/>
        <v>70</v>
      </c>
    </row>
    <row r="2199" spans="1:7">
      <c r="A2199" s="45">
        <v>43210</v>
      </c>
      <c r="B2199" t="s">
        <v>489</v>
      </c>
      <c r="C2199">
        <f t="shared" si="95"/>
        <v>280</v>
      </c>
      <c r="D2199">
        <v>0.75</v>
      </c>
      <c r="E2199" t="s">
        <v>525</v>
      </c>
      <c r="F2199" t="s">
        <v>526</v>
      </c>
      <c r="G2199">
        <f t="shared" si="96"/>
        <v>210</v>
      </c>
    </row>
    <row r="2200" spans="1:7">
      <c r="A2200" s="45">
        <v>43210</v>
      </c>
      <c r="B2200" t="s">
        <v>502</v>
      </c>
      <c r="C2200">
        <f t="shared" si="95"/>
        <v>40</v>
      </c>
      <c r="D2200">
        <v>0.3</v>
      </c>
      <c r="E2200" t="s">
        <v>336</v>
      </c>
      <c r="F2200" t="s">
        <v>527</v>
      </c>
      <c r="G2200">
        <f t="shared" si="96"/>
        <v>12</v>
      </c>
    </row>
    <row r="2201" spans="1:7">
      <c r="A2201" s="45">
        <v>43210</v>
      </c>
      <c r="B2201" t="s">
        <v>433</v>
      </c>
      <c r="C2201">
        <f t="shared" si="95"/>
        <v>20</v>
      </c>
      <c r="D2201">
        <v>1.4</v>
      </c>
      <c r="E2201" t="s">
        <v>336</v>
      </c>
      <c r="F2201" t="s">
        <v>527</v>
      </c>
      <c r="G2201">
        <f t="shared" si="96"/>
        <v>28</v>
      </c>
    </row>
    <row r="2202" spans="1:7">
      <c r="A2202" s="45">
        <v>43210</v>
      </c>
      <c r="B2202" t="s">
        <v>403</v>
      </c>
      <c r="C2202">
        <f t="shared" si="95"/>
        <v>34</v>
      </c>
      <c r="D2202">
        <v>0.45</v>
      </c>
      <c r="E2202" t="s">
        <v>336</v>
      </c>
      <c r="F2202" t="s">
        <v>527</v>
      </c>
      <c r="G2202">
        <f t="shared" si="96"/>
        <v>15.3</v>
      </c>
    </row>
    <row r="2203" spans="1:7">
      <c r="A2203" s="45">
        <v>43210</v>
      </c>
      <c r="B2203" t="s">
        <v>385</v>
      </c>
      <c r="C2203">
        <f t="shared" si="95"/>
        <v>36</v>
      </c>
      <c r="D2203">
        <v>0.5</v>
      </c>
      <c r="E2203" t="s">
        <v>336</v>
      </c>
      <c r="F2203" t="s">
        <v>527</v>
      </c>
      <c r="G2203">
        <f t="shared" si="96"/>
        <v>18</v>
      </c>
    </row>
    <row r="2204" spans="1:7">
      <c r="A2204" s="45">
        <v>43210</v>
      </c>
      <c r="B2204" t="s">
        <v>382</v>
      </c>
      <c r="C2204">
        <f t="shared" si="95"/>
        <v>42</v>
      </c>
      <c r="D2204">
        <v>1.5</v>
      </c>
      <c r="E2204" t="s">
        <v>336</v>
      </c>
      <c r="F2204" t="s">
        <v>527</v>
      </c>
      <c r="G2204">
        <f t="shared" si="96"/>
        <v>63</v>
      </c>
    </row>
    <row r="2205" spans="1:7">
      <c r="A2205" s="45">
        <v>43210</v>
      </c>
      <c r="B2205" t="s">
        <v>404</v>
      </c>
      <c r="C2205">
        <f t="shared" si="95"/>
        <v>28</v>
      </c>
      <c r="D2205">
        <v>3</v>
      </c>
      <c r="E2205" t="s">
        <v>336</v>
      </c>
      <c r="F2205" t="s">
        <v>527</v>
      </c>
      <c r="G2205">
        <f t="shared" si="96"/>
        <v>84</v>
      </c>
    </row>
    <row r="2206" spans="1:7">
      <c r="A2206" s="45">
        <v>43210</v>
      </c>
      <c r="B2206" t="s">
        <v>511</v>
      </c>
      <c r="C2206">
        <f t="shared" si="95"/>
        <v>52</v>
      </c>
      <c r="D2206">
        <v>5</v>
      </c>
      <c r="E2206" t="s">
        <v>336</v>
      </c>
      <c r="F2206" t="s">
        <v>527</v>
      </c>
      <c r="G2206">
        <f t="shared" si="96"/>
        <v>260</v>
      </c>
    </row>
    <row r="2207" spans="1:7">
      <c r="A2207" s="45">
        <v>43210</v>
      </c>
      <c r="B2207" t="s">
        <v>436</v>
      </c>
      <c r="C2207">
        <f t="shared" si="95"/>
        <v>37</v>
      </c>
      <c r="D2207">
        <v>0.9</v>
      </c>
      <c r="E2207" t="s">
        <v>336</v>
      </c>
      <c r="F2207" t="s">
        <v>527</v>
      </c>
      <c r="G2207">
        <f t="shared" si="96"/>
        <v>33.300000000000004</v>
      </c>
    </row>
    <row r="2208" spans="1:7">
      <c r="A2208" s="45">
        <v>43210</v>
      </c>
      <c r="B2208" t="s">
        <v>375</v>
      </c>
      <c r="C2208">
        <f t="shared" si="95"/>
        <v>280</v>
      </c>
      <c r="D2208">
        <v>8.5000000000000006E-2</v>
      </c>
      <c r="E2208" t="s">
        <v>336</v>
      </c>
      <c r="F2208" t="s">
        <v>527</v>
      </c>
      <c r="G2208">
        <f t="shared" si="96"/>
        <v>23.8</v>
      </c>
    </row>
    <row r="2209" spans="1:7">
      <c r="A2209" s="45">
        <v>43210</v>
      </c>
      <c r="B2209" t="s">
        <v>379</v>
      </c>
      <c r="C2209">
        <f t="shared" si="95"/>
        <v>120</v>
      </c>
      <c r="D2209">
        <v>2.5000000000000001E-2</v>
      </c>
      <c r="E2209" t="s">
        <v>336</v>
      </c>
      <c r="F2209" t="s">
        <v>527</v>
      </c>
      <c r="G2209">
        <f t="shared" si="96"/>
        <v>3</v>
      </c>
    </row>
    <row r="2210" spans="1:7">
      <c r="A2210" s="45">
        <v>43210</v>
      </c>
      <c r="B2210" t="s">
        <v>380</v>
      </c>
      <c r="C2210">
        <f t="shared" si="95"/>
        <v>90</v>
      </c>
      <c r="D2210">
        <v>0.19</v>
      </c>
      <c r="E2210" t="s">
        <v>336</v>
      </c>
      <c r="F2210" t="s">
        <v>527</v>
      </c>
      <c r="G2210">
        <f t="shared" si="96"/>
        <v>17.100000000000001</v>
      </c>
    </row>
    <row r="2211" spans="1:7">
      <c r="A2211" s="45">
        <v>43210</v>
      </c>
      <c r="B2211" t="s">
        <v>381</v>
      </c>
      <c r="C2211">
        <f t="shared" si="95"/>
        <v>7</v>
      </c>
      <c r="D2211">
        <v>0.48</v>
      </c>
      <c r="E2211" t="s">
        <v>336</v>
      </c>
      <c r="F2211" t="s">
        <v>527</v>
      </c>
      <c r="G2211">
        <f t="shared" si="96"/>
        <v>3.36</v>
      </c>
    </row>
    <row r="2212" spans="1:7">
      <c r="A2212" s="45">
        <v>43210</v>
      </c>
      <c r="B2212" t="s">
        <v>387</v>
      </c>
      <c r="C2212">
        <f t="shared" si="95"/>
        <v>187.41</v>
      </c>
      <c r="D2212">
        <v>5.5E-2</v>
      </c>
      <c r="E2212" t="s">
        <v>336</v>
      </c>
      <c r="F2212" t="s">
        <v>527</v>
      </c>
      <c r="G2212">
        <f t="shared" si="96"/>
        <v>10.307549999999999</v>
      </c>
    </row>
    <row r="2213" spans="1:7">
      <c r="A2213" s="45">
        <v>43210</v>
      </c>
      <c r="B2213" t="s">
        <v>462</v>
      </c>
      <c r="C2213">
        <f t="shared" si="95"/>
        <v>138</v>
      </c>
      <c r="D2213">
        <v>0.02</v>
      </c>
      <c r="E2213" t="s">
        <v>336</v>
      </c>
      <c r="F2213" t="s">
        <v>527</v>
      </c>
      <c r="G2213">
        <f t="shared" si="96"/>
        <v>2.7600000000000002</v>
      </c>
    </row>
    <row r="2214" spans="1:7">
      <c r="A2214" s="45">
        <v>43210</v>
      </c>
      <c r="B2214" t="s">
        <v>386</v>
      </c>
      <c r="C2214">
        <f t="shared" si="95"/>
        <v>82</v>
      </c>
      <c r="D2214">
        <v>1</v>
      </c>
      <c r="E2214" t="s">
        <v>336</v>
      </c>
      <c r="F2214" t="s">
        <v>527</v>
      </c>
      <c r="G2214">
        <f t="shared" si="96"/>
        <v>82</v>
      </c>
    </row>
    <row r="2215" spans="1:7">
      <c r="A2215" s="45">
        <v>43210</v>
      </c>
      <c r="B2215" t="s">
        <v>383</v>
      </c>
      <c r="C2215">
        <f t="shared" si="95"/>
        <v>230</v>
      </c>
      <c r="D2215">
        <v>8.5000000000000006E-2</v>
      </c>
      <c r="E2215" t="s">
        <v>336</v>
      </c>
      <c r="F2215" t="s">
        <v>527</v>
      </c>
      <c r="G2215">
        <f t="shared" si="96"/>
        <v>19.55</v>
      </c>
    </row>
    <row r="2216" spans="1:7">
      <c r="A2216" s="45">
        <v>43210</v>
      </c>
      <c r="B2216" t="s">
        <v>431</v>
      </c>
      <c r="C2216">
        <f t="shared" si="95"/>
        <v>70</v>
      </c>
      <c r="D2216">
        <v>0.05</v>
      </c>
      <c r="E2216" t="s">
        <v>336</v>
      </c>
      <c r="F2216" t="s">
        <v>527</v>
      </c>
      <c r="G2216">
        <f t="shared" si="96"/>
        <v>3.5</v>
      </c>
    </row>
    <row r="2217" spans="1:7">
      <c r="A2217" s="45">
        <v>43210</v>
      </c>
      <c r="B2217" t="s">
        <v>367</v>
      </c>
      <c r="C2217">
        <f t="shared" si="95"/>
        <v>55</v>
      </c>
      <c r="D2217">
        <v>0.19</v>
      </c>
      <c r="E2217" t="s">
        <v>336</v>
      </c>
      <c r="F2217" t="s">
        <v>527</v>
      </c>
      <c r="G2217">
        <f t="shared" si="96"/>
        <v>10.45</v>
      </c>
    </row>
    <row r="2218" spans="1:7">
      <c r="A2218" s="45">
        <v>43210</v>
      </c>
      <c r="B2218" t="s">
        <v>432</v>
      </c>
      <c r="C2218">
        <f t="shared" si="95"/>
        <v>14</v>
      </c>
      <c r="D2218">
        <v>3</v>
      </c>
      <c r="E2218" t="s">
        <v>336</v>
      </c>
      <c r="F2218" t="s">
        <v>527</v>
      </c>
      <c r="G2218">
        <f t="shared" si="96"/>
        <v>42</v>
      </c>
    </row>
    <row r="2219" spans="1:7">
      <c r="A2219" s="45">
        <v>43210</v>
      </c>
      <c r="B2219" t="s">
        <v>427</v>
      </c>
      <c r="C2219">
        <f t="shared" si="95"/>
        <v>28</v>
      </c>
      <c r="D2219">
        <v>0.25</v>
      </c>
      <c r="E2219" t="s">
        <v>336</v>
      </c>
      <c r="F2219" t="s">
        <v>527</v>
      </c>
      <c r="G2219">
        <f t="shared" si="96"/>
        <v>7</v>
      </c>
    </row>
    <row r="2220" spans="1:7">
      <c r="A2220" s="45">
        <v>43210</v>
      </c>
      <c r="B2220" t="s">
        <v>437</v>
      </c>
      <c r="C2220">
        <f t="shared" si="95"/>
        <v>34</v>
      </c>
      <c r="D2220">
        <v>0.75</v>
      </c>
      <c r="E2220" t="s">
        <v>336</v>
      </c>
      <c r="F2220" t="s">
        <v>527</v>
      </c>
      <c r="G2220">
        <f t="shared" si="96"/>
        <v>25.5</v>
      </c>
    </row>
    <row r="2221" spans="1:7">
      <c r="A2221" s="45">
        <v>43210</v>
      </c>
      <c r="B2221" t="s">
        <v>409</v>
      </c>
      <c r="C2221">
        <f t="shared" si="95"/>
        <v>64.069999999999993</v>
      </c>
      <c r="D2221">
        <v>0.6</v>
      </c>
      <c r="E2221" t="s">
        <v>336</v>
      </c>
      <c r="F2221" t="s">
        <v>527</v>
      </c>
      <c r="G2221">
        <f t="shared" si="96"/>
        <v>38.441999999999993</v>
      </c>
    </row>
    <row r="2222" spans="1:7">
      <c r="A2222" s="45">
        <v>43210</v>
      </c>
      <c r="B2222" t="s">
        <v>512</v>
      </c>
      <c r="C2222">
        <f t="shared" si="95"/>
        <v>170</v>
      </c>
      <c r="D2222">
        <v>0.18</v>
      </c>
      <c r="E2222" t="s">
        <v>336</v>
      </c>
      <c r="F2222" t="s">
        <v>527</v>
      </c>
      <c r="G2222">
        <f t="shared" si="96"/>
        <v>30.599999999999998</v>
      </c>
    </row>
    <row r="2223" spans="1:7">
      <c r="A2223" s="45">
        <v>43210</v>
      </c>
      <c r="B2223" t="s">
        <v>499</v>
      </c>
      <c r="C2223">
        <f t="shared" si="95"/>
        <v>60</v>
      </c>
      <c r="D2223">
        <v>0.1</v>
      </c>
      <c r="E2223" t="s">
        <v>336</v>
      </c>
      <c r="F2223" t="s">
        <v>527</v>
      </c>
      <c r="G2223">
        <f t="shared" si="96"/>
        <v>6</v>
      </c>
    </row>
    <row r="2224" spans="1:7">
      <c r="A2224" s="45">
        <v>43210</v>
      </c>
      <c r="B2224" t="s">
        <v>462</v>
      </c>
      <c r="C2224">
        <f t="shared" si="95"/>
        <v>138</v>
      </c>
      <c r="D2224">
        <v>0.03</v>
      </c>
      <c r="E2224" t="s">
        <v>336</v>
      </c>
      <c r="F2224" t="s">
        <v>527</v>
      </c>
      <c r="G2224">
        <f t="shared" si="96"/>
        <v>4.1399999999999997</v>
      </c>
    </row>
    <row r="2225" spans="1:7">
      <c r="A2225" s="45">
        <v>43210</v>
      </c>
      <c r="B2225" t="s">
        <v>430</v>
      </c>
      <c r="C2225">
        <f t="shared" si="95"/>
        <v>30</v>
      </c>
      <c r="D2225">
        <v>0.25</v>
      </c>
      <c r="E2225" t="s">
        <v>336</v>
      </c>
      <c r="F2225" t="s">
        <v>527</v>
      </c>
      <c r="G2225">
        <f t="shared" si="96"/>
        <v>7.5</v>
      </c>
    </row>
    <row r="2226" spans="1:7">
      <c r="A2226" s="45">
        <v>43210</v>
      </c>
      <c r="B2226" t="s">
        <v>486</v>
      </c>
      <c r="C2226">
        <f t="shared" si="95"/>
        <v>108</v>
      </c>
      <c r="D2226">
        <v>0.2</v>
      </c>
      <c r="E2226" t="s">
        <v>336</v>
      </c>
      <c r="F2226" t="s">
        <v>527</v>
      </c>
      <c r="G2226">
        <f t="shared" si="96"/>
        <v>21.6</v>
      </c>
    </row>
    <row r="2227" spans="1:7">
      <c r="A2227" s="45">
        <v>43210</v>
      </c>
      <c r="B2227" t="s">
        <v>466</v>
      </c>
      <c r="C2227">
        <f t="shared" si="95"/>
        <v>125</v>
      </c>
      <c r="D2227">
        <v>0.08</v>
      </c>
      <c r="E2227" t="s">
        <v>336</v>
      </c>
      <c r="F2227" t="s">
        <v>527</v>
      </c>
      <c r="G2227">
        <f t="shared" si="96"/>
        <v>10</v>
      </c>
    </row>
    <row r="2228" spans="1:7">
      <c r="A2228" s="45">
        <v>43210</v>
      </c>
      <c r="B2228" t="s">
        <v>410</v>
      </c>
      <c r="C2228">
        <f t="shared" si="95"/>
        <v>76</v>
      </c>
      <c r="D2228">
        <v>0.19500000000000001</v>
      </c>
      <c r="E2228" t="s">
        <v>336</v>
      </c>
      <c r="F2228" t="s">
        <v>527</v>
      </c>
      <c r="G2228">
        <f t="shared" si="96"/>
        <v>14.82</v>
      </c>
    </row>
    <row r="2229" spans="1:7">
      <c r="A2229" s="45">
        <v>43210</v>
      </c>
      <c r="B2229" t="s">
        <v>454</v>
      </c>
      <c r="C2229">
        <f t="shared" si="95"/>
        <v>43.06</v>
      </c>
      <c r="D2229">
        <v>0.5</v>
      </c>
      <c r="E2229" t="s">
        <v>336</v>
      </c>
      <c r="F2229" t="s">
        <v>527</v>
      </c>
      <c r="G2229">
        <f t="shared" si="96"/>
        <v>21.53</v>
      </c>
    </row>
    <row r="2230" spans="1:7">
      <c r="A2230" s="45">
        <v>43210</v>
      </c>
      <c r="B2230" t="s">
        <v>391</v>
      </c>
      <c r="C2230">
        <f t="shared" si="95"/>
        <v>27.97</v>
      </c>
      <c r="D2230">
        <v>0.6</v>
      </c>
      <c r="E2230" t="s">
        <v>336</v>
      </c>
      <c r="F2230" t="s">
        <v>527</v>
      </c>
      <c r="G2230">
        <f t="shared" si="96"/>
        <v>16.782</v>
      </c>
    </row>
    <row r="2231" spans="1:7">
      <c r="A2231" s="45">
        <v>43210</v>
      </c>
      <c r="B2231" t="s">
        <v>434</v>
      </c>
      <c r="C2231">
        <f t="shared" si="95"/>
        <v>125</v>
      </c>
      <c r="D2231">
        <v>0.12</v>
      </c>
      <c r="E2231" t="s">
        <v>336</v>
      </c>
      <c r="F2231" t="s">
        <v>527</v>
      </c>
      <c r="G2231">
        <f t="shared" si="96"/>
        <v>15</v>
      </c>
    </row>
    <row r="2232" spans="1:7">
      <c r="A2232" s="45">
        <v>43210</v>
      </c>
      <c r="B2232" t="s">
        <v>479</v>
      </c>
      <c r="C2232">
        <f t="shared" si="95"/>
        <v>312.14</v>
      </c>
      <c r="D2232">
        <v>0.06</v>
      </c>
      <c r="E2232" t="s">
        <v>336</v>
      </c>
      <c r="F2232" t="s">
        <v>527</v>
      </c>
      <c r="G2232">
        <f t="shared" si="96"/>
        <v>18.728399999999997</v>
      </c>
    </row>
    <row r="2233" spans="1:7">
      <c r="A2233" s="45">
        <v>43210</v>
      </c>
      <c r="B2233" t="s">
        <v>513</v>
      </c>
      <c r="C2233">
        <f t="shared" si="95"/>
        <v>15</v>
      </c>
      <c r="D2233">
        <v>1.5</v>
      </c>
      <c r="E2233" t="s">
        <v>336</v>
      </c>
      <c r="F2233" t="s">
        <v>527</v>
      </c>
      <c r="G2233">
        <f t="shared" si="96"/>
        <v>22.5</v>
      </c>
    </row>
    <row r="2234" spans="1:7">
      <c r="A2234" s="45">
        <v>43210</v>
      </c>
      <c r="B2234" t="s">
        <v>496</v>
      </c>
      <c r="C2234">
        <f t="shared" si="95"/>
        <v>44</v>
      </c>
      <c r="D2234">
        <v>1.3</v>
      </c>
      <c r="E2234" t="s">
        <v>336</v>
      </c>
      <c r="F2234" t="s">
        <v>527</v>
      </c>
      <c r="G2234">
        <f t="shared" si="96"/>
        <v>57.2</v>
      </c>
    </row>
    <row r="2235" spans="1:7">
      <c r="A2235" s="45">
        <v>43210</v>
      </c>
      <c r="B2235" t="s">
        <v>510</v>
      </c>
      <c r="C2235">
        <f t="shared" ref="C2235:C2298" si="97">IF(B2235="","",VLOOKUP(B2235,$XEY$3:$XEZ$1158,2,FALSE))</f>
        <v>62.03</v>
      </c>
      <c r="D2235">
        <v>7.0000000000000007E-2</v>
      </c>
      <c r="E2235" t="s">
        <v>336</v>
      </c>
      <c r="F2235" t="s">
        <v>527</v>
      </c>
      <c r="G2235">
        <f t="shared" ref="G2235:G2298" si="98">IF(C2235="","",C2235*D2235)</f>
        <v>4.3421000000000003</v>
      </c>
    </row>
    <row r="2236" spans="1:7">
      <c r="A2236" s="45">
        <v>43210</v>
      </c>
      <c r="B2236" t="s">
        <v>471</v>
      </c>
      <c r="C2236">
        <f t="shared" si="97"/>
        <v>160</v>
      </c>
      <c r="D2236">
        <v>0.06</v>
      </c>
      <c r="E2236" t="s">
        <v>336</v>
      </c>
      <c r="F2236" t="s">
        <v>527</v>
      </c>
      <c r="G2236">
        <f t="shared" si="98"/>
        <v>9.6</v>
      </c>
    </row>
    <row r="2237" spans="1:7">
      <c r="A2237" s="45">
        <v>43210</v>
      </c>
      <c r="B2237" t="s">
        <v>551</v>
      </c>
      <c r="C2237">
        <f t="shared" si="97"/>
        <v>120</v>
      </c>
      <c r="D2237">
        <v>0.15</v>
      </c>
      <c r="E2237" t="s">
        <v>336</v>
      </c>
      <c r="F2237" t="s">
        <v>527</v>
      </c>
      <c r="G2237">
        <f t="shared" si="98"/>
        <v>18</v>
      </c>
    </row>
    <row r="2238" spans="1:7">
      <c r="A2238" s="45">
        <v>43210</v>
      </c>
      <c r="B2238" t="s">
        <v>429</v>
      </c>
      <c r="C2238">
        <f t="shared" si="97"/>
        <v>40</v>
      </c>
      <c r="D2238">
        <v>0.2</v>
      </c>
      <c r="E2238" t="s">
        <v>336</v>
      </c>
      <c r="F2238" t="s">
        <v>527</v>
      </c>
      <c r="G2238">
        <f t="shared" si="98"/>
        <v>8</v>
      </c>
    </row>
    <row r="2239" spans="1:7">
      <c r="A2239" s="45">
        <v>43210</v>
      </c>
      <c r="B2239" t="s">
        <v>390</v>
      </c>
      <c r="C2239">
        <f t="shared" si="97"/>
        <v>30</v>
      </c>
      <c r="D2239">
        <v>0.01</v>
      </c>
      <c r="E2239" t="s">
        <v>336</v>
      </c>
      <c r="F2239" t="s">
        <v>527</v>
      </c>
      <c r="G2239">
        <f t="shared" si="98"/>
        <v>0.3</v>
      </c>
    </row>
    <row r="2240" spans="1:7">
      <c r="A2240" s="45">
        <v>43210</v>
      </c>
      <c r="B2240" t="s">
        <v>461</v>
      </c>
      <c r="C2240">
        <f t="shared" si="97"/>
        <v>1450</v>
      </c>
      <c r="D2240">
        <v>0.05</v>
      </c>
      <c r="E2240" t="s">
        <v>336</v>
      </c>
      <c r="F2240" t="s">
        <v>527</v>
      </c>
      <c r="G2240">
        <f t="shared" si="98"/>
        <v>72.5</v>
      </c>
    </row>
    <row r="2241" spans="1:12">
      <c r="A2241" s="45">
        <v>43210</v>
      </c>
      <c r="B2241" t="s">
        <v>392</v>
      </c>
      <c r="C2241">
        <f t="shared" si="97"/>
        <v>840</v>
      </c>
      <c r="D2241">
        <v>2.5000000000000001E-2</v>
      </c>
      <c r="E2241" t="s">
        <v>336</v>
      </c>
      <c r="F2241" t="s">
        <v>527</v>
      </c>
      <c r="G2241">
        <f t="shared" si="98"/>
        <v>21</v>
      </c>
    </row>
    <row r="2242" spans="1:12">
      <c r="A2242" s="45">
        <v>43210</v>
      </c>
      <c r="B2242" t="s">
        <v>506</v>
      </c>
      <c r="C2242">
        <f t="shared" si="97"/>
        <v>240</v>
      </c>
      <c r="D2242">
        <v>2.5000000000000001E-2</v>
      </c>
      <c r="E2242" t="s">
        <v>336</v>
      </c>
      <c r="F2242" t="s">
        <v>527</v>
      </c>
      <c r="G2242">
        <f t="shared" si="98"/>
        <v>6</v>
      </c>
    </row>
    <row r="2243" spans="1:12">
      <c r="A2243" s="45">
        <v>43210</v>
      </c>
      <c r="B2243" t="s">
        <v>389</v>
      </c>
      <c r="C2243">
        <f t="shared" si="97"/>
        <v>280</v>
      </c>
      <c r="D2243">
        <v>0.03</v>
      </c>
      <c r="E2243" t="s">
        <v>336</v>
      </c>
      <c r="F2243" t="s">
        <v>527</v>
      </c>
      <c r="G2243">
        <f t="shared" si="98"/>
        <v>8.4</v>
      </c>
    </row>
    <row r="2244" spans="1:12">
      <c r="A2244" s="45">
        <v>43210</v>
      </c>
      <c r="B2244" t="s">
        <v>519</v>
      </c>
      <c r="C2244">
        <f t="shared" si="97"/>
        <v>35</v>
      </c>
      <c r="D2244">
        <v>2.5</v>
      </c>
      <c r="E2244" t="s">
        <v>336</v>
      </c>
      <c r="F2244" t="s">
        <v>527</v>
      </c>
      <c r="G2244">
        <f t="shared" si="98"/>
        <v>87.5</v>
      </c>
    </row>
    <row r="2245" spans="1:12">
      <c r="A2245" s="45">
        <v>43210</v>
      </c>
      <c r="B2245" t="s">
        <v>371</v>
      </c>
      <c r="C2245">
        <f t="shared" si="97"/>
        <v>23.33</v>
      </c>
      <c r="D2245">
        <v>0.11</v>
      </c>
      <c r="E2245" t="s">
        <v>336</v>
      </c>
      <c r="F2245" t="s">
        <v>527</v>
      </c>
      <c r="G2245">
        <f t="shared" si="98"/>
        <v>2.5663</v>
      </c>
    </row>
    <row r="2246" spans="1:12">
      <c r="A2246" s="45">
        <v>43210</v>
      </c>
      <c r="B2246" t="s">
        <v>378</v>
      </c>
      <c r="C2246">
        <f t="shared" si="97"/>
        <v>25</v>
      </c>
      <c r="D2246">
        <v>0.26</v>
      </c>
      <c r="E2246" t="s">
        <v>336</v>
      </c>
      <c r="F2246" t="s">
        <v>527</v>
      </c>
      <c r="G2246">
        <f t="shared" si="98"/>
        <v>6.5</v>
      </c>
    </row>
    <row r="2247" spans="1:12">
      <c r="A2247" s="45">
        <v>43210</v>
      </c>
      <c r="B2247" t="s">
        <v>433</v>
      </c>
      <c r="C2247">
        <f t="shared" si="97"/>
        <v>20</v>
      </c>
      <c r="D2247">
        <v>1.4</v>
      </c>
      <c r="E2247" t="s">
        <v>336</v>
      </c>
      <c r="F2247" t="s">
        <v>527</v>
      </c>
      <c r="G2247">
        <f t="shared" si="98"/>
        <v>28</v>
      </c>
    </row>
    <row r="2248" spans="1:12">
      <c r="A2248" s="45">
        <v>43210</v>
      </c>
      <c r="B2248" t="s">
        <v>428</v>
      </c>
      <c r="C2248">
        <f t="shared" si="97"/>
        <v>78.95</v>
      </c>
      <c r="D2248">
        <v>15</v>
      </c>
      <c r="E2248" t="s">
        <v>531</v>
      </c>
      <c r="F2248" t="s">
        <v>530</v>
      </c>
      <c r="G2248">
        <f t="shared" si="98"/>
        <v>1184.25</v>
      </c>
    </row>
    <row r="2249" spans="1:12">
      <c r="A2249" s="45">
        <v>43211</v>
      </c>
      <c r="B2249" t="s">
        <v>385</v>
      </c>
      <c r="C2249">
        <f t="shared" si="97"/>
        <v>36</v>
      </c>
      <c r="D2249">
        <v>2.5</v>
      </c>
      <c r="E2249" t="s">
        <v>336</v>
      </c>
      <c r="F2249" t="s">
        <v>527</v>
      </c>
      <c r="G2249">
        <f t="shared" si="98"/>
        <v>90</v>
      </c>
      <c r="L2249" t="s">
        <v>626</v>
      </c>
    </row>
    <row r="2250" spans="1:12">
      <c r="A2250" s="45">
        <v>43211</v>
      </c>
      <c r="B2250" t="s">
        <v>382</v>
      </c>
      <c r="C2250">
        <f t="shared" si="97"/>
        <v>42</v>
      </c>
      <c r="D2250">
        <v>1.5</v>
      </c>
      <c r="E2250" t="s">
        <v>336</v>
      </c>
      <c r="F2250" t="s">
        <v>527</v>
      </c>
      <c r="G2250">
        <f t="shared" si="98"/>
        <v>63</v>
      </c>
    </row>
    <row r="2251" spans="1:12">
      <c r="A2251" s="45">
        <v>43211</v>
      </c>
      <c r="B2251" t="s">
        <v>404</v>
      </c>
      <c r="C2251">
        <f t="shared" si="97"/>
        <v>28</v>
      </c>
      <c r="D2251">
        <v>4</v>
      </c>
      <c r="E2251" t="s">
        <v>336</v>
      </c>
      <c r="F2251" t="s">
        <v>527</v>
      </c>
      <c r="G2251">
        <f t="shared" si="98"/>
        <v>112</v>
      </c>
    </row>
    <row r="2252" spans="1:12">
      <c r="A2252" s="45">
        <v>43211</v>
      </c>
      <c r="B2252" t="s">
        <v>511</v>
      </c>
      <c r="C2252">
        <f t="shared" si="97"/>
        <v>52</v>
      </c>
      <c r="D2252">
        <v>4.5</v>
      </c>
      <c r="E2252" t="s">
        <v>336</v>
      </c>
      <c r="F2252" t="s">
        <v>527</v>
      </c>
      <c r="G2252">
        <f t="shared" si="98"/>
        <v>234</v>
      </c>
    </row>
    <row r="2253" spans="1:12">
      <c r="A2253" s="45">
        <v>43211</v>
      </c>
      <c r="B2253" t="s">
        <v>436</v>
      </c>
      <c r="C2253">
        <f t="shared" si="97"/>
        <v>37</v>
      </c>
      <c r="D2253">
        <v>0.45</v>
      </c>
      <c r="E2253" t="s">
        <v>336</v>
      </c>
      <c r="F2253" t="s">
        <v>527</v>
      </c>
      <c r="G2253">
        <f t="shared" si="98"/>
        <v>16.650000000000002</v>
      </c>
    </row>
    <row r="2254" spans="1:12">
      <c r="A2254" s="45">
        <v>43211</v>
      </c>
      <c r="B2254" t="s">
        <v>375</v>
      </c>
      <c r="C2254">
        <f t="shared" si="97"/>
        <v>280</v>
      </c>
      <c r="D2254">
        <v>0.1</v>
      </c>
      <c r="E2254" t="s">
        <v>336</v>
      </c>
      <c r="F2254" t="s">
        <v>527</v>
      </c>
      <c r="G2254">
        <f t="shared" si="98"/>
        <v>28</v>
      </c>
    </row>
    <row r="2255" spans="1:12">
      <c r="A2255" s="45">
        <v>43211</v>
      </c>
      <c r="B2255" t="s">
        <v>379</v>
      </c>
      <c r="C2255">
        <f t="shared" si="97"/>
        <v>120</v>
      </c>
      <c r="D2255">
        <v>7.0000000000000007E-2</v>
      </c>
      <c r="E2255" t="s">
        <v>336</v>
      </c>
      <c r="F2255" t="s">
        <v>527</v>
      </c>
      <c r="G2255">
        <f t="shared" si="98"/>
        <v>8.4</v>
      </c>
    </row>
    <row r="2256" spans="1:12">
      <c r="A2256" s="45">
        <v>43211</v>
      </c>
      <c r="B2256" t="s">
        <v>381</v>
      </c>
      <c r="C2256">
        <f t="shared" si="97"/>
        <v>7</v>
      </c>
      <c r="D2256">
        <v>0.8</v>
      </c>
      <c r="E2256" t="s">
        <v>336</v>
      </c>
      <c r="F2256" t="s">
        <v>527</v>
      </c>
      <c r="G2256">
        <f t="shared" si="98"/>
        <v>5.6000000000000005</v>
      </c>
    </row>
    <row r="2257" spans="1:7">
      <c r="A2257" s="45">
        <v>43211</v>
      </c>
      <c r="B2257" t="s">
        <v>387</v>
      </c>
      <c r="C2257">
        <f t="shared" si="97"/>
        <v>187.41</v>
      </c>
      <c r="D2257">
        <v>4.4999999999999998E-2</v>
      </c>
      <c r="E2257" t="s">
        <v>336</v>
      </c>
      <c r="F2257" t="s">
        <v>527</v>
      </c>
      <c r="G2257">
        <f t="shared" si="98"/>
        <v>8.4334499999999988</v>
      </c>
    </row>
    <row r="2258" spans="1:7">
      <c r="A2258" s="45">
        <v>43211</v>
      </c>
      <c r="B2258" t="s">
        <v>386</v>
      </c>
      <c r="C2258">
        <f t="shared" si="97"/>
        <v>82</v>
      </c>
      <c r="D2258">
        <v>1</v>
      </c>
      <c r="E2258" t="s">
        <v>336</v>
      </c>
      <c r="F2258" t="s">
        <v>527</v>
      </c>
      <c r="G2258">
        <f t="shared" si="98"/>
        <v>82</v>
      </c>
    </row>
    <row r="2259" spans="1:7">
      <c r="A2259" s="45">
        <v>43211</v>
      </c>
      <c r="B2259" t="s">
        <v>383</v>
      </c>
      <c r="C2259">
        <f t="shared" si="97"/>
        <v>230</v>
      </c>
      <c r="D2259">
        <v>0.115</v>
      </c>
      <c r="E2259" t="s">
        <v>336</v>
      </c>
      <c r="F2259" t="s">
        <v>527</v>
      </c>
      <c r="G2259">
        <f t="shared" si="98"/>
        <v>26.450000000000003</v>
      </c>
    </row>
    <row r="2260" spans="1:7">
      <c r="A2260" s="45">
        <v>43211</v>
      </c>
      <c r="B2260" t="s">
        <v>431</v>
      </c>
      <c r="C2260">
        <f t="shared" si="97"/>
        <v>70</v>
      </c>
      <c r="D2260">
        <v>0.05</v>
      </c>
      <c r="E2260" t="s">
        <v>336</v>
      </c>
      <c r="F2260" t="s">
        <v>527</v>
      </c>
      <c r="G2260">
        <f t="shared" si="98"/>
        <v>3.5</v>
      </c>
    </row>
    <row r="2261" spans="1:7">
      <c r="A2261" s="45">
        <v>43211</v>
      </c>
      <c r="B2261" t="s">
        <v>367</v>
      </c>
      <c r="C2261">
        <f t="shared" si="97"/>
        <v>55</v>
      </c>
      <c r="D2261">
        <v>0.22</v>
      </c>
      <c r="E2261" t="s">
        <v>336</v>
      </c>
      <c r="F2261" t="s">
        <v>527</v>
      </c>
      <c r="G2261">
        <f t="shared" si="98"/>
        <v>12.1</v>
      </c>
    </row>
    <row r="2262" spans="1:7">
      <c r="A2262" s="45">
        <v>43211</v>
      </c>
      <c r="B2262" t="s">
        <v>432</v>
      </c>
      <c r="C2262">
        <f t="shared" si="97"/>
        <v>14</v>
      </c>
      <c r="D2262">
        <v>3</v>
      </c>
      <c r="E2262" t="s">
        <v>336</v>
      </c>
      <c r="F2262" t="s">
        <v>527</v>
      </c>
      <c r="G2262">
        <f t="shared" si="98"/>
        <v>42</v>
      </c>
    </row>
    <row r="2263" spans="1:7">
      <c r="A2263" s="45">
        <v>43211</v>
      </c>
      <c r="B2263" t="s">
        <v>427</v>
      </c>
      <c r="C2263">
        <f t="shared" si="97"/>
        <v>28</v>
      </c>
      <c r="D2263">
        <v>0.3</v>
      </c>
      <c r="E2263" t="s">
        <v>336</v>
      </c>
      <c r="F2263" t="s">
        <v>527</v>
      </c>
      <c r="G2263">
        <f t="shared" si="98"/>
        <v>8.4</v>
      </c>
    </row>
    <row r="2264" spans="1:7">
      <c r="A2264" s="45">
        <v>43211</v>
      </c>
      <c r="B2264" t="s">
        <v>429</v>
      </c>
      <c r="C2264">
        <f t="shared" si="97"/>
        <v>40</v>
      </c>
      <c r="D2264">
        <v>0.15</v>
      </c>
      <c r="E2264" t="s">
        <v>336</v>
      </c>
      <c r="F2264" t="s">
        <v>527</v>
      </c>
      <c r="G2264">
        <f t="shared" si="98"/>
        <v>6</v>
      </c>
    </row>
    <row r="2265" spans="1:7">
      <c r="A2265" s="45">
        <v>43211</v>
      </c>
      <c r="B2265" t="s">
        <v>437</v>
      </c>
      <c r="C2265">
        <f t="shared" si="97"/>
        <v>34</v>
      </c>
      <c r="D2265">
        <v>0.75</v>
      </c>
      <c r="E2265" t="s">
        <v>336</v>
      </c>
      <c r="F2265" t="s">
        <v>527</v>
      </c>
      <c r="G2265">
        <f t="shared" si="98"/>
        <v>25.5</v>
      </c>
    </row>
    <row r="2266" spans="1:7">
      <c r="A2266" s="45">
        <v>43211</v>
      </c>
      <c r="B2266" t="s">
        <v>499</v>
      </c>
      <c r="C2266">
        <f t="shared" si="97"/>
        <v>60</v>
      </c>
      <c r="D2266">
        <v>0.12</v>
      </c>
      <c r="E2266" t="s">
        <v>336</v>
      </c>
      <c r="F2266" t="s">
        <v>527</v>
      </c>
      <c r="G2266">
        <f t="shared" si="98"/>
        <v>7.1999999999999993</v>
      </c>
    </row>
    <row r="2267" spans="1:7">
      <c r="A2267" s="45">
        <v>43211</v>
      </c>
      <c r="B2267" t="s">
        <v>514</v>
      </c>
      <c r="C2267">
        <f t="shared" si="97"/>
        <v>61.08</v>
      </c>
      <c r="D2267">
        <v>0.45</v>
      </c>
      <c r="E2267" t="s">
        <v>336</v>
      </c>
      <c r="F2267" t="s">
        <v>527</v>
      </c>
      <c r="G2267">
        <f t="shared" si="98"/>
        <v>27.486000000000001</v>
      </c>
    </row>
    <row r="2268" spans="1:7">
      <c r="A2268" s="45">
        <v>43211</v>
      </c>
      <c r="B2268" t="s">
        <v>462</v>
      </c>
      <c r="C2268">
        <f t="shared" si="97"/>
        <v>138</v>
      </c>
      <c r="D2268">
        <v>0.03</v>
      </c>
      <c r="E2268" t="s">
        <v>336</v>
      </c>
      <c r="F2268" t="s">
        <v>527</v>
      </c>
      <c r="G2268">
        <f t="shared" si="98"/>
        <v>4.1399999999999997</v>
      </c>
    </row>
    <row r="2269" spans="1:7">
      <c r="A2269" s="45">
        <v>43211</v>
      </c>
      <c r="B2269" t="s">
        <v>389</v>
      </c>
      <c r="C2269">
        <f t="shared" si="97"/>
        <v>280</v>
      </c>
      <c r="D2269">
        <v>0.03</v>
      </c>
      <c r="E2269" t="s">
        <v>336</v>
      </c>
      <c r="F2269" t="s">
        <v>527</v>
      </c>
      <c r="G2269">
        <f t="shared" si="98"/>
        <v>8.4</v>
      </c>
    </row>
    <row r="2270" spans="1:7">
      <c r="A2270" s="45">
        <v>43211</v>
      </c>
      <c r="B2270" t="s">
        <v>430</v>
      </c>
      <c r="C2270">
        <f t="shared" si="97"/>
        <v>30</v>
      </c>
      <c r="D2270">
        <v>0.3</v>
      </c>
      <c r="E2270" t="s">
        <v>336</v>
      </c>
      <c r="F2270" t="s">
        <v>527</v>
      </c>
      <c r="G2270">
        <f t="shared" si="98"/>
        <v>9</v>
      </c>
    </row>
    <row r="2271" spans="1:7">
      <c r="A2271" s="45">
        <v>43211</v>
      </c>
      <c r="B2271" t="s">
        <v>466</v>
      </c>
      <c r="C2271">
        <f t="shared" si="97"/>
        <v>125</v>
      </c>
      <c r="D2271">
        <v>3.5000000000000003E-2</v>
      </c>
      <c r="E2271" t="s">
        <v>336</v>
      </c>
      <c r="F2271" t="s">
        <v>527</v>
      </c>
      <c r="G2271">
        <f t="shared" si="98"/>
        <v>4.375</v>
      </c>
    </row>
    <row r="2272" spans="1:7">
      <c r="A2272" s="45">
        <v>43211</v>
      </c>
      <c r="B2272" t="s">
        <v>410</v>
      </c>
      <c r="C2272">
        <f t="shared" si="97"/>
        <v>76</v>
      </c>
      <c r="D2272">
        <v>0.115</v>
      </c>
      <c r="E2272" t="s">
        <v>336</v>
      </c>
      <c r="F2272" t="s">
        <v>527</v>
      </c>
      <c r="G2272">
        <f t="shared" si="98"/>
        <v>8.74</v>
      </c>
    </row>
    <row r="2273" spans="1:7">
      <c r="A2273" s="45">
        <v>43211</v>
      </c>
      <c r="B2273" t="s">
        <v>454</v>
      </c>
      <c r="C2273">
        <f t="shared" si="97"/>
        <v>43.06</v>
      </c>
      <c r="D2273">
        <v>0.5</v>
      </c>
      <c r="E2273" t="s">
        <v>336</v>
      </c>
      <c r="F2273" t="s">
        <v>527</v>
      </c>
      <c r="G2273">
        <f t="shared" si="98"/>
        <v>21.53</v>
      </c>
    </row>
    <row r="2274" spans="1:7">
      <c r="A2274" s="45">
        <v>43211</v>
      </c>
      <c r="B2274" t="s">
        <v>391</v>
      </c>
      <c r="C2274">
        <f t="shared" si="97"/>
        <v>27.97</v>
      </c>
      <c r="D2274">
        <v>0.4</v>
      </c>
      <c r="E2274" t="s">
        <v>336</v>
      </c>
      <c r="F2274" t="s">
        <v>527</v>
      </c>
      <c r="G2274">
        <f t="shared" si="98"/>
        <v>11.188000000000001</v>
      </c>
    </row>
    <row r="2275" spans="1:7">
      <c r="A2275" s="45">
        <v>43211</v>
      </c>
      <c r="B2275" t="s">
        <v>371</v>
      </c>
      <c r="C2275">
        <f t="shared" si="97"/>
        <v>23.33</v>
      </c>
      <c r="D2275">
        <v>0.12</v>
      </c>
      <c r="E2275" t="s">
        <v>336</v>
      </c>
      <c r="F2275" t="s">
        <v>527</v>
      </c>
      <c r="G2275">
        <f t="shared" si="98"/>
        <v>2.7995999999999999</v>
      </c>
    </row>
    <row r="2276" spans="1:7">
      <c r="A2276" s="45">
        <v>43211</v>
      </c>
      <c r="B2276" t="s">
        <v>434</v>
      </c>
      <c r="C2276">
        <f t="shared" si="97"/>
        <v>125</v>
      </c>
      <c r="D2276">
        <v>0.06</v>
      </c>
      <c r="E2276" t="s">
        <v>336</v>
      </c>
      <c r="F2276" t="s">
        <v>527</v>
      </c>
      <c r="G2276">
        <f t="shared" si="98"/>
        <v>7.5</v>
      </c>
    </row>
    <row r="2277" spans="1:7">
      <c r="A2277" s="45">
        <v>43211</v>
      </c>
      <c r="B2277" t="s">
        <v>479</v>
      </c>
      <c r="C2277">
        <f t="shared" si="97"/>
        <v>312.14</v>
      </c>
      <c r="D2277">
        <v>0.06</v>
      </c>
      <c r="E2277" t="s">
        <v>336</v>
      </c>
      <c r="F2277" t="s">
        <v>527</v>
      </c>
      <c r="G2277">
        <f t="shared" si="98"/>
        <v>18.728399999999997</v>
      </c>
    </row>
    <row r="2278" spans="1:7">
      <c r="A2278" s="45">
        <v>43211</v>
      </c>
      <c r="B2278" t="s">
        <v>378</v>
      </c>
      <c r="C2278">
        <f t="shared" si="97"/>
        <v>25</v>
      </c>
      <c r="D2278">
        <v>0.25</v>
      </c>
      <c r="E2278" t="s">
        <v>336</v>
      </c>
      <c r="F2278" t="s">
        <v>527</v>
      </c>
      <c r="G2278">
        <f t="shared" si="98"/>
        <v>6.25</v>
      </c>
    </row>
    <row r="2279" spans="1:7">
      <c r="A2279" s="45">
        <v>43211</v>
      </c>
      <c r="B2279" t="s">
        <v>513</v>
      </c>
      <c r="C2279">
        <f t="shared" si="97"/>
        <v>15</v>
      </c>
      <c r="D2279">
        <v>1.5</v>
      </c>
      <c r="E2279" t="s">
        <v>336</v>
      </c>
      <c r="F2279" t="s">
        <v>527</v>
      </c>
      <c r="G2279">
        <f t="shared" si="98"/>
        <v>22.5</v>
      </c>
    </row>
    <row r="2280" spans="1:7">
      <c r="A2280" s="45">
        <v>43211</v>
      </c>
      <c r="B2280" t="s">
        <v>519</v>
      </c>
      <c r="C2280">
        <f t="shared" si="97"/>
        <v>35</v>
      </c>
      <c r="D2280">
        <v>1</v>
      </c>
      <c r="E2280" t="s">
        <v>336</v>
      </c>
      <c r="F2280" t="s">
        <v>527</v>
      </c>
      <c r="G2280">
        <f t="shared" si="98"/>
        <v>35</v>
      </c>
    </row>
    <row r="2281" spans="1:7">
      <c r="A2281" s="45">
        <v>43211</v>
      </c>
      <c r="B2281" t="s">
        <v>510</v>
      </c>
      <c r="C2281">
        <f t="shared" si="97"/>
        <v>62.03</v>
      </c>
      <c r="D2281">
        <v>0.11</v>
      </c>
      <c r="E2281" t="s">
        <v>336</v>
      </c>
      <c r="F2281" t="s">
        <v>527</v>
      </c>
      <c r="G2281">
        <f t="shared" si="98"/>
        <v>6.8233000000000006</v>
      </c>
    </row>
    <row r="2282" spans="1:7">
      <c r="A2282" s="45">
        <v>43211</v>
      </c>
      <c r="B2282" t="s">
        <v>471</v>
      </c>
      <c r="C2282">
        <f t="shared" si="97"/>
        <v>160</v>
      </c>
      <c r="D2282">
        <v>0.08</v>
      </c>
      <c r="E2282" t="s">
        <v>336</v>
      </c>
      <c r="F2282" t="s">
        <v>527</v>
      </c>
      <c r="G2282">
        <f t="shared" si="98"/>
        <v>12.8</v>
      </c>
    </row>
    <row r="2283" spans="1:7">
      <c r="A2283" s="45">
        <v>43211</v>
      </c>
      <c r="B2283" t="s">
        <v>519</v>
      </c>
      <c r="C2283">
        <f t="shared" si="97"/>
        <v>35</v>
      </c>
      <c r="D2283">
        <v>1.7</v>
      </c>
      <c r="E2283" t="s">
        <v>336</v>
      </c>
      <c r="F2283" t="s">
        <v>527</v>
      </c>
      <c r="G2283">
        <f t="shared" si="98"/>
        <v>59.5</v>
      </c>
    </row>
    <row r="2284" spans="1:7">
      <c r="A2284" s="45">
        <v>43211</v>
      </c>
      <c r="B2284" t="s">
        <v>390</v>
      </c>
      <c r="C2284">
        <f t="shared" si="97"/>
        <v>30</v>
      </c>
      <c r="D2284">
        <v>0.35</v>
      </c>
      <c r="E2284" t="s">
        <v>336</v>
      </c>
      <c r="F2284" t="s">
        <v>527</v>
      </c>
      <c r="G2284">
        <f t="shared" si="98"/>
        <v>10.5</v>
      </c>
    </row>
    <row r="2285" spans="1:7">
      <c r="A2285" s="45">
        <v>43211</v>
      </c>
      <c r="B2285" t="s">
        <v>461</v>
      </c>
      <c r="C2285">
        <f t="shared" si="97"/>
        <v>1450</v>
      </c>
      <c r="D2285">
        <v>0.01</v>
      </c>
      <c r="E2285" t="s">
        <v>336</v>
      </c>
      <c r="F2285" t="s">
        <v>527</v>
      </c>
      <c r="G2285">
        <f t="shared" si="98"/>
        <v>14.5</v>
      </c>
    </row>
    <row r="2286" spans="1:7">
      <c r="A2286" s="45">
        <v>43211</v>
      </c>
      <c r="B2286" t="s">
        <v>519</v>
      </c>
      <c r="C2286">
        <f t="shared" si="97"/>
        <v>35</v>
      </c>
      <c r="D2286">
        <v>1</v>
      </c>
      <c r="E2286" t="s">
        <v>336</v>
      </c>
      <c r="F2286" t="s">
        <v>527</v>
      </c>
      <c r="G2286">
        <f t="shared" si="98"/>
        <v>35</v>
      </c>
    </row>
    <row r="2287" spans="1:7">
      <c r="A2287" s="45">
        <v>43211</v>
      </c>
      <c r="B2287" t="s">
        <v>502</v>
      </c>
      <c r="C2287">
        <f t="shared" si="97"/>
        <v>40</v>
      </c>
      <c r="D2287">
        <v>0.3</v>
      </c>
      <c r="E2287" t="s">
        <v>336</v>
      </c>
      <c r="F2287" t="s">
        <v>527</v>
      </c>
      <c r="G2287">
        <f t="shared" si="98"/>
        <v>12</v>
      </c>
    </row>
    <row r="2288" spans="1:7">
      <c r="A2288" s="45">
        <v>43210</v>
      </c>
      <c r="B2288" t="s">
        <v>409</v>
      </c>
      <c r="C2288">
        <f t="shared" si="97"/>
        <v>64.069999999999993</v>
      </c>
      <c r="D2288">
        <v>0.5</v>
      </c>
      <c r="E2288" t="s">
        <v>336</v>
      </c>
      <c r="F2288" t="s">
        <v>527</v>
      </c>
      <c r="G2288">
        <f t="shared" si="98"/>
        <v>32.034999999999997</v>
      </c>
    </row>
    <row r="2289" spans="1:12">
      <c r="A2289" s="45">
        <v>43211</v>
      </c>
      <c r="B2289" t="s">
        <v>409</v>
      </c>
      <c r="C2289">
        <f t="shared" si="97"/>
        <v>64.069999999999993</v>
      </c>
      <c r="D2289">
        <v>0.5</v>
      </c>
      <c r="E2289" t="s">
        <v>336</v>
      </c>
      <c r="F2289" t="s">
        <v>527</v>
      </c>
      <c r="G2289">
        <f t="shared" si="98"/>
        <v>32.034999999999997</v>
      </c>
    </row>
    <row r="2290" spans="1:12">
      <c r="A2290" s="45">
        <v>43211</v>
      </c>
      <c r="B2290" t="s">
        <v>385</v>
      </c>
      <c r="C2290">
        <f t="shared" si="97"/>
        <v>36</v>
      </c>
      <c r="D2290">
        <v>0.5</v>
      </c>
      <c r="E2290" t="s">
        <v>336</v>
      </c>
      <c r="F2290" t="s">
        <v>527</v>
      </c>
      <c r="G2290">
        <f t="shared" si="98"/>
        <v>18</v>
      </c>
      <c r="L2290" t="s">
        <v>624</v>
      </c>
    </row>
    <row r="2291" spans="1:12">
      <c r="A2291" s="45">
        <v>43211</v>
      </c>
      <c r="B2291" t="s">
        <v>392</v>
      </c>
      <c r="C2291">
        <f t="shared" si="97"/>
        <v>840</v>
      </c>
      <c r="D2291">
        <v>2.5000000000000001E-2</v>
      </c>
      <c r="E2291" t="s">
        <v>336</v>
      </c>
      <c r="F2291" t="s">
        <v>527</v>
      </c>
      <c r="G2291">
        <f t="shared" si="98"/>
        <v>21</v>
      </c>
    </row>
    <row r="2292" spans="1:12">
      <c r="A2292" s="45">
        <v>43211</v>
      </c>
      <c r="B2292" t="s">
        <v>506</v>
      </c>
      <c r="C2292">
        <f t="shared" si="97"/>
        <v>240</v>
      </c>
      <c r="D2292">
        <v>2.5000000000000001E-2</v>
      </c>
      <c r="E2292" t="s">
        <v>336</v>
      </c>
      <c r="F2292" t="s">
        <v>527</v>
      </c>
      <c r="G2292">
        <f t="shared" si="98"/>
        <v>6</v>
      </c>
    </row>
    <row r="2293" spans="1:12">
      <c r="A2293" s="45">
        <v>43211</v>
      </c>
      <c r="B2293" t="s">
        <v>428</v>
      </c>
      <c r="C2293">
        <f t="shared" si="97"/>
        <v>78.95</v>
      </c>
      <c r="D2293">
        <v>4.3</v>
      </c>
      <c r="E2293" t="s">
        <v>336</v>
      </c>
      <c r="F2293" t="s">
        <v>527</v>
      </c>
      <c r="G2293">
        <f t="shared" si="98"/>
        <v>339.48500000000001</v>
      </c>
    </row>
    <row r="2294" spans="1:12">
      <c r="A2294" s="45">
        <v>43211</v>
      </c>
      <c r="B2294" t="s">
        <v>428</v>
      </c>
      <c r="C2294">
        <f t="shared" si="97"/>
        <v>78.95</v>
      </c>
      <c r="D2294">
        <v>0.4</v>
      </c>
      <c r="E2294" t="s">
        <v>528</v>
      </c>
      <c r="F2294" t="s">
        <v>527</v>
      </c>
      <c r="G2294">
        <f t="shared" si="98"/>
        <v>31.580000000000002</v>
      </c>
    </row>
    <row r="2295" spans="1:12">
      <c r="A2295" s="45">
        <v>43211</v>
      </c>
      <c r="B2295" t="s">
        <v>428</v>
      </c>
      <c r="C2295">
        <f t="shared" si="97"/>
        <v>78.95</v>
      </c>
      <c r="D2295">
        <f>15.9-(D2294+D2293)</f>
        <v>11.2</v>
      </c>
      <c r="E2295" t="s">
        <v>525</v>
      </c>
      <c r="F2295" t="s">
        <v>526</v>
      </c>
      <c r="G2295">
        <f t="shared" si="98"/>
        <v>884.24</v>
      </c>
    </row>
    <row r="2296" spans="1:12">
      <c r="A2296" s="45">
        <v>43211</v>
      </c>
      <c r="B2296" t="s">
        <v>385</v>
      </c>
      <c r="C2296">
        <f t="shared" si="97"/>
        <v>36</v>
      </c>
      <c r="D2296">
        <v>2.5</v>
      </c>
      <c r="E2296" t="s">
        <v>543</v>
      </c>
      <c r="F2296" t="s">
        <v>527</v>
      </c>
      <c r="G2296">
        <f t="shared" si="98"/>
        <v>90</v>
      </c>
    </row>
    <row r="2297" spans="1:12">
      <c r="A2297" s="45">
        <v>43211</v>
      </c>
      <c r="B2297" t="s">
        <v>447</v>
      </c>
      <c r="C2297">
        <f t="shared" si="97"/>
        <v>30</v>
      </c>
      <c r="D2297">
        <v>0.56000000000000005</v>
      </c>
      <c r="E2297" t="s">
        <v>543</v>
      </c>
      <c r="F2297" t="s">
        <v>527</v>
      </c>
      <c r="G2297">
        <f t="shared" si="98"/>
        <v>16.8</v>
      </c>
    </row>
    <row r="2298" spans="1:12">
      <c r="A2298" s="45">
        <v>43211</v>
      </c>
      <c r="B2298" t="s">
        <v>449</v>
      </c>
      <c r="C2298">
        <f t="shared" si="97"/>
        <v>20</v>
      </c>
      <c r="D2298">
        <f>1.25+1.9</f>
        <v>3.15</v>
      </c>
      <c r="E2298" t="s">
        <v>543</v>
      </c>
      <c r="F2298" t="s">
        <v>527</v>
      </c>
      <c r="G2298">
        <f t="shared" si="98"/>
        <v>63</v>
      </c>
    </row>
    <row r="2299" spans="1:12">
      <c r="A2299" s="45">
        <v>43211</v>
      </c>
      <c r="B2299" t="s">
        <v>553</v>
      </c>
      <c r="C2299">
        <f t="shared" ref="C2299:C2362" si="99">IF(B2299="","",VLOOKUP(B2299,$XEY$3:$XEZ$1158,2,FALSE))</f>
        <v>150</v>
      </c>
      <c r="D2299">
        <v>2</v>
      </c>
      <c r="E2299" t="s">
        <v>543</v>
      </c>
      <c r="F2299" t="s">
        <v>527</v>
      </c>
      <c r="G2299">
        <f t="shared" ref="G2299:G2362" si="100">IF(C2299="","",C2299*D2299)</f>
        <v>300</v>
      </c>
    </row>
    <row r="2300" spans="1:12">
      <c r="A2300" s="45">
        <v>43211</v>
      </c>
      <c r="B2300" t="s">
        <v>447</v>
      </c>
      <c r="C2300">
        <f t="shared" si="99"/>
        <v>30</v>
      </c>
      <c r="D2300">
        <v>1.05</v>
      </c>
      <c r="E2300" t="s">
        <v>543</v>
      </c>
      <c r="F2300" t="s">
        <v>527</v>
      </c>
      <c r="G2300">
        <f t="shared" si="100"/>
        <v>31.5</v>
      </c>
    </row>
    <row r="2301" spans="1:12">
      <c r="A2301" s="45">
        <v>43211</v>
      </c>
      <c r="B2301" t="s">
        <v>445</v>
      </c>
      <c r="C2301">
        <f t="shared" si="99"/>
        <v>20</v>
      </c>
      <c r="D2301">
        <v>0.9</v>
      </c>
      <c r="E2301" t="s">
        <v>543</v>
      </c>
      <c r="F2301" t="s">
        <v>527</v>
      </c>
      <c r="G2301">
        <f t="shared" si="100"/>
        <v>18</v>
      </c>
    </row>
    <row r="2302" spans="1:12">
      <c r="A2302" s="45">
        <v>43211</v>
      </c>
      <c r="B2302" t="s">
        <v>449</v>
      </c>
      <c r="C2302">
        <f t="shared" si="99"/>
        <v>20</v>
      </c>
      <c r="D2302">
        <f>1.335+1.5</f>
        <v>2.835</v>
      </c>
      <c r="E2302" t="s">
        <v>543</v>
      </c>
      <c r="F2302" t="s">
        <v>527</v>
      </c>
      <c r="G2302">
        <f t="shared" si="100"/>
        <v>56.7</v>
      </c>
    </row>
    <row r="2303" spans="1:12">
      <c r="A2303" s="45">
        <v>43211</v>
      </c>
      <c r="B2303" t="s">
        <v>673</v>
      </c>
      <c r="C2303">
        <f t="shared" si="99"/>
        <v>20</v>
      </c>
      <c r="D2303">
        <v>1.7</v>
      </c>
      <c r="E2303" t="s">
        <v>543</v>
      </c>
      <c r="F2303" t="s">
        <v>527</v>
      </c>
      <c r="G2303">
        <f t="shared" si="100"/>
        <v>34</v>
      </c>
    </row>
    <row r="2304" spans="1:12">
      <c r="A2304" s="45">
        <v>43211</v>
      </c>
      <c r="B2304" t="s">
        <v>414</v>
      </c>
      <c r="C2304">
        <f t="shared" si="99"/>
        <v>48</v>
      </c>
      <c r="D2304">
        <v>0.4</v>
      </c>
      <c r="E2304" t="s">
        <v>528</v>
      </c>
      <c r="F2304" t="s">
        <v>527</v>
      </c>
      <c r="G2304">
        <f t="shared" si="100"/>
        <v>19.200000000000003</v>
      </c>
    </row>
    <row r="2305" spans="1:12">
      <c r="A2305" s="45">
        <v>43211</v>
      </c>
      <c r="B2305" t="s">
        <v>476</v>
      </c>
      <c r="C2305">
        <f t="shared" si="99"/>
        <v>14.75</v>
      </c>
      <c r="D2305">
        <v>0.4</v>
      </c>
      <c r="E2305" t="s">
        <v>528</v>
      </c>
      <c r="F2305" t="s">
        <v>527</v>
      </c>
      <c r="G2305">
        <f t="shared" si="100"/>
        <v>5.9</v>
      </c>
    </row>
    <row r="2306" spans="1:12">
      <c r="A2306" s="45">
        <v>43211</v>
      </c>
      <c r="B2306" t="s">
        <v>432</v>
      </c>
      <c r="C2306">
        <f t="shared" si="99"/>
        <v>14</v>
      </c>
      <c r="D2306">
        <v>0.5</v>
      </c>
      <c r="E2306" t="s">
        <v>528</v>
      </c>
      <c r="F2306" t="s">
        <v>527</v>
      </c>
      <c r="G2306">
        <f t="shared" si="100"/>
        <v>7</v>
      </c>
    </row>
    <row r="2307" spans="1:12">
      <c r="A2307" s="45">
        <v>43211</v>
      </c>
      <c r="B2307" t="s">
        <v>391</v>
      </c>
      <c r="C2307">
        <f t="shared" si="99"/>
        <v>27.97</v>
      </c>
      <c r="D2307">
        <v>0.28000000000000003</v>
      </c>
      <c r="E2307" t="s">
        <v>528</v>
      </c>
      <c r="F2307" t="s">
        <v>527</v>
      </c>
      <c r="G2307">
        <f t="shared" si="100"/>
        <v>7.8316000000000008</v>
      </c>
    </row>
    <row r="2308" spans="1:12">
      <c r="A2308" s="45">
        <v>43211</v>
      </c>
      <c r="B2308" t="s">
        <v>378</v>
      </c>
      <c r="C2308">
        <f t="shared" si="99"/>
        <v>25</v>
      </c>
      <c r="D2308">
        <v>0.04</v>
      </c>
      <c r="E2308" t="s">
        <v>528</v>
      </c>
      <c r="F2308" t="s">
        <v>527</v>
      </c>
      <c r="G2308">
        <f t="shared" si="100"/>
        <v>1</v>
      </c>
    </row>
    <row r="2309" spans="1:12">
      <c r="A2309" s="45">
        <v>43211</v>
      </c>
      <c r="B2309" t="s">
        <v>411</v>
      </c>
      <c r="C2309">
        <f t="shared" si="99"/>
        <v>49.5</v>
      </c>
      <c r="D2309">
        <v>0.4</v>
      </c>
      <c r="E2309" t="s">
        <v>528</v>
      </c>
      <c r="F2309" t="s">
        <v>527</v>
      </c>
      <c r="G2309">
        <f t="shared" si="100"/>
        <v>19.8</v>
      </c>
    </row>
    <row r="2310" spans="1:12">
      <c r="A2310" s="45">
        <v>43211</v>
      </c>
      <c r="B2310" t="s">
        <v>432</v>
      </c>
      <c r="C2310">
        <f t="shared" si="99"/>
        <v>14</v>
      </c>
      <c r="D2310">
        <v>0.2</v>
      </c>
      <c r="E2310" t="s">
        <v>555</v>
      </c>
      <c r="F2310" t="s">
        <v>556</v>
      </c>
      <c r="G2310">
        <f t="shared" si="100"/>
        <v>2.8000000000000003</v>
      </c>
    </row>
    <row r="2311" spans="1:12">
      <c r="A2311" s="45">
        <v>43211</v>
      </c>
      <c r="B2311" t="s">
        <v>384</v>
      </c>
      <c r="C2311">
        <f t="shared" si="99"/>
        <v>3</v>
      </c>
      <c r="D2311">
        <v>8</v>
      </c>
      <c r="E2311" t="s">
        <v>555</v>
      </c>
      <c r="F2311" t="s">
        <v>556</v>
      </c>
      <c r="G2311">
        <f t="shared" si="100"/>
        <v>24</v>
      </c>
    </row>
    <row r="2312" spans="1:12">
      <c r="A2312" s="45">
        <v>43211</v>
      </c>
      <c r="B2312" t="s">
        <v>709</v>
      </c>
      <c r="C2312">
        <f t="shared" si="99"/>
        <v>14</v>
      </c>
      <c r="D2312">
        <v>3</v>
      </c>
      <c r="E2312" t="s">
        <v>710</v>
      </c>
      <c r="F2312" t="s">
        <v>711</v>
      </c>
      <c r="G2312">
        <f t="shared" si="100"/>
        <v>42</v>
      </c>
    </row>
    <row r="2313" spans="1:12">
      <c r="A2313" s="45">
        <v>43211</v>
      </c>
      <c r="B2313" t="s">
        <v>436</v>
      </c>
      <c r="C2313">
        <f t="shared" si="99"/>
        <v>37</v>
      </c>
      <c r="D2313">
        <v>1</v>
      </c>
      <c r="E2313" t="s">
        <v>542</v>
      </c>
      <c r="F2313" t="s">
        <v>554</v>
      </c>
      <c r="G2313">
        <f t="shared" si="100"/>
        <v>37</v>
      </c>
    </row>
    <row r="2314" spans="1:12">
      <c r="A2314" s="45">
        <v>43211</v>
      </c>
      <c r="B2314" t="s">
        <v>385</v>
      </c>
      <c r="C2314">
        <f t="shared" si="99"/>
        <v>36</v>
      </c>
      <c r="D2314">
        <v>4.5</v>
      </c>
      <c r="E2314" t="s">
        <v>542</v>
      </c>
      <c r="F2314" t="s">
        <v>554</v>
      </c>
      <c r="G2314">
        <f t="shared" si="100"/>
        <v>162</v>
      </c>
    </row>
    <row r="2315" spans="1:12">
      <c r="A2315" s="45">
        <v>43211</v>
      </c>
      <c r="B2315" t="s">
        <v>382</v>
      </c>
      <c r="C2315">
        <f t="shared" si="99"/>
        <v>42</v>
      </c>
      <c r="D2315">
        <v>0.5</v>
      </c>
      <c r="E2315" t="s">
        <v>528</v>
      </c>
      <c r="F2315" t="s">
        <v>527</v>
      </c>
      <c r="G2315">
        <f t="shared" si="100"/>
        <v>21</v>
      </c>
    </row>
    <row r="2316" spans="1:12">
      <c r="A2316" s="45">
        <v>43211</v>
      </c>
      <c r="B2316" t="s">
        <v>441</v>
      </c>
      <c r="C2316">
        <f t="shared" si="99"/>
        <v>390</v>
      </c>
      <c r="D2316">
        <v>0.3</v>
      </c>
      <c r="E2316" t="s">
        <v>542</v>
      </c>
      <c r="F2316" t="s">
        <v>554</v>
      </c>
      <c r="G2316">
        <f t="shared" si="100"/>
        <v>117</v>
      </c>
    </row>
    <row r="2317" spans="1:12">
      <c r="A2317" s="45">
        <v>43211</v>
      </c>
      <c r="B2317" t="s">
        <v>382</v>
      </c>
      <c r="C2317">
        <f t="shared" si="99"/>
        <v>42</v>
      </c>
      <c r="D2317">
        <v>1</v>
      </c>
      <c r="E2317" t="s">
        <v>525</v>
      </c>
      <c r="F2317" t="s">
        <v>526</v>
      </c>
      <c r="G2317">
        <f t="shared" si="100"/>
        <v>42</v>
      </c>
      <c r="L2317" t="s">
        <v>625</v>
      </c>
    </row>
    <row r="2318" spans="1:12">
      <c r="A2318" s="45">
        <v>43211</v>
      </c>
      <c r="B2318" t="s">
        <v>390</v>
      </c>
      <c r="C2318">
        <f t="shared" si="99"/>
        <v>30</v>
      </c>
      <c r="D2318">
        <v>1.1000000000000001</v>
      </c>
      <c r="E2318" t="s">
        <v>525</v>
      </c>
      <c r="F2318" t="s">
        <v>526</v>
      </c>
      <c r="G2318">
        <f t="shared" si="100"/>
        <v>33</v>
      </c>
    </row>
    <row r="2319" spans="1:12">
      <c r="A2319" s="45">
        <v>43211</v>
      </c>
      <c r="B2319" t="s">
        <v>432</v>
      </c>
      <c r="C2319">
        <f t="shared" si="99"/>
        <v>14</v>
      </c>
      <c r="D2319">
        <v>4.5</v>
      </c>
      <c r="E2319" t="s">
        <v>525</v>
      </c>
      <c r="F2319" t="s">
        <v>526</v>
      </c>
      <c r="G2319">
        <f t="shared" si="100"/>
        <v>63</v>
      </c>
    </row>
    <row r="2320" spans="1:12">
      <c r="A2320" s="45">
        <v>43211</v>
      </c>
      <c r="B2320" t="s">
        <v>430</v>
      </c>
      <c r="C2320">
        <f t="shared" si="99"/>
        <v>30</v>
      </c>
      <c r="D2320">
        <v>0.6</v>
      </c>
      <c r="E2320" t="s">
        <v>525</v>
      </c>
      <c r="F2320" t="s">
        <v>526</v>
      </c>
      <c r="G2320">
        <f t="shared" si="100"/>
        <v>18</v>
      </c>
    </row>
    <row r="2321" spans="1:7">
      <c r="A2321" s="45">
        <v>43211</v>
      </c>
      <c r="B2321" t="s">
        <v>467</v>
      </c>
      <c r="C2321">
        <f t="shared" si="99"/>
        <v>75</v>
      </c>
      <c r="D2321">
        <v>1</v>
      </c>
      <c r="E2321" t="s">
        <v>525</v>
      </c>
      <c r="F2321" t="s">
        <v>526</v>
      </c>
      <c r="G2321">
        <f t="shared" si="100"/>
        <v>75</v>
      </c>
    </row>
    <row r="2322" spans="1:7">
      <c r="A2322" s="45">
        <v>43211</v>
      </c>
      <c r="B2322" t="s">
        <v>454</v>
      </c>
      <c r="C2322">
        <f t="shared" si="99"/>
        <v>43.06</v>
      </c>
      <c r="D2322">
        <v>1.2</v>
      </c>
      <c r="E2322" t="s">
        <v>525</v>
      </c>
      <c r="F2322" t="s">
        <v>526</v>
      </c>
      <c r="G2322">
        <f t="shared" si="100"/>
        <v>51.672000000000004</v>
      </c>
    </row>
    <row r="2323" spans="1:7">
      <c r="A2323" s="45">
        <v>43211</v>
      </c>
      <c r="B2323" t="s">
        <v>378</v>
      </c>
      <c r="C2323">
        <f t="shared" si="99"/>
        <v>25</v>
      </c>
      <c r="D2323">
        <v>0.5</v>
      </c>
      <c r="E2323" t="s">
        <v>525</v>
      </c>
      <c r="F2323" t="s">
        <v>526</v>
      </c>
      <c r="G2323">
        <f t="shared" si="100"/>
        <v>12.5</v>
      </c>
    </row>
    <row r="2324" spans="1:7">
      <c r="A2324" s="45">
        <v>43211</v>
      </c>
      <c r="B2324" t="s">
        <v>457</v>
      </c>
      <c r="C2324">
        <f t="shared" si="99"/>
        <v>64</v>
      </c>
      <c r="D2324">
        <v>3.5</v>
      </c>
      <c r="E2324" t="s">
        <v>525</v>
      </c>
      <c r="F2324" t="s">
        <v>526</v>
      </c>
      <c r="G2324">
        <f t="shared" si="100"/>
        <v>224</v>
      </c>
    </row>
    <row r="2325" spans="1:7">
      <c r="A2325" s="45">
        <v>43211</v>
      </c>
      <c r="B2325" t="s">
        <v>474</v>
      </c>
      <c r="C2325">
        <f t="shared" si="99"/>
        <v>27</v>
      </c>
      <c r="D2325">
        <v>3.1</v>
      </c>
      <c r="E2325" t="s">
        <v>525</v>
      </c>
      <c r="F2325" t="s">
        <v>526</v>
      </c>
      <c r="G2325">
        <f t="shared" si="100"/>
        <v>83.7</v>
      </c>
    </row>
    <row r="2326" spans="1:7">
      <c r="A2326" s="45">
        <v>43211</v>
      </c>
      <c r="B2326" t="s">
        <v>386</v>
      </c>
      <c r="C2326">
        <f t="shared" si="99"/>
        <v>82</v>
      </c>
      <c r="D2326">
        <v>6</v>
      </c>
      <c r="E2326" t="s">
        <v>525</v>
      </c>
      <c r="F2326" t="s">
        <v>526</v>
      </c>
      <c r="G2326">
        <f t="shared" si="100"/>
        <v>492</v>
      </c>
    </row>
    <row r="2327" spans="1:7">
      <c r="A2327" s="45">
        <v>43211</v>
      </c>
      <c r="B2327" t="s">
        <v>491</v>
      </c>
      <c r="C2327">
        <f t="shared" si="99"/>
        <v>38</v>
      </c>
      <c r="D2327">
        <v>2.4</v>
      </c>
      <c r="E2327" t="s">
        <v>525</v>
      </c>
      <c r="F2327" t="s">
        <v>526</v>
      </c>
      <c r="G2327">
        <f t="shared" si="100"/>
        <v>91.2</v>
      </c>
    </row>
    <row r="2328" spans="1:7">
      <c r="A2328" s="45">
        <v>43211</v>
      </c>
      <c r="B2328" t="s">
        <v>434</v>
      </c>
      <c r="C2328">
        <f t="shared" si="99"/>
        <v>125</v>
      </c>
      <c r="D2328">
        <v>0.12</v>
      </c>
      <c r="E2328" t="s">
        <v>525</v>
      </c>
      <c r="F2328" t="s">
        <v>526</v>
      </c>
      <c r="G2328">
        <f t="shared" si="100"/>
        <v>15</v>
      </c>
    </row>
    <row r="2329" spans="1:7">
      <c r="A2329" s="45">
        <v>43211</v>
      </c>
      <c r="B2329" t="s">
        <v>391</v>
      </c>
      <c r="C2329">
        <f t="shared" si="99"/>
        <v>27.97</v>
      </c>
      <c r="D2329">
        <v>1.2</v>
      </c>
      <c r="E2329" t="s">
        <v>525</v>
      </c>
      <c r="F2329" t="s">
        <v>526</v>
      </c>
      <c r="G2329">
        <f t="shared" si="100"/>
        <v>33.564</v>
      </c>
    </row>
    <row r="2330" spans="1:7">
      <c r="A2330" s="45">
        <v>43211</v>
      </c>
      <c r="B2330" t="s">
        <v>383</v>
      </c>
      <c r="C2330">
        <f t="shared" si="99"/>
        <v>230</v>
      </c>
      <c r="D2330">
        <v>0.05</v>
      </c>
      <c r="E2330" t="s">
        <v>525</v>
      </c>
      <c r="F2330" t="s">
        <v>526</v>
      </c>
      <c r="G2330">
        <f t="shared" si="100"/>
        <v>11.5</v>
      </c>
    </row>
    <row r="2331" spans="1:7">
      <c r="A2331" s="45">
        <v>43211</v>
      </c>
      <c r="B2331" t="s">
        <v>463</v>
      </c>
      <c r="C2331">
        <f t="shared" si="99"/>
        <v>29.51</v>
      </c>
      <c r="D2331">
        <v>2.42</v>
      </c>
      <c r="E2331" t="s">
        <v>525</v>
      </c>
      <c r="F2331" t="s">
        <v>526</v>
      </c>
      <c r="G2331">
        <f t="shared" si="100"/>
        <v>71.414200000000008</v>
      </c>
    </row>
    <row r="2332" spans="1:7">
      <c r="A2332" s="45">
        <v>43211</v>
      </c>
      <c r="B2332" t="s">
        <v>452</v>
      </c>
      <c r="C2332">
        <f t="shared" si="99"/>
        <v>62</v>
      </c>
      <c r="D2332">
        <v>1.5</v>
      </c>
      <c r="E2332" t="s">
        <v>525</v>
      </c>
      <c r="F2332" t="s">
        <v>526</v>
      </c>
      <c r="G2332">
        <f t="shared" si="100"/>
        <v>93</v>
      </c>
    </row>
    <row r="2333" spans="1:7">
      <c r="A2333" s="45">
        <v>43211</v>
      </c>
      <c r="B2333" t="s">
        <v>376</v>
      </c>
      <c r="C2333">
        <f t="shared" si="99"/>
        <v>220</v>
      </c>
      <c r="D2333">
        <v>5.0000000000000001E-3</v>
      </c>
      <c r="E2333" t="s">
        <v>525</v>
      </c>
      <c r="F2333" t="s">
        <v>526</v>
      </c>
      <c r="G2333">
        <f t="shared" si="100"/>
        <v>1.1000000000000001</v>
      </c>
    </row>
    <row r="2334" spans="1:7">
      <c r="A2334" s="45">
        <v>43211</v>
      </c>
      <c r="B2334" t="s">
        <v>377</v>
      </c>
      <c r="C2334">
        <f t="shared" si="99"/>
        <v>740</v>
      </c>
      <c r="D2334">
        <v>5.0000000000000001E-3</v>
      </c>
      <c r="E2334" t="s">
        <v>525</v>
      </c>
      <c r="F2334" t="s">
        <v>526</v>
      </c>
      <c r="G2334">
        <f t="shared" si="100"/>
        <v>3.7</v>
      </c>
    </row>
    <row r="2335" spans="1:7">
      <c r="A2335" s="45">
        <v>43211</v>
      </c>
      <c r="B2335" t="s">
        <v>461</v>
      </c>
      <c r="C2335">
        <f t="shared" si="99"/>
        <v>1450</v>
      </c>
      <c r="D2335">
        <v>5.0000000000000001E-3</v>
      </c>
      <c r="E2335" t="s">
        <v>525</v>
      </c>
      <c r="F2335" t="s">
        <v>526</v>
      </c>
      <c r="G2335">
        <f t="shared" si="100"/>
        <v>7.25</v>
      </c>
    </row>
    <row r="2336" spans="1:7">
      <c r="A2336" s="45">
        <v>43211</v>
      </c>
      <c r="B2336" t="s">
        <v>464</v>
      </c>
      <c r="C2336">
        <f t="shared" si="99"/>
        <v>750</v>
      </c>
      <c r="D2336">
        <v>5.0000000000000001E-3</v>
      </c>
      <c r="E2336" t="s">
        <v>525</v>
      </c>
      <c r="F2336" t="s">
        <v>526</v>
      </c>
      <c r="G2336">
        <f t="shared" si="100"/>
        <v>3.75</v>
      </c>
    </row>
    <row r="2337" spans="1:7">
      <c r="A2337" s="45">
        <v>43211</v>
      </c>
      <c r="B2337" t="s">
        <v>399</v>
      </c>
      <c r="C2337">
        <f t="shared" si="99"/>
        <v>1480</v>
      </c>
      <c r="D2337">
        <v>5.0000000000000001E-3</v>
      </c>
      <c r="E2337" t="s">
        <v>525</v>
      </c>
      <c r="F2337" t="s">
        <v>526</v>
      </c>
      <c r="G2337">
        <f t="shared" si="100"/>
        <v>7.4</v>
      </c>
    </row>
    <row r="2338" spans="1:7">
      <c r="A2338" s="45">
        <v>43211</v>
      </c>
      <c r="B2338" t="s">
        <v>378</v>
      </c>
      <c r="C2338">
        <f t="shared" si="99"/>
        <v>25</v>
      </c>
      <c r="D2338">
        <v>0.25</v>
      </c>
      <c r="E2338" t="s">
        <v>525</v>
      </c>
      <c r="F2338" t="s">
        <v>526</v>
      </c>
      <c r="G2338">
        <f t="shared" si="100"/>
        <v>6.25</v>
      </c>
    </row>
    <row r="2339" spans="1:7">
      <c r="A2339" s="45">
        <v>43211</v>
      </c>
      <c r="B2339" t="s">
        <v>393</v>
      </c>
      <c r="C2339">
        <f t="shared" si="99"/>
        <v>26</v>
      </c>
      <c r="D2339">
        <v>10</v>
      </c>
      <c r="E2339" t="s">
        <v>525</v>
      </c>
      <c r="F2339" t="s">
        <v>526</v>
      </c>
      <c r="G2339">
        <f t="shared" si="100"/>
        <v>260</v>
      </c>
    </row>
    <row r="2340" spans="1:7">
      <c r="A2340" s="45">
        <v>43211</v>
      </c>
      <c r="B2340" t="s">
        <v>420</v>
      </c>
      <c r="C2340">
        <f t="shared" si="99"/>
        <v>3</v>
      </c>
      <c r="D2340">
        <v>0.5</v>
      </c>
      <c r="E2340" t="s">
        <v>525</v>
      </c>
      <c r="F2340" t="s">
        <v>526</v>
      </c>
      <c r="G2340">
        <f t="shared" si="100"/>
        <v>1.5</v>
      </c>
    </row>
    <row r="2341" spans="1:7">
      <c r="A2341" s="45">
        <v>43211</v>
      </c>
      <c r="B2341" t="s">
        <v>375</v>
      </c>
      <c r="C2341">
        <f t="shared" si="99"/>
        <v>280</v>
      </c>
      <c r="D2341">
        <v>0.18</v>
      </c>
      <c r="E2341" t="s">
        <v>525</v>
      </c>
      <c r="F2341" t="s">
        <v>526</v>
      </c>
      <c r="G2341">
        <f t="shared" si="100"/>
        <v>50.4</v>
      </c>
    </row>
    <row r="2342" spans="1:7">
      <c r="A2342" s="45">
        <v>43211</v>
      </c>
      <c r="B2342" t="s">
        <v>426</v>
      </c>
      <c r="C2342">
        <f t="shared" si="99"/>
        <v>57.5</v>
      </c>
      <c r="D2342">
        <v>0.01</v>
      </c>
      <c r="E2342" t="s">
        <v>525</v>
      </c>
      <c r="F2342" t="s">
        <v>526</v>
      </c>
      <c r="G2342">
        <f t="shared" si="100"/>
        <v>0.57500000000000007</v>
      </c>
    </row>
    <row r="2343" spans="1:7">
      <c r="A2343" s="45">
        <v>43211</v>
      </c>
      <c r="B2343" t="s">
        <v>387</v>
      </c>
      <c r="C2343">
        <f t="shared" si="99"/>
        <v>187.41</v>
      </c>
      <c r="D2343">
        <v>0.02</v>
      </c>
      <c r="E2343" t="s">
        <v>525</v>
      </c>
      <c r="F2343" t="s">
        <v>526</v>
      </c>
      <c r="G2343">
        <f t="shared" si="100"/>
        <v>3.7482000000000002</v>
      </c>
    </row>
    <row r="2344" spans="1:7">
      <c r="A2344" s="45">
        <v>43211</v>
      </c>
      <c r="B2344" t="s">
        <v>482</v>
      </c>
      <c r="C2344">
        <f t="shared" si="99"/>
        <v>48</v>
      </c>
      <c r="D2344">
        <v>0.08</v>
      </c>
      <c r="E2344" t="s">
        <v>525</v>
      </c>
      <c r="F2344" t="s">
        <v>526</v>
      </c>
      <c r="G2344">
        <f t="shared" si="100"/>
        <v>3.84</v>
      </c>
    </row>
    <row r="2345" spans="1:7">
      <c r="A2345" s="45">
        <v>43211</v>
      </c>
      <c r="B2345" t="s">
        <v>435</v>
      </c>
      <c r="C2345">
        <f t="shared" si="99"/>
        <v>17</v>
      </c>
      <c r="D2345">
        <v>0.41</v>
      </c>
      <c r="E2345" t="s">
        <v>525</v>
      </c>
      <c r="F2345" t="s">
        <v>526</v>
      </c>
      <c r="G2345">
        <f t="shared" si="100"/>
        <v>6.97</v>
      </c>
    </row>
    <row r="2346" spans="1:7">
      <c r="A2346" s="45">
        <v>43211</v>
      </c>
      <c r="B2346" t="s">
        <v>455</v>
      </c>
      <c r="C2346">
        <f t="shared" si="99"/>
        <v>380</v>
      </c>
      <c r="D2346">
        <v>2.5000000000000001E-2</v>
      </c>
      <c r="E2346" t="s">
        <v>525</v>
      </c>
      <c r="F2346" t="s">
        <v>526</v>
      </c>
      <c r="G2346">
        <f t="shared" si="100"/>
        <v>9.5</v>
      </c>
    </row>
    <row r="2347" spans="1:7">
      <c r="A2347" s="45">
        <v>43211</v>
      </c>
      <c r="B2347" t="s">
        <v>478</v>
      </c>
      <c r="C2347">
        <f t="shared" si="99"/>
        <v>180</v>
      </c>
      <c r="D2347">
        <v>0.27</v>
      </c>
      <c r="E2347" t="s">
        <v>525</v>
      </c>
      <c r="F2347" t="s">
        <v>526</v>
      </c>
      <c r="G2347">
        <f t="shared" si="100"/>
        <v>48.6</v>
      </c>
    </row>
    <row r="2348" spans="1:7">
      <c r="A2348" s="45">
        <v>43211</v>
      </c>
      <c r="B2348" t="s">
        <v>475</v>
      </c>
      <c r="C2348">
        <f t="shared" si="99"/>
        <v>148</v>
      </c>
      <c r="D2348">
        <v>0.28000000000000003</v>
      </c>
      <c r="E2348" t="s">
        <v>525</v>
      </c>
      <c r="F2348" t="s">
        <v>526</v>
      </c>
      <c r="G2348">
        <f t="shared" si="100"/>
        <v>41.440000000000005</v>
      </c>
    </row>
    <row r="2349" spans="1:7">
      <c r="A2349" s="45">
        <v>43211</v>
      </c>
      <c r="B2349" t="s">
        <v>518</v>
      </c>
      <c r="C2349">
        <f t="shared" si="99"/>
        <v>24</v>
      </c>
      <c r="D2349">
        <v>0.17499999999999999</v>
      </c>
      <c r="E2349" t="s">
        <v>525</v>
      </c>
      <c r="F2349" t="s">
        <v>526</v>
      </c>
      <c r="G2349">
        <f t="shared" si="100"/>
        <v>4.1999999999999993</v>
      </c>
    </row>
    <row r="2350" spans="1:7">
      <c r="A2350" s="45">
        <v>43211</v>
      </c>
      <c r="B2350" t="s">
        <v>372</v>
      </c>
      <c r="C2350">
        <f t="shared" si="99"/>
        <v>33</v>
      </c>
      <c r="D2350">
        <v>0.16</v>
      </c>
      <c r="E2350" t="s">
        <v>525</v>
      </c>
      <c r="F2350" t="s">
        <v>526</v>
      </c>
      <c r="G2350">
        <f t="shared" si="100"/>
        <v>5.28</v>
      </c>
    </row>
    <row r="2351" spans="1:7">
      <c r="A2351" s="45">
        <v>43211</v>
      </c>
      <c r="B2351" t="s">
        <v>397</v>
      </c>
      <c r="C2351">
        <f t="shared" si="99"/>
        <v>75</v>
      </c>
      <c r="D2351">
        <v>0.77</v>
      </c>
      <c r="E2351" t="s">
        <v>525</v>
      </c>
      <c r="F2351" t="s">
        <v>526</v>
      </c>
      <c r="G2351">
        <f t="shared" si="100"/>
        <v>57.75</v>
      </c>
    </row>
    <row r="2352" spans="1:7">
      <c r="A2352" s="45">
        <v>43211</v>
      </c>
      <c r="B2352" t="s">
        <v>379</v>
      </c>
      <c r="C2352">
        <f t="shared" si="99"/>
        <v>120</v>
      </c>
      <c r="D2352">
        <v>0.125</v>
      </c>
      <c r="E2352" t="s">
        <v>525</v>
      </c>
      <c r="F2352" t="s">
        <v>526</v>
      </c>
      <c r="G2352">
        <f t="shared" si="100"/>
        <v>15</v>
      </c>
    </row>
    <row r="2353" spans="1:7">
      <c r="A2353" s="45">
        <v>43211</v>
      </c>
      <c r="B2353" t="s">
        <v>370</v>
      </c>
      <c r="C2353">
        <f t="shared" si="99"/>
        <v>55</v>
      </c>
      <c r="D2353">
        <v>5.0000000000000001E-3</v>
      </c>
      <c r="E2353" t="s">
        <v>525</v>
      </c>
      <c r="F2353" t="s">
        <v>526</v>
      </c>
      <c r="G2353">
        <f t="shared" si="100"/>
        <v>0.27500000000000002</v>
      </c>
    </row>
    <row r="2354" spans="1:7">
      <c r="A2354" s="45">
        <v>43211</v>
      </c>
      <c r="B2354" t="s">
        <v>398</v>
      </c>
      <c r="C2354">
        <f t="shared" si="99"/>
        <v>51</v>
      </c>
      <c r="D2354">
        <v>6.5000000000000002E-2</v>
      </c>
      <c r="E2354" t="s">
        <v>525</v>
      </c>
      <c r="F2354" t="s">
        <v>526</v>
      </c>
      <c r="G2354">
        <f t="shared" si="100"/>
        <v>3.3149999999999999</v>
      </c>
    </row>
    <row r="2355" spans="1:7">
      <c r="A2355" s="45">
        <v>43211</v>
      </c>
      <c r="B2355" t="s">
        <v>459</v>
      </c>
      <c r="C2355">
        <f t="shared" si="99"/>
        <v>190</v>
      </c>
      <c r="D2355">
        <v>0.25</v>
      </c>
      <c r="E2355" t="s">
        <v>525</v>
      </c>
      <c r="F2355" t="s">
        <v>526</v>
      </c>
      <c r="G2355">
        <f t="shared" si="100"/>
        <v>47.5</v>
      </c>
    </row>
    <row r="2356" spans="1:7">
      <c r="A2356" s="45">
        <v>43211</v>
      </c>
      <c r="B2356" t="s">
        <v>484</v>
      </c>
      <c r="C2356">
        <f t="shared" si="99"/>
        <v>430</v>
      </c>
      <c r="D2356">
        <v>0.22</v>
      </c>
      <c r="E2356" t="s">
        <v>525</v>
      </c>
      <c r="F2356" t="s">
        <v>526</v>
      </c>
      <c r="G2356">
        <f t="shared" si="100"/>
        <v>94.6</v>
      </c>
    </row>
    <row r="2357" spans="1:7">
      <c r="A2357" s="45">
        <v>43211</v>
      </c>
      <c r="B2357" t="s">
        <v>451</v>
      </c>
      <c r="C2357">
        <f t="shared" si="99"/>
        <v>60</v>
      </c>
      <c r="D2357">
        <v>0.8</v>
      </c>
      <c r="E2357" t="s">
        <v>525</v>
      </c>
      <c r="F2357" t="s">
        <v>526</v>
      </c>
      <c r="G2357">
        <f t="shared" si="100"/>
        <v>48</v>
      </c>
    </row>
    <row r="2358" spans="1:7">
      <c r="A2358" s="45">
        <v>43211</v>
      </c>
      <c r="B2358" t="s">
        <v>458</v>
      </c>
      <c r="C2358">
        <f t="shared" si="99"/>
        <v>140</v>
      </c>
      <c r="D2358">
        <v>0.9</v>
      </c>
      <c r="E2358" t="s">
        <v>525</v>
      </c>
      <c r="F2358" t="s">
        <v>526</v>
      </c>
      <c r="G2358">
        <f t="shared" si="100"/>
        <v>126</v>
      </c>
    </row>
    <row r="2359" spans="1:7">
      <c r="A2359" s="45">
        <v>43211</v>
      </c>
      <c r="B2359" t="s">
        <v>468</v>
      </c>
      <c r="C2359">
        <f t="shared" si="99"/>
        <v>32</v>
      </c>
      <c r="D2359">
        <v>6</v>
      </c>
      <c r="E2359" t="s">
        <v>525</v>
      </c>
      <c r="F2359" t="s">
        <v>526</v>
      </c>
      <c r="G2359">
        <f t="shared" si="100"/>
        <v>192</v>
      </c>
    </row>
    <row r="2360" spans="1:7">
      <c r="A2360" s="45">
        <v>43211</v>
      </c>
      <c r="B2360" t="s">
        <v>489</v>
      </c>
      <c r="C2360">
        <f t="shared" si="99"/>
        <v>280</v>
      </c>
      <c r="D2360">
        <v>0.3</v>
      </c>
      <c r="E2360" t="s">
        <v>525</v>
      </c>
      <c r="F2360" t="s">
        <v>526</v>
      </c>
      <c r="G2360">
        <f t="shared" si="100"/>
        <v>84</v>
      </c>
    </row>
    <row r="2361" spans="1:7">
      <c r="A2361" s="45">
        <v>43211</v>
      </c>
      <c r="B2361" t="s">
        <v>401</v>
      </c>
      <c r="C2361">
        <f t="shared" si="99"/>
        <v>33</v>
      </c>
      <c r="D2361">
        <v>0.2</v>
      </c>
      <c r="E2361" t="s">
        <v>525</v>
      </c>
      <c r="F2361" t="s">
        <v>526</v>
      </c>
      <c r="G2361">
        <f t="shared" si="100"/>
        <v>6.6000000000000005</v>
      </c>
    </row>
    <row r="2362" spans="1:7">
      <c r="A2362" s="45">
        <v>43211</v>
      </c>
      <c r="B2362" t="s">
        <v>490</v>
      </c>
      <c r="C2362">
        <f t="shared" si="99"/>
        <v>100</v>
      </c>
      <c r="D2362">
        <v>0.48</v>
      </c>
      <c r="E2362" t="s">
        <v>525</v>
      </c>
      <c r="F2362" t="s">
        <v>526</v>
      </c>
      <c r="G2362">
        <f t="shared" si="100"/>
        <v>48</v>
      </c>
    </row>
    <row r="2363" spans="1:7">
      <c r="A2363" s="45">
        <v>43211</v>
      </c>
      <c r="B2363" t="s">
        <v>675</v>
      </c>
      <c r="C2363">
        <f t="shared" ref="C2363:C2426" si="101">IF(B2363="","",VLOOKUP(B2363,$XEY$3:$XEZ$1158,2,FALSE))</f>
        <v>0</v>
      </c>
      <c r="D2363">
        <v>1.47</v>
      </c>
      <c r="E2363" t="s">
        <v>525</v>
      </c>
      <c r="F2363" t="s">
        <v>526</v>
      </c>
      <c r="G2363">
        <f t="shared" ref="G2363:G2426" si="102">IF(C2363="","",C2363*D2363)</f>
        <v>0</v>
      </c>
    </row>
    <row r="2364" spans="1:7">
      <c r="A2364" s="45">
        <v>43211</v>
      </c>
      <c r="B2364" t="s">
        <v>561</v>
      </c>
      <c r="C2364">
        <f t="shared" si="101"/>
        <v>0</v>
      </c>
      <c r="D2364">
        <v>2.12</v>
      </c>
      <c r="E2364" t="s">
        <v>525</v>
      </c>
      <c r="F2364" t="s">
        <v>526</v>
      </c>
      <c r="G2364">
        <f t="shared" si="102"/>
        <v>0</v>
      </c>
    </row>
    <row r="2365" spans="1:7">
      <c r="A2365" s="45">
        <v>43211</v>
      </c>
      <c r="B2365" t="s">
        <v>385</v>
      </c>
      <c r="C2365">
        <f t="shared" si="101"/>
        <v>36</v>
      </c>
      <c r="D2365">
        <v>0.5</v>
      </c>
      <c r="E2365" t="s">
        <v>525</v>
      </c>
      <c r="F2365" t="s">
        <v>526</v>
      </c>
      <c r="G2365">
        <f t="shared" si="102"/>
        <v>18</v>
      </c>
    </row>
    <row r="2366" spans="1:7">
      <c r="A2366" s="45">
        <v>43211</v>
      </c>
      <c r="B2366" t="s">
        <v>385</v>
      </c>
      <c r="C2366">
        <f t="shared" si="101"/>
        <v>36</v>
      </c>
      <c r="D2366">
        <v>2</v>
      </c>
      <c r="E2366" t="s">
        <v>713</v>
      </c>
      <c r="F2366" t="s">
        <v>713</v>
      </c>
      <c r="G2366">
        <f t="shared" si="102"/>
        <v>72</v>
      </c>
    </row>
    <row r="2367" spans="1:7">
      <c r="A2367" s="45">
        <v>43213</v>
      </c>
      <c r="B2367" t="s">
        <v>457</v>
      </c>
      <c r="C2367">
        <f t="shared" si="101"/>
        <v>64</v>
      </c>
      <c r="D2367">
        <v>2.1</v>
      </c>
      <c r="E2367" t="s">
        <v>525</v>
      </c>
      <c r="F2367" t="s">
        <v>526</v>
      </c>
      <c r="G2367">
        <f t="shared" si="102"/>
        <v>134.4</v>
      </c>
    </row>
    <row r="2368" spans="1:7">
      <c r="A2368" s="45">
        <v>43213</v>
      </c>
      <c r="B2368" t="s">
        <v>390</v>
      </c>
      <c r="C2368">
        <f t="shared" si="101"/>
        <v>30</v>
      </c>
      <c r="D2368">
        <v>1.55</v>
      </c>
      <c r="E2368" t="s">
        <v>525</v>
      </c>
      <c r="F2368" t="s">
        <v>526</v>
      </c>
      <c r="G2368">
        <f t="shared" si="102"/>
        <v>46.5</v>
      </c>
    </row>
    <row r="2369" spans="1:7">
      <c r="A2369" s="45">
        <v>43213</v>
      </c>
      <c r="B2369" t="s">
        <v>432</v>
      </c>
      <c r="C2369">
        <f t="shared" si="101"/>
        <v>14</v>
      </c>
      <c r="D2369">
        <f>2+2.4+0.3+0.5+3+1</f>
        <v>9.1999999999999993</v>
      </c>
      <c r="E2369" t="s">
        <v>525</v>
      </c>
      <c r="F2369" t="s">
        <v>526</v>
      </c>
      <c r="G2369">
        <f t="shared" si="102"/>
        <v>128.79999999999998</v>
      </c>
    </row>
    <row r="2370" spans="1:7">
      <c r="A2370" s="45">
        <v>43213</v>
      </c>
      <c r="B2370" t="s">
        <v>430</v>
      </c>
      <c r="C2370">
        <f t="shared" si="101"/>
        <v>30</v>
      </c>
      <c r="D2370">
        <v>0.6</v>
      </c>
      <c r="E2370" t="s">
        <v>525</v>
      </c>
      <c r="F2370" t="s">
        <v>526</v>
      </c>
      <c r="G2370">
        <f t="shared" si="102"/>
        <v>18</v>
      </c>
    </row>
    <row r="2371" spans="1:7">
      <c r="A2371" s="45">
        <v>43213</v>
      </c>
      <c r="B2371" t="s">
        <v>474</v>
      </c>
      <c r="C2371">
        <f t="shared" si="101"/>
        <v>27</v>
      </c>
      <c r="D2371">
        <v>3</v>
      </c>
      <c r="E2371" t="s">
        <v>525</v>
      </c>
      <c r="F2371" t="s">
        <v>526</v>
      </c>
      <c r="G2371">
        <f t="shared" si="102"/>
        <v>81</v>
      </c>
    </row>
    <row r="2372" spans="1:7">
      <c r="A2372" s="45">
        <v>43213</v>
      </c>
      <c r="B2372" t="s">
        <v>378</v>
      </c>
      <c r="C2372">
        <f t="shared" si="101"/>
        <v>25</v>
      </c>
      <c r="D2372">
        <f>0.55+0.27</f>
        <v>0.82000000000000006</v>
      </c>
      <c r="E2372" t="s">
        <v>525</v>
      </c>
      <c r="F2372" t="s">
        <v>526</v>
      </c>
      <c r="G2372">
        <f t="shared" si="102"/>
        <v>20.5</v>
      </c>
    </row>
    <row r="2373" spans="1:7">
      <c r="A2373" s="45">
        <v>43213</v>
      </c>
      <c r="B2373" t="s">
        <v>420</v>
      </c>
      <c r="C2373">
        <f t="shared" si="101"/>
        <v>3</v>
      </c>
      <c r="D2373">
        <v>2.5</v>
      </c>
      <c r="E2373" t="s">
        <v>525</v>
      </c>
      <c r="F2373" t="s">
        <v>526</v>
      </c>
      <c r="G2373">
        <f t="shared" si="102"/>
        <v>7.5</v>
      </c>
    </row>
    <row r="2374" spans="1:7">
      <c r="A2374" s="45">
        <v>43213</v>
      </c>
      <c r="B2374" t="s">
        <v>391</v>
      </c>
      <c r="C2374">
        <f t="shared" si="101"/>
        <v>27.97</v>
      </c>
      <c r="D2374">
        <v>0.9</v>
      </c>
      <c r="E2374" t="s">
        <v>525</v>
      </c>
      <c r="F2374" t="s">
        <v>526</v>
      </c>
      <c r="G2374">
        <f t="shared" si="102"/>
        <v>25.172999999999998</v>
      </c>
    </row>
    <row r="2375" spans="1:7">
      <c r="A2375" s="45">
        <v>43213</v>
      </c>
      <c r="B2375" t="s">
        <v>463</v>
      </c>
      <c r="C2375">
        <f t="shared" si="101"/>
        <v>29.51</v>
      </c>
      <c r="D2375">
        <v>0.7</v>
      </c>
      <c r="E2375" t="s">
        <v>525</v>
      </c>
      <c r="F2375" t="s">
        <v>526</v>
      </c>
      <c r="G2375">
        <f t="shared" si="102"/>
        <v>20.657</v>
      </c>
    </row>
    <row r="2376" spans="1:7">
      <c r="A2376" s="45">
        <v>43213</v>
      </c>
      <c r="B2376" t="s">
        <v>385</v>
      </c>
      <c r="C2376">
        <f t="shared" si="101"/>
        <v>36</v>
      </c>
      <c r="D2376">
        <v>0.5</v>
      </c>
      <c r="E2376" t="s">
        <v>525</v>
      </c>
      <c r="F2376" t="s">
        <v>526</v>
      </c>
      <c r="G2376">
        <f t="shared" si="102"/>
        <v>18</v>
      </c>
    </row>
    <row r="2377" spans="1:7">
      <c r="A2377" s="45">
        <v>43213</v>
      </c>
      <c r="B2377" t="s">
        <v>427</v>
      </c>
      <c r="C2377">
        <f t="shared" si="101"/>
        <v>28</v>
      </c>
      <c r="D2377">
        <v>0.5</v>
      </c>
      <c r="E2377" t="s">
        <v>525</v>
      </c>
      <c r="F2377" t="s">
        <v>526</v>
      </c>
      <c r="G2377">
        <f t="shared" si="102"/>
        <v>14</v>
      </c>
    </row>
    <row r="2378" spans="1:7">
      <c r="A2378" s="45">
        <v>43213</v>
      </c>
      <c r="B2378" t="s">
        <v>429</v>
      </c>
      <c r="C2378">
        <f t="shared" si="101"/>
        <v>40</v>
      </c>
      <c r="D2378">
        <v>0.15</v>
      </c>
      <c r="E2378" t="s">
        <v>525</v>
      </c>
      <c r="F2378" t="s">
        <v>526</v>
      </c>
      <c r="G2378">
        <f t="shared" si="102"/>
        <v>6</v>
      </c>
    </row>
    <row r="2379" spans="1:7">
      <c r="A2379" s="45">
        <v>43213</v>
      </c>
      <c r="B2379" t="s">
        <v>386</v>
      </c>
      <c r="C2379">
        <f t="shared" si="101"/>
        <v>82</v>
      </c>
      <c r="D2379">
        <v>5</v>
      </c>
      <c r="E2379" t="s">
        <v>525</v>
      </c>
      <c r="F2379" t="s">
        <v>526</v>
      </c>
      <c r="G2379">
        <f t="shared" si="102"/>
        <v>410</v>
      </c>
    </row>
    <row r="2380" spans="1:7">
      <c r="A2380" s="45">
        <v>43213</v>
      </c>
      <c r="B2380" t="s">
        <v>463</v>
      </c>
      <c r="C2380">
        <f t="shared" si="101"/>
        <v>29.51</v>
      </c>
      <c r="D2380">
        <v>2.4</v>
      </c>
      <c r="E2380" t="s">
        <v>525</v>
      </c>
      <c r="F2380" t="s">
        <v>526</v>
      </c>
      <c r="G2380">
        <f t="shared" si="102"/>
        <v>70.823999999999998</v>
      </c>
    </row>
    <row r="2381" spans="1:7">
      <c r="A2381" s="45">
        <v>43213</v>
      </c>
      <c r="B2381" t="s">
        <v>452</v>
      </c>
      <c r="C2381">
        <f t="shared" si="101"/>
        <v>62</v>
      </c>
      <c r="D2381">
        <v>1</v>
      </c>
      <c r="E2381" t="s">
        <v>525</v>
      </c>
      <c r="F2381" t="s">
        <v>526</v>
      </c>
      <c r="G2381">
        <f t="shared" si="102"/>
        <v>62</v>
      </c>
    </row>
    <row r="2382" spans="1:7">
      <c r="A2382" s="45">
        <v>43213</v>
      </c>
      <c r="B2382" t="s">
        <v>384</v>
      </c>
      <c r="C2382">
        <f t="shared" si="101"/>
        <v>3</v>
      </c>
      <c r="D2382">
        <v>5</v>
      </c>
      <c r="E2382" t="s">
        <v>525</v>
      </c>
      <c r="F2382" t="s">
        <v>526</v>
      </c>
      <c r="G2382">
        <f t="shared" si="102"/>
        <v>15</v>
      </c>
    </row>
    <row r="2383" spans="1:7">
      <c r="A2383" s="45">
        <v>43213</v>
      </c>
      <c r="B2383" t="s">
        <v>376</v>
      </c>
      <c r="C2383">
        <f t="shared" si="101"/>
        <v>220</v>
      </c>
      <c r="D2383">
        <v>0.01</v>
      </c>
      <c r="E2383" t="s">
        <v>525</v>
      </c>
      <c r="F2383" t="s">
        <v>526</v>
      </c>
      <c r="G2383">
        <f t="shared" si="102"/>
        <v>2.2000000000000002</v>
      </c>
    </row>
    <row r="2384" spans="1:7">
      <c r="A2384" s="45">
        <v>43213</v>
      </c>
      <c r="B2384" t="s">
        <v>377</v>
      </c>
      <c r="C2384">
        <f t="shared" si="101"/>
        <v>740</v>
      </c>
      <c r="D2384">
        <v>0.01</v>
      </c>
      <c r="E2384" t="s">
        <v>525</v>
      </c>
      <c r="F2384" t="s">
        <v>526</v>
      </c>
      <c r="G2384">
        <f t="shared" si="102"/>
        <v>7.4</v>
      </c>
    </row>
    <row r="2385" spans="1:7">
      <c r="A2385" s="45">
        <v>43213</v>
      </c>
      <c r="B2385" t="s">
        <v>461</v>
      </c>
      <c r="C2385">
        <f t="shared" si="101"/>
        <v>1450</v>
      </c>
      <c r="D2385">
        <v>0.01</v>
      </c>
      <c r="E2385" t="s">
        <v>525</v>
      </c>
      <c r="F2385" t="s">
        <v>526</v>
      </c>
      <c r="G2385">
        <f t="shared" si="102"/>
        <v>14.5</v>
      </c>
    </row>
    <row r="2386" spans="1:7">
      <c r="A2386" s="45">
        <v>43213</v>
      </c>
      <c r="B2386" t="s">
        <v>464</v>
      </c>
      <c r="C2386">
        <f t="shared" si="101"/>
        <v>750</v>
      </c>
      <c r="D2386">
        <v>0.01</v>
      </c>
      <c r="E2386" t="s">
        <v>525</v>
      </c>
      <c r="F2386" t="s">
        <v>526</v>
      </c>
      <c r="G2386">
        <f t="shared" si="102"/>
        <v>7.5</v>
      </c>
    </row>
    <row r="2387" spans="1:7">
      <c r="A2387" s="45">
        <v>43213</v>
      </c>
      <c r="B2387" t="s">
        <v>453</v>
      </c>
      <c r="C2387">
        <f t="shared" si="101"/>
        <v>250</v>
      </c>
      <c r="D2387">
        <v>5.0000000000000001E-3</v>
      </c>
      <c r="E2387" t="s">
        <v>525</v>
      </c>
      <c r="F2387" t="s">
        <v>526</v>
      </c>
      <c r="G2387">
        <f t="shared" si="102"/>
        <v>1.25</v>
      </c>
    </row>
    <row r="2388" spans="1:7">
      <c r="A2388" s="45">
        <v>43213</v>
      </c>
      <c r="B2388" t="s">
        <v>500</v>
      </c>
      <c r="C2388">
        <f t="shared" si="101"/>
        <v>72</v>
      </c>
      <c r="D2388">
        <v>0.1</v>
      </c>
      <c r="E2388" t="s">
        <v>525</v>
      </c>
      <c r="F2388" t="s">
        <v>526</v>
      </c>
      <c r="G2388">
        <f t="shared" si="102"/>
        <v>7.2</v>
      </c>
    </row>
    <row r="2389" spans="1:7">
      <c r="A2389" s="45">
        <v>43213</v>
      </c>
      <c r="B2389" t="s">
        <v>371</v>
      </c>
      <c r="C2389">
        <f t="shared" si="101"/>
        <v>23.33</v>
      </c>
      <c r="D2389">
        <v>0.2</v>
      </c>
      <c r="E2389" t="s">
        <v>525</v>
      </c>
      <c r="F2389" t="s">
        <v>526</v>
      </c>
      <c r="G2389">
        <f t="shared" si="102"/>
        <v>4.6659999999999995</v>
      </c>
    </row>
    <row r="2390" spans="1:7">
      <c r="A2390" s="45">
        <v>43213</v>
      </c>
      <c r="B2390" t="s">
        <v>467</v>
      </c>
      <c r="C2390">
        <f t="shared" si="101"/>
        <v>75</v>
      </c>
      <c r="D2390">
        <v>0.5</v>
      </c>
      <c r="E2390" t="s">
        <v>525</v>
      </c>
      <c r="F2390" t="s">
        <v>526</v>
      </c>
      <c r="G2390">
        <f t="shared" si="102"/>
        <v>37.5</v>
      </c>
    </row>
    <row r="2391" spans="1:7">
      <c r="A2391" s="45">
        <v>43213</v>
      </c>
      <c r="B2391" t="s">
        <v>454</v>
      </c>
      <c r="C2391">
        <f t="shared" si="101"/>
        <v>43.06</v>
      </c>
      <c r="D2391">
        <v>1</v>
      </c>
      <c r="E2391" t="s">
        <v>525</v>
      </c>
      <c r="F2391" t="s">
        <v>526</v>
      </c>
      <c r="G2391">
        <f t="shared" si="102"/>
        <v>43.06</v>
      </c>
    </row>
    <row r="2392" spans="1:7">
      <c r="A2392" s="45">
        <v>43213</v>
      </c>
      <c r="B2392" t="s">
        <v>391</v>
      </c>
      <c r="C2392">
        <f t="shared" si="101"/>
        <v>27.97</v>
      </c>
      <c r="D2392">
        <v>1.1000000000000001</v>
      </c>
      <c r="E2392" t="s">
        <v>525</v>
      </c>
      <c r="F2392" t="s">
        <v>526</v>
      </c>
      <c r="G2392">
        <f t="shared" si="102"/>
        <v>30.766999999999999</v>
      </c>
    </row>
    <row r="2393" spans="1:7">
      <c r="A2393" s="45">
        <v>43213</v>
      </c>
      <c r="B2393" t="s">
        <v>393</v>
      </c>
      <c r="C2393">
        <f t="shared" si="101"/>
        <v>26</v>
      </c>
      <c r="D2393">
        <v>10</v>
      </c>
      <c r="E2393" t="s">
        <v>525</v>
      </c>
      <c r="F2393" t="s">
        <v>526</v>
      </c>
      <c r="G2393">
        <f t="shared" si="102"/>
        <v>260</v>
      </c>
    </row>
    <row r="2394" spans="1:7">
      <c r="A2394" s="45">
        <v>43213</v>
      </c>
      <c r="B2394" t="s">
        <v>375</v>
      </c>
      <c r="C2394">
        <f t="shared" si="101"/>
        <v>280</v>
      </c>
      <c r="D2394">
        <v>0.155</v>
      </c>
      <c r="E2394" t="s">
        <v>525</v>
      </c>
      <c r="F2394" t="s">
        <v>526</v>
      </c>
      <c r="G2394">
        <f t="shared" si="102"/>
        <v>43.4</v>
      </c>
    </row>
    <row r="2395" spans="1:7">
      <c r="A2395" s="45">
        <v>43213</v>
      </c>
      <c r="B2395" t="s">
        <v>426</v>
      </c>
      <c r="C2395">
        <f t="shared" si="101"/>
        <v>57.5</v>
      </c>
      <c r="D2395">
        <v>0.1</v>
      </c>
      <c r="E2395" t="s">
        <v>525</v>
      </c>
      <c r="F2395" t="s">
        <v>526</v>
      </c>
      <c r="G2395">
        <f t="shared" si="102"/>
        <v>5.75</v>
      </c>
    </row>
    <row r="2396" spans="1:7">
      <c r="A2396" s="45">
        <v>43213</v>
      </c>
      <c r="B2396" t="s">
        <v>387</v>
      </c>
      <c r="C2396">
        <f t="shared" si="101"/>
        <v>187.41</v>
      </c>
      <c r="D2396">
        <v>0.04</v>
      </c>
      <c r="E2396" t="s">
        <v>525</v>
      </c>
      <c r="F2396" t="s">
        <v>526</v>
      </c>
      <c r="G2396">
        <f t="shared" si="102"/>
        <v>7.4964000000000004</v>
      </c>
    </row>
    <row r="2397" spans="1:7">
      <c r="A2397" s="45">
        <v>43213</v>
      </c>
      <c r="B2397" t="s">
        <v>482</v>
      </c>
      <c r="C2397">
        <f t="shared" si="101"/>
        <v>48</v>
      </c>
      <c r="D2397">
        <v>0.65</v>
      </c>
      <c r="E2397" t="s">
        <v>525</v>
      </c>
      <c r="F2397" t="s">
        <v>526</v>
      </c>
      <c r="G2397">
        <f t="shared" si="102"/>
        <v>31.200000000000003</v>
      </c>
    </row>
    <row r="2398" spans="1:7">
      <c r="A2398" s="45">
        <v>43213</v>
      </c>
      <c r="B2398" t="s">
        <v>435</v>
      </c>
      <c r="C2398">
        <f t="shared" si="101"/>
        <v>17</v>
      </c>
      <c r="D2398">
        <v>0.49</v>
      </c>
      <c r="E2398" t="s">
        <v>525</v>
      </c>
      <c r="F2398" t="s">
        <v>526</v>
      </c>
      <c r="G2398">
        <f t="shared" si="102"/>
        <v>8.33</v>
      </c>
    </row>
    <row r="2399" spans="1:7">
      <c r="A2399" s="45">
        <v>43213</v>
      </c>
      <c r="B2399" t="s">
        <v>455</v>
      </c>
      <c r="C2399">
        <f t="shared" si="101"/>
        <v>380</v>
      </c>
      <c r="D2399">
        <v>0.02</v>
      </c>
      <c r="E2399" t="s">
        <v>525</v>
      </c>
      <c r="F2399" t="s">
        <v>526</v>
      </c>
      <c r="G2399">
        <f t="shared" si="102"/>
        <v>7.6000000000000005</v>
      </c>
    </row>
    <row r="2400" spans="1:7">
      <c r="A2400" s="45">
        <v>43213</v>
      </c>
      <c r="B2400" t="s">
        <v>478</v>
      </c>
      <c r="C2400">
        <f t="shared" si="101"/>
        <v>180</v>
      </c>
      <c r="D2400">
        <v>0.36</v>
      </c>
      <c r="E2400" t="s">
        <v>525</v>
      </c>
      <c r="F2400" t="s">
        <v>526</v>
      </c>
      <c r="G2400">
        <f t="shared" si="102"/>
        <v>64.8</v>
      </c>
    </row>
    <row r="2401" spans="1:7">
      <c r="A2401" s="45">
        <v>43213</v>
      </c>
      <c r="B2401" t="s">
        <v>475</v>
      </c>
      <c r="C2401">
        <f t="shared" si="101"/>
        <v>148</v>
      </c>
      <c r="D2401">
        <v>0.17499999999999999</v>
      </c>
      <c r="E2401" t="s">
        <v>525</v>
      </c>
      <c r="F2401" t="s">
        <v>526</v>
      </c>
      <c r="G2401">
        <f t="shared" si="102"/>
        <v>25.9</v>
      </c>
    </row>
    <row r="2402" spans="1:7">
      <c r="A2402" s="45">
        <v>43213</v>
      </c>
      <c r="B2402" t="s">
        <v>372</v>
      </c>
      <c r="C2402">
        <f t="shared" si="101"/>
        <v>33</v>
      </c>
      <c r="D2402">
        <v>0.27500000000000002</v>
      </c>
      <c r="E2402" t="s">
        <v>525</v>
      </c>
      <c r="F2402" t="s">
        <v>526</v>
      </c>
      <c r="G2402">
        <f t="shared" si="102"/>
        <v>9.0750000000000011</v>
      </c>
    </row>
    <row r="2403" spans="1:7">
      <c r="A2403" s="45">
        <v>43213</v>
      </c>
      <c r="B2403" t="s">
        <v>397</v>
      </c>
      <c r="C2403">
        <f t="shared" si="101"/>
        <v>75</v>
      </c>
      <c r="D2403">
        <v>0.86</v>
      </c>
      <c r="E2403" t="s">
        <v>525</v>
      </c>
      <c r="F2403" t="s">
        <v>526</v>
      </c>
      <c r="G2403">
        <f t="shared" si="102"/>
        <v>64.5</v>
      </c>
    </row>
    <row r="2404" spans="1:7">
      <c r="A2404" s="45">
        <v>43213</v>
      </c>
      <c r="B2404" t="s">
        <v>379</v>
      </c>
      <c r="C2404">
        <f t="shared" si="101"/>
        <v>120</v>
      </c>
      <c r="D2404">
        <v>5.5E-2</v>
      </c>
      <c r="E2404" t="s">
        <v>525</v>
      </c>
      <c r="F2404" t="s">
        <v>526</v>
      </c>
      <c r="G2404">
        <f t="shared" si="102"/>
        <v>6.6</v>
      </c>
    </row>
    <row r="2405" spans="1:7">
      <c r="A2405" s="45">
        <v>43213</v>
      </c>
      <c r="B2405" t="s">
        <v>561</v>
      </c>
      <c r="C2405">
        <f t="shared" si="101"/>
        <v>0</v>
      </c>
      <c r="D2405">
        <v>1.9</v>
      </c>
      <c r="E2405" t="s">
        <v>525</v>
      </c>
      <c r="F2405" t="s">
        <v>526</v>
      </c>
      <c r="G2405">
        <f t="shared" si="102"/>
        <v>0</v>
      </c>
    </row>
    <row r="2406" spans="1:7">
      <c r="A2406" s="45">
        <v>43213</v>
      </c>
      <c r="B2406" t="s">
        <v>675</v>
      </c>
      <c r="C2406">
        <f t="shared" si="101"/>
        <v>0</v>
      </c>
      <c r="D2406">
        <v>0.91</v>
      </c>
      <c r="E2406" t="s">
        <v>525</v>
      </c>
      <c r="F2406" t="s">
        <v>526</v>
      </c>
      <c r="G2406">
        <f t="shared" si="102"/>
        <v>0</v>
      </c>
    </row>
    <row r="2407" spans="1:7">
      <c r="A2407" s="45">
        <v>43213</v>
      </c>
      <c r="B2407" t="s">
        <v>458</v>
      </c>
      <c r="C2407">
        <f t="shared" si="101"/>
        <v>140</v>
      </c>
      <c r="D2407">
        <v>0.9</v>
      </c>
      <c r="E2407" t="s">
        <v>525</v>
      </c>
      <c r="F2407" t="s">
        <v>526</v>
      </c>
      <c r="G2407">
        <f t="shared" si="102"/>
        <v>126</v>
      </c>
    </row>
    <row r="2408" spans="1:7">
      <c r="A2408" s="45">
        <v>43213</v>
      </c>
      <c r="B2408" t="s">
        <v>401</v>
      </c>
      <c r="C2408">
        <f t="shared" si="101"/>
        <v>33</v>
      </c>
      <c r="D2408">
        <v>0.15</v>
      </c>
      <c r="E2408" t="s">
        <v>525</v>
      </c>
      <c r="F2408" t="s">
        <v>526</v>
      </c>
      <c r="G2408">
        <f t="shared" si="102"/>
        <v>4.95</v>
      </c>
    </row>
    <row r="2409" spans="1:7">
      <c r="A2409" s="45">
        <v>43213</v>
      </c>
      <c r="B2409" t="s">
        <v>473</v>
      </c>
      <c r="C2409">
        <f t="shared" si="101"/>
        <v>175</v>
      </c>
      <c r="D2409">
        <v>0.4</v>
      </c>
      <c r="E2409" t="s">
        <v>525</v>
      </c>
      <c r="F2409" t="s">
        <v>526</v>
      </c>
      <c r="G2409">
        <f t="shared" si="102"/>
        <v>70</v>
      </c>
    </row>
    <row r="2410" spans="1:7">
      <c r="A2410" s="45">
        <v>43213</v>
      </c>
      <c r="B2410" t="s">
        <v>468</v>
      </c>
      <c r="C2410">
        <f t="shared" si="101"/>
        <v>32</v>
      </c>
      <c r="D2410">
        <v>4</v>
      </c>
      <c r="E2410" t="s">
        <v>525</v>
      </c>
      <c r="F2410" t="s">
        <v>526</v>
      </c>
      <c r="G2410">
        <f t="shared" si="102"/>
        <v>128</v>
      </c>
    </row>
    <row r="2411" spans="1:7">
      <c r="A2411" s="45">
        <v>43213</v>
      </c>
      <c r="B2411" t="s">
        <v>451</v>
      </c>
      <c r="C2411">
        <f t="shared" si="101"/>
        <v>60</v>
      </c>
      <c r="D2411">
        <v>0.25</v>
      </c>
      <c r="E2411" t="s">
        <v>525</v>
      </c>
      <c r="F2411" t="s">
        <v>526</v>
      </c>
      <c r="G2411">
        <f t="shared" si="102"/>
        <v>15</v>
      </c>
    </row>
    <row r="2412" spans="1:7">
      <c r="A2412" s="45">
        <v>43213</v>
      </c>
      <c r="B2412" t="s">
        <v>489</v>
      </c>
      <c r="C2412">
        <f t="shared" si="101"/>
        <v>280</v>
      </c>
      <c r="D2412">
        <v>0.1</v>
      </c>
      <c r="E2412" t="s">
        <v>525</v>
      </c>
      <c r="F2412" t="s">
        <v>526</v>
      </c>
      <c r="G2412">
        <f t="shared" si="102"/>
        <v>28</v>
      </c>
    </row>
    <row r="2413" spans="1:7">
      <c r="A2413" s="45">
        <v>43213</v>
      </c>
      <c r="B2413" t="s">
        <v>490</v>
      </c>
      <c r="C2413">
        <f t="shared" si="101"/>
        <v>100</v>
      </c>
      <c r="D2413">
        <v>0.46500000000000002</v>
      </c>
      <c r="E2413" t="s">
        <v>525</v>
      </c>
      <c r="F2413" t="s">
        <v>526</v>
      </c>
      <c r="G2413">
        <f t="shared" si="102"/>
        <v>46.5</v>
      </c>
    </row>
    <row r="2414" spans="1:7">
      <c r="A2414" s="45">
        <v>43213</v>
      </c>
      <c r="B2414" t="s">
        <v>428</v>
      </c>
      <c r="C2414">
        <f t="shared" si="101"/>
        <v>78.95</v>
      </c>
      <c r="D2414">
        <v>4.3</v>
      </c>
      <c r="E2414" t="s">
        <v>336</v>
      </c>
      <c r="F2414" t="s">
        <v>527</v>
      </c>
      <c r="G2414">
        <f t="shared" si="102"/>
        <v>339.48500000000001</v>
      </c>
    </row>
    <row r="2415" spans="1:7">
      <c r="A2415" s="45">
        <v>43213</v>
      </c>
      <c r="B2415" t="s">
        <v>428</v>
      </c>
      <c r="C2415">
        <f t="shared" si="101"/>
        <v>78.95</v>
      </c>
      <c r="D2415">
        <v>0.4</v>
      </c>
      <c r="E2415" t="s">
        <v>528</v>
      </c>
      <c r="F2415" t="s">
        <v>527</v>
      </c>
      <c r="G2415">
        <f t="shared" si="102"/>
        <v>31.580000000000002</v>
      </c>
    </row>
    <row r="2416" spans="1:7">
      <c r="A2416" s="45">
        <v>43213</v>
      </c>
      <c r="B2416" t="s">
        <v>428</v>
      </c>
      <c r="C2416">
        <f t="shared" si="101"/>
        <v>78.95</v>
      </c>
      <c r="D2416">
        <f>15.9-(D2415+D2414)</f>
        <v>11.2</v>
      </c>
      <c r="E2416" t="s">
        <v>525</v>
      </c>
      <c r="F2416" t="s">
        <v>526</v>
      </c>
      <c r="G2416">
        <f t="shared" si="102"/>
        <v>884.24</v>
      </c>
    </row>
    <row r="2417" spans="1:7">
      <c r="A2417" s="45">
        <v>43213</v>
      </c>
      <c r="B2417" t="s">
        <v>397</v>
      </c>
      <c r="C2417">
        <f t="shared" si="101"/>
        <v>75</v>
      </c>
      <c r="D2417">
        <v>1</v>
      </c>
      <c r="E2417" t="s">
        <v>710</v>
      </c>
      <c r="F2417" t="s">
        <v>711</v>
      </c>
      <c r="G2417">
        <f t="shared" si="102"/>
        <v>75</v>
      </c>
    </row>
    <row r="2418" spans="1:7">
      <c r="A2418" s="45">
        <v>43213</v>
      </c>
      <c r="B2418" t="s">
        <v>384</v>
      </c>
      <c r="C2418">
        <f t="shared" si="101"/>
        <v>3</v>
      </c>
      <c r="D2418">
        <v>8</v>
      </c>
      <c r="E2418" t="s">
        <v>555</v>
      </c>
      <c r="F2418" t="s">
        <v>556</v>
      </c>
      <c r="G2418">
        <f t="shared" si="102"/>
        <v>24</v>
      </c>
    </row>
    <row r="2419" spans="1:7">
      <c r="A2419" s="45">
        <v>43213</v>
      </c>
      <c r="B2419" t="s">
        <v>432</v>
      </c>
      <c r="C2419">
        <f t="shared" si="101"/>
        <v>14</v>
      </c>
      <c r="D2419">
        <v>0.5</v>
      </c>
      <c r="E2419" t="s">
        <v>555</v>
      </c>
      <c r="F2419" t="s">
        <v>556</v>
      </c>
      <c r="G2419">
        <f t="shared" si="102"/>
        <v>7</v>
      </c>
    </row>
    <row r="2420" spans="1:7">
      <c r="A2420" s="45">
        <v>43213</v>
      </c>
      <c r="B2420" t="s">
        <v>502</v>
      </c>
      <c r="C2420">
        <f t="shared" si="101"/>
        <v>40</v>
      </c>
      <c r="D2420">
        <v>0.3</v>
      </c>
      <c r="E2420" t="s">
        <v>336</v>
      </c>
      <c r="F2420" t="s">
        <v>527</v>
      </c>
      <c r="G2420">
        <f t="shared" si="102"/>
        <v>12</v>
      </c>
    </row>
    <row r="2421" spans="1:7">
      <c r="A2421" s="45">
        <v>43213</v>
      </c>
      <c r="B2421" t="s">
        <v>511</v>
      </c>
      <c r="C2421">
        <f t="shared" si="101"/>
        <v>52</v>
      </c>
      <c r="D2421">
        <v>5.7</v>
      </c>
      <c r="E2421" t="s">
        <v>336</v>
      </c>
      <c r="F2421" t="s">
        <v>527</v>
      </c>
      <c r="G2421">
        <f t="shared" si="102"/>
        <v>296.40000000000003</v>
      </c>
    </row>
    <row r="2422" spans="1:7">
      <c r="A2422" s="45">
        <v>43213</v>
      </c>
      <c r="B2422" t="s">
        <v>385</v>
      </c>
      <c r="C2422">
        <f t="shared" si="101"/>
        <v>36</v>
      </c>
      <c r="D2422">
        <v>3</v>
      </c>
      <c r="E2422" t="s">
        <v>336</v>
      </c>
      <c r="F2422" t="s">
        <v>527</v>
      </c>
      <c r="G2422">
        <f t="shared" si="102"/>
        <v>108</v>
      </c>
    </row>
    <row r="2423" spans="1:7">
      <c r="A2423" s="45">
        <v>43213</v>
      </c>
      <c r="B2423" t="s">
        <v>382</v>
      </c>
      <c r="C2423">
        <f t="shared" si="101"/>
        <v>42</v>
      </c>
      <c r="D2423">
        <v>1.5</v>
      </c>
      <c r="E2423" t="s">
        <v>336</v>
      </c>
      <c r="F2423" t="s">
        <v>527</v>
      </c>
      <c r="G2423">
        <f t="shared" si="102"/>
        <v>63</v>
      </c>
    </row>
    <row r="2424" spans="1:7">
      <c r="A2424" s="45">
        <v>43213</v>
      </c>
      <c r="B2424" t="s">
        <v>404</v>
      </c>
      <c r="C2424">
        <f t="shared" si="101"/>
        <v>28</v>
      </c>
      <c r="D2424">
        <v>3</v>
      </c>
      <c r="E2424" t="s">
        <v>336</v>
      </c>
      <c r="F2424" t="s">
        <v>527</v>
      </c>
      <c r="G2424">
        <f t="shared" si="102"/>
        <v>84</v>
      </c>
    </row>
    <row r="2425" spans="1:7">
      <c r="A2425" s="45">
        <v>43213</v>
      </c>
      <c r="B2425" t="s">
        <v>511</v>
      </c>
      <c r="C2425">
        <f t="shared" si="101"/>
        <v>52</v>
      </c>
      <c r="D2425">
        <v>5.6</v>
      </c>
      <c r="E2425" t="s">
        <v>336</v>
      </c>
      <c r="F2425" t="s">
        <v>527</v>
      </c>
      <c r="G2425">
        <f t="shared" si="102"/>
        <v>291.2</v>
      </c>
    </row>
    <row r="2426" spans="1:7">
      <c r="A2426" s="45">
        <v>43213</v>
      </c>
      <c r="B2426" t="s">
        <v>436</v>
      </c>
      <c r="C2426">
        <f t="shared" si="101"/>
        <v>37</v>
      </c>
      <c r="D2426">
        <v>0.5</v>
      </c>
      <c r="E2426" t="s">
        <v>336</v>
      </c>
      <c r="F2426" t="s">
        <v>527</v>
      </c>
      <c r="G2426">
        <f t="shared" si="102"/>
        <v>18.5</v>
      </c>
    </row>
    <row r="2427" spans="1:7">
      <c r="A2427" s="45">
        <v>43213</v>
      </c>
      <c r="B2427" t="s">
        <v>375</v>
      </c>
      <c r="C2427">
        <f t="shared" ref="C2427:C2490" si="103">IF(B2427="","",VLOOKUP(B2427,$XEY$3:$XEZ$1158,2,FALSE))</f>
        <v>280</v>
      </c>
      <c r="D2427">
        <v>9.5000000000000001E-2</v>
      </c>
      <c r="E2427" t="s">
        <v>336</v>
      </c>
      <c r="F2427" t="s">
        <v>527</v>
      </c>
      <c r="G2427">
        <f t="shared" ref="G2427:G2490" si="104">IF(C2427="","",C2427*D2427)</f>
        <v>26.6</v>
      </c>
    </row>
    <row r="2428" spans="1:7">
      <c r="A2428" s="45">
        <v>43213</v>
      </c>
      <c r="B2428" t="s">
        <v>379</v>
      </c>
      <c r="C2428">
        <f t="shared" si="103"/>
        <v>120</v>
      </c>
      <c r="D2428">
        <v>0.06</v>
      </c>
      <c r="E2428" t="s">
        <v>336</v>
      </c>
      <c r="F2428" t="s">
        <v>527</v>
      </c>
      <c r="G2428">
        <f t="shared" si="104"/>
        <v>7.1999999999999993</v>
      </c>
    </row>
    <row r="2429" spans="1:7">
      <c r="A2429" s="45">
        <v>43213</v>
      </c>
      <c r="B2429" t="s">
        <v>381</v>
      </c>
      <c r="C2429">
        <f t="shared" si="103"/>
        <v>7</v>
      </c>
      <c r="D2429">
        <v>0.79</v>
      </c>
      <c r="E2429" t="s">
        <v>336</v>
      </c>
      <c r="F2429" t="s">
        <v>527</v>
      </c>
      <c r="G2429">
        <f t="shared" si="104"/>
        <v>5.53</v>
      </c>
    </row>
    <row r="2430" spans="1:7">
      <c r="A2430" s="45">
        <v>43213</v>
      </c>
      <c r="B2430" t="s">
        <v>387</v>
      </c>
      <c r="C2430">
        <f t="shared" si="103"/>
        <v>187.41</v>
      </c>
      <c r="D2430">
        <v>0.04</v>
      </c>
      <c r="E2430" t="s">
        <v>336</v>
      </c>
      <c r="F2430" t="s">
        <v>527</v>
      </c>
      <c r="G2430">
        <f t="shared" si="104"/>
        <v>7.4964000000000004</v>
      </c>
    </row>
    <row r="2431" spans="1:7">
      <c r="A2431" s="45">
        <v>43213</v>
      </c>
      <c r="B2431" t="s">
        <v>386</v>
      </c>
      <c r="C2431">
        <f t="shared" si="103"/>
        <v>82</v>
      </c>
      <c r="D2431">
        <v>1</v>
      </c>
      <c r="E2431" t="s">
        <v>336</v>
      </c>
      <c r="F2431" t="s">
        <v>527</v>
      </c>
      <c r="G2431">
        <f t="shared" si="104"/>
        <v>82</v>
      </c>
    </row>
    <row r="2432" spans="1:7">
      <c r="A2432" s="45">
        <v>43213</v>
      </c>
      <c r="B2432" t="s">
        <v>383</v>
      </c>
      <c r="C2432">
        <f t="shared" si="103"/>
        <v>230</v>
      </c>
      <c r="D2432">
        <v>9.5000000000000001E-2</v>
      </c>
      <c r="E2432" t="s">
        <v>336</v>
      </c>
      <c r="F2432" t="s">
        <v>527</v>
      </c>
      <c r="G2432">
        <f t="shared" si="104"/>
        <v>21.85</v>
      </c>
    </row>
    <row r="2433" spans="1:7">
      <c r="A2433" s="45">
        <v>43213</v>
      </c>
      <c r="B2433" t="s">
        <v>431</v>
      </c>
      <c r="C2433">
        <f t="shared" si="103"/>
        <v>70</v>
      </c>
      <c r="D2433">
        <v>0.06</v>
      </c>
      <c r="E2433" t="s">
        <v>336</v>
      </c>
      <c r="F2433" t="s">
        <v>527</v>
      </c>
      <c r="G2433">
        <f t="shared" si="104"/>
        <v>4.2</v>
      </c>
    </row>
    <row r="2434" spans="1:7">
      <c r="A2434" s="45">
        <v>43213</v>
      </c>
      <c r="B2434" t="s">
        <v>367</v>
      </c>
      <c r="C2434">
        <f t="shared" si="103"/>
        <v>55</v>
      </c>
      <c r="D2434">
        <v>0.18</v>
      </c>
      <c r="E2434" t="s">
        <v>336</v>
      </c>
      <c r="F2434" t="s">
        <v>527</v>
      </c>
      <c r="G2434">
        <f t="shared" si="104"/>
        <v>9.9</v>
      </c>
    </row>
    <row r="2435" spans="1:7">
      <c r="A2435" s="45">
        <v>43213</v>
      </c>
      <c r="B2435" t="s">
        <v>432</v>
      </c>
      <c r="C2435">
        <f t="shared" si="103"/>
        <v>14</v>
      </c>
      <c r="D2435">
        <v>3</v>
      </c>
      <c r="E2435" t="s">
        <v>336</v>
      </c>
      <c r="F2435" t="s">
        <v>527</v>
      </c>
      <c r="G2435">
        <f t="shared" si="104"/>
        <v>42</v>
      </c>
    </row>
    <row r="2436" spans="1:7">
      <c r="A2436" s="45">
        <v>43213</v>
      </c>
      <c r="B2436" t="s">
        <v>427</v>
      </c>
      <c r="C2436">
        <f t="shared" si="103"/>
        <v>28</v>
      </c>
      <c r="D2436">
        <v>0.25</v>
      </c>
      <c r="E2436" t="s">
        <v>336</v>
      </c>
      <c r="F2436" t="s">
        <v>527</v>
      </c>
      <c r="G2436">
        <f t="shared" si="104"/>
        <v>7</v>
      </c>
    </row>
    <row r="2437" spans="1:7">
      <c r="A2437" s="45">
        <v>43213</v>
      </c>
      <c r="B2437" t="s">
        <v>429</v>
      </c>
      <c r="C2437">
        <f t="shared" si="103"/>
        <v>40</v>
      </c>
      <c r="D2437">
        <v>0.15</v>
      </c>
      <c r="E2437" t="s">
        <v>336</v>
      </c>
      <c r="F2437" t="s">
        <v>527</v>
      </c>
      <c r="G2437">
        <f t="shared" si="104"/>
        <v>6</v>
      </c>
    </row>
    <row r="2438" spans="1:7">
      <c r="A2438" s="45">
        <v>43213</v>
      </c>
      <c r="B2438" t="s">
        <v>437</v>
      </c>
      <c r="C2438">
        <f t="shared" si="103"/>
        <v>34</v>
      </c>
      <c r="D2438">
        <v>0.75</v>
      </c>
      <c r="E2438" t="s">
        <v>336</v>
      </c>
      <c r="F2438" t="s">
        <v>527</v>
      </c>
      <c r="G2438">
        <f t="shared" si="104"/>
        <v>25.5</v>
      </c>
    </row>
    <row r="2439" spans="1:7">
      <c r="A2439" s="45">
        <v>43213</v>
      </c>
      <c r="B2439" t="s">
        <v>512</v>
      </c>
      <c r="C2439">
        <f t="shared" si="103"/>
        <v>170</v>
      </c>
      <c r="D2439">
        <v>0.12</v>
      </c>
      <c r="E2439" t="s">
        <v>336</v>
      </c>
      <c r="F2439" t="s">
        <v>527</v>
      </c>
      <c r="G2439">
        <f t="shared" si="104"/>
        <v>20.399999999999999</v>
      </c>
    </row>
    <row r="2440" spans="1:7">
      <c r="A2440" s="45">
        <v>43213</v>
      </c>
      <c r="B2440" t="s">
        <v>409</v>
      </c>
      <c r="C2440">
        <f t="shared" si="103"/>
        <v>64.069999999999993</v>
      </c>
      <c r="D2440">
        <v>0.6</v>
      </c>
      <c r="E2440" t="s">
        <v>336</v>
      </c>
      <c r="F2440" t="s">
        <v>527</v>
      </c>
      <c r="G2440">
        <f t="shared" si="104"/>
        <v>38.441999999999993</v>
      </c>
    </row>
    <row r="2441" spans="1:7">
      <c r="A2441" s="45">
        <v>43213</v>
      </c>
      <c r="B2441" t="s">
        <v>514</v>
      </c>
      <c r="C2441">
        <f t="shared" si="103"/>
        <v>61.08</v>
      </c>
      <c r="D2441">
        <v>0.45</v>
      </c>
      <c r="E2441" t="s">
        <v>336</v>
      </c>
      <c r="F2441" t="s">
        <v>527</v>
      </c>
      <c r="G2441">
        <f t="shared" si="104"/>
        <v>27.486000000000001</v>
      </c>
    </row>
    <row r="2442" spans="1:7">
      <c r="A2442" s="45">
        <v>43213</v>
      </c>
      <c r="B2442" t="s">
        <v>462</v>
      </c>
      <c r="C2442">
        <f t="shared" si="103"/>
        <v>138</v>
      </c>
      <c r="D2442">
        <v>0.03</v>
      </c>
      <c r="E2442" t="s">
        <v>336</v>
      </c>
      <c r="F2442" t="s">
        <v>527</v>
      </c>
      <c r="G2442">
        <f t="shared" si="104"/>
        <v>4.1399999999999997</v>
      </c>
    </row>
    <row r="2443" spans="1:7">
      <c r="A2443" s="45">
        <v>43213</v>
      </c>
      <c r="B2443" t="s">
        <v>389</v>
      </c>
      <c r="C2443">
        <f t="shared" si="103"/>
        <v>280</v>
      </c>
      <c r="D2443">
        <v>0.03</v>
      </c>
      <c r="E2443" t="s">
        <v>336</v>
      </c>
      <c r="F2443" t="s">
        <v>527</v>
      </c>
      <c r="G2443">
        <f t="shared" si="104"/>
        <v>8.4</v>
      </c>
    </row>
    <row r="2444" spans="1:7">
      <c r="A2444" s="45">
        <v>43213</v>
      </c>
      <c r="B2444" t="s">
        <v>430</v>
      </c>
      <c r="C2444">
        <f t="shared" si="103"/>
        <v>30</v>
      </c>
      <c r="D2444">
        <v>0.2</v>
      </c>
      <c r="E2444" t="s">
        <v>336</v>
      </c>
      <c r="F2444" t="s">
        <v>527</v>
      </c>
      <c r="G2444">
        <f t="shared" si="104"/>
        <v>6</v>
      </c>
    </row>
    <row r="2445" spans="1:7">
      <c r="A2445" s="45">
        <v>43213</v>
      </c>
      <c r="B2445" t="s">
        <v>466</v>
      </c>
      <c r="C2445">
        <f t="shared" si="103"/>
        <v>125</v>
      </c>
      <c r="D2445">
        <v>4.4999999999999998E-2</v>
      </c>
      <c r="E2445" t="s">
        <v>336</v>
      </c>
      <c r="F2445" t="s">
        <v>527</v>
      </c>
      <c r="G2445">
        <f t="shared" si="104"/>
        <v>5.625</v>
      </c>
    </row>
    <row r="2446" spans="1:7">
      <c r="A2446" s="45">
        <v>43213</v>
      </c>
      <c r="B2446" t="s">
        <v>410</v>
      </c>
      <c r="C2446">
        <f t="shared" si="103"/>
        <v>76</v>
      </c>
      <c r="D2446">
        <v>0.04</v>
      </c>
      <c r="E2446" t="s">
        <v>336</v>
      </c>
      <c r="F2446" t="s">
        <v>527</v>
      </c>
      <c r="G2446">
        <f t="shared" si="104"/>
        <v>3.04</v>
      </c>
    </row>
    <row r="2447" spans="1:7">
      <c r="A2447" s="45">
        <v>43213</v>
      </c>
      <c r="B2447" t="s">
        <v>454</v>
      </c>
      <c r="C2447">
        <f t="shared" si="103"/>
        <v>43.06</v>
      </c>
      <c r="D2447">
        <v>1.1000000000000001</v>
      </c>
      <c r="E2447" t="s">
        <v>336</v>
      </c>
      <c r="F2447" t="s">
        <v>527</v>
      </c>
      <c r="G2447">
        <f t="shared" si="104"/>
        <v>47.366000000000007</v>
      </c>
    </row>
    <row r="2448" spans="1:7">
      <c r="A2448" s="45">
        <v>43213</v>
      </c>
      <c r="B2448" t="s">
        <v>391</v>
      </c>
      <c r="C2448">
        <f t="shared" si="103"/>
        <v>27.97</v>
      </c>
      <c r="D2448">
        <v>0.5</v>
      </c>
      <c r="E2448" t="s">
        <v>336</v>
      </c>
      <c r="F2448" t="s">
        <v>527</v>
      </c>
      <c r="G2448">
        <f t="shared" si="104"/>
        <v>13.984999999999999</v>
      </c>
    </row>
    <row r="2449" spans="1:7">
      <c r="A2449" s="45">
        <v>43213</v>
      </c>
      <c r="B2449" t="s">
        <v>434</v>
      </c>
      <c r="C2449">
        <f t="shared" si="103"/>
        <v>125</v>
      </c>
      <c r="D2449">
        <v>0.06</v>
      </c>
      <c r="E2449" t="s">
        <v>336</v>
      </c>
      <c r="F2449" t="s">
        <v>527</v>
      </c>
      <c r="G2449">
        <f t="shared" si="104"/>
        <v>7.5</v>
      </c>
    </row>
    <row r="2450" spans="1:7">
      <c r="A2450" s="45">
        <v>43213</v>
      </c>
      <c r="B2450" t="s">
        <v>479</v>
      </c>
      <c r="C2450">
        <f t="shared" si="103"/>
        <v>312.14</v>
      </c>
      <c r="D2450">
        <v>7.0000000000000007E-2</v>
      </c>
      <c r="E2450" t="s">
        <v>336</v>
      </c>
      <c r="F2450" t="s">
        <v>527</v>
      </c>
      <c r="G2450">
        <f t="shared" si="104"/>
        <v>21.849800000000002</v>
      </c>
    </row>
    <row r="2451" spans="1:7">
      <c r="A2451" s="45">
        <v>43213</v>
      </c>
      <c r="B2451" t="s">
        <v>378</v>
      </c>
      <c r="C2451">
        <f t="shared" si="103"/>
        <v>25</v>
      </c>
      <c r="D2451">
        <v>0.28000000000000003</v>
      </c>
      <c r="E2451" t="s">
        <v>336</v>
      </c>
      <c r="F2451" t="s">
        <v>527</v>
      </c>
      <c r="G2451">
        <f t="shared" si="104"/>
        <v>7.0000000000000009</v>
      </c>
    </row>
    <row r="2452" spans="1:7">
      <c r="A2452" s="45">
        <v>43213</v>
      </c>
      <c r="B2452" t="s">
        <v>513</v>
      </c>
      <c r="C2452">
        <f t="shared" si="103"/>
        <v>15</v>
      </c>
      <c r="D2452">
        <v>1.5</v>
      </c>
      <c r="E2452" t="s">
        <v>336</v>
      </c>
      <c r="F2452" t="s">
        <v>527</v>
      </c>
      <c r="G2452">
        <f t="shared" si="104"/>
        <v>22.5</v>
      </c>
    </row>
    <row r="2453" spans="1:7">
      <c r="A2453" s="45">
        <v>43213</v>
      </c>
      <c r="B2453" t="s">
        <v>510</v>
      </c>
      <c r="C2453">
        <f t="shared" si="103"/>
        <v>62.03</v>
      </c>
      <c r="D2453">
        <v>0.105</v>
      </c>
      <c r="E2453" t="s">
        <v>336</v>
      </c>
      <c r="F2453" t="s">
        <v>527</v>
      </c>
      <c r="G2453">
        <f t="shared" si="104"/>
        <v>6.5131499999999996</v>
      </c>
    </row>
    <row r="2454" spans="1:7">
      <c r="A2454" s="45">
        <v>43213</v>
      </c>
      <c r="B2454" t="s">
        <v>471</v>
      </c>
      <c r="C2454">
        <f t="shared" si="103"/>
        <v>160</v>
      </c>
      <c r="D2454">
        <v>0.09</v>
      </c>
      <c r="E2454" t="s">
        <v>336</v>
      </c>
      <c r="F2454" t="s">
        <v>527</v>
      </c>
      <c r="G2454">
        <f t="shared" si="104"/>
        <v>14.399999999999999</v>
      </c>
    </row>
    <row r="2455" spans="1:7">
      <c r="A2455" s="45">
        <v>43213</v>
      </c>
      <c r="B2455" t="s">
        <v>519</v>
      </c>
      <c r="C2455">
        <f t="shared" si="103"/>
        <v>35</v>
      </c>
      <c r="D2455">
        <v>2</v>
      </c>
      <c r="E2455" t="s">
        <v>336</v>
      </c>
      <c r="F2455" t="s">
        <v>527</v>
      </c>
      <c r="G2455">
        <f t="shared" si="104"/>
        <v>70</v>
      </c>
    </row>
    <row r="2456" spans="1:7">
      <c r="A2456" s="45">
        <v>43213</v>
      </c>
      <c r="B2456" t="s">
        <v>392</v>
      </c>
      <c r="C2456">
        <f t="shared" si="103"/>
        <v>840</v>
      </c>
      <c r="D2456">
        <v>2.5000000000000001E-2</v>
      </c>
      <c r="E2456" t="s">
        <v>336</v>
      </c>
      <c r="F2456" t="s">
        <v>527</v>
      </c>
      <c r="G2456">
        <f t="shared" si="104"/>
        <v>21</v>
      </c>
    </row>
    <row r="2457" spans="1:7">
      <c r="A2457" s="45">
        <v>43213</v>
      </c>
      <c r="B2457" t="s">
        <v>506</v>
      </c>
      <c r="C2457">
        <f t="shared" si="103"/>
        <v>240</v>
      </c>
      <c r="D2457">
        <v>2.5000000000000001E-2</v>
      </c>
      <c r="E2457" t="s">
        <v>336</v>
      </c>
      <c r="F2457" t="s">
        <v>527</v>
      </c>
      <c r="G2457">
        <f t="shared" si="104"/>
        <v>6</v>
      </c>
    </row>
    <row r="2458" spans="1:7">
      <c r="A2458" s="45">
        <v>43213</v>
      </c>
      <c r="B2458" t="s">
        <v>380</v>
      </c>
      <c r="C2458">
        <f t="shared" si="103"/>
        <v>90</v>
      </c>
      <c r="D2458">
        <v>0.09</v>
      </c>
      <c r="E2458" t="s">
        <v>336</v>
      </c>
      <c r="F2458" t="s">
        <v>527</v>
      </c>
      <c r="G2458">
        <f t="shared" si="104"/>
        <v>8.1</v>
      </c>
    </row>
    <row r="2459" spans="1:7">
      <c r="A2459" s="45">
        <v>43213</v>
      </c>
      <c r="B2459" t="s">
        <v>449</v>
      </c>
      <c r="C2459">
        <f t="shared" si="103"/>
        <v>20</v>
      </c>
      <c r="D2459">
        <f>1.9+1.7</f>
        <v>3.5999999999999996</v>
      </c>
      <c r="E2459" t="s">
        <v>543</v>
      </c>
      <c r="F2459" t="s">
        <v>527</v>
      </c>
      <c r="G2459">
        <f t="shared" si="104"/>
        <v>72</v>
      </c>
    </row>
    <row r="2460" spans="1:7">
      <c r="A2460" s="45">
        <v>43213</v>
      </c>
      <c r="B2460" t="s">
        <v>444</v>
      </c>
      <c r="C2460">
        <f t="shared" si="103"/>
        <v>50</v>
      </c>
      <c r="D2460">
        <v>2.1</v>
      </c>
      <c r="E2460" t="s">
        <v>543</v>
      </c>
      <c r="F2460" t="s">
        <v>527</v>
      </c>
      <c r="G2460">
        <f t="shared" si="104"/>
        <v>105</v>
      </c>
    </row>
    <row r="2461" spans="1:7">
      <c r="A2461" s="45">
        <v>43213</v>
      </c>
      <c r="B2461" t="s">
        <v>673</v>
      </c>
      <c r="C2461">
        <f t="shared" si="103"/>
        <v>20</v>
      </c>
      <c r="D2461">
        <v>1.5</v>
      </c>
      <c r="E2461" t="s">
        <v>543</v>
      </c>
      <c r="F2461" t="s">
        <v>527</v>
      </c>
      <c r="G2461">
        <f t="shared" si="104"/>
        <v>30</v>
      </c>
    </row>
    <row r="2462" spans="1:7">
      <c r="A2462" s="45">
        <v>43213</v>
      </c>
      <c r="B2462" t="s">
        <v>449</v>
      </c>
      <c r="C2462">
        <f t="shared" si="103"/>
        <v>20</v>
      </c>
      <c r="D2462">
        <v>1.3</v>
      </c>
      <c r="E2462" t="s">
        <v>543</v>
      </c>
      <c r="F2462" t="s">
        <v>527</v>
      </c>
      <c r="G2462">
        <f t="shared" si="104"/>
        <v>26</v>
      </c>
    </row>
    <row r="2463" spans="1:7">
      <c r="A2463" s="45">
        <v>43213</v>
      </c>
      <c r="B2463" t="s">
        <v>436</v>
      </c>
      <c r="C2463">
        <f t="shared" si="103"/>
        <v>37</v>
      </c>
      <c r="D2463">
        <v>3</v>
      </c>
      <c r="E2463" t="s">
        <v>543</v>
      </c>
      <c r="F2463" t="s">
        <v>527</v>
      </c>
      <c r="G2463">
        <f t="shared" si="104"/>
        <v>111</v>
      </c>
    </row>
    <row r="2464" spans="1:7">
      <c r="A2464" s="45">
        <v>43213</v>
      </c>
      <c r="B2464" t="s">
        <v>385</v>
      </c>
      <c r="C2464">
        <f t="shared" si="103"/>
        <v>36</v>
      </c>
      <c r="D2464">
        <v>3</v>
      </c>
      <c r="E2464" t="s">
        <v>543</v>
      </c>
      <c r="F2464" t="s">
        <v>527</v>
      </c>
      <c r="G2464">
        <f t="shared" si="104"/>
        <v>108</v>
      </c>
    </row>
    <row r="2465" spans="1:7">
      <c r="A2465" s="45">
        <v>43213</v>
      </c>
      <c r="B2465" t="s">
        <v>382</v>
      </c>
      <c r="C2465">
        <f t="shared" si="103"/>
        <v>42</v>
      </c>
      <c r="D2465">
        <v>1</v>
      </c>
      <c r="E2465" t="s">
        <v>543</v>
      </c>
      <c r="F2465" t="s">
        <v>527</v>
      </c>
      <c r="G2465">
        <f t="shared" si="104"/>
        <v>42</v>
      </c>
    </row>
    <row r="2466" spans="1:7">
      <c r="A2466" s="45">
        <v>43213</v>
      </c>
      <c r="B2466" t="s">
        <v>447</v>
      </c>
      <c r="C2466">
        <f t="shared" si="103"/>
        <v>30</v>
      </c>
      <c r="D2466">
        <f>5*0.4</f>
        <v>2</v>
      </c>
      <c r="E2466" t="s">
        <v>543</v>
      </c>
      <c r="F2466" t="s">
        <v>527</v>
      </c>
      <c r="G2466">
        <f t="shared" si="104"/>
        <v>60</v>
      </c>
    </row>
    <row r="2467" spans="1:7">
      <c r="A2467" s="45">
        <v>43213</v>
      </c>
      <c r="B2467" t="s">
        <v>445</v>
      </c>
      <c r="C2467">
        <f t="shared" si="103"/>
        <v>20</v>
      </c>
      <c r="D2467">
        <v>3.8</v>
      </c>
      <c r="E2467" t="s">
        <v>543</v>
      </c>
      <c r="F2467" t="s">
        <v>527</v>
      </c>
      <c r="G2467">
        <f t="shared" si="104"/>
        <v>76</v>
      </c>
    </row>
    <row r="2468" spans="1:7">
      <c r="A2468" s="45">
        <v>43213</v>
      </c>
      <c r="B2468" t="s">
        <v>446</v>
      </c>
      <c r="C2468">
        <f t="shared" si="103"/>
        <v>50</v>
      </c>
      <c r="D2468">
        <v>2</v>
      </c>
      <c r="E2468" t="s">
        <v>543</v>
      </c>
      <c r="F2468" t="s">
        <v>527</v>
      </c>
      <c r="G2468">
        <f t="shared" si="104"/>
        <v>100</v>
      </c>
    </row>
    <row r="2469" spans="1:7">
      <c r="A2469" s="45">
        <v>43213</v>
      </c>
      <c r="B2469" t="s">
        <v>552</v>
      </c>
      <c r="C2469">
        <f t="shared" si="103"/>
        <v>40</v>
      </c>
      <c r="D2469">
        <v>1</v>
      </c>
      <c r="E2469" t="s">
        <v>543</v>
      </c>
      <c r="F2469" t="s">
        <v>527</v>
      </c>
      <c r="G2469">
        <f t="shared" si="104"/>
        <v>40</v>
      </c>
    </row>
    <row r="2470" spans="1:7">
      <c r="A2470" s="45">
        <v>43213</v>
      </c>
      <c r="B2470" t="s">
        <v>553</v>
      </c>
      <c r="C2470">
        <f t="shared" si="103"/>
        <v>150</v>
      </c>
      <c r="D2470">
        <v>2</v>
      </c>
      <c r="E2470" t="s">
        <v>543</v>
      </c>
      <c r="F2470" t="s">
        <v>527</v>
      </c>
      <c r="G2470">
        <f t="shared" si="104"/>
        <v>300</v>
      </c>
    </row>
    <row r="2471" spans="1:7">
      <c r="A2471" s="45">
        <v>43213</v>
      </c>
      <c r="B2471" t="s">
        <v>551</v>
      </c>
      <c r="C2471">
        <f t="shared" si="103"/>
        <v>120</v>
      </c>
      <c r="D2471">
        <v>1</v>
      </c>
      <c r="E2471" t="s">
        <v>543</v>
      </c>
      <c r="F2471" t="s">
        <v>527</v>
      </c>
      <c r="G2471">
        <f t="shared" si="104"/>
        <v>120</v>
      </c>
    </row>
    <row r="2472" spans="1:7">
      <c r="A2472" s="45">
        <v>43213</v>
      </c>
      <c r="B2472" t="s">
        <v>432</v>
      </c>
      <c r="C2472">
        <f t="shared" si="103"/>
        <v>14</v>
      </c>
      <c r="D2472">
        <v>0.68500000000000005</v>
      </c>
      <c r="E2472" t="s">
        <v>528</v>
      </c>
      <c r="F2472" t="s">
        <v>527</v>
      </c>
      <c r="G2472">
        <f t="shared" si="104"/>
        <v>9.59</v>
      </c>
    </row>
    <row r="2473" spans="1:7">
      <c r="A2473" s="45">
        <v>43213</v>
      </c>
      <c r="B2473" t="s">
        <v>476</v>
      </c>
      <c r="C2473">
        <f t="shared" si="103"/>
        <v>14.75</v>
      </c>
      <c r="D2473">
        <v>0.48499999999999999</v>
      </c>
      <c r="E2473" t="s">
        <v>528</v>
      </c>
      <c r="F2473" t="s">
        <v>527</v>
      </c>
      <c r="G2473">
        <f t="shared" si="104"/>
        <v>7.1537499999999996</v>
      </c>
    </row>
    <row r="2474" spans="1:7">
      <c r="A2474" s="45">
        <v>43213</v>
      </c>
      <c r="B2474" t="s">
        <v>391</v>
      </c>
      <c r="C2474">
        <f t="shared" si="103"/>
        <v>27.97</v>
      </c>
      <c r="D2474">
        <v>0.3</v>
      </c>
      <c r="E2474" t="s">
        <v>528</v>
      </c>
      <c r="F2474" t="s">
        <v>527</v>
      </c>
      <c r="G2474">
        <f t="shared" si="104"/>
        <v>8.391</v>
      </c>
    </row>
    <row r="2475" spans="1:7">
      <c r="A2475" s="45">
        <v>43213</v>
      </c>
      <c r="B2475" t="s">
        <v>378</v>
      </c>
      <c r="C2475">
        <f t="shared" si="103"/>
        <v>25</v>
      </c>
      <c r="D2475">
        <v>9.5000000000000001E-2</v>
      </c>
      <c r="E2475" t="s">
        <v>528</v>
      </c>
      <c r="F2475" t="s">
        <v>527</v>
      </c>
      <c r="G2475">
        <f t="shared" si="104"/>
        <v>2.375</v>
      </c>
    </row>
    <row r="2476" spans="1:7">
      <c r="A2476" s="45">
        <v>43213</v>
      </c>
      <c r="B2476" t="s">
        <v>385</v>
      </c>
      <c r="C2476">
        <f t="shared" si="103"/>
        <v>36</v>
      </c>
      <c r="D2476">
        <v>2</v>
      </c>
      <c r="E2476" t="s">
        <v>713</v>
      </c>
      <c r="F2476" t="s">
        <v>713</v>
      </c>
      <c r="G2476">
        <f t="shared" si="104"/>
        <v>72</v>
      </c>
    </row>
    <row r="2477" spans="1:7">
      <c r="A2477" s="45">
        <v>43214</v>
      </c>
      <c r="B2477" t="s">
        <v>432</v>
      </c>
      <c r="C2477">
        <f t="shared" si="103"/>
        <v>14</v>
      </c>
      <c r="D2477">
        <v>0.25</v>
      </c>
      <c r="E2477" t="s">
        <v>555</v>
      </c>
      <c r="F2477" t="s">
        <v>556</v>
      </c>
      <c r="G2477">
        <f t="shared" si="104"/>
        <v>3.5</v>
      </c>
    </row>
    <row r="2478" spans="1:7">
      <c r="A2478" s="45">
        <v>43214</v>
      </c>
      <c r="B2478" t="s">
        <v>384</v>
      </c>
      <c r="C2478">
        <f t="shared" si="103"/>
        <v>3</v>
      </c>
      <c r="D2478">
        <v>4</v>
      </c>
      <c r="E2478" t="s">
        <v>555</v>
      </c>
      <c r="F2478" t="s">
        <v>556</v>
      </c>
      <c r="G2478">
        <f t="shared" si="104"/>
        <v>12</v>
      </c>
    </row>
    <row r="2479" spans="1:7">
      <c r="A2479" s="45">
        <v>43214</v>
      </c>
      <c r="B2479" t="s">
        <v>709</v>
      </c>
      <c r="C2479">
        <f t="shared" si="103"/>
        <v>14</v>
      </c>
      <c r="D2479">
        <v>2</v>
      </c>
      <c r="E2479" t="s">
        <v>710</v>
      </c>
      <c r="F2479" t="s">
        <v>711</v>
      </c>
      <c r="G2479">
        <f t="shared" si="104"/>
        <v>28</v>
      </c>
    </row>
    <row r="2480" spans="1:7">
      <c r="A2480" s="45">
        <v>43214</v>
      </c>
      <c r="B2480" t="s">
        <v>393</v>
      </c>
      <c r="C2480">
        <f t="shared" si="103"/>
        <v>26</v>
      </c>
      <c r="D2480">
        <v>10.6</v>
      </c>
      <c r="E2480" t="s">
        <v>525</v>
      </c>
      <c r="F2480" t="s">
        <v>526</v>
      </c>
      <c r="G2480">
        <f t="shared" si="104"/>
        <v>275.59999999999997</v>
      </c>
    </row>
    <row r="2481" spans="1:7">
      <c r="A2481" s="45">
        <v>43214</v>
      </c>
      <c r="B2481" t="s">
        <v>430</v>
      </c>
      <c r="C2481">
        <f t="shared" si="103"/>
        <v>30</v>
      </c>
      <c r="D2481">
        <v>0.5</v>
      </c>
      <c r="E2481" t="s">
        <v>525</v>
      </c>
      <c r="F2481" t="s">
        <v>526</v>
      </c>
      <c r="G2481">
        <f t="shared" si="104"/>
        <v>15</v>
      </c>
    </row>
    <row r="2482" spans="1:7">
      <c r="A2482" s="45">
        <v>43214</v>
      </c>
      <c r="B2482" t="s">
        <v>378</v>
      </c>
      <c r="C2482">
        <f t="shared" si="103"/>
        <v>25</v>
      </c>
      <c r="D2482">
        <v>0.32</v>
      </c>
      <c r="E2482" t="s">
        <v>525</v>
      </c>
      <c r="F2482" t="s">
        <v>526</v>
      </c>
      <c r="G2482">
        <f t="shared" si="104"/>
        <v>8</v>
      </c>
    </row>
    <row r="2483" spans="1:7">
      <c r="A2483" s="45">
        <v>43214</v>
      </c>
      <c r="B2483" t="s">
        <v>476</v>
      </c>
      <c r="C2483">
        <f t="shared" si="103"/>
        <v>14.75</v>
      </c>
      <c r="D2483">
        <v>0.5</v>
      </c>
      <c r="E2483" t="s">
        <v>525</v>
      </c>
      <c r="F2483" t="s">
        <v>526</v>
      </c>
      <c r="G2483">
        <f t="shared" si="104"/>
        <v>7.375</v>
      </c>
    </row>
    <row r="2484" spans="1:7">
      <c r="A2484" s="45">
        <v>43214</v>
      </c>
      <c r="B2484" t="s">
        <v>390</v>
      </c>
      <c r="C2484">
        <f t="shared" si="103"/>
        <v>30</v>
      </c>
      <c r="D2484">
        <v>1.1000000000000001</v>
      </c>
      <c r="E2484" t="s">
        <v>525</v>
      </c>
      <c r="F2484" t="s">
        <v>526</v>
      </c>
      <c r="G2484">
        <f t="shared" si="104"/>
        <v>33</v>
      </c>
    </row>
    <row r="2485" spans="1:7">
      <c r="A2485" s="45">
        <v>43214</v>
      </c>
      <c r="B2485" t="s">
        <v>474</v>
      </c>
      <c r="C2485">
        <f t="shared" si="103"/>
        <v>27</v>
      </c>
      <c r="D2485">
        <v>3</v>
      </c>
      <c r="E2485" t="s">
        <v>525</v>
      </c>
      <c r="F2485" t="s">
        <v>526</v>
      </c>
      <c r="G2485">
        <f t="shared" si="104"/>
        <v>81</v>
      </c>
    </row>
    <row r="2486" spans="1:7">
      <c r="A2486" s="45">
        <v>43214</v>
      </c>
      <c r="B2486" t="s">
        <v>386</v>
      </c>
      <c r="C2486">
        <f t="shared" si="103"/>
        <v>82</v>
      </c>
      <c r="D2486">
        <v>4</v>
      </c>
      <c r="E2486" t="s">
        <v>525</v>
      </c>
      <c r="F2486" t="s">
        <v>526</v>
      </c>
      <c r="G2486">
        <f t="shared" si="104"/>
        <v>328</v>
      </c>
    </row>
    <row r="2487" spans="1:7">
      <c r="A2487" s="45">
        <v>43214</v>
      </c>
      <c r="B2487" t="s">
        <v>463</v>
      </c>
      <c r="C2487">
        <f t="shared" si="103"/>
        <v>29.51</v>
      </c>
      <c r="D2487">
        <v>0.67500000000000004</v>
      </c>
      <c r="E2487" t="s">
        <v>525</v>
      </c>
      <c r="F2487" t="s">
        <v>526</v>
      </c>
      <c r="G2487">
        <f t="shared" si="104"/>
        <v>19.919250000000002</v>
      </c>
    </row>
    <row r="2488" spans="1:7">
      <c r="A2488" s="45">
        <v>43214</v>
      </c>
      <c r="B2488" t="s">
        <v>434</v>
      </c>
      <c r="C2488">
        <f t="shared" si="103"/>
        <v>125</v>
      </c>
      <c r="D2488">
        <v>1.8</v>
      </c>
      <c r="E2488" t="s">
        <v>525</v>
      </c>
      <c r="F2488" t="s">
        <v>526</v>
      </c>
      <c r="G2488">
        <f t="shared" si="104"/>
        <v>225</v>
      </c>
    </row>
    <row r="2489" spans="1:7">
      <c r="A2489" s="45">
        <v>43214</v>
      </c>
      <c r="B2489" t="s">
        <v>479</v>
      </c>
      <c r="C2489">
        <f t="shared" si="103"/>
        <v>312.14</v>
      </c>
      <c r="D2489">
        <v>0.02</v>
      </c>
      <c r="E2489" t="s">
        <v>525</v>
      </c>
      <c r="F2489" t="s">
        <v>526</v>
      </c>
      <c r="G2489">
        <f t="shared" si="104"/>
        <v>6.2427999999999999</v>
      </c>
    </row>
    <row r="2490" spans="1:7">
      <c r="A2490" s="45">
        <v>43214</v>
      </c>
      <c r="B2490" t="s">
        <v>427</v>
      </c>
      <c r="C2490">
        <f t="shared" si="103"/>
        <v>28</v>
      </c>
      <c r="D2490">
        <v>0.5</v>
      </c>
      <c r="E2490" t="s">
        <v>525</v>
      </c>
      <c r="F2490" t="s">
        <v>526</v>
      </c>
      <c r="G2490">
        <f t="shared" si="104"/>
        <v>14</v>
      </c>
    </row>
    <row r="2491" spans="1:7">
      <c r="A2491" s="45">
        <v>43214</v>
      </c>
      <c r="B2491" t="s">
        <v>429</v>
      </c>
      <c r="C2491">
        <f t="shared" ref="C2491:C2554" si="105">IF(B2491="","",VLOOKUP(B2491,$XEY$3:$XEZ$1158,2,FALSE))</f>
        <v>40</v>
      </c>
      <c r="D2491">
        <v>0.2</v>
      </c>
      <c r="E2491" t="s">
        <v>525</v>
      </c>
      <c r="F2491" t="s">
        <v>526</v>
      </c>
      <c r="G2491">
        <f t="shared" ref="G2491:G2554" si="106">IF(C2491="","",C2491*D2491)</f>
        <v>8</v>
      </c>
    </row>
    <row r="2492" spans="1:7">
      <c r="A2492" s="45">
        <v>43214</v>
      </c>
      <c r="B2492" t="s">
        <v>487</v>
      </c>
      <c r="C2492">
        <f t="shared" si="105"/>
        <v>40</v>
      </c>
      <c r="D2492">
        <v>1</v>
      </c>
      <c r="E2492" t="s">
        <v>525</v>
      </c>
      <c r="F2492" t="s">
        <v>526</v>
      </c>
      <c r="G2492">
        <f t="shared" si="106"/>
        <v>40</v>
      </c>
    </row>
    <row r="2493" spans="1:7">
      <c r="A2493" s="45">
        <v>43214</v>
      </c>
      <c r="B2493" t="s">
        <v>371</v>
      </c>
      <c r="C2493">
        <f t="shared" si="105"/>
        <v>23.33</v>
      </c>
      <c r="D2493">
        <v>1</v>
      </c>
      <c r="E2493" t="s">
        <v>525</v>
      </c>
      <c r="F2493" t="s">
        <v>526</v>
      </c>
      <c r="G2493">
        <f t="shared" si="106"/>
        <v>23.33</v>
      </c>
    </row>
    <row r="2494" spans="1:7">
      <c r="A2494" s="45">
        <v>43214</v>
      </c>
      <c r="B2494" t="s">
        <v>394</v>
      </c>
      <c r="C2494">
        <f t="shared" si="105"/>
        <v>45</v>
      </c>
      <c r="D2494">
        <v>1</v>
      </c>
      <c r="E2494" t="s">
        <v>525</v>
      </c>
      <c r="F2494" t="s">
        <v>526</v>
      </c>
      <c r="G2494">
        <f t="shared" si="106"/>
        <v>45</v>
      </c>
    </row>
    <row r="2495" spans="1:7">
      <c r="A2495" s="45">
        <v>43214</v>
      </c>
      <c r="B2495" t="s">
        <v>462</v>
      </c>
      <c r="C2495">
        <f t="shared" si="105"/>
        <v>138</v>
      </c>
      <c r="D2495">
        <v>0.2</v>
      </c>
      <c r="E2495" t="s">
        <v>525</v>
      </c>
      <c r="F2495" t="s">
        <v>526</v>
      </c>
      <c r="G2495">
        <f t="shared" si="106"/>
        <v>27.6</v>
      </c>
    </row>
    <row r="2496" spans="1:7">
      <c r="A2496" s="45">
        <v>43214</v>
      </c>
      <c r="B2496" t="s">
        <v>389</v>
      </c>
      <c r="C2496">
        <f t="shared" si="105"/>
        <v>280</v>
      </c>
      <c r="D2496">
        <v>0.2</v>
      </c>
      <c r="E2496" t="s">
        <v>525</v>
      </c>
      <c r="F2496" t="s">
        <v>526</v>
      </c>
      <c r="G2496">
        <f t="shared" si="106"/>
        <v>56</v>
      </c>
    </row>
    <row r="2497" spans="1:13">
      <c r="A2497" s="45">
        <v>43214</v>
      </c>
      <c r="B2497" t="s">
        <v>454</v>
      </c>
      <c r="C2497">
        <f t="shared" si="105"/>
        <v>43.06</v>
      </c>
      <c r="D2497">
        <v>0.26</v>
      </c>
      <c r="E2497" t="s">
        <v>525</v>
      </c>
      <c r="F2497" t="s">
        <v>526</v>
      </c>
      <c r="G2497">
        <f t="shared" si="106"/>
        <v>11.195600000000001</v>
      </c>
    </row>
    <row r="2498" spans="1:13">
      <c r="A2498" s="45">
        <v>43214</v>
      </c>
      <c r="B2498" t="s">
        <v>391</v>
      </c>
      <c r="C2498">
        <f t="shared" si="105"/>
        <v>27.97</v>
      </c>
      <c r="D2498">
        <v>0.35</v>
      </c>
      <c r="E2498" t="s">
        <v>525</v>
      </c>
      <c r="F2498" t="s">
        <v>526</v>
      </c>
      <c r="G2498">
        <f t="shared" si="106"/>
        <v>9.7894999999999985</v>
      </c>
    </row>
    <row r="2499" spans="1:13">
      <c r="A2499" s="45">
        <v>43214</v>
      </c>
      <c r="B2499" t="s">
        <v>378</v>
      </c>
      <c r="C2499">
        <f t="shared" si="105"/>
        <v>25</v>
      </c>
      <c r="D2499">
        <v>0.3</v>
      </c>
      <c r="E2499" t="s">
        <v>525</v>
      </c>
      <c r="F2499" t="s">
        <v>526</v>
      </c>
      <c r="G2499">
        <f t="shared" si="106"/>
        <v>7.5</v>
      </c>
    </row>
    <row r="2500" spans="1:13">
      <c r="A2500" s="45">
        <v>43214</v>
      </c>
      <c r="B2500" t="s">
        <v>463</v>
      </c>
      <c r="C2500">
        <f t="shared" si="105"/>
        <v>29.51</v>
      </c>
      <c r="D2500">
        <v>2</v>
      </c>
      <c r="E2500" t="s">
        <v>525</v>
      </c>
      <c r="F2500" t="s">
        <v>526</v>
      </c>
      <c r="G2500">
        <f t="shared" si="106"/>
        <v>59.02</v>
      </c>
    </row>
    <row r="2501" spans="1:13">
      <c r="A2501" s="45">
        <v>43214</v>
      </c>
      <c r="B2501" t="s">
        <v>385</v>
      </c>
      <c r="C2501">
        <f t="shared" si="105"/>
        <v>36</v>
      </c>
      <c r="D2501">
        <v>0.5</v>
      </c>
      <c r="E2501" t="s">
        <v>525</v>
      </c>
      <c r="F2501" t="s">
        <v>526</v>
      </c>
      <c r="G2501">
        <f t="shared" si="106"/>
        <v>18</v>
      </c>
    </row>
    <row r="2502" spans="1:13">
      <c r="A2502" s="45">
        <v>43214</v>
      </c>
      <c r="B2502" t="s">
        <v>467</v>
      </c>
      <c r="C2502">
        <f t="shared" si="105"/>
        <v>75</v>
      </c>
      <c r="D2502">
        <v>0.5</v>
      </c>
      <c r="E2502" t="s">
        <v>525</v>
      </c>
      <c r="F2502" t="s">
        <v>526</v>
      </c>
      <c r="G2502">
        <f t="shared" si="106"/>
        <v>37.5</v>
      </c>
    </row>
    <row r="2503" spans="1:13">
      <c r="A2503" s="45">
        <v>43214</v>
      </c>
      <c r="B2503" t="s">
        <v>432</v>
      </c>
      <c r="C2503">
        <f t="shared" si="105"/>
        <v>14</v>
      </c>
      <c r="D2503">
        <v>3</v>
      </c>
      <c r="E2503" t="s">
        <v>525</v>
      </c>
      <c r="F2503" t="s">
        <v>526</v>
      </c>
      <c r="G2503">
        <f t="shared" si="106"/>
        <v>42</v>
      </c>
      <c r="L2503" t="s">
        <v>675</v>
      </c>
      <c r="M2503">
        <v>5</v>
      </c>
    </row>
    <row r="2504" spans="1:13">
      <c r="A2504" s="45">
        <v>43214</v>
      </c>
      <c r="B2504" t="s">
        <v>476</v>
      </c>
      <c r="C2504">
        <f t="shared" si="105"/>
        <v>14.75</v>
      </c>
      <c r="D2504">
        <v>2</v>
      </c>
      <c r="E2504" t="s">
        <v>525</v>
      </c>
      <c r="F2504" t="s">
        <v>526</v>
      </c>
      <c r="G2504">
        <f t="shared" si="106"/>
        <v>29.5</v>
      </c>
      <c r="L2504" t="s">
        <v>675</v>
      </c>
    </row>
    <row r="2505" spans="1:13">
      <c r="A2505" s="45">
        <v>43214</v>
      </c>
      <c r="B2505" t="s">
        <v>386</v>
      </c>
      <c r="C2505">
        <f t="shared" si="105"/>
        <v>82</v>
      </c>
      <c r="D2505">
        <v>0.5</v>
      </c>
      <c r="E2505" t="s">
        <v>525</v>
      </c>
      <c r="F2505" t="s">
        <v>526</v>
      </c>
      <c r="G2505">
        <f t="shared" si="106"/>
        <v>41</v>
      </c>
      <c r="L2505" t="s">
        <v>675</v>
      </c>
    </row>
    <row r="2506" spans="1:13">
      <c r="A2506" s="45">
        <v>43214</v>
      </c>
      <c r="B2506" t="s">
        <v>375</v>
      </c>
      <c r="C2506">
        <f t="shared" si="105"/>
        <v>280</v>
      </c>
      <c r="D2506">
        <v>2.5000000000000001E-2</v>
      </c>
      <c r="E2506" t="s">
        <v>525</v>
      </c>
      <c r="F2506" t="s">
        <v>526</v>
      </c>
      <c r="G2506">
        <f t="shared" si="106"/>
        <v>7</v>
      </c>
      <c r="L2506" t="s">
        <v>675</v>
      </c>
    </row>
    <row r="2507" spans="1:13">
      <c r="A2507" s="45">
        <v>43214</v>
      </c>
      <c r="B2507" t="s">
        <v>379</v>
      </c>
      <c r="C2507">
        <f t="shared" si="105"/>
        <v>120</v>
      </c>
      <c r="D2507">
        <v>2.5000000000000001E-2</v>
      </c>
      <c r="E2507" t="s">
        <v>525</v>
      </c>
      <c r="F2507" t="s">
        <v>526</v>
      </c>
      <c r="G2507">
        <f t="shared" si="106"/>
        <v>3</v>
      </c>
      <c r="L2507" t="s">
        <v>675</v>
      </c>
    </row>
    <row r="2508" spans="1:13">
      <c r="A2508" s="45">
        <v>43214</v>
      </c>
      <c r="B2508" t="s">
        <v>387</v>
      </c>
      <c r="C2508">
        <f t="shared" si="105"/>
        <v>187.41</v>
      </c>
      <c r="D2508">
        <v>2.5000000000000001E-2</v>
      </c>
      <c r="E2508" t="s">
        <v>525</v>
      </c>
      <c r="F2508" t="s">
        <v>526</v>
      </c>
      <c r="G2508">
        <f t="shared" si="106"/>
        <v>4.6852499999999999</v>
      </c>
      <c r="L2508" t="s">
        <v>675</v>
      </c>
    </row>
    <row r="2509" spans="1:13">
      <c r="A2509" s="45">
        <v>43214</v>
      </c>
      <c r="B2509" t="s">
        <v>435</v>
      </c>
      <c r="C2509">
        <f t="shared" si="105"/>
        <v>17</v>
      </c>
      <c r="D2509">
        <v>0.05</v>
      </c>
      <c r="E2509" t="s">
        <v>525</v>
      </c>
      <c r="F2509" t="s">
        <v>526</v>
      </c>
      <c r="G2509">
        <f t="shared" si="106"/>
        <v>0.85000000000000009</v>
      </c>
      <c r="L2509" t="s">
        <v>675</v>
      </c>
    </row>
    <row r="2510" spans="1:13">
      <c r="A2510" s="45">
        <v>43214</v>
      </c>
      <c r="B2510" t="s">
        <v>395</v>
      </c>
      <c r="C2510">
        <f t="shared" si="105"/>
        <v>450</v>
      </c>
      <c r="D2510">
        <v>0.01</v>
      </c>
      <c r="E2510" t="s">
        <v>525</v>
      </c>
      <c r="F2510" t="s">
        <v>526</v>
      </c>
      <c r="G2510">
        <f t="shared" si="106"/>
        <v>4.5</v>
      </c>
      <c r="L2510" t="s">
        <v>675</v>
      </c>
    </row>
    <row r="2511" spans="1:13">
      <c r="A2511" s="45">
        <v>43214</v>
      </c>
      <c r="B2511" t="s">
        <v>375</v>
      </c>
      <c r="C2511">
        <f t="shared" si="105"/>
        <v>280</v>
      </c>
      <c r="D2511">
        <v>0.2</v>
      </c>
      <c r="E2511" t="s">
        <v>525</v>
      </c>
      <c r="F2511" t="s">
        <v>526</v>
      </c>
      <c r="G2511">
        <f t="shared" si="106"/>
        <v>56</v>
      </c>
    </row>
    <row r="2512" spans="1:13">
      <c r="A2512" s="45">
        <v>43214</v>
      </c>
      <c r="B2512" t="s">
        <v>426</v>
      </c>
      <c r="C2512">
        <f t="shared" si="105"/>
        <v>57.5</v>
      </c>
      <c r="D2512">
        <v>0.4</v>
      </c>
      <c r="E2512" t="s">
        <v>525</v>
      </c>
      <c r="F2512" t="s">
        <v>526</v>
      </c>
      <c r="G2512">
        <f t="shared" si="106"/>
        <v>23</v>
      </c>
    </row>
    <row r="2513" spans="1:7">
      <c r="A2513" s="45">
        <v>43214</v>
      </c>
      <c r="B2513" t="s">
        <v>387</v>
      </c>
      <c r="C2513">
        <f t="shared" si="105"/>
        <v>187.41</v>
      </c>
      <c r="D2513">
        <v>0.23</v>
      </c>
      <c r="E2513" t="s">
        <v>525</v>
      </c>
      <c r="F2513" t="s">
        <v>526</v>
      </c>
      <c r="G2513">
        <f t="shared" si="106"/>
        <v>43.104300000000002</v>
      </c>
    </row>
    <row r="2514" spans="1:7">
      <c r="A2514" s="45">
        <v>43214</v>
      </c>
      <c r="B2514" t="s">
        <v>482</v>
      </c>
      <c r="C2514">
        <f t="shared" si="105"/>
        <v>48</v>
      </c>
      <c r="D2514">
        <v>0.3</v>
      </c>
      <c r="E2514" t="s">
        <v>525</v>
      </c>
      <c r="F2514" t="s">
        <v>526</v>
      </c>
      <c r="G2514">
        <f t="shared" si="106"/>
        <v>14.399999999999999</v>
      </c>
    </row>
    <row r="2515" spans="1:7">
      <c r="A2515" s="45">
        <v>43214</v>
      </c>
      <c r="B2515" t="s">
        <v>520</v>
      </c>
      <c r="C2515">
        <f t="shared" si="105"/>
        <v>45</v>
      </c>
      <c r="D2515">
        <v>0.3</v>
      </c>
      <c r="E2515" t="s">
        <v>525</v>
      </c>
      <c r="F2515" t="s">
        <v>526</v>
      </c>
      <c r="G2515">
        <f t="shared" si="106"/>
        <v>13.5</v>
      </c>
    </row>
    <row r="2516" spans="1:7">
      <c r="A2516" s="45">
        <v>43214</v>
      </c>
      <c r="B2516" t="s">
        <v>435</v>
      </c>
      <c r="C2516">
        <f t="shared" si="105"/>
        <v>17</v>
      </c>
      <c r="D2516">
        <v>0.8</v>
      </c>
      <c r="E2516" t="s">
        <v>525</v>
      </c>
      <c r="F2516" t="s">
        <v>526</v>
      </c>
      <c r="G2516">
        <f t="shared" si="106"/>
        <v>13.600000000000001</v>
      </c>
    </row>
    <row r="2517" spans="1:7">
      <c r="A2517" s="45">
        <v>43214</v>
      </c>
      <c r="B2517" t="s">
        <v>455</v>
      </c>
      <c r="C2517">
        <f t="shared" si="105"/>
        <v>380</v>
      </c>
      <c r="D2517">
        <v>0.16</v>
      </c>
      <c r="E2517" t="s">
        <v>525</v>
      </c>
      <c r="F2517" t="s">
        <v>526</v>
      </c>
      <c r="G2517">
        <f t="shared" si="106"/>
        <v>60.800000000000004</v>
      </c>
    </row>
    <row r="2518" spans="1:7">
      <c r="A2518" s="45">
        <v>43214</v>
      </c>
      <c r="B2518" t="s">
        <v>478</v>
      </c>
      <c r="C2518">
        <f t="shared" si="105"/>
        <v>180</v>
      </c>
      <c r="D2518">
        <v>0.3</v>
      </c>
      <c r="E2518" t="s">
        <v>525</v>
      </c>
      <c r="F2518" t="s">
        <v>526</v>
      </c>
      <c r="G2518">
        <f t="shared" si="106"/>
        <v>54</v>
      </c>
    </row>
    <row r="2519" spans="1:7">
      <c r="A2519" s="45">
        <v>43214</v>
      </c>
      <c r="B2519" t="s">
        <v>475</v>
      </c>
      <c r="C2519">
        <f t="shared" si="105"/>
        <v>148</v>
      </c>
      <c r="D2519">
        <v>0.9</v>
      </c>
      <c r="E2519" t="s">
        <v>525</v>
      </c>
      <c r="F2519" t="s">
        <v>526</v>
      </c>
      <c r="G2519">
        <f t="shared" si="106"/>
        <v>133.20000000000002</v>
      </c>
    </row>
    <row r="2520" spans="1:7">
      <c r="A2520" s="45">
        <v>43214</v>
      </c>
      <c r="B2520" t="s">
        <v>518</v>
      </c>
      <c r="C2520">
        <f t="shared" si="105"/>
        <v>24</v>
      </c>
      <c r="D2520">
        <v>0.115</v>
      </c>
      <c r="E2520" t="s">
        <v>525</v>
      </c>
      <c r="F2520" t="s">
        <v>526</v>
      </c>
      <c r="G2520">
        <f t="shared" si="106"/>
        <v>2.7600000000000002</v>
      </c>
    </row>
    <row r="2521" spans="1:7">
      <c r="A2521" s="45">
        <v>43214</v>
      </c>
      <c r="B2521" t="s">
        <v>372</v>
      </c>
      <c r="C2521">
        <f t="shared" si="105"/>
        <v>33</v>
      </c>
      <c r="D2521">
        <v>0.28499999999999998</v>
      </c>
      <c r="E2521" t="s">
        <v>525</v>
      </c>
      <c r="F2521" t="s">
        <v>526</v>
      </c>
      <c r="G2521">
        <f t="shared" si="106"/>
        <v>9.4049999999999994</v>
      </c>
    </row>
    <row r="2522" spans="1:7">
      <c r="A2522" s="45">
        <v>43214</v>
      </c>
      <c r="B2522" t="s">
        <v>397</v>
      </c>
      <c r="C2522">
        <f t="shared" si="105"/>
        <v>75</v>
      </c>
      <c r="D2522">
        <v>0.2</v>
      </c>
      <c r="E2522" t="s">
        <v>525</v>
      </c>
      <c r="F2522" t="s">
        <v>526</v>
      </c>
      <c r="G2522">
        <f t="shared" si="106"/>
        <v>15</v>
      </c>
    </row>
    <row r="2523" spans="1:7">
      <c r="A2523" s="45">
        <v>43214</v>
      </c>
      <c r="B2523" t="s">
        <v>379</v>
      </c>
      <c r="C2523">
        <f t="shared" si="105"/>
        <v>120</v>
      </c>
      <c r="D2523">
        <v>0.115</v>
      </c>
      <c r="E2523" t="s">
        <v>525</v>
      </c>
      <c r="F2523" t="s">
        <v>526</v>
      </c>
      <c r="G2523">
        <f t="shared" si="106"/>
        <v>13.8</v>
      </c>
    </row>
    <row r="2524" spans="1:7">
      <c r="A2524" s="45">
        <v>43214</v>
      </c>
      <c r="B2524" t="s">
        <v>561</v>
      </c>
      <c r="C2524">
        <f t="shared" si="105"/>
        <v>0</v>
      </c>
      <c r="D2524">
        <v>1.8</v>
      </c>
      <c r="E2524" t="s">
        <v>525</v>
      </c>
      <c r="F2524" t="s">
        <v>526</v>
      </c>
      <c r="G2524">
        <f t="shared" si="106"/>
        <v>0</v>
      </c>
    </row>
    <row r="2525" spans="1:7">
      <c r="A2525" s="45">
        <v>43214</v>
      </c>
      <c r="B2525" t="s">
        <v>675</v>
      </c>
      <c r="C2525">
        <f t="shared" si="105"/>
        <v>0</v>
      </c>
      <c r="D2525">
        <v>0.98</v>
      </c>
      <c r="E2525" t="s">
        <v>525</v>
      </c>
      <c r="F2525" t="s">
        <v>526</v>
      </c>
      <c r="G2525">
        <f t="shared" si="106"/>
        <v>0</v>
      </c>
    </row>
    <row r="2526" spans="1:7">
      <c r="A2526" s="45">
        <v>43214</v>
      </c>
      <c r="B2526" t="s">
        <v>398</v>
      </c>
      <c r="C2526">
        <f t="shared" si="105"/>
        <v>51</v>
      </c>
      <c r="D2526">
        <v>0.95</v>
      </c>
      <c r="E2526" t="s">
        <v>525</v>
      </c>
      <c r="F2526" t="s">
        <v>526</v>
      </c>
      <c r="G2526">
        <f t="shared" si="106"/>
        <v>48.449999999999996</v>
      </c>
    </row>
    <row r="2527" spans="1:7">
      <c r="A2527" s="45">
        <v>43214</v>
      </c>
      <c r="B2527" t="s">
        <v>484</v>
      </c>
      <c r="C2527">
        <f t="shared" si="105"/>
        <v>430</v>
      </c>
      <c r="D2527">
        <v>0.09</v>
      </c>
      <c r="E2527" t="s">
        <v>525</v>
      </c>
      <c r="F2527" t="s">
        <v>526</v>
      </c>
      <c r="G2527">
        <f t="shared" si="106"/>
        <v>38.699999999999996</v>
      </c>
    </row>
    <row r="2528" spans="1:7">
      <c r="A2528" s="45">
        <v>43214</v>
      </c>
      <c r="B2528" t="s">
        <v>458</v>
      </c>
      <c r="C2528">
        <f t="shared" si="105"/>
        <v>140</v>
      </c>
      <c r="D2528">
        <v>1.1499999999999999</v>
      </c>
      <c r="E2528" t="s">
        <v>525</v>
      </c>
      <c r="F2528" t="s">
        <v>526</v>
      </c>
      <c r="G2528">
        <f t="shared" si="106"/>
        <v>161</v>
      </c>
    </row>
    <row r="2529" spans="1:13">
      <c r="A2529" s="45">
        <v>43214</v>
      </c>
      <c r="B2529" t="s">
        <v>473</v>
      </c>
      <c r="C2529">
        <f t="shared" si="105"/>
        <v>175</v>
      </c>
      <c r="D2529">
        <v>1.4</v>
      </c>
      <c r="E2529" t="s">
        <v>525</v>
      </c>
      <c r="F2529" t="s">
        <v>526</v>
      </c>
      <c r="G2529">
        <f t="shared" si="106"/>
        <v>244.99999999999997</v>
      </c>
    </row>
    <row r="2530" spans="1:13">
      <c r="A2530" s="45">
        <v>43214</v>
      </c>
      <c r="B2530" t="s">
        <v>451</v>
      </c>
      <c r="C2530">
        <f t="shared" si="105"/>
        <v>60</v>
      </c>
      <c r="D2530">
        <v>0.45</v>
      </c>
      <c r="E2530" t="s">
        <v>525</v>
      </c>
      <c r="F2530" t="s">
        <v>526</v>
      </c>
      <c r="G2530">
        <f t="shared" si="106"/>
        <v>27</v>
      </c>
    </row>
    <row r="2531" spans="1:13">
      <c r="A2531" s="45">
        <v>43214</v>
      </c>
      <c r="B2531" t="s">
        <v>468</v>
      </c>
      <c r="C2531">
        <f t="shared" si="105"/>
        <v>32</v>
      </c>
      <c r="D2531">
        <v>3.35</v>
      </c>
      <c r="E2531" t="s">
        <v>525</v>
      </c>
      <c r="F2531" t="s">
        <v>526</v>
      </c>
      <c r="G2531">
        <f t="shared" si="106"/>
        <v>107.2</v>
      </c>
    </row>
    <row r="2532" spans="1:13">
      <c r="A2532" s="45">
        <v>43214</v>
      </c>
      <c r="B2532" t="s">
        <v>490</v>
      </c>
      <c r="C2532">
        <f t="shared" si="105"/>
        <v>100</v>
      </c>
      <c r="D2532">
        <v>0.4</v>
      </c>
      <c r="E2532" t="s">
        <v>525</v>
      </c>
      <c r="F2532" t="s">
        <v>526</v>
      </c>
      <c r="G2532">
        <f t="shared" si="106"/>
        <v>40</v>
      </c>
    </row>
    <row r="2533" spans="1:13">
      <c r="A2533" s="45">
        <v>43214</v>
      </c>
      <c r="B2533" t="s">
        <v>401</v>
      </c>
      <c r="C2533">
        <f t="shared" si="105"/>
        <v>33</v>
      </c>
      <c r="D2533">
        <v>0</v>
      </c>
      <c r="E2533" t="s">
        <v>525</v>
      </c>
      <c r="F2533" t="s">
        <v>526</v>
      </c>
      <c r="G2533">
        <f t="shared" si="106"/>
        <v>0</v>
      </c>
    </row>
    <row r="2534" spans="1:13">
      <c r="A2534" s="45">
        <v>43214</v>
      </c>
      <c r="B2534" t="s">
        <v>459</v>
      </c>
      <c r="C2534">
        <f t="shared" si="105"/>
        <v>190</v>
      </c>
      <c r="D2534">
        <v>0.15</v>
      </c>
      <c r="E2534" t="s">
        <v>525</v>
      </c>
      <c r="F2534" t="s">
        <v>526</v>
      </c>
      <c r="G2534">
        <f t="shared" si="106"/>
        <v>28.5</v>
      </c>
    </row>
    <row r="2535" spans="1:13">
      <c r="A2535" s="45">
        <v>43214</v>
      </c>
      <c r="B2535" t="s">
        <v>432</v>
      </c>
      <c r="C2535">
        <f t="shared" si="105"/>
        <v>14</v>
      </c>
      <c r="D2535">
        <v>15.3</v>
      </c>
      <c r="E2535" t="s">
        <v>525</v>
      </c>
      <c r="F2535" t="s">
        <v>526</v>
      </c>
      <c r="G2535">
        <f t="shared" si="106"/>
        <v>214.20000000000002</v>
      </c>
      <c r="L2535" t="s">
        <v>561</v>
      </c>
      <c r="M2535">
        <v>22.8</v>
      </c>
    </row>
    <row r="2536" spans="1:13">
      <c r="A2536" s="45">
        <v>43214</v>
      </c>
      <c r="B2536" t="s">
        <v>450</v>
      </c>
      <c r="C2536">
        <f t="shared" si="105"/>
        <v>580</v>
      </c>
      <c r="D2536">
        <v>1</v>
      </c>
      <c r="E2536" t="s">
        <v>525</v>
      </c>
      <c r="F2536" t="s">
        <v>526</v>
      </c>
      <c r="G2536">
        <f t="shared" si="106"/>
        <v>580</v>
      </c>
      <c r="L2536" t="s">
        <v>561</v>
      </c>
    </row>
    <row r="2537" spans="1:13">
      <c r="A2537" s="45">
        <v>43214</v>
      </c>
      <c r="B2537" t="s">
        <v>477</v>
      </c>
      <c r="C2537">
        <f t="shared" si="105"/>
        <v>184</v>
      </c>
      <c r="D2537">
        <v>0.5</v>
      </c>
      <c r="E2537" t="s">
        <v>525</v>
      </c>
      <c r="F2537" t="s">
        <v>526</v>
      </c>
      <c r="G2537">
        <f t="shared" si="106"/>
        <v>92</v>
      </c>
      <c r="L2537" t="s">
        <v>561</v>
      </c>
    </row>
    <row r="2538" spans="1:13">
      <c r="A2538" s="45">
        <v>43214</v>
      </c>
      <c r="B2538" t="s">
        <v>387</v>
      </c>
      <c r="C2538">
        <f t="shared" si="105"/>
        <v>187.41</v>
      </c>
      <c r="D2538">
        <v>0.04</v>
      </c>
      <c r="E2538" t="s">
        <v>525</v>
      </c>
      <c r="F2538" t="s">
        <v>526</v>
      </c>
      <c r="G2538">
        <f t="shared" si="106"/>
        <v>7.4964000000000004</v>
      </c>
      <c r="L2538" t="s">
        <v>561</v>
      </c>
    </row>
    <row r="2539" spans="1:13">
      <c r="A2539" s="45">
        <v>43214</v>
      </c>
      <c r="B2539" t="s">
        <v>476</v>
      </c>
      <c r="C2539">
        <f t="shared" si="105"/>
        <v>14.75</v>
      </c>
      <c r="D2539">
        <v>5</v>
      </c>
      <c r="E2539" t="s">
        <v>525</v>
      </c>
      <c r="F2539" t="s">
        <v>526</v>
      </c>
      <c r="G2539">
        <f t="shared" si="106"/>
        <v>73.75</v>
      </c>
      <c r="L2539" t="s">
        <v>561</v>
      </c>
    </row>
    <row r="2540" spans="1:13">
      <c r="A2540" s="45">
        <v>43214</v>
      </c>
      <c r="B2540" t="s">
        <v>589</v>
      </c>
      <c r="C2540">
        <f t="shared" si="105"/>
        <v>560</v>
      </c>
      <c r="D2540">
        <v>0.05</v>
      </c>
      <c r="E2540" t="s">
        <v>525</v>
      </c>
      <c r="F2540" t="s">
        <v>526</v>
      </c>
      <c r="G2540">
        <f t="shared" si="106"/>
        <v>28</v>
      </c>
      <c r="L2540" t="s">
        <v>561</v>
      </c>
    </row>
    <row r="2541" spans="1:13">
      <c r="A2541" s="45">
        <v>43214</v>
      </c>
      <c r="B2541" t="s">
        <v>386</v>
      </c>
      <c r="C2541">
        <f t="shared" si="105"/>
        <v>82</v>
      </c>
      <c r="D2541">
        <v>2</v>
      </c>
      <c r="E2541" t="s">
        <v>525</v>
      </c>
      <c r="F2541" t="s">
        <v>526</v>
      </c>
      <c r="G2541">
        <f t="shared" si="106"/>
        <v>164</v>
      </c>
      <c r="L2541" t="s">
        <v>561</v>
      </c>
    </row>
    <row r="2542" spans="1:13">
      <c r="A2542" s="45">
        <v>43214</v>
      </c>
      <c r="B2542" t="s">
        <v>376</v>
      </c>
      <c r="C2542">
        <f t="shared" si="105"/>
        <v>220</v>
      </c>
      <c r="D2542">
        <v>1.4999999999999999E-2</v>
      </c>
      <c r="E2542" t="s">
        <v>525</v>
      </c>
      <c r="F2542" t="s">
        <v>526</v>
      </c>
      <c r="G2542">
        <f t="shared" si="106"/>
        <v>3.3</v>
      </c>
      <c r="L2542" t="s">
        <v>561</v>
      </c>
    </row>
    <row r="2543" spans="1:13">
      <c r="A2543" s="45">
        <v>43214</v>
      </c>
      <c r="B2543" t="s">
        <v>377</v>
      </c>
      <c r="C2543">
        <f t="shared" si="105"/>
        <v>740</v>
      </c>
      <c r="D2543">
        <v>1.4999999999999999E-2</v>
      </c>
      <c r="E2543" t="s">
        <v>525</v>
      </c>
      <c r="F2543" t="s">
        <v>526</v>
      </c>
      <c r="G2543">
        <f t="shared" si="106"/>
        <v>11.1</v>
      </c>
      <c r="L2543" t="s">
        <v>561</v>
      </c>
    </row>
    <row r="2544" spans="1:13">
      <c r="A2544" s="45">
        <v>43214</v>
      </c>
      <c r="B2544" t="s">
        <v>461</v>
      </c>
      <c r="C2544">
        <f t="shared" si="105"/>
        <v>1450</v>
      </c>
      <c r="D2544">
        <v>1.4999999999999999E-2</v>
      </c>
      <c r="E2544" t="s">
        <v>525</v>
      </c>
      <c r="F2544" t="s">
        <v>526</v>
      </c>
      <c r="G2544">
        <f t="shared" si="106"/>
        <v>21.75</v>
      </c>
      <c r="L2544" t="s">
        <v>561</v>
      </c>
    </row>
    <row r="2545" spans="1:12">
      <c r="A2545" s="45">
        <v>43214</v>
      </c>
      <c r="B2545" t="s">
        <v>375</v>
      </c>
      <c r="C2545">
        <f t="shared" si="105"/>
        <v>280</v>
      </c>
      <c r="D2545">
        <v>0.05</v>
      </c>
      <c r="E2545" t="s">
        <v>525</v>
      </c>
      <c r="F2545" t="s">
        <v>526</v>
      </c>
      <c r="G2545">
        <f t="shared" si="106"/>
        <v>14</v>
      </c>
      <c r="L2545" t="s">
        <v>561</v>
      </c>
    </row>
    <row r="2546" spans="1:12">
      <c r="A2546" s="45">
        <v>43214</v>
      </c>
      <c r="B2546" t="s">
        <v>379</v>
      </c>
      <c r="C2546">
        <f t="shared" si="105"/>
        <v>120</v>
      </c>
      <c r="D2546">
        <v>0.05</v>
      </c>
      <c r="E2546" t="s">
        <v>525</v>
      </c>
      <c r="F2546" t="s">
        <v>526</v>
      </c>
      <c r="G2546">
        <f t="shared" si="106"/>
        <v>6</v>
      </c>
      <c r="L2546" t="s">
        <v>561</v>
      </c>
    </row>
    <row r="2547" spans="1:12">
      <c r="A2547" s="45">
        <v>43214</v>
      </c>
      <c r="B2547" t="s">
        <v>398</v>
      </c>
      <c r="C2547">
        <f t="shared" si="105"/>
        <v>51</v>
      </c>
      <c r="D2547">
        <v>0.5</v>
      </c>
      <c r="E2547" t="s">
        <v>525</v>
      </c>
      <c r="F2547" t="s">
        <v>526</v>
      </c>
      <c r="G2547">
        <f t="shared" si="106"/>
        <v>25.5</v>
      </c>
      <c r="L2547" t="s">
        <v>561</v>
      </c>
    </row>
    <row r="2548" spans="1:12">
      <c r="A2548" s="45">
        <v>43214</v>
      </c>
      <c r="B2548" t="s">
        <v>435</v>
      </c>
      <c r="C2548">
        <f t="shared" si="105"/>
        <v>17</v>
      </c>
      <c r="D2548">
        <v>0.1</v>
      </c>
      <c r="E2548" t="s">
        <v>525</v>
      </c>
      <c r="F2548" t="s">
        <v>526</v>
      </c>
      <c r="G2548">
        <f t="shared" si="106"/>
        <v>1.7000000000000002</v>
      </c>
      <c r="L2548" t="s">
        <v>561</v>
      </c>
    </row>
    <row r="2549" spans="1:12">
      <c r="A2549" s="45">
        <v>43214</v>
      </c>
      <c r="B2549" t="s">
        <v>429</v>
      </c>
      <c r="C2549">
        <f t="shared" si="105"/>
        <v>40</v>
      </c>
      <c r="D2549">
        <v>0.1</v>
      </c>
      <c r="E2549" t="s">
        <v>525</v>
      </c>
      <c r="F2549" t="s">
        <v>526</v>
      </c>
      <c r="G2549">
        <f t="shared" si="106"/>
        <v>4</v>
      </c>
      <c r="L2549" t="s">
        <v>561</v>
      </c>
    </row>
    <row r="2550" spans="1:12">
      <c r="A2550" s="45">
        <v>43214</v>
      </c>
      <c r="B2550" t="s">
        <v>427</v>
      </c>
      <c r="C2550">
        <f t="shared" si="105"/>
        <v>28</v>
      </c>
      <c r="D2550">
        <v>0.1</v>
      </c>
      <c r="E2550" t="s">
        <v>525</v>
      </c>
      <c r="F2550" t="s">
        <v>526</v>
      </c>
      <c r="G2550">
        <f t="shared" si="106"/>
        <v>2.8000000000000003</v>
      </c>
      <c r="L2550" t="s">
        <v>561</v>
      </c>
    </row>
    <row r="2551" spans="1:12">
      <c r="A2551" s="45">
        <v>43214</v>
      </c>
      <c r="B2551" t="s">
        <v>384</v>
      </c>
      <c r="C2551">
        <f t="shared" si="105"/>
        <v>3</v>
      </c>
      <c r="D2551">
        <v>10</v>
      </c>
      <c r="E2551" t="s">
        <v>543</v>
      </c>
      <c r="F2551" t="s">
        <v>527</v>
      </c>
      <c r="G2551">
        <f t="shared" si="106"/>
        <v>30</v>
      </c>
    </row>
    <row r="2552" spans="1:12">
      <c r="A2552" s="45">
        <v>43214</v>
      </c>
      <c r="B2552" t="s">
        <v>385</v>
      </c>
      <c r="C2552">
        <f t="shared" si="105"/>
        <v>36</v>
      </c>
      <c r="D2552">
        <v>3</v>
      </c>
      <c r="E2552" t="s">
        <v>543</v>
      </c>
      <c r="F2552" t="s">
        <v>527</v>
      </c>
      <c r="G2552">
        <f t="shared" si="106"/>
        <v>108</v>
      </c>
    </row>
    <row r="2553" spans="1:12">
      <c r="A2553" s="45">
        <v>43214</v>
      </c>
      <c r="B2553" t="s">
        <v>382</v>
      </c>
      <c r="C2553">
        <f t="shared" si="105"/>
        <v>42</v>
      </c>
      <c r="D2553">
        <v>1</v>
      </c>
      <c r="E2553" t="s">
        <v>543</v>
      </c>
      <c r="F2553" t="s">
        <v>527</v>
      </c>
      <c r="G2553">
        <f t="shared" si="106"/>
        <v>42</v>
      </c>
    </row>
    <row r="2554" spans="1:12">
      <c r="A2554" s="45">
        <v>43214</v>
      </c>
      <c r="B2554" t="s">
        <v>447</v>
      </c>
      <c r="C2554">
        <f t="shared" si="105"/>
        <v>30</v>
      </c>
      <c r="D2554">
        <v>0.4</v>
      </c>
      <c r="E2554" t="s">
        <v>543</v>
      </c>
      <c r="F2554" t="s">
        <v>527</v>
      </c>
      <c r="G2554">
        <f t="shared" si="106"/>
        <v>12</v>
      </c>
    </row>
    <row r="2555" spans="1:12">
      <c r="A2555" s="45">
        <v>43214</v>
      </c>
      <c r="B2555" t="s">
        <v>622</v>
      </c>
      <c r="C2555">
        <f t="shared" ref="C2555:C2618" si="107">IF(B2555="","",VLOOKUP(B2555,$XEY$3:$XEZ$1158,2,FALSE))</f>
        <v>130</v>
      </c>
      <c r="D2555">
        <v>1</v>
      </c>
      <c r="E2555" t="s">
        <v>543</v>
      </c>
      <c r="F2555" t="s">
        <v>527</v>
      </c>
      <c r="G2555">
        <f t="shared" ref="G2555:G2618" si="108">IF(C2555="","",C2555*D2555)</f>
        <v>130</v>
      </c>
    </row>
    <row r="2556" spans="1:12">
      <c r="A2556" s="45">
        <v>43214</v>
      </c>
      <c r="B2556" t="s">
        <v>381</v>
      </c>
      <c r="C2556">
        <f t="shared" si="107"/>
        <v>7</v>
      </c>
      <c r="D2556">
        <v>0.06</v>
      </c>
      <c r="E2556" t="s">
        <v>528</v>
      </c>
      <c r="F2556" t="s">
        <v>527</v>
      </c>
      <c r="G2556">
        <f t="shared" si="108"/>
        <v>0.42</v>
      </c>
    </row>
    <row r="2557" spans="1:12">
      <c r="A2557" s="45">
        <v>43214</v>
      </c>
      <c r="B2557" t="s">
        <v>427</v>
      </c>
      <c r="C2557">
        <f t="shared" si="107"/>
        <v>28</v>
      </c>
      <c r="D2557">
        <v>0.19</v>
      </c>
      <c r="E2557" t="s">
        <v>528</v>
      </c>
      <c r="F2557" t="s">
        <v>527</v>
      </c>
      <c r="G2557">
        <f t="shared" si="108"/>
        <v>5.32</v>
      </c>
    </row>
    <row r="2558" spans="1:12">
      <c r="A2558" s="45">
        <v>43214</v>
      </c>
      <c r="B2558" t="s">
        <v>429</v>
      </c>
      <c r="C2558">
        <f t="shared" si="107"/>
        <v>40</v>
      </c>
      <c r="D2558">
        <v>4.4999999999999998E-2</v>
      </c>
      <c r="E2558" t="s">
        <v>528</v>
      </c>
      <c r="F2558" t="s">
        <v>527</v>
      </c>
      <c r="G2558">
        <f t="shared" si="108"/>
        <v>1.7999999999999998</v>
      </c>
    </row>
    <row r="2559" spans="1:12">
      <c r="A2559" s="45">
        <v>43214</v>
      </c>
      <c r="B2559" t="s">
        <v>499</v>
      </c>
      <c r="C2559">
        <f t="shared" si="107"/>
        <v>60</v>
      </c>
      <c r="D2559">
        <v>7.0000000000000007E-2</v>
      </c>
      <c r="E2559" t="s">
        <v>528</v>
      </c>
      <c r="F2559" t="s">
        <v>527</v>
      </c>
      <c r="G2559">
        <f t="shared" si="108"/>
        <v>4.2</v>
      </c>
    </row>
    <row r="2560" spans="1:12">
      <c r="A2560" s="45">
        <v>43214</v>
      </c>
      <c r="B2560" t="s">
        <v>376</v>
      </c>
      <c r="C2560">
        <f t="shared" si="107"/>
        <v>220</v>
      </c>
      <c r="D2560">
        <v>5.0000000000000001E-3</v>
      </c>
      <c r="E2560" t="s">
        <v>528</v>
      </c>
      <c r="F2560" t="s">
        <v>527</v>
      </c>
      <c r="G2560">
        <f t="shared" si="108"/>
        <v>1.1000000000000001</v>
      </c>
    </row>
    <row r="2561" spans="1:12">
      <c r="A2561" s="45">
        <v>43214</v>
      </c>
      <c r="B2561" t="s">
        <v>376</v>
      </c>
      <c r="C2561">
        <f t="shared" si="107"/>
        <v>220</v>
      </c>
      <c r="D2561">
        <v>0</v>
      </c>
      <c r="E2561" t="s">
        <v>528</v>
      </c>
      <c r="F2561" t="s">
        <v>527</v>
      </c>
      <c r="G2561">
        <f t="shared" si="108"/>
        <v>0</v>
      </c>
    </row>
    <row r="2562" spans="1:12">
      <c r="A2562" s="45">
        <v>43214</v>
      </c>
      <c r="B2562" t="s">
        <v>377</v>
      </c>
      <c r="C2562">
        <f t="shared" si="107"/>
        <v>740</v>
      </c>
      <c r="D2562">
        <v>5.0000000000000001E-3</v>
      </c>
      <c r="E2562" t="s">
        <v>528</v>
      </c>
      <c r="F2562" t="s">
        <v>527</v>
      </c>
      <c r="G2562">
        <f t="shared" si="108"/>
        <v>3.7</v>
      </c>
    </row>
    <row r="2563" spans="1:12">
      <c r="A2563" s="45">
        <v>43214</v>
      </c>
      <c r="B2563" t="s">
        <v>404</v>
      </c>
      <c r="C2563">
        <f t="shared" si="107"/>
        <v>28</v>
      </c>
      <c r="D2563">
        <v>1</v>
      </c>
      <c r="E2563" t="s">
        <v>528</v>
      </c>
      <c r="F2563" t="s">
        <v>527</v>
      </c>
      <c r="G2563">
        <f t="shared" si="108"/>
        <v>28</v>
      </c>
    </row>
    <row r="2564" spans="1:12">
      <c r="A2564" s="45">
        <v>43214</v>
      </c>
      <c r="B2564" t="s">
        <v>430</v>
      </c>
      <c r="C2564">
        <f t="shared" si="107"/>
        <v>30</v>
      </c>
      <c r="D2564">
        <v>0.55000000000000004</v>
      </c>
      <c r="E2564" t="s">
        <v>528</v>
      </c>
      <c r="F2564" t="s">
        <v>527</v>
      </c>
      <c r="G2564">
        <f t="shared" si="108"/>
        <v>16.5</v>
      </c>
    </row>
    <row r="2565" spans="1:12">
      <c r="A2565" s="45">
        <v>43214</v>
      </c>
      <c r="B2565" t="s">
        <v>378</v>
      </c>
      <c r="C2565">
        <f t="shared" si="107"/>
        <v>25</v>
      </c>
      <c r="D2565">
        <v>0.06</v>
      </c>
      <c r="E2565" t="s">
        <v>528</v>
      </c>
      <c r="F2565" t="s">
        <v>527</v>
      </c>
      <c r="G2565">
        <f t="shared" si="108"/>
        <v>1.5</v>
      </c>
    </row>
    <row r="2566" spans="1:12">
      <c r="A2566" s="45">
        <v>43214</v>
      </c>
      <c r="B2566" t="s">
        <v>434</v>
      </c>
      <c r="C2566">
        <f t="shared" si="107"/>
        <v>125</v>
      </c>
      <c r="D2566">
        <v>0.27</v>
      </c>
      <c r="E2566" t="s">
        <v>528</v>
      </c>
      <c r="F2566" t="s">
        <v>527</v>
      </c>
      <c r="G2566">
        <f t="shared" si="108"/>
        <v>33.75</v>
      </c>
    </row>
    <row r="2567" spans="1:12">
      <c r="A2567" s="45">
        <v>43214</v>
      </c>
      <c r="B2567" t="s">
        <v>482</v>
      </c>
      <c r="C2567">
        <f t="shared" si="107"/>
        <v>48</v>
      </c>
      <c r="D2567">
        <v>0.05</v>
      </c>
      <c r="E2567" t="s">
        <v>528</v>
      </c>
      <c r="F2567" t="s">
        <v>527</v>
      </c>
      <c r="G2567">
        <f t="shared" si="108"/>
        <v>2.4000000000000004</v>
      </c>
    </row>
    <row r="2568" spans="1:12">
      <c r="A2568" s="45">
        <v>43214</v>
      </c>
      <c r="B2568" t="s">
        <v>426</v>
      </c>
      <c r="C2568">
        <f t="shared" si="107"/>
        <v>57.5</v>
      </c>
      <c r="D2568">
        <v>4.4999999999999998E-2</v>
      </c>
      <c r="E2568" t="s">
        <v>528</v>
      </c>
      <c r="F2568" t="s">
        <v>527</v>
      </c>
      <c r="G2568">
        <f t="shared" si="108"/>
        <v>2.5874999999999999</v>
      </c>
    </row>
    <row r="2569" spans="1:12">
      <c r="A2569" s="45">
        <v>43214</v>
      </c>
      <c r="B2569" t="s">
        <v>432</v>
      </c>
      <c r="C2569">
        <f t="shared" si="107"/>
        <v>14</v>
      </c>
      <c r="D2569">
        <v>0.53500000000000003</v>
      </c>
      <c r="E2569" t="s">
        <v>528</v>
      </c>
      <c r="F2569" t="s">
        <v>527</v>
      </c>
      <c r="G2569">
        <f t="shared" si="108"/>
        <v>7.49</v>
      </c>
    </row>
    <row r="2570" spans="1:12">
      <c r="A2570" s="45">
        <v>43214</v>
      </c>
      <c r="B2570" t="s">
        <v>391</v>
      </c>
      <c r="C2570">
        <f t="shared" si="107"/>
        <v>27.97</v>
      </c>
      <c r="D2570">
        <v>0.34499999999999997</v>
      </c>
      <c r="E2570" t="s">
        <v>528</v>
      </c>
      <c r="F2570" t="s">
        <v>527</v>
      </c>
      <c r="G2570">
        <f t="shared" si="108"/>
        <v>9.6496499999999994</v>
      </c>
    </row>
    <row r="2571" spans="1:12">
      <c r="A2571" s="45">
        <v>43214</v>
      </c>
      <c r="B2571" t="s">
        <v>476</v>
      </c>
      <c r="C2571">
        <f t="shared" si="107"/>
        <v>14.75</v>
      </c>
      <c r="D2571">
        <v>0.41</v>
      </c>
      <c r="E2571" t="s">
        <v>528</v>
      </c>
      <c r="F2571" t="s">
        <v>527</v>
      </c>
      <c r="G2571">
        <f t="shared" si="108"/>
        <v>6.0474999999999994</v>
      </c>
    </row>
    <row r="2572" spans="1:12">
      <c r="A2572" s="45">
        <v>43214</v>
      </c>
      <c r="B2572" t="s">
        <v>378</v>
      </c>
      <c r="C2572">
        <f t="shared" si="107"/>
        <v>25</v>
      </c>
      <c r="D2572">
        <v>0.08</v>
      </c>
      <c r="E2572" t="s">
        <v>528</v>
      </c>
      <c r="F2572" t="s">
        <v>527</v>
      </c>
      <c r="G2572">
        <f t="shared" si="108"/>
        <v>2</v>
      </c>
    </row>
    <row r="2573" spans="1:12">
      <c r="A2573" s="45">
        <v>43214</v>
      </c>
      <c r="B2573" t="s">
        <v>414</v>
      </c>
      <c r="C2573">
        <f t="shared" si="107"/>
        <v>48</v>
      </c>
      <c r="D2573">
        <v>0.4</v>
      </c>
      <c r="E2573" t="s">
        <v>528</v>
      </c>
      <c r="F2573" t="s">
        <v>527</v>
      </c>
      <c r="G2573">
        <f t="shared" si="108"/>
        <v>19.200000000000003</v>
      </c>
    </row>
    <row r="2574" spans="1:12">
      <c r="A2574" s="45">
        <v>43214</v>
      </c>
      <c r="B2574" t="s">
        <v>385</v>
      </c>
      <c r="C2574">
        <f t="shared" si="107"/>
        <v>36</v>
      </c>
      <c r="D2574">
        <v>6</v>
      </c>
      <c r="E2574" t="s">
        <v>542</v>
      </c>
      <c r="F2574" t="s">
        <v>554</v>
      </c>
      <c r="G2574">
        <f t="shared" si="108"/>
        <v>216</v>
      </c>
    </row>
    <row r="2575" spans="1:12">
      <c r="A2575" s="45">
        <v>43214</v>
      </c>
      <c r="B2575" t="s">
        <v>382</v>
      </c>
      <c r="C2575">
        <f t="shared" si="107"/>
        <v>42</v>
      </c>
      <c r="D2575">
        <v>0.5</v>
      </c>
      <c r="E2575" t="s">
        <v>525</v>
      </c>
      <c r="F2575" t="s">
        <v>526</v>
      </c>
      <c r="G2575">
        <f t="shared" si="108"/>
        <v>21</v>
      </c>
      <c r="L2575" t="s">
        <v>625</v>
      </c>
    </row>
    <row r="2576" spans="1:12">
      <c r="A2576" s="45">
        <v>43214</v>
      </c>
      <c r="B2576" t="s">
        <v>382</v>
      </c>
      <c r="C2576">
        <f t="shared" si="107"/>
        <v>42</v>
      </c>
      <c r="D2576">
        <v>0.5</v>
      </c>
      <c r="E2576" t="s">
        <v>336</v>
      </c>
      <c r="F2576" t="s">
        <v>527</v>
      </c>
      <c r="G2576">
        <f t="shared" si="108"/>
        <v>21</v>
      </c>
      <c r="L2576" t="s">
        <v>716</v>
      </c>
    </row>
    <row r="2577" spans="1:14">
      <c r="A2577" s="45">
        <v>43214</v>
      </c>
      <c r="B2577" t="s">
        <v>436</v>
      </c>
      <c r="C2577">
        <f t="shared" si="107"/>
        <v>37</v>
      </c>
      <c r="D2577">
        <v>1.2</v>
      </c>
      <c r="E2577" t="s">
        <v>542</v>
      </c>
      <c r="F2577" t="s">
        <v>554</v>
      </c>
      <c r="G2577">
        <f t="shared" si="108"/>
        <v>44.4</v>
      </c>
    </row>
    <row r="2578" spans="1:14">
      <c r="A2578" s="45">
        <v>43214</v>
      </c>
      <c r="B2578" t="s">
        <v>496</v>
      </c>
      <c r="C2578">
        <f t="shared" si="107"/>
        <v>44</v>
      </c>
      <c r="D2578">
        <v>0.55000000000000004</v>
      </c>
      <c r="E2578" t="s">
        <v>336</v>
      </c>
      <c r="F2578" t="s">
        <v>527</v>
      </c>
      <c r="G2578">
        <f t="shared" si="108"/>
        <v>24.200000000000003</v>
      </c>
      <c r="N2578" t="s">
        <v>717</v>
      </c>
    </row>
    <row r="2579" spans="1:14">
      <c r="A2579" s="45">
        <v>43214</v>
      </c>
      <c r="B2579" t="s">
        <v>385</v>
      </c>
      <c r="C2579">
        <f t="shared" si="107"/>
        <v>36</v>
      </c>
      <c r="D2579">
        <v>3</v>
      </c>
      <c r="E2579" t="s">
        <v>336</v>
      </c>
      <c r="F2579" t="s">
        <v>527</v>
      </c>
      <c r="G2579">
        <f t="shared" si="108"/>
        <v>108</v>
      </c>
      <c r="N2579" t="s">
        <v>717</v>
      </c>
    </row>
    <row r="2580" spans="1:14">
      <c r="A2580" s="45">
        <v>43214</v>
      </c>
      <c r="B2580" t="s">
        <v>382</v>
      </c>
      <c r="C2580">
        <f t="shared" si="107"/>
        <v>42</v>
      </c>
      <c r="D2580">
        <v>1.5</v>
      </c>
      <c r="E2580" t="s">
        <v>336</v>
      </c>
      <c r="F2580" t="s">
        <v>527</v>
      </c>
      <c r="G2580">
        <f t="shared" si="108"/>
        <v>63</v>
      </c>
    </row>
    <row r="2581" spans="1:14">
      <c r="A2581" s="45">
        <v>43214</v>
      </c>
      <c r="B2581" t="s">
        <v>436</v>
      </c>
      <c r="C2581">
        <f t="shared" si="107"/>
        <v>37</v>
      </c>
      <c r="D2581">
        <v>0.45</v>
      </c>
      <c r="E2581" t="s">
        <v>336</v>
      </c>
      <c r="F2581" t="s">
        <v>527</v>
      </c>
      <c r="G2581">
        <f t="shared" si="108"/>
        <v>16.650000000000002</v>
      </c>
      <c r="N2581" t="s">
        <v>717</v>
      </c>
    </row>
    <row r="2582" spans="1:14">
      <c r="A2582" s="45">
        <v>43214</v>
      </c>
      <c r="B2582" t="s">
        <v>404</v>
      </c>
      <c r="C2582">
        <f t="shared" si="107"/>
        <v>28</v>
      </c>
      <c r="D2582">
        <v>4</v>
      </c>
      <c r="E2582" t="s">
        <v>336</v>
      </c>
      <c r="F2582" t="s">
        <v>527</v>
      </c>
      <c r="G2582">
        <f t="shared" si="108"/>
        <v>112</v>
      </c>
      <c r="N2582" t="s">
        <v>717</v>
      </c>
    </row>
    <row r="2583" spans="1:14">
      <c r="A2583" s="45">
        <v>43214</v>
      </c>
      <c r="B2583" t="s">
        <v>511</v>
      </c>
      <c r="C2583">
        <f t="shared" si="107"/>
        <v>52</v>
      </c>
      <c r="D2583">
        <v>4.5</v>
      </c>
      <c r="E2583" t="s">
        <v>336</v>
      </c>
      <c r="F2583" t="s">
        <v>527</v>
      </c>
      <c r="G2583">
        <f t="shared" si="108"/>
        <v>234</v>
      </c>
    </row>
    <row r="2584" spans="1:14">
      <c r="A2584" s="45">
        <v>43214</v>
      </c>
      <c r="B2584" t="s">
        <v>375</v>
      </c>
      <c r="C2584">
        <f t="shared" si="107"/>
        <v>280</v>
      </c>
      <c r="D2584">
        <v>0.14499999999999999</v>
      </c>
      <c r="E2584" t="s">
        <v>336</v>
      </c>
      <c r="F2584" t="s">
        <v>527</v>
      </c>
      <c r="G2584">
        <f t="shared" si="108"/>
        <v>40.599999999999994</v>
      </c>
      <c r="N2584" t="s">
        <v>717</v>
      </c>
    </row>
    <row r="2585" spans="1:14">
      <c r="A2585" s="45">
        <v>43214</v>
      </c>
      <c r="B2585" t="s">
        <v>379</v>
      </c>
      <c r="C2585">
        <f t="shared" si="107"/>
        <v>120</v>
      </c>
      <c r="D2585">
        <v>3.5000000000000003E-2</v>
      </c>
      <c r="E2585" t="s">
        <v>336</v>
      </c>
      <c r="F2585" t="s">
        <v>527</v>
      </c>
      <c r="G2585">
        <f t="shared" si="108"/>
        <v>4.2</v>
      </c>
      <c r="N2585" t="s">
        <v>717</v>
      </c>
    </row>
    <row r="2586" spans="1:14">
      <c r="A2586" s="45">
        <v>43214</v>
      </c>
      <c r="B2586" t="s">
        <v>509</v>
      </c>
      <c r="C2586">
        <f t="shared" si="107"/>
        <v>500</v>
      </c>
      <c r="D2586">
        <v>0.03</v>
      </c>
      <c r="E2586" t="s">
        <v>336</v>
      </c>
      <c r="F2586" t="s">
        <v>527</v>
      </c>
      <c r="G2586">
        <f t="shared" si="108"/>
        <v>15</v>
      </c>
      <c r="N2586" t="s">
        <v>717</v>
      </c>
    </row>
    <row r="2587" spans="1:14">
      <c r="A2587" s="45">
        <v>43214</v>
      </c>
      <c r="B2587" t="s">
        <v>387</v>
      </c>
      <c r="C2587">
        <f t="shared" si="107"/>
        <v>187.41</v>
      </c>
      <c r="D2587">
        <v>3.5000000000000003E-2</v>
      </c>
      <c r="E2587" t="s">
        <v>336</v>
      </c>
      <c r="F2587" t="s">
        <v>527</v>
      </c>
      <c r="G2587">
        <f t="shared" si="108"/>
        <v>6.5593500000000002</v>
      </c>
      <c r="N2587" t="s">
        <v>717</v>
      </c>
    </row>
    <row r="2588" spans="1:14">
      <c r="A2588" s="45">
        <v>43214</v>
      </c>
      <c r="B2588" t="s">
        <v>386</v>
      </c>
      <c r="C2588">
        <f t="shared" si="107"/>
        <v>82</v>
      </c>
      <c r="D2588">
        <v>1</v>
      </c>
      <c r="E2588" t="s">
        <v>336</v>
      </c>
      <c r="F2588" t="s">
        <v>527</v>
      </c>
      <c r="G2588">
        <f t="shared" si="108"/>
        <v>82</v>
      </c>
      <c r="N2588" t="s">
        <v>717</v>
      </c>
    </row>
    <row r="2589" spans="1:14">
      <c r="A2589" s="45">
        <v>43214</v>
      </c>
      <c r="B2589" t="s">
        <v>383</v>
      </c>
      <c r="C2589">
        <f t="shared" si="107"/>
        <v>230</v>
      </c>
      <c r="D2589">
        <v>0.14499999999999999</v>
      </c>
      <c r="E2589" t="s">
        <v>336</v>
      </c>
      <c r="F2589" t="s">
        <v>527</v>
      </c>
      <c r="G2589">
        <f t="shared" si="108"/>
        <v>33.349999999999994</v>
      </c>
      <c r="N2589" t="s">
        <v>717</v>
      </c>
    </row>
    <row r="2590" spans="1:14">
      <c r="A2590" s="45">
        <v>43214</v>
      </c>
      <c r="B2590" t="s">
        <v>431</v>
      </c>
      <c r="C2590">
        <f t="shared" si="107"/>
        <v>70</v>
      </c>
      <c r="D2590">
        <v>0.13</v>
      </c>
      <c r="E2590" t="s">
        <v>336</v>
      </c>
      <c r="F2590" t="s">
        <v>527</v>
      </c>
      <c r="G2590">
        <f t="shared" si="108"/>
        <v>9.1</v>
      </c>
      <c r="N2590" t="s">
        <v>717</v>
      </c>
    </row>
    <row r="2591" spans="1:14">
      <c r="A2591" s="45">
        <v>43214</v>
      </c>
      <c r="B2591" t="s">
        <v>367</v>
      </c>
      <c r="C2591">
        <f t="shared" si="107"/>
        <v>55</v>
      </c>
      <c r="D2591">
        <v>0.19500000000000001</v>
      </c>
      <c r="E2591" t="s">
        <v>336</v>
      </c>
      <c r="F2591" t="s">
        <v>527</v>
      </c>
      <c r="G2591">
        <f t="shared" si="108"/>
        <v>10.725</v>
      </c>
      <c r="N2591" t="s">
        <v>717</v>
      </c>
    </row>
    <row r="2592" spans="1:14">
      <c r="A2592" s="45">
        <v>43214</v>
      </c>
      <c r="B2592" t="s">
        <v>512</v>
      </c>
      <c r="C2592">
        <f t="shared" si="107"/>
        <v>170</v>
      </c>
      <c r="D2592">
        <v>0.12</v>
      </c>
      <c r="E2592" t="s">
        <v>336</v>
      </c>
      <c r="F2592" t="s">
        <v>527</v>
      </c>
      <c r="G2592">
        <f t="shared" si="108"/>
        <v>20.399999999999999</v>
      </c>
      <c r="N2592" t="s">
        <v>717</v>
      </c>
    </row>
    <row r="2593" spans="1:14">
      <c r="A2593" s="45">
        <v>43214</v>
      </c>
      <c r="B2593" t="s">
        <v>466</v>
      </c>
      <c r="C2593">
        <f t="shared" si="107"/>
        <v>125</v>
      </c>
      <c r="D2593">
        <v>6.5000000000000002E-2</v>
      </c>
      <c r="E2593" t="s">
        <v>336</v>
      </c>
      <c r="F2593" t="s">
        <v>527</v>
      </c>
      <c r="G2593">
        <f t="shared" si="108"/>
        <v>8.125</v>
      </c>
      <c r="N2593" t="s">
        <v>717</v>
      </c>
    </row>
    <row r="2594" spans="1:14">
      <c r="A2594" s="45">
        <v>43214</v>
      </c>
      <c r="B2594" t="s">
        <v>410</v>
      </c>
      <c r="C2594">
        <f t="shared" si="107"/>
        <v>76</v>
      </c>
      <c r="D2594">
        <v>0.12</v>
      </c>
      <c r="E2594" t="s">
        <v>336</v>
      </c>
      <c r="F2594" t="s">
        <v>527</v>
      </c>
      <c r="G2594">
        <f t="shared" si="108"/>
        <v>9.1199999999999992</v>
      </c>
      <c r="N2594" t="s">
        <v>717</v>
      </c>
    </row>
    <row r="2595" spans="1:14">
      <c r="A2595" s="45">
        <v>43214</v>
      </c>
      <c r="B2595" t="s">
        <v>432</v>
      </c>
      <c r="C2595">
        <f t="shared" si="107"/>
        <v>14</v>
      </c>
      <c r="D2595">
        <v>3</v>
      </c>
      <c r="E2595" t="s">
        <v>336</v>
      </c>
      <c r="F2595" t="s">
        <v>527</v>
      </c>
      <c r="G2595">
        <f t="shared" si="108"/>
        <v>42</v>
      </c>
      <c r="N2595" t="s">
        <v>717</v>
      </c>
    </row>
    <row r="2596" spans="1:14">
      <c r="A2596" s="45">
        <v>43214</v>
      </c>
      <c r="B2596" t="s">
        <v>427</v>
      </c>
      <c r="C2596">
        <f t="shared" si="107"/>
        <v>28</v>
      </c>
      <c r="D2596">
        <v>0.2</v>
      </c>
      <c r="E2596" t="s">
        <v>336</v>
      </c>
      <c r="F2596" t="s">
        <v>527</v>
      </c>
      <c r="G2596">
        <f t="shared" si="108"/>
        <v>5.6000000000000005</v>
      </c>
      <c r="N2596" t="s">
        <v>717</v>
      </c>
    </row>
    <row r="2597" spans="1:14">
      <c r="A2597" s="45">
        <v>43214</v>
      </c>
      <c r="B2597" t="s">
        <v>437</v>
      </c>
      <c r="C2597">
        <f t="shared" si="107"/>
        <v>34</v>
      </c>
      <c r="D2597">
        <v>0.75</v>
      </c>
      <c r="E2597" t="s">
        <v>336</v>
      </c>
      <c r="F2597" t="s">
        <v>527</v>
      </c>
      <c r="G2597">
        <f t="shared" si="108"/>
        <v>25.5</v>
      </c>
    </row>
    <row r="2598" spans="1:14">
      <c r="A2598" s="45">
        <v>43214</v>
      </c>
      <c r="B2598" t="s">
        <v>409</v>
      </c>
      <c r="C2598">
        <f t="shared" si="107"/>
        <v>64.069999999999993</v>
      </c>
      <c r="D2598">
        <v>0.64</v>
      </c>
      <c r="E2598" t="s">
        <v>336</v>
      </c>
      <c r="F2598" t="s">
        <v>527</v>
      </c>
      <c r="G2598">
        <f t="shared" si="108"/>
        <v>41.004799999999996</v>
      </c>
      <c r="N2598" t="s">
        <v>717</v>
      </c>
    </row>
    <row r="2599" spans="1:14">
      <c r="A2599" s="45">
        <v>43214</v>
      </c>
      <c r="B2599" t="s">
        <v>462</v>
      </c>
      <c r="C2599">
        <f t="shared" si="107"/>
        <v>138</v>
      </c>
      <c r="D2599">
        <v>0.03</v>
      </c>
      <c r="E2599" t="s">
        <v>336</v>
      </c>
      <c r="F2599" t="s">
        <v>527</v>
      </c>
      <c r="G2599">
        <f t="shared" si="108"/>
        <v>4.1399999999999997</v>
      </c>
      <c r="N2599" t="s">
        <v>717</v>
      </c>
    </row>
    <row r="2600" spans="1:14">
      <c r="A2600" s="45">
        <v>43214</v>
      </c>
      <c r="B2600" t="s">
        <v>389</v>
      </c>
      <c r="C2600">
        <f t="shared" si="107"/>
        <v>280</v>
      </c>
      <c r="D2600">
        <v>0.03</v>
      </c>
      <c r="E2600" t="s">
        <v>336</v>
      </c>
      <c r="F2600" t="s">
        <v>527</v>
      </c>
      <c r="G2600">
        <f t="shared" si="108"/>
        <v>8.4</v>
      </c>
      <c r="N2600" t="s">
        <v>717</v>
      </c>
    </row>
    <row r="2601" spans="1:14">
      <c r="A2601" s="45">
        <v>43214</v>
      </c>
      <c r="B2601" t="s">
        <v>430</v>
      </c>
      <c r="C2601">
        <f t="shared" si="107"/>
        <v>30</v>
      </c>
      <c r="D2601">
        <v>0.25</v>
      </c>
      <c r="E2601" t="s">
        <v>336</v>
      </c>
      <c r="F2601" t="s">
        <v>527</v>
      </c>
      <c r="G2601">
        <f t="shared" si="108"/>
        <v>7.5</v>
      </c>
      <c r="N2601" t="s">
        <v>717</v>
      </c>
    </row>
    <row r="2602" spans="1:14">
      <c r="A2602" s="45">
        <v>43214</v>
      </c>
      <c r="B2602" t="s">
        <v>454</v>
      </c>
      <c r="C2602">
        <f t="shared" si="107"/>
        <v>43.06</v>
      </c>
      <c r="D2602">
        <v>0.3</v>
      </c>
      <c r="E2602" t="s">
        <v>336</v>
      </c>
      <c r="F2602" t="s">
        <v>527</v>
      </c>
      <c r="G2602">
        <f t="shared" si="108"/>
        <v>12.918000000000001</v>
      </c>
      <c r="N2602" t="s">
        <v>717</v>
      </c>
    </row>
    <row r="2603" spans="1:14">
      <c r="A2603" s="45">
        <v>43214</v>
      </c>
      <c r="B2603" t="s">
        <v>391</v>
      </c>
      <c r="C2603">
        <f t="shared" si="107"/>
        <v>27.97</v>
      </c>
      <c r="D2603">
        <v>0.3</v>
      </c>
      <c r="E2603" t="s">
        <v>336</v>
      </c>
      <c r="F2603" t="s">
        <v>527</v>
      </c>
      <c r="G2603">
        <f t="shared" si="108"/>
        <v>8.391</v>
      </c>
      <c r="N2603" t="s">
        <v>717</v>
      </c>
    </row>
    <row r="2604" spans="1:14">
      <c r="A2604" s="45">
        <v>43214</v>
      </c>
      <c r="B2604" t="s">
        <v>420</v>
      </c>
      <c r="C2604">
        <f t="shared" si="107"/>
        <v>3</v>
      </c>
      <c r="D2604">
        <v>0.3</v>
      </c>
      <c r="E2604" t="s">
        <v>336</v>
      </c>
      <c r="F2604" t="s">
        <v>527</v>
      </c>
      <c r="G2604">
        <f t="shared" si="108"/>
        <v>0.89999999999999991</v>
      </c>
      <c r="N2604" t="s">
        <v>717</v>
      </c>
    </row>
    <row r="2605" spans="1:14">
      <c r="A2605" s="45">
        <v>43214</v>
      </c>
      <c r="B2605" t="s">
        <v>519</v>
      </c>
      <c r="C2605">
        <f t="shared" si="107"/>
        <v>35</v>
      </c>
      <c r="D2605">
        <v>0.3</v>
      </c>
      <c r="E2605" t="s">
        <v>336</v>
      </c>
      <c r="F2605" t="s">
        <v>527</v>
      </c>
      <c r="G2605">
        <f t="shared" si="108"/>
        <v>10.5</v>
      </c>
      <c r="N2605" t="s">
        <v>717</v>
      </c>
    </row>
    <row r="2606" spans="1:14">
      <c r="A2606" s="45">
        <v>43214</v>
      </c>
      <c r="B2606" t="s">
        <v>434</v>
      </c>
      <c r="C2606">
        <f t="shared" si="107"/>
        <v>125</v>
      </c>
      <c r="D2606">
        <v>0.06</v>
      </c>
      <c r="E2606" t="s">
        <v>336</v>
      </c>
      <c r="F2606" t="s">
        <v>527</v>
      </c>
      <c r="G2606">
        <f t="shared" si="108"/>
        <v>7.5</v>
      </c>
      <c r="N2606" t="s">
        <v>717</v>
      </c>
    </row>
    <row r="2607" spans="1:14">
      <c r="A2607" s="45">
        <v>43214</v>
      </c>
      <c r="B2607" t="s">
        <v>479</v>
      </c>
      <c r="C2607">
        <f t="shared" si="107"/>
        <v>312.14</v>
      </c>
      <c r="D2607">
        <v>0.06</v>
      </c>
      <c r="E2607" t="s">
        <v>336</v>
      </c>
      <c r="F2607" t="s">
        <v>527</v>
      </c>
      <c r="G2607">
        <f t="shared" si="108"/>
        <v>18.728399999999997</v>
      </c>
      <c r="N2607" t="s">
        <v>717</v>
      </c>
    </row>
    <row r="2608" spans="1:14">
      <c r="A2608" s="45">
        <v>43214</v>
      </c>
      <c r="B2608" t="s">
        <v>378</v>
      </c>
      <c r="C2608">
        <f t="shared" si="107"/>
        <v>25</v>
      </c>
      <c r="D2608">
        <v>0.26</v>
      </c>
      <c r="E2608" t="s">
        <v>336</v>
      </c>
      <c r="F2608" t="s">
        <v>527</v>
      </c>
      <c r="G2608">
        <f t="shared" si="108"/>
        <v>6.5</v>
      </c>
      <c r="N2608" t="s">
        <v>717</v>
      </c>
    </row>
    <row r="2609" spans="1:14">
      <c r="A2609" s="45">
        <v>43214</v>
      </c>
      <c r="B2609" t="s">
        <v>513</v>
      </c>
      <c r="C2609">
        <f t="shared" si="107"/>
        <v>15</v>
      </c>
      <c r="D2609">
        <v>1.5</v>
      </c>
      <c r="E2609" t="s">
        <v>336</v>
      </c>
      <c r="F2609" t="s">
        <v>527</v>
      </c>
      <c r="G2609">
        <f t="shared" si="108"/>
        <v>22.5</v>
      </c>
      <c r="N2609" t="s">
        <v>717</v>
      </c>
    </row>
    <row r="2610" spans="1:14">
      <c r="A2610" s="45">
        <v>43214</v>
      </c>
      <c r="B2610" t="s">
        <v>414</v>
      </c>
      <c r="C2610">
        <f t="shared" si="107"/>
        <v>48</v>
      </c>
      <c r="D2610">
        <v>0.5</v>
      </c>
      <c r="E2610" t="s">
        <v>336</v>
      </c>
      <c r="F2610" t="s">
        <v>527</v>
      </c>
      <c r="G2610">
        <f t="shared" si="108"/>
        <v>24</v>
      </c>
      <c r="N2610" t="s">
        <v>717</v>
      </c>
    </row>
    <row r="2611" spans="1:14">
      <c r="A2611" s="45">
        <v>43214</v>
      </c>
      <c r="B2611" t="s">
        <v>433</v>
      </c>
      <c r="C2611">
        <f t="shared" si="107"/>
        <v>20</v>
      </c>
      <c r="D2611">
        <v>1.7350000000000001</v>
      </c>
      <c r="E2611" t="s">
        <v>336</v>
      </c>
      <c r="F2611" t="s">
        <v>527</v>
      </c>
      <c r="G2611">
        <f t="shared" si="108"/>
        <v>34.700000000000003</v>
      </c>
      <c r="N2611" t="s">
        <v>717</v>
      </c>
    </row>
    <row r="2612" spans="1:14">
      <c r="A2612" s="45">
        <v>43214</v>
      </c>
      <c r="B2612" t="s">
        <v>392</v>
      </c>
      <c r="C2612">
        <f t="shared" si="107"/>
        <v>840</v>
      </c>
      <c r="D2612">
        <v>2.5000000000000001E-2</v>
      </c>
      <c r="E2612" t="s">
        <v>336</v>
      </c>
      <c r="F2612" t="s">
        <v>527</v>
      </c>
      <c r="G2612">
        <f t="shared" si="108"/>
        <v>21</v>
      </c>
      <c r="N2612" t="s">
        <v>717</v>
      </c>
    </row>
    <row r="2613" spans="1:14">
      <c r="A2613" s="45">
        <v>43214</v>
      </c>
      <c r="B2613" t="s">
        <v>506</v>
      </c>
      <c r="C2613">
        <f t="shared" si="107"/>
        <v>240</v>
      </c>
      <c r="D2613">
        <v>2.5000000000000001E-2</v>
      </c>
      <c r="E2613" t="s">
        <v>336</v>
      </c>
      <c r="F2613" t="s">
        <v>527</v>
      </c>
      <c r="G2613">
        <f t="shared" si="108"/>
        <v>6</v>
      </c>
      <c r="N2613" t="s">
        <v>717</v>
      </c>
    </row>
    <row r="2614" spans="1:14">
      <c r="A2614" s="45">
        <v>43214</v>
      </c>
      <c r="B2614" t="s">
        <v>501</v>
      </c>
      <c r="C2614">
        <f t="shared" si="107"/>
        <v>78</v>
      </c>
      <c r="D2614">
        <v>0.5</v>
      </c>
      <c r="E2614" t="s">
        <v>336</v>
      </c>
      <c r="F2614" t="s">
        <v>527</v>
      </c>
      <c r="G2614">
        <f t="shared" si="108"/>
        <v>39</v>
      </c>
      <c r="N2614" t="s">
        <v>717</v>
      </c>
    </row>
    <row r="2615" spans="1:14">
      <c r="A2615" s="45">
        <v>43214</v>
      </c>
      <c r="B2615" t="s">
        <v>380</v>
      </c>
      <c r="C2615">
        <f t="shared" si="107"/>
        <v>90</v>
      </c>
      <c r="D2615">
        <v>0.09</v>
      </c>
      <c r="E2615" t="s">
        <v>336</v>
      </c>
      <c r="F2615" t="s">
        <v>527</v>
      </c>
      <c r="G2615">
        <f t="shared" si="108"/>
        <v>8.1</v>
      </c>
      <c r="N2615" t="s">
        <v>717</v>
      </c>
    </row>
    <row r="2616" spans="1:14">
      <c r="A2616" s="45">
        <v>43214</v>
      </c>
      <c r="B2616" t="s">
        <v>471</v>
      </c>
      <c r="C2616">
        <f t="shared" si="107"/>
        <v>160</v>
      </c>
      <c r="D2616">
        <v>0.13</v>
      </c>
      <c r="E2616" t="s">
        <v>336</v>
      </c>
      <c r="F2616" t="s">
        <v>527</v>
      </c>
      <c r="G2616">
        <f t="shared" si="108"/>
        <v>20.8</v>
      </c>
    </row>
    <row r="2617" spans="1:14">
      <c r="A2617" s="45">
        <v>43214</v>
      </c>
      <c r="B2617" t="s">
        <v>510</v>
      </c>
      <c r="C2617">
        <f t="shared" si="107"/>
        <v>62.03</v>
      </c>
      <c r="D2617">
        <v>0.12</v>
      </c>
      <c r="E2617" t="s">
        <v>336</v>
      </c>
      <c r="F2617" t="s">
        <v>527</v>
      </c>
      <c r="G2617">
        <f t="shared" si="108"/>
        <v>7.4436</v>
      </c>
    </row>
    <row r="2618" spans="1:14">
      <c r="A2618" s="45">
        <v>43214</v>
      </c>
      <c r="B2618" t="s">
        <v>435</v>
      </c>
      <c r="C2618">
        <f t="shared" si="107"/>
        <v>17</v>
      </c>
      <c r="D2618">
        <v>0.41</v>
      </c>
      <c r="E2618" t="s">
        <v>336</v>
      </c>
      <c r="F2618" t="s">
        <v>527</v>
      </c>
      <c r="G2618">
        <f t="shared" si="108"/>
        <v>6.97</v>
      </c>
      <c r="N2618" t="s">
        <v>717</v>
      </c>
    </row>
    <row r="2619" spans="1:14">
      <c r="A2619" s="45">
        <v>43214</v>
      </c>
      <c r="B2619" t="s">
        <v>502</v>
      </c>
      <c r="C2619">
        <f t="shared" ref="C2619:C2682" si="109">IF(B2619="","",VLOOKUP(B2619,$XEY$3:$XEZ$1158,2,FALSE))</f>
        <v>40</v>
      </c>
      <c r="D2619">
        <v>0.27</v>
      </c>
      <c r="E2619" t="s">
        <v>336</v>
      </c>
      <c r="F2619" t="s">
        <v>527</v>
      </c>
      <c r="G2619">
        <f t="shared" ref="G2619:G2682" si="110">IF(C2619="","",C2619*D2619)</f>
        <v>10.8</v>
      </c>
    </row>
    <row r="2620" spans="1:14">
      <c r="A2620" s="45">
        <v>43214</v>
      </c>
      <c r="B2620" t="s">
        <v>484</v>
      </c>
      <c r="C2620">
        <f t="shared" si="109"/>
        <v>430</v>
      </c>
      <c r="D2620">
        <v>5.5E-2</v>
      </c>
      <c r="E2620" t="s">
        <v>336</v>
      </c>
      <c r="F2620" t="s">
        <v>527</v>
      </c>
      <c r="G2620">
        <f t="shared" si="110"/>
        <v>23.65</v>
      </c>
      <c r="N2620" t="s">
        <v>717</v>
      </c>
    </row>
    <row r="2621" spans="1:14">
      <c r="A2621" s="45">
        <v>43214</v>
      </c>
      <c r="B2621" t="s">
        <v>428</v>
      </c>
      <c r="C2621">
        <f t="shared" si="109"/>
        <v>78.95</v>
      </c>
      <c r="D2621">
        <v>4.3</v>
      </c>
      <c r="E2621" t="s">
        <v>336</v>
      </c>
      <c r="F2621" t="s">
        <v>527</v>
      </c>
      <c r="G2621">
        <f t="shared" si="110"/>
        <v>339.48500000000001</v>
      </c>
      <c r="N2621" t="s">
        <v>717</v>
      </c>
    </row>
    <row r="2622" spans="1:14">
      <c r="A2622" s="45">
        <v>43214</v>
      </c>
      <c r="B2622" t="s">
        <v>428</v>
      </c>
      <c r="C2622">
        <f t="shared" si="109"/>
        <v>78.95</v>
      </c>
      <c r="D2622">
        <v>0.4</v>
      </c>
      <c r="E2622" t="s">
        <v>528</v>
      </c>
      <c r="F2622" t="s">
        <v>527</v>
      </c>
      <c r="G2622">
        <f t="shared" si="110"/>
        <v>31.580000000000002</v>
      </c>
    </row>
    <row r="2623" spans="1:14">
      <c r="A2623" s="45">
        <v>43214</v>
      </c>
      <c r="B2623" t="s">
        <v>428</v>
      </c>
      <c r="C2623">
        <f t="shared" si="109"/>
        <v>78.95</v>
      </c>
      <c r="D2623">
        <f>15.9-(D2622+D2621)</f>
        <v>11.2</v>
      </c>
      <c r="E2623" t="s">
        <v>525</v>
      </c>
      <c r="F2623" t="s">
        <v>526</v>
      </c>
      <c r="G2623">
        <f t="shared" si="110"/>
        <v>884.24</v>
      </c>
    </row>
    <row r="2624" spans="1:14">
      <c r="A2624" s="45">
        <v>43215</v>
      </c>
      <c r="B2624" t="s">
        <v>428</v>
      </c>
      <c r="C2624">
        <f t="shared" si="109"/>
        <v>78.95</v>
      </c>
      <c r="D2624">
        <v>4.0549999999999997</v>
      </c>
      <c r="E2624" t="s">
        <v>336</v>
      </c>
      <c r="F2624" t="s">
        <v>527</v>
      </c>
      <c r="G2624">
        <f t="shared" si="110"/>
        <v>320.14224999999999</v>
      </c>
      <c r="N2624" t="s">
        <v>717</v>
      </c>
    </row>
    <row r="2625" spans="1:7">
      <c r="A2625" s="45">
        <v>43215</v>
      </c>
      <c r="B2625" t="s">
        <v>428</v>
      </c>
      <c r="C2625">
        <f t="shared" si="109"/>
        <v>78.95</v>
      </c>
      <c r="D2625">
        <v>0.22</v>
      </c>
      <c r="E2625" t="s">
        <v>528</v>
      </c>
      <c r="F2625" t="s">
        <v>527</v>
      </c>
      <c r="G2625">
        <f t="shared" si="110"/>
        <v>17.369</v>
      </c>
    </row>
    <row r="2626" spans="1:7">
      <c r="A2626" s="45">
        <v>43215</v>
      </c>
      <c r="B2626" t="s">
        <v>428</v>
      </c>
      <c r="C2626">
        <f t="shared" si="109"/>
        <v>78.95</v>
      </c>
      <c r="D2626">
        <v>8.7550000000000008</v>
      </c>
      <c r="E2626" t="s">
        <v>525</v>
      </c>
      <c r="F2626" t="s">
        <v>526</v>
      </c>
      <c r="G2626">
        <f t="shared" si="110"/>
        <v>691.20725000000004</v>
      </c>
    </row>
    <row r="2627" spans="1:7">
      <c r="A2627" s="45">
        <v>43215</v>
      </c>
      <c r="B2627" t="s">
        <v>390</v>
      </c>
      <c r="C2627">
        <f t="shared" si="109"/>
        <v>30</v>
      </c>
      <c r="D2627">
        <v>1.2</v>
      </c>
      <c r="E2627" t="s">
        <v>525</v>
      </c>
      <c r="F2627" t="s">
        <v>526</v>
      </c>
      <c r="G2627">
        <f t="shared" si="110"/>
        <v>36</v>
      </c>
    </row>
    <row r="2628" spans="1:7">
      <c r="A2628" s="45">
        <v>43215</v>
      </c>
      <c r="B2628" t="s">
        <v>393</v>
      </c>
      <c r="C2628">
        <f t="shared" si="109"/>
        <v>26</v>
      </c>
      <c r="D2628">
        <v>10</v>
      </c>
      <c r="E2628" t="s">
        <v>525</v>
      </c>
      <c r="F2628" t="s">
        <v>526</v>
      </c>
      <c r="G2628">
        <f t="shared" si="110"/>
        <v>260</v>
      </c>
    </row>
    <row r="2629" spans="1:7">
      <c r="A2629" s="45">
        <v>43215</v>
      </c>
      <c r="B2629" t="s">
        <v>378</v>
      </c>
      <c r="C2629">
        <f t="shared" si="109"/>
        <v>25</v>
      </c>
      <c r="D2629">
        <v>0.7</v>
      </c>
      <c r="E2629" t="s">
        <v>525</v>
      </c>
      <c r="F2629" t="s">
        <v>526</v>
      </c>
      <c r="G2629">
        <f t="shared" si="110"/>
        <v>17.5</v>
      </c>
    </row>
    <row r="2630" spans="1:7">
      <c r="A2630" s="45">
        <v>43215</v>
      </c>
      <c r="B2630" t="s">
        <v>476</v>
      </c>
      <c r="C2630">
        <f t="shared" si="109"/>
        <v>14.75</v>
      </c>
      <c r="D2630">
        <v>0.15</v>
      </c>
      <c r="E2630" t="s">
        <v>525</v>
      </c>
      <c r="F2630" t="s">
        <v>526</v>
      </c>
      <c r="G2630">
        <f t="shared" si="110"/>
        <v>2.2124999999999999</v>
      </c>
    </row>
    <row r="2631" spans="1:7">
      <c r="A2631" s="45">
        <v>43215</v>
      </c>
      <c r="B2631" t="s">
        <v>430</v>
      </c>
      <c r="C2631">
        <f t="shared" si="109"/>
        <v>30</v>
      </c>
      <c r="D2631">
        <v>0.5</v>
      </c>
      <c r="E2631" t="s">
        <v>525</v>
      </c>
      <c r="F2631" t="s">
        <v>526</v>
      </c>
      <c r="G2631">
        <f t="shared" si="110"/>
        <v>15</v>
      </c>
    </row>
    <row r="2632" spans="1:7">
      <c r="A2632" s="45">
        <v>43215</v>
      </c>
      <c r="B2632" t="s">
        <v>391</v>
      </c>
      <c r="C2632">
        <f t="shared" si="109"/>
        <v>27.97</v>
      </c>
      <c r="D2632">
        <v>0.8</v>
      </c>
      <c r="E2632" t="s">
        <v>525</v>
      </c>
      <c r="F2632" t="s">
        <v>526</v>
      </c>
      <c r="G2632">
        <f t="shared" si="110"/>
        <v>22.376000000000001</v>
      </c>
    </row>
    <row r="2633" spans="1:7">
      <c r="A2633" s="45">
        <v>43215</v>
      </c>
      <c r="B2633" t="s">
        <v>386</v>
      </c>
      <c r="C2633">
        <f t="shared" si="109"/>
        <v>82</v>
      </c>
      <c r="D2633">
        <v>4</v>
      </c>
      <c r="E2633" t="s">
        <v>525</v>
      </c>
      <c r="F2633" t="s">
        <v>526</v>
      </c>
      <c r="G2633">
        <f t="shared" si="110"/>
        <v>328</v>
      </c>
    </row>
    <row r="2634" spans="1:7">
      <c r="A2634" s="45">
        <v>43215</v>
      </c>
      <c r="B2634" t="s">
        <v>454</v>
      </c>
      <c r="C2634">
        <f t="shared" si="109"/>
        <v>43.06</v>
      </c>
      <c r="D2634">
        <v>0.8</v>
      </c>
      <c r="E2634" t="s">
        <v>525</v>
      </c>
      <c r="F2634" t="s">
        <v>526</v>
      </c>
      <c r="G2634">
        <f t="shared" si="110"/>
        <v>34.448</v>
      </c>
    </row>
    <row r="2635" spans="1:7">
      <c r="A2635" s="45">
        <v>43215</v>
      </c>
      <c r="B2635" t="s">
        <v>463</v>
      </c>
      <c r="C2635">
        <f t="shared" si="109"/>
        <v>29.51</v>
      </c>
      <c r="D2635">
        <v>0.5</v>
      </c>
      <c r="E2635" t="s">
        <v>525</v>
      </c>
      <c r="F2635" t="s">
        <v>526</v>
      </c>
      <c r="G2635">
        <f t="shared" si="110"/>
        <v>14.755000000000001</v>
      </c>
    </row>
    <row r="2636" spans="1:7">
      <c r="A2636" s="45">
        <v>43215</v>
      </c>
      <c r="B2636" t="s">
        <v>420</v>
      </c>
      <c r="C2636">
        <f t="shared" si="109"/>
        <v>3</v>
      </c>
      <c r="D2636">
        <v>0.6</v>
      </c>
      <c r="E2636" t="s">
        <v>525</v>
      </c>
      <c r="F2636" t="s">
        <v>526</v>
      </c>
      <c r="G2636">
        <f t="shared" si="110"/>
        <v>1.7999999999999998</v>
      </c>
    </row>
    <row r="2637" spans="1:7">
      <c r="A2637" s="45">
        <v>43215</v>
      </c>
      <c r="B2637" t="s">
        <v>500</v>
      </c>
      <c r="C2637">
        <f t="shared" si="109"/>
        <v>72</v>
      </c>
      <c r="D2637">
        <v>7.0000000000000007E-2</v>
      </c>
      <c r="E2637" t="s">
        <v>525</v>
      </c>
      <c r="F2637" t="s">
        <v>526</v>
      </c>
      <c r="G2637">
        <f t="shared" si="110"/>
        <v>5.0400000000000009</v>
      </c>
    </row>
    <row r="2638" spans="1:7">
      <c r="A2638" s="45">
        <v>43215</v>
      </c>
      <c r="B2638" t="s">
        <v>427</v>
      </c>
      <c r="C2638">
        <f t="shared" si="109"/>
        <v>28</v>
      </c>
      <c r="D2638">
        <v>0.5</v>
      </c>
      <c r="E2638" t="s">
        <v>525</v>
      </c>
      <c r="F2638" t="s">
        <v>526</v>
      </c>
      <c r="G2638">
        <f t="shared" si="110"/>
        <v>14</v>
      </c>
    </row>
    <row r="2639" spans="1:7">
      <c r="A2639" s="45">
        <v>43215</v>
      </c>
      <c r="B2639" t="s">
        <v>432</v>
      </c>
      <c r="C2639">
        <f t="shared" si="109"/>
        <v>14</v>
      </c>
      <c r="D2639">
        <v>1.5</v>
      </c>
      <c r="E2639" t="s">
        <v>525</v>
      </c>
      <c r="F2639" t="s">
        <v>526</v>
      </c>
      <c r="G2639">
        <f t="shared" si="110"/>
        <v>21</v>
      </c>
    </row>
    <row r="2640" spans="1:7">
      <c r="A2640" s="45">
        <v>43215</v>
      </c>
      <c r="B2640" t="s">
        <v>452</v>
      </c>
      <c r="C2640">
        <f t="shared" si="109"/>
        <v>62</v>
      </c>
      <c r="D2640">
        <v>1.5</v>
      </c>
      <c r="E2640" t="s">
        <v>525</v>
      </c>
      <c r="F2640" t="s">
        <v>526</v>
      </c>
      <c r="G2640">
        <f t="shared" si="110"/>
        <v>93</v>
      </c>
    </row>
    <row r="2641" spans="1:7">
      <c r="A2641" s="45">
        <v>43215</v>
      </c>
      <c r="B2641" t="s">
        <v>457</v>
      </c>
      <c r="C2641">
        <f t="shared" si="109"/>
        <v>64</v>
      </c>
      <c r="D2641">
        <v>2</v>
      </c>
      <c r="E2641" t="s">
        <v>525</v>
      </c>
      <c r="F2641" t="s">
        <v>526</v>
      </c>
      <c r="G2641">
        <f t="shared" si="110"/>
        <v>128</v>
      </c>
    </row>
    <row r="2642" spans="1:7">
      <c r="A2642" s="45">
        <v>43215</v>
      </c>
      <c r="B2642" t="s">
        <v>434</v>
      </c>
      <c r="C2642">
        <f t="shared" si="109"/>
        <v>125</v>
      </c>
      <c r="D2642">
        <v>0.12</v>
      </c>
      <c r="E2642" t="s">
        <v>525</v>
      </c>
      <c r="F2642" t="s">
        <v>526</v>
      </c>
      <c r="G2642">
        <f t="shared" si="110"/>
        <v>15</v>
      </c>
    </row>
    <row r="2643" spans="1:7">
      <c r="A2643" s="45">
        <v>43215</v>
      </c>
      <c r="B2643" t="s">
        <v>479</v>
      </c>
      <c r="C2643">
        <f t="shared" si="109"/>
        <v>312.14</v>
      </c>
      <c r="D2643">
        <v>0.04</v>
      </c>
      <c r="E2643" t="s">
        <v>525</v>
      </c>
      <c r="F2643" t="s">
        <v>526</v>
      </c>
      <c r="G2643">
        <f t="shared" si="110"/>
        <v>12.4856</v>
      </c>
    </row>
    <row r="2644" spans="1:7">
      <c r="A2644" s="45">
        <v>43215</v>
      </c>
      <c r="B2644" t="s">
        <v>474</v>
      </c>
      <c r="C2644">
        <f t="shared" si="109"/>
        <v>27</v>
      </c>
      <c r="D2644">
        <v>3</v>
      </c>
      <c r="E2644" t="s">
        <v>525</v>
      </c>
      <c r="F2644" t="s">
        <v>526</v>
      </c>
      <c r="G2644">
        <f t="shared" si="110"/>
        <v>81</v>
      </c>
    </row>
    <row r="2645" spans="1:7">
      <c r="A2645" s="45">
        <v>43215</v>
      </c>
      <c r="B2645" t="s">
        <v>460</v>
      </c>
      <c r="C2645">
        <f t="shared" si="109"/>
        <v>43.98</v>
      </c>
      <c r="D2645">
        <v>0.25</v>
      </c>
      <c r="E2645" t="s">
        <v>525</v>
      </c>
      <c r="F2645" t="s">
        <v>526</v>
      </c>
      <c r="G2645">
        <f t="shared" si="110"/>
        <v>10.994999999999999</v>
      </c>
    </row>
    <row r="2646" spans="1:7">
      <c r="A2646" s="45">
        <v>43215</v>
      </c>
      <c r="B2646" t="s">
        <v>375</v>
      </c>
      <c r="C2646">
        <f t="shared" si="109"/>
        <v>280</v>
      </c>
      <c r="D2646">
        <v>0.13500000000000001</v>
      </c>
      <c r="E2646" t="s">
        <v>525</v>
      </c>
      <c r="F2646" t="s">
        <v>526</v>
      </c>
      <c r="G2646">
        <f t="shared" si="110"/>
        <v>37.800000000000004</v>
      </c>
    </row>
    <row r="2647" spans="1:7">
      <c r="A2647" s="45">
        <v>43215</v>
      </c>
      <c r="B2647" t="s">
        <v>426</v>
      </c>
      <c r="C2647">
        <f t="shared" si="109"/>
        <v>57.5</v>
      </c>
      <c r="D2647">
        <v>0.15</v>
      </c>
      <c r="E2647" t="s">
        <v>525</v>
      </c>
      <c r="F2647" t="s">
        <v>526</v>
      </c>
      <c r="G2647">
        <f t="shared" si="110"/>
        <v>8.625</v>
      </c>
    </row>
    <row r="2648" spans="1:7">
      <c r="A2648" s="45">
        <v>43215</v>
      </c>
      <c r="B2648" t="s">
        <v>387</v>
      </c>
      <c r="C2648">
        <f t="shared" si="109"/>
        <v>187.41</v>
      </c>
      <c r="D2648">
        <v>0.05</v>
      </c>
      <c r="E2648" t="s">
        <v>525</v>
      </c>
      <c r="F2648" t="s">
        <v>526</v>
      </c>
      <c r="G2648">
        <f t="shared" si="110"/>
        <v>9.3704999999999998</v>
      </c>
    </row>
    <row r="2649" spans="1:7">
      <c r="A2649" s="45">
        <v>43215</v>
      </c>
      <c r="B2649" t="s">
        <v>482</v>
      </c>
      <c r="C2649">
        <f t="shared" si="109"/>
        <v>48</v>
      </c>
      <c r="D2649">
        <v>0.25</v>
      </c>
      <c r="E2649" t="s">
        <v>525</v>
      </c>
      <c r="F2649" t="s">
        <v>526</v>
      </c>
      <c r="G2649">
        <f t="shared" si="110"/>
        <v>12</v>
      </c>
    </row>
    <row r="2650" spans="1:7">
      <c r="A2650" s="45">
        <v>43215</v>
      </c>
      <c r="B2650" t="s">
        <v>384</v>
      </c>
      <c r="C2650">
        <f t="shared" si="109"/>
        <v>3</v>
      </c>
      <c r="D2650">
        <v>4</v>
      </c>
      <c r="E2650" t="s">
        <v>525</v>
      </c>
      <c r="F2650" t="s">
        <v>526</v>
      </c>
      <c r="G2650">
        <f t="shared" si="110"/>
        <v>12</v>
      </c>
    </row>
    <row r="2651" spans="1:7">
      <c r="A2651" s="45">
        <v>43215</v>
      </c>
      <c r="B2651" t="s">
        <v>435</v>
      </c>
      <c r="C2651">
        <f t="shared" si="109"/>
        <v>17</v>
      </c>
      <c r="D2651">
        <v>0.52</v>
      </c>
      <c r="E2651" t="s">
        <v>525</v>
      </c>
      <c r="F2651" t="s">
        <v>526</v>
      </c>
      <c r="G2651">
        <f t="shared" si="110"/>
        <v>8.84</v>
      </c>
    </row>
    <row r="2652" spans="1:7">
      <c r="A2652" s="45">
        <v>43215</v>
      </c>
      <c r="B2652" t="s">
        <v>455</v>
      </c>
      <c r="C2652">
        <f t="shared" si="109"/>
        <v>380</v>
      </c>
      <c r="D2652">
        <v>0.01</v>
      </c>
      <c r="E2652" t="s">
        <v>525</v>
      </c>
      <c r="F2652" t="s">
        <v>526</v>
      </c>
      <c r="G2652">
        <f t="shared" si="110"/>
        <v>3.8000000000000003</v>
      </c>
    </row>
    <row r="2653" spans="1:7">
      <c r="A2653" s="45">
        <v>43215</v>
      </c>
      <c r="B2653" t="s">
        <v>475</v>
      </c>
      <c r="C2653">
        <f t="shared" si="109"/>
        <v>148</v>
      </c>
      <c r="D2653">
        <v>0.08</v>
      </c>
      <c r="E2653" t="s">
        <v>525</v>
      </c>
      <c r="F2653" t="s">
        <v>526</v>
      </c>
      <c r="G2653">
        <f t="shared" si="110"/>
        <v>11.84</v>
      </c>
    </row>
    <row r="2654" spans="1:7">
      <c r="A2654" s="45">
        <v>43215</v>
      </c>
      <c r="B2654" t="s">
        <v>518</v>
      </c>
      <c r="C2654">
        <f t="shared" si="109"/>
        <v>24</v>
      </c>
      <c r="D2654">
        <v>0.28399999999999997</v>
      </c>
      <c r="E2654" t="s">
        <v>525</v>
      </c>
      <c r="F2654" t="s">
        <v>526</v>
      </c>
      <c r="G2654">
        <f t="shared" si="110"/>
        <v>6.8159999999999989</v>
      </c>
    </row>
    <row r="2655" spans="1:7">
      <c r="A2655" s="45">
        <v>43215</v>
      </c>
      <c r="B2655" t="s">
        <v>372</v>
      </c>
      <c r="C2655">
        <f t="shared" si="109"/>
        <v>33</v>
      </c>
      <c r="D2655">
        <v>0.35599999999999998</v>
      </c>
      <c r="E2655" t="s">
        <v>525</v>
      </c>
      <c r="F2655" t="s">
        <v>526</v>
      </c>
      <c r="G2655">
        <f t="shared" si="110"/>
        <v>11.747999999999999</v>
      </c>
    </row>
    <row r="2656" spans="1:7">
      <c r="A2656" s="45">
        <v>43215</v>
      </c>
      <c r="B2656" t="s">
        <v>397</v>
      </c>
      <c r="C2656">
        <f t="shared" si="109"/>
        <v>75</v>
      </c>
      <c r="D2656">
        <v>0.37</v>
      </c>
      <c r="E2656" t="s">
        <v>525</v>
      </c>
      <c r="F2656" t="s">
        <v>526</v>
      </c>
      <c r="G2656">
        <f t="shared" si="110"/>
        <v>27.75</v>
      </c>
    </row>
    <row r="2657" spans="1:12">
      <c r="A2657" s="45">
        <v>43215</v>
      </c>
      <c r="B2657" t="s">
        <v>379</v>
      </c>
      <c r="C2657">
        <f t="shared" si="109"/>
        <v>120</v>
      </c>
      <c r="D2657">
        <v>0.12</v>
      </c>
      <c r="E2657" t="s">
        <v>525</v>
      </c>
      <c r="F2657" t="s">
        <v>526</v>
      </c>
      <c r="G2657">
        <f t="shared" si="110"/>
        <v>14.399999999999999</v>
      </c>
    </row>
    <row r="2658" spans="1:12">
      <c r="A2658" s="45">
        <v>43215</v>
      </c>
      <c r="B2658" t="s">
        <v>561</v>
      </c>
      <c r="C2658">
        <f t="shared" si="109"/>
        <v>0</v>
      </c>
      <c r="D2658">
        <v>2.1</v>
      </c>
      <c r="E2658" t="s">
        <v>525</v>
      </c>
      <c r="F2658" t="s">
        <v>526</v>
      </c>
      <c r="G2658">
        <f t="shared" si="110"/>
        <v>0</v>
      </c>
    </row>
    <row r="2659" spans="1:12">
      <c r="A2659" s="45">
        <v>43215</v>
      </c>
      <c r="B2659" t="s">
        <v>675</v>
      </c>
      <c r="C2659">
        <f t="shared" si="109"/>
        <v>0</v>
      </c>
      <c r="D2659">
        <v>1.9</v>
      </c>
      <c r="E2659" t="s">
        <v>525</v>
      </c>
      <c r="F2659" t="s">
        <v>526</v>
      </c>
      <c r="G2659">
        <f t="shared" si="110"/>
        <v>0</v>
      </c>
    </row>
    <row r="2660" spans="1:12">
      <c r="A2660" s="45">
        <v>43215</v>
      </c>
      <c r="B2660" t="s">
        <v>398</v>
      </c>
      <c r="C2660">
        <f t="shared" si="109"/>
        <v>51</v>
      </c>
      <c r="D2660">
        <v>0.06</v>
      </c>
      <c r="E2660" t="s">
        <v>525</v>
      </c>
      <c r="F2660" t="s">
        <v>526</v>
      </c>
      <c r="G2660">
        <f t="shared" si="110"/>
        <v>3.06</v>
      </c>
    </row>
    <row r="2661" spans="1:12">
      <c r="A2661" s="45">
        <v>43215</v>
      </c>
      <c r="B2661" t="s">
        <v>459</v>
      </c>
      <c r="C2661">
        <f t="shared" si="109"/>
        <v>190</v>
      </c>
      <c r="D2661">
        <v>0.17</v>
      </c>
      <c r="E2661" t="s">
        <v>525</v>
      </c>
      <c r="F2661" t="s">
        <v>526</v>
      </c>
      <c r="G2661">
        <f t="shared" si="110"/>
        <v>32.300000000000004</v>
      </c>
    </row>
    <row r="2662" spans="1:12">
      <c r="A2662" s="45">
        <v>43215</v>
      </c>
      <c r="B2662" t="s">
        <v>484</v>
      </c>
      <c r="C2662">
        <f t="shared" si="109"/>
        <v>430</v>
      </c>
      <c r="D2662">
        <v>0.13</v>
      </c>
      <c r="E2662" t="s">
        <v>525</v>
      </c>
      <c r="F2662" t="s">
        <v>526</v>
      </c>
      <c r="G2662">
        <f t="shared" si="110"/>
        <v>55.9</v>
      </c>
    </row>
    <row r="2663" spans="1:12">
      <c r="A2663" s="45">
        <v>43215</v>
      </c>
      <c r="B2663" t="s">
        <v>401</v>
      </c>
      <c r="C2663">
        <f t="shared" si="109"/>
        <v>33</v>
      </c>
      <c r="D2663">
        <f>0.05/0.4</f>
        <v>0.125</v>
      </c>
      <c r="E2663" t="s">
        <v>525</v>
      </c>
      <c r="F2663" t="s">
        <v>526</v>
      </c>
      <c r="G2663">
        <f t="shared" si="110"/>
        <v>4.125</v>
      </c>
    </row>
    <row r="2664" spans="1:12">
      <c r="A2664" s="45">
        <v>43215</v>
      </c>
      <c r="B2664" t="s">
        <v>473</v>
      </c>
      <c r="C2664">
        <f t="shared" si="109"/>
        <v>175</v>
      </c>
      <c r="D2664">
        <v>1.2</v>
      </c>
      <c r="E2664" t="s">
        <v>525</v>
      </c>
      <c r="F2664" t="s">
        <v>526</v>
      </c>
      <c r="G2664">
        <f t="shared" si="110"/>
        <v>210</v>
      </c>
    </row>
    <row r="2665" spans="1:12">
      <c r="A2665" s="45">
        <v>43215</v>
      </c>
      <c r="B2665" t="s">
        <v>451</v>
      </c>
      <c r="C2665">
        <f t="shared" si="109"/>
        <v>60</v>
      </c>
      <c r="D2665">
        <v>0.21</v>
      </c>
      <c r="E2665" t="s">
        <v>525</v>
      </c>
      <c r="F2665" t="s">
        <v>526</v>
      </c>
      <c r="G2665">
        <f t="shared" si="110"/>
        <v>12.6</v>
      </c>
    </row>
    <row r="2666" spans="1:12">
      <c r="A2666" s="45">
        <v>43215</v>
      </c>
      <c r="B2666" t="s">
        <v>468</v>
      </c>
      <c r="C2666">
        <f t="shared" si="109"/>
        <v>32</v>
      </c>
      <c r="D2666">
        <v>5</v>
      </c>
      <c r="E2666" t="s">
        <v>525</v>
      </c>
      <c r="F2666" t="s">
        <v>526</v>
      </c>
      <c r="G2666">
        <f t="shared" si="110"/>
        <v>160</v>
      </c>
    </row>
    <row r="2667" spans="1:12">
      <c r="A2667" s="45">
        <v>43215</v>
      </c>
      <c r="B2667" t="s">
        <v>489</v>
      </c>
      <c r="C2667">
        <f t="shared" si="109"/>
        <v>280</v>
      </c>
      <c r="D2667">
        <v>0.38</v>
      </c>
      <c r="E2667" t="s">
        <v>525</v>
      </c>
      <c r="F2667" t="s">
        <v>526</v>
      </c>
      <c r="G2667">
        <f t="shared" si="110"/>
        <v>106.4</v>
      </c>
    </row>
    <row r="2668" spans="1:12">
      <c r="A2668" s="45">
        <v>43215</v>
      </c>
      <c r="B2668" t="s">
        <v>490</v>
      </c>
      <c r="C2668">
        <f t="shared" si="109"/>
        <v>100</v>
      </c>
      <c r="D2668">
        <v>0.35</v>
      </c>
      <c r="E2668" t="s">
        <v>525</v>
      </c>
      <c r="F2668" t="s">
        <v>526</v>
      </c>
      <c r="G2668">
        <f t="shared" si="110"/>
        <v>35</v>
      </c>
    </row>
    <row r="2669" spans="1:12">
      <c r="A2669" s="45">
        <v>43215</v>
      </c>
      <c r="B2669" t="s">
        <v>458</v>
      </c>
      <c r="C2669">
        <f t="shared" si="109"/>
        <v>140</v>
      </c>
      <c r="D2669">
        <v>1</v>
      </c>
      <c r="E2669" t="s">
        <v>525</v>
      </c>
      <c r="F2669" t="s">
        <v>526</v>
      </c>
      <c r="G2669">
        <f t="shared" si="110"/>
        <v>140</v>
      </c>
    </row>
    <row r="2670" spans="1:12">
      <c r="A2670" s="45">
        <v>43215</v>
      </c>
      <c r="B2670" t="s">
        <v>382</v>
      </c>
      <c r="C2670">
        <f t="shared" si="109"/>
        <v>42</v>
      </c>
      <c r="D2670">
        <v>1.5</v>
      </c>
      <c r="E2670" t="s">
        <v>525</v>
      </c>
      <c r="F2670" t="s">
        <v>526</v>
      </c>
      <c r="G2670">
        <f t="shared" si="110"/>
        <v>63</v>
      </c>
      <c r="L2670" t="s">
        <v>625</v>
      </c>
    </row>
    <row r="2671" spans="1:12">
      <c r="A2671" s="45">
        <v>43215</v>
      </c>
      <c r="B2671" t="s">
        <v>382</v>
      </c>
      <c r="C2671">
        <f t="shared" si="109"/>
        <v>42</v>
      </c>
      <c r="D2671">
        <v>0.5</v>
      </c>
      <c r="E2671" t="s">
        <v>336</v>
      </c>
      <c r="F2671" t="s">
        <v>527</v>
      </c>
      <c r="G2671">
        <f t="shared" si="110"/>
        <v>21</v>
      </c>
      <c r="L2671" t="s">
        <v>724</v>
      </c>
    </row>
    <row r="2672" spans="1:12">
      <c r="A2672" s="45">
        <v>43215</v>
      </c>
      <c r="B2672" t="s">
        <v>436</v>
      </c>
      <c r="C2672">
        <f t="shared" si="109"/>
        <v>37</v>
      </c>
      <c r="D2672">
        <v>0.5</v>
      </c>
      <c r="E2672" t="s">
        <v>542</v>
      </c>
      <c r="F2672" t="s">
        <v>554</v>
      </c>
      <c r="G2672">
        <f t="shared" si="110"/>
        <v>18.5</v>
      </c>
    </row>
    <row r="2673" spans="1:12">
      <c r="A2673" s="45">
        <v>43215</v>
      </c>
      <c r="B2673" t="s">
        <v>441</v>
      </c>
      <c r="C2673">
        <f t="shared" si="109"/>
        <v>390</v>
      </c>
      <c r="D2673">
        <v>0.28000000000000003</v>
      </c>
      <c r="E2673" t="s">
        <v>542</v>
      </c>
      <c r="F2673" t="s">
        <v>554</v>
      </c>
      <c r="G2673">
        <f t="shared" si="110"/>
        <v>109.20000000000002</v>
      </c>
    </row>
    <row r="2674" spans="1:12">
      <c r="A2674" s="45">
        <v>43215</v>
      </c>
      <c r="B2674" t="s">
        <v>385</v>
      </c>
      <c r="C2674">
        <f t="shared" si="109"/>
        <v>36</v>
      </c>
      <c r="D2674">
        <v>7</v>
      </c>
      <c r="E2674" t="s">
        <v>542</v>
      </c>
      <c r="F2674" t="s">
        <v>554</v>
      </c>
      <c r="G2674">
        <f t="shared" si="110"/>
        <v>252</v>
      </c>
    </row>
    <row r="2675" spans="1:12">
      <c r="A2675" s="45">
        <v>43215</v>
      </c>
      <c r="B2675" t="s">
        <v>432</v>
      </c>
      <c r="C2675">
        <f t="shared" si="109"/>
        <v>14</v>
      </c>
      <c r="D2675">
        <v>0.3</v>
      </c>
      <c r="E2675" t="s">
        <v>555</v>
      </c>
      <c r="F2675" t="s">
        <v>556</v>
      </c>
      <c r="G2675">
        <f t="shared" si="110"/>
        <v>4.2</v>
      </c>
    </row>
    <row r="2676" spans="1:12">
      <c r="A2676" s="45">
        <v>43215</v>
      </c>
      <c r="B2676" t="s">
        <v>384</v>
      </c>
      <c r="C2676">
        <f t="shared" si="109"/>
        <v>3</v>
      </c>
      <c r="D2676">
        <v>6</v>
      </c>
      <c r="E2676" t="s">
        <v>555</v>
      </c>
      <c r="F2676" t="s">
        <v>556</v>
      </c>
      <c r="G2676">
        <f t="shared" si="110"/>
        <v>18</v>
      </c>
    </row>
    <row r="2677" spans="1:12">
      <c r="A2677" s="45">
        <v>43215</v>
      </c>
      <c r="B2677" t="s">
        <v>709</v>
      </c>
      <c r="C2677">
        <f t="shared" si="109"/>
        <v>14</v>
      </c>
      <c r="D2677">
        <v>3</v>
      </c>
      <c r="E2677" t="s">
        <v>710</v>
      </c>
      <c r="F2677" t="s">
        <v>711</v>
      </c>
      <c r="G2677">
        <f t="shared" si="110"/>
        <v>42</v>
      </c>
    </row>
    <row r="2678" spans="1:12">
      <c r="A2678" s="45">
        <v>43215</v>
      </c>
      <c r="B2678" t="s">
        <v>373</v>
      </c>
      <c r="C2678">
        <f t="shared" si="109"/>
        <v>33</v>
      </c>
      <c r="D2678">
        <v>0.25</v>
      </c>
      <c r="E2678" t="s">
        <v>710</v>
      </c>
      <c r="F2678" t="s">
        <v>711</v>
      </c>
      <c r="G2678">
        <f t="shared" si="110"/>
        <v>8.25</v>
      </c>
    </row>
    <row r="2679" spans="1:12">
      <c r="A2679" s="45">
        <v>43215</v>
      </c>
      <c r="B2679" t="s">
        <v>444</v>
      </c>
      <c r="C2679">
        <f t="shared" si="109"/>
        <v>50</v>
      </c>
      <c r="D2679">
        <v>5</v>
      </c>
      <c r="E2679" t="s">
        <v>543</v>
      </c>
      <c r="F2679" t="s">
        <v>527</v>
      </c>
      <c r="G2679">
        <f t="shared" si="110"/>
        <v>250</v>
      </c>
    </row>
    <row r="2680" spans="1:12">
      <c r="A2680" s="45">
        <v>43215</v>
      </c>
      <c r="B2680" t="s">
        <v>449</v>
      </c>
      <c r="C2680">
        <f t="shared" si="109"/>
        <v>20</v>
      </c>
      <c r="D2680">
        <v>3.7</v>
      </c>
      <c r="E2680" t="s">
        <v>543</v>
      </c>
      <c r="F2680" t="s">
        <v>527</v>
      </c>
      <c r="G2680">
        <f t="shared" si="110"/>
        <v>74</v>
      </c>
    </row>
    <row r="2681" spans="1:12">
      <c r="A2681" s="45">
        <v>43215</v>
      </c>
      <c r="B2681" t="s">
        <v>385</v>
      </c>
      <c r="C2681">
        <f t="shared" si="109"/>
        <v>36</v>
      </c>
      <c r="D2681">
        <v>2.5</v>
      </c>
      <c r="E2681" t="s">
        <v>543</v>
      </c>
      <c r="F2681" t="s">
        <v>527</v>
      </c>
      <c r="G2681">
        <f t="shared" si="110"/>
        <v>90</v>
      </c>
    </row>
    <row r="2682" spans="1:12">
      <c r="A2682" s="45">
        <v>43215</v>
      </c>
      <c r="B2682" t="s">
        <v>382</v>
      </c>
      <c r="C2682">
        <f t="shared" si="109"/>
        <v>42</v>
      </c>
      <c r="D2682">
        <v>2</v>
      </c>
      <c r="E2682" t="s">
        <v>543</v>
      </c>
      <c r="F2682" t="s">
        <v>527</v>
      </c>
      <c r="G2682">
        <f t="shared" si="110"/>
        <v>84</v>
      </c>
    </row>
    <row r="2683" spans="1:12">
      <c r="A2683" s="45">
        <v>43215</v>
      </c>
      <c r="B2683" t="s">
        <v>447</v>
      </c>
      <c r="C2683">
        <f t="shared" ref="C2683:C2746" si="111">IF(B2683="","",VLOOKUP(B2683,$XEY$3:$XEZ$1158,2,FALSE))</f>
        <v>30</v>
      </c>
      <c r="D2683">
        <v>0.3</v>
      </c>
      <c r="E2683" t="s">
        <v>543</v>
      </c>
      <c r="F2683" t="s">
        <v>527</v>
      </c>
      <c r="G2683">
        <f t="shared" ref="G2683:G2742" si="112">IF(C2683="","",C2683*D2683)</f>
        <v>9</v>
      </c>
    </row>
    <row r="2684" spans="1:12">
      <c r="A2684" s="45">
        <v>43215</v>
      </c>
      <c r="B2684" t="s">
        <v>384</v>
      </c>
      <c r="C2684">
        <f t="shared" si="111"/>
        <v>3</v>
      </c>
      <c r="D2684">
        <v>25</v>
      </c>
      <c r="E2684" t="s">
        <v>543</v>
      </c>
      <c r="F2684" t="s">
        <v>527</v>
      </c>
      <c r="G2684">
        <f t="shared" si="112"/>
        <v>75</v>
      </c>
    </row>
    <row r="2685" spans="1:12">
      <c r="A2685" s="45">
        <v>43215</v>
      </c>
      <c r="B2685" t="s">
        <v>436</v>
      </c>
      <c r="C2685">
        <f t="shared" si="111"/>
        <v>37</v>
      </c>
      <c r="D2685">
        <v>5</v>
      </c>
      <c r="E2685" t="s">
        <v>543</v>
      </c>
      <c r="F2685" t="s">
        <v>527</v>
      </c>
      <c r="G2685">
        <f t="shared" si="112"/>
        <v>185</v>
      </c>
      <c r="L2685" t="s">
        <v>725</v>
      </c>
    </row>
    <row r="2686" spans="1:12">
      <c r="A2686" s="45">
        <v>43215</v>
      </c>
      <c r="B2686" t="s">
        <v>436</v>
      </c>
      <c r="C2686">
        <f t="shared" si="111"/>
        <v>37</v>
      </c>
      <c r="D2686">
        <v>0.15</v>
      </c>
      <c r="E2686" t="s">
        <v>543</v>
      </c>
      <c r="F2686" t="s">
        <v>527</v>
      </c>
      <c r="G2686">
        <f t="shared" si="112"/>
        <v>5.55</v>
      </c>
    </row>
    <row r="2687" spans="1:12">
      <c r="A2687" s="45">
        <v>43215</v>
      </c>
      <c r="B2687" t="s">
        <v>461</v>
      </c>
      <c r="C2687">
        <f t="shared" si="111"/>
        <v>1450</v>
      </c>
      <c r="D2687">
        <v>0.05</v>
      </c>
      <c r="E2687" t="s">
        <v>543</v>
      </c>
      <c r="F2687" t="s">
        <v>527</v>
      </c>
      <c r="G2687">
        <f t="shared" si="112"/>
        <v>72.5</v>
      </c>
    </row>
    <row r="2688" spans="1:12">
      <c r="A2688" s="45">
        <v>43215</v>
      </c>
      <c r="B2688" t="s">
        <v>622</v>
      </c>
      <c r="C2688">
        <f t="shared" si="111"/>
        <v>130</v>
      </c>
      <c r="D2688">
        <v>0.3</v>
      </c>
      <c r="E2688" t="s">
        <v>543</v>
      </c>
      <c r="F2688" t="s">
        <v>527</v>
      </c>
      <c r="G2688">
        <f t="shared" si="112"/>
        <v>39</v>
      </c>
    </row>
    <row r="2689" spans="1:14">
      <c r="A2689" s="45">
        <v>43215</v>
      </c>
      <c r="B2689" t="s">
        <v>432</v>
      </c>
      <c r="C2689">
        <f t="shared" si="111"/>
        <v>14</v>
      </c>
      <c r="D2689">
        <v>0.52</v>
      </c>
      <c r="E2689" t="s">
        <v>528</v>
      </c>
      <c r="F2689" t="s">
        <v>527</v>
      </c>
      <c r="G2689">
        <f t="shared" si="112"/>
        <v>7.28</v>
      </c>
    </row>
    <row r="2690" spans="1:14">
      <c r="A2690" s="45">
        <v>43215</v>
      </c>
      <c r="B2690" t="s">
        <v>476</v>
      </c>
      <c r="C2690">
        <f t="shared" si="111"/>
        <v>14.75</v>
      </c>
      <c r="D2690">
        <v>0.42</v>
      </c>
      <c r="E2690" t="s">
        <v>528</v>
      </c>
      <c r="F2690" t="s">
        <v>527</v>
      </c>
      <c r="G2690">
        <f t="shared" si="112"/>
        <v>6.1949999999999994</v>
      </c>
    </row>
    <row r="2691" spans="1:14">
      <c r="A2691" s="45">
        <v>43215</v>
      </c>
      <c r="B2691" t="s">
        <v>391</v>
      </c>
      <c r="C2691">
        <f t="shared" si="111"/>
        <v>27.97</v>
      </c>
      <c r="D2691">
        <v>0.35</v>
      </c>
      <c r="E2691" t="s">
        <v>528</v>
      </c>
      <c r="F2691" t="s">
        <v>527</v>
      </c>
      <c r="G2691">
        <f t="shared" si="112"/>
        <v>9.7894999999999985</v>
      </c>
    </row>
    <row r="2692" spans="1:14">
      <c r="A2692" s="45">
        <v>43215</v>
      </c>
      <c r="B2692" t="s">
        <v>378</v>
      </c>
      <c r="C2692">
        <f t="shared" si="111"/>
        <v>25</v>
      </c>
      <c r="D2692">
        <v>0.05</v>
      </c>
      <c r="E2692" t="s">
        <v>528</v>
      </c>
      <c r="F2692" t="s">
        <v>527</v>
      </c>
      <c r="G2692">
        <f t="shared" si="112"/>
        <v>1.25</v>
      </c>
    </row>
    <row r="2693" spans="1:14">
      <c r="A2693" s="45">
        <v>43215</v>
      </c>
      <c r="B2693" t="s">
        <v>385</v>
      </c>
      <c r="C2693">
        <f t="shared" si="111"/>
        <v>36</v>
      </c>
      <c r="D2693">
        <v>3</v>
      </c>
      <c r="E2693" t="s">
        <v>336</v>
      </c>
      <c r="F2693" t="s">
        <v>527</v>
      </c>
      <c r="G2693">
        <f t="shared" si="112"/>
        <v>108</v>
      </c>
      <c r="N2693" t="s">
        <v>717</v>
      </c>
    </row>
    <row r="2694" spans="1:14">
      <c r="A2694" s="45">
        <v>43215</v>
      </c>
      <c r="B2694" t="s">
        <v>382</v>
      </c>
      <c r="C2694">
        <f t="shared" si="111"/>
        <v>42</v>
      </c>
      <c r="D2694">
        <v>1.5</v>
      </c>
      <c r="E2694" t="s">
        <v>336</v>
      </c>
      <c r="F2694" t="s">
        <v>527</v>
      </c>
      <c r="G2694">
        <f t="shared" si="112"/>
        <v>63</v>
      </c>
    </row>
    <row r="2695" spans="1:14">
      <c r="A2695" s="45">
        <v>43215</v>
      </c>
      <c r="B2695" t="s">
        <v>508</v>
      </c>
      <c r="C2695">
        <f t="shared" si="111"/>
        <v>86</v>
      </c>
      <c r="D2695">
        <v>0.57999999999999996</v>
      </c>
      <c r="E2695" t="s">
        <v>336</v>
      </c>
      <c r="F2695" t="s">
        <v>527</v>
      </c>
      <c r="G2695">
        <f t="shared" si="112"/>
        <v>49.879999999999995</v>
      </c>
      <c r="N2695" t="s">
        <v>717</v>
      </c>
    </row>
    <row r="2696" spans="1:14">
      <c r="A2696" s="45">
        <v>43215</v>
      </c>
      <c r="B2696" t="s">
        <v>436</v>
      </c>
      <c r="C2696">
        <f t="shared" si="111"/>
        <v>37</v>
      </c>
      <c r="D2696">
        <v>0.45</v>
      </c>
      <c r="E2696" t="s">
        <v>336</v>
      </c>
      <c r="F2696" t="s">
        <v>527</v>
      </c>
      <c r="G2696">
        <f t="shared" si="112"/>
        <v>16.650000000000002</v>
      </c>
      <c r="N2696" t="s">
        <v>717</v>
      </c>
    </row>
    <row r="2697" spans="1:14">
      <c r="A2697" s="45">
        <v>43215</v>
      </c>
      <c r="B2697" t="s">
        <v>404</v>
      </c>
      <c r="C2697">
        <f t="shared" si="111"/>
        <v>28</v>
      </c>
      <c r="D2697">
        <v>3</v>
      </c>
      <c r="E2697" t="s">
        <v>336</v>
      </c>
      <c r="F2697" t="s">
        <v>527</v>
      </c>
      <c r="G2697">
        <f t="shared" si="112"/>
        <v>84</v>
      </c>
      <c r="N2697" t="s">
        <v>717</v>
      </c>
    </row>
    <row r="2698" spans="1:14">
      <c r="A2698" s="45">
        <v>43215</v>
      </c>
      <c r="B2698" t="s">
        <v>511</v>
      </c>
      <c r="C2698">
        <f t="shared" si="111"/>
        <v>52</v>
      </c>
      <c r="D2698">
        <v>4.5</v>
      </c>
      <c r="E2698" t="s">
        <v>336</v>
      </c>
      <c r="F2698" t="s">
        <v>527</v>
      </c>
      <c r="G2698">
        <f t="shared" si="112"/>
        <v>234</v>
      </c>
    </row>
    <row r="2699" spans="1:14">
      <c r="A2699" s="45">
        <v>43215</v>
      </c>
      <c r="B2699" t="s">
        <v>375</v>
      </c>
      <c r="C2699">
        <f t="shared" si="111"/>
        <v>280</v>
      </c>
      <c r="D2699">
        <v>0.12</v>
      </c>
      <c r="E2699" t="s">
        <v>336</v>
      </c>
      <c r="F2699" t="s">
        <v>527</v>
      </c>
      <c r="G2699">
        <f t="shared" si="112"/>
        <v>33.6</v>
      </c>
      <c r="N2699" t="s">
        <v>717</v>
      </c>
    </row>
    <row r="2700" spans="1:14">
      <c r="A2700" s="45">
        <v>43215</v>
      </c>
      <c r="B2700" t="s">
        <v>379</v>
      </c>
      <c r="C2700">
        <f t="shared" si="111"/>
        <v>120</v>
      </c>
      <c r="D2700">
        <v>0.13</v>
      </c>
      <c r="E2700" t="s">
        <v>336</v>
      </c>
      <c r="F2700" t="s">
        <v>527</v>
      </c>
      <c r="G2700">
        <f t="shared" si="112"/>
        <v>15.600000000000001</v>
      </c>
      <c r="N2700" t="s">
        <v>717</v>
      </c>
    </row>
    <row r="2701" spans="1:14">
      <c r="A2701" s="45">
        <v>43215</v>
      </c>
      <c r="B2701" t="s">
        <v>509</v>
      </c>
      <c r="C2701">
        <f t="shared" si="111"/>
        <v>500</v>
      </c>
      <c r="D2701">
        <v>0</v>
      </c>
      <c r="E2701" t="s">
        <v>336</v>
      </c>
      <c r="F2701" t="s">
        <v>527</v>
      </c>
      <c r="G2701">
        <f t="shared" si="112"/>
        <v>0</v>
      </c>
      <c r="N2701" t="s">
        <v>717</v>
      </c>
    </row>
    <row r="2702" spans="1:14">
      <c r="A2702" s="45">
        <v>43215</v>
      </c>
      <c r="B2702" t="s">
        <v>387</v>
      </c>
      <c r="C2702">
        <f t="shared" si="111"/>
        <v>187.41</v>
      </c>
      <c r="D2702">
        <v>0.02</v>
      </c>
      <c r="E2702" t="s">
        <v>336</v>
      </c>
      <c r="F2702" t="s">
        <v>527</v>
      </c>
      <c r="G2702">
        <f t="shared" si="112"/>
        <v>3.7482000000000002</v>
      </c>
      <c r="N2702" t="s">
        <v>717</v>
      </c>
    </row>
    <row r="2703" spans="1:14">
      <c r="A2703" s="45">
        <v>43215</v>
      </c>
      <c r="B2703" t="s">
        <v>386</v>
      </c>
      <c r="C2703">
        <f t="shared" si="111"/>
        <v>82</v>
      </c>
      <c r="D2703">
        <v>1</v>
      </c>
      <c r="E2703" t="s">
        <v>336</v>
      </c>
      <c r="F2703" t="s">
        <v>527</v>
      </c>
      <c r="G2703">
        <f t="shared" si="112"/>
        <v>82</v>
      </c>
      <c r="N2703" t="s">
        <v>717</v>
      </c>
    </row>
    <row r="2704" spans="1:14">
      <c r="A2704" s="45">
        <v>43215</v>
      </c>
      <c r="B2704" t="s">
        <v>383</v>
      </c>
      <c r="C2704">
        <f t="shared" si="111"/>
        <v>230</v>
      </c>
      <c r="D2704">
        <v>0.08</v>
      </c>
      <c r="E2704" t="s">
        <v>336</v>
      </c>
      <c r="F2704" t="s">
        <v>527</v>
      </c>
      <c r="G2704">
        <f t="shared" si="112"/>
        <v>18.400000000000002</v>
      </c>
      <c r="N2704" t="s">
        <v>717</v>
      </c>
    </row>
    <row r="2705" spans="1:14">
      <c r="A2705" s="45">
        <v>43215</v>
      </c>
      <c r="B2705" t="s">
        <v>431</v>
      </c>
      <c r="C2705">
        <f t="shared" si="111"/>
        <v>70</v>
      </c>
      <c r="D2705">
        <v>0.05</v>
      </c>
      <c r="E2705" t="s">
        <v>336</v>
      </c>
      <c r="F2705" t="s">
        <v>527</v>
      </c>
      <c r="G2705">
        <f t="shared" si="112"/>
        <v>3.5</v>
      </c>
      <c r="N2705" t="s">
        <v>717</v>
      </c>
    </row>
    <row r="2706" spans="1:14">
      <c r="A2706" s="45">
        <v>43215</v>
      </c>
      <c r="B2706" t="s">
        <v>367</v>
      </c>
      <c r="C2706">
        <f t="shared" si="111"/>
        <v>55</v>
      </c>
      <c r="D2706">
        <v>0.23499999999999999</v>
      </c>
      <c r="E2706" t="s">
        <v>336</v>
      </c>
      <c r="F2706" t="s">
        <v>527</v>
      </c>
      <c r="G2706">
        <f t="shared" si="112"/>
        <v>12.924999999999999</v>
      </c>
      <c r="N2706" t="s">
        <v>717</v>
      </c>
    </row>
    <row r="2707" spans="1:14">
      <c r="A2707" s="45">
        <v>43215</v>
      </c>
      <c r="B2707" t="s">
        <v>512</v>
      </c>
      <c r="C2707">
        <f t="shared" si="111"/>
        <v>170</v>
      </c>
      <c r="D2707">
        <v>0.12</v>
      </c>
      <c r="E2707" t="s">
        <v>336</v>
      </c>
      <c r="F2707" t="s">
        <v>527</v>
      </c>
      <c r="G2707">
        <f t="shared" si="112"/>
        <v>20.399999999999999</v>
      </c>
      <c r="N2707" t="s">
        <v>717</v>
      </c>
    </row>
    <row r="2708" spans="1:14">
      <c r="A2708" s="45">
        <v>43215</v>
      </c>
      <c r="B2708" t="s">
        <v>466</v>
      </c>
      <c r="C2708">
        <f t="shared" si="111"/>
        <v>125</v>
      </c>
      <c r="D2708">
        <v>1.4999999999999999E-2</v>
      </c>
      <c r="E2708" t="s">
        <v>336</v>
      </c>
      <c r="F2708" t="s">
        <v>527</v>
      </c>
      <c r="G2708">
        <f t="shared" si="112"/>
        <v>1.875</v>
      </c>
      <c r="N2708" t="s">
        <v>717</v>
      </c>
    </row>
    <row r="2709" spans="1:14">
      <c r="A2709" s="45">
        <v>43215</v>
      </c>
      <c r="B2709" t="s">
        <v>410</v>
      </c>
      <c r="C2709">
        <f t="shared" si="111"/>
        <v>76</v>
      </c>
      <c r="D2709">
        <v>0.13500000000000001</v>
      </c>
      <c r="E2709" t="s">
        <v>336</v>
      </c>
      <c r="F2709" t="s">
        <v>527</v>
      </c>
      <c r="G2709">
        <f t="shared" si="112"/>
        <v>10.260000000000002</v>
      </c>
      <c r="N2709" t="s">
        <v>717</v>
      </c>
    </row>
    <row r="2710" spans="1:14">
      <c r="A2710" s="45">
        <v>43215</v>
      </c>
      <c r="B2710" t="s">
        <v>432</v>
      </c>
      <c r="C2710">
        <f t="shared" si="111"/>
        <v>14</v>
      </c>
      <c r="D2710">
        <v>3</v>
      </c>
      <c r="E2710" t="s">
        <v>336</v>
      </c>
      <c r="F2710" t="s">
        <v>527</v>
      </c>
      <c r="G2710">
        <f t="shared" si="112"/>
        <v>42</v>
      </c>
      <c r="N2710" t="s">
        <v>717</v>
      </c>
    </row>
    <row r="2711" spans="1:14">
      <c r="A2711" s="45">
        <v>43215</v>
      </c>
      <c r="B2711" t="s">
        <v>427</v>
      </c>
      <c r="C2711">
        <f t="shared" si="111"/>
        <v>28</v>
      </c>
      <c r="D2711">
        <v>0.3</v>
      </c>
      <c r="E2711" t="s">
        <v>336</v>
      </c>
      <c r="F2711" t="s">
        <v>527</v>
      </c>
      <c r="G2711">
        <f t="shared" si="112"/>
        <v>8.4</v>
      </c>
      <c r="N2711" t="s">
        <v>717</v>
      </c>
    </row>
    <row r="2712" spans="1:14">
      <c r="A2712" s="45">
        <v>43215</v>
      </c>
      <c r="B2712" t="s">
        <v>437</v>
      </c>
      <c r="C2712">
        <f t="shared" si="111"/>
        <v>34</v>
      </c>
      <c r="D2712">
        <v>0.75</v>
      </c>
      <c r="E2712" t="s">
        <v>336</v>
      </c>
      <c r="F2712" t="s">
        <v>527</v>
      </c>
      <c r="G2712">
        <f t="shared" si="112"/>
        <v>25.5</v>
      </c>
    </row>
    <row r="2713" spans="1:14">
      <c r="A2713" s="45">
        <v>43215</v>
      </c>
      <c r="B2713" t="s">
        <v>409</v>
      </c>
      <c r="C2713">
        <f t="shared" si="111"/>
        <v>64.069999999999993</v>
      </c>
      <c r="D2713">
        <v>0.6</v>
      </c>
      <c r="E2713" t="s">
        <v>336</v>
      </c>
      <c r="F2713" t="s">
        <v>527</v>
      </c>
      <c r="G2713">
        <f t="shared" si="112"/>
        <v>38.441999999999993</v>
      </c>
      <c r="N2713" t="s">
        <v>717</v>
      </c>
    </row>
    <row r="2714" spans="1:14">
      <c r="A2714" s="45">
        <v>43215</v>
      </c>
      <c r="B2714" t="s">
        <v>462</v>
      </c>
      <c r="C2714">
        <f t="shared" si="111"/>
        <v>138</v>
      </c>
      <c r="D2714">
        <v>0.03</v>
      </c>
      <c r="E2714" t="s">
        <v>336</v>
      </c>
      <c r="F2714" t="s">
        <v>527</v>
      </c>
      <c r="G2714">
        <f t="shared" si="112"/>
        <v>4.1399999999999997</v>
      </c>
      <c r="N2714" t="s">
        <v>717</v>
      </c>
    </row>
    <row r="2715" spans="1:14">
      <c r="A2715" s="45">
        <v>43215</v>
      </c>
      <c r="B2715" t="s">
        <v>389</v>
      </c>
      <c r="C2715">
        <f t="shared" si="111"/>
        <v>280</v>
      </c>
      <c r="D2715">
        <v>0.03</v>
      </c>
      <c r="E2715" t="s">
        <v>336</v>
      </c>
      <c r="F2715" t="s">
        <v>527</v>
      </c>
      <c r="G2715">
        <f t="shared" si="112"/>
        <v>8.4</v>
      </c>
      <c r="N2715" t="s">
        <v>717</v>
      </c>
    </row>
    <row r="2716" spans="1:14">
      <c r="A2716" s="45">
        <v>43215</v>
      </c>
      <c r="B2716" t="s">
        <v>430</v>
      </c>
      <c r="C2716">
        <f t="shared" si="111"/>
        <v>30</v>
      </c>
      <c r="D2716">
        <v>0.3</v>
      </c>
      <c r="E2716" t="s">
        <v>336</v>
      </c>
      <c r="F2716" t="s">
        <v>527</v>
      </c>
      <c r="G2716">
        <f t="shared" si="112"/>
        <v>9</v>
      </c>
      <c r="N2716" t="s">
        <v>717</v>
      </c>
    </row>
    <row r="2717" spans="1:14">
      <c r="A2717" s="45">
        <v>43215</v>
      </c>
      <c r="B2717" t="s">
        <v>454</v>
      </c>
      <c r="C2717">
        <f t="shared" si="111"/>
        <v>43.06</v>
      </c>
      <c r="D2717">
        <v>0.4</v>
      </c>
      <c r="E2717" t="s">
        <v>336</v>
      </c>
      <c r="F2717" t="s">
        <v>527</v>
      </c>
      <c r="G2717">
        <f t="shared" si="112"/>
        <v>17.224</v>
      </c>
      <c r="N2717" t="s">
        <v>717</v>
      </c>
    </row>
    <row r="2718" spans="1:14">
      <c r="A2718" s="45">
        <v>43215</v>
      </c>
      <c r="B2718" t="s">
        <v>391</v>
      </c>
      <c r="C2718">
        <f t="shared" si="111"/>
        <v>27.97</v>
      </c>
      <c r="D2718">
        <v>0.35</v>
      </c>
      <c r="E2718" t="s">
        <v>336</v>
      </c>
      <c r="F2718" t="s">
        <v>527</v>
      </c>
      <c r="G2718">
        <f t="shared" si="112"/>
        <v>9.7894999999999985</v>
      </c>
      <c r="N2718" t="s">
        <v>717</v>
      </c>
    </row>
    <row r="2719" spans="1:14">
      <c r="A2719" s="45">
        <v>43215</v>
      </c>
      <c r="B2719" t="s">
        <v>420</v>
      </c>
      <c r="C2719">
        <f t="shared" si="111"/>
        <v>3</v>
      </c>
      <c r="D2719">
        <v>0</v>
      </c>
      <c r="E2719" t="s">
        <v>336</v>
      </c>
      <c r="F2719" t="s">
        <v>527</v>
      </c>
      <c r="G2719">
        <f t="shared" si="112"/>
        <v>0</v>
      </c>
      <c r="N2719" t="s">
        <v>717</v>
      </c>
    </row>
    <row r="2720" spans="1:14">
      <c r="A2720" s="45">
        <v>43215</v>
      </c>
      <c r="B2720" t="s">
        <v>519</v>
      </c>
      <c r="C2720">
        <f t="shared" si="111"/>
        <v>35</v>
      </c>
      <c r="D2720">
        <v>0</v>
      </c>
      <c r="E2720" t="s">
        <v>336</v>
      </c>
      <c r="F2720" t="s">
        <v>527</v>
      </c>
      <c r="G2720">
        <f t="shared" si="112"/>
        <v>0</v>
      </c>
      <c r="N2720" t="s">
        <v>717</v>
      </c>
    </row>
    <row r="2721" spans="1:14">
      <c r="A2721" s="45">
        <v>43215</v>
      </c>
      <c r="B2721" t="s">
        <v>434</v>
      </c>
      <c r="C2721">
        <f t="shared" si="111"/>
        <v>125</v>
      </c>
      <c r="D2721">
        <v>0.06</v>
      </c>
      <c r="E2721" t="s">
        <v>336</v>
      </c>
      <c r="F2721" t="s">
        <v>527</v>
      </c>
      <c r="G2721">
        <f t="shared" si="112"/>
        <v>7.5</v>
      </c>
      <c r="N2721" t="s">
        <v>717</v>
      </c>
    </row>
    <row r="2722" spans="1:14">
      <c r="A2722" s="45">
        <v>43215</v>
      </c>
      <c r="B2722" t="s">
        <v>479</v>
      </c>
      <c r="C2722">
        <f t="shared" si="111"/>
        <v>312.14</v>
      </c>
      <c r="D2722">
        <v>0.06</v>
      </c>
      <c r="E2722" t="s">
        <v>336</v>
      </c>
      <c r="F2722" t="s">
        <v>527</v>
      </c>
      <c r="G2722">
        <f t="shared" si="112"/>
        <v>18.728399999999997</v>
      </c>
      <c r="N2722" t="s">
        <v>717</v>
      </c>
    </row>
    <row r="2723" spans="1:14">
      <c r="A2723" s="45">
        <v>43215</v>
      </c>
      <c r="B2723" t="s">
        <v>378</v>
      </c>
      <c r="C2723">
        <f t="shared" si="111"/>
        <v>25</v>
      </c>
      <c r="D2723">
        <v>0.27</v>
      </c>
      <c r="E2723" t="s">
        <v>336</v>
      </c>
      <c r="F2723" t="s">
        <v>527</v>
      </c>
      <c r="G2723">
        <f t="shared" si="112"/>
        <v>6.75</v>
      </c>
      <c r="N2723" t="s">
        <v>717</v>
      </c>
    </row>
    <row r="2724" spans="1:14">
      <c r="A2724" s="45">
        <v>43215</v>
      </c>
      <c r="B2724" t="s">
        <v>513</v>
      </c>
      <c r="C2724">
        <f t="shared" si="111"/>
        <v>15</v>
      </c>
      <c r="D2724">
        <v>1.5</v>
      </c>
      <c r="E2724" t="s">
        <v>336</v>
      </c>
      <c r="F2724" t="s">
        <v>527</v>
      </c>
      <c r="G2724">
        <f t="shared" si="112"/>
        <v>22.5</v>
      </c>
      <c r="N2724" t="s">
        <v>717</v>
      </c>
    </row>
    <row r="2725" spans="1:14">
      <c r="A2725" s="45">
        <v>43215</v>
      </c>
      <c r="B2725" t="s">
        <v>392</v>
      </c>
      <c r="C2725">
        <f t="shared" si="111"/>
        <v>840</v>
      </c>
      <c r="D2725">
        <v>2.5000000000000001E-2</v>
      </c>
      <c r="E2725" t="s">
        <v>336</v>
      </c>
      <c r="F2725" t="s">
        <v>527</v>
      </c>
      <c r="G2725">
        <f t="shared" si="112"/>
        <v>21</v>
      </c>
      <c r="N2725" t="s">
        <v>717</v>
      </c>
    </row>
    <row r="2726" spans="1:14">
      <c r="A2726" s="45">
        <v>43215</v>
      </c>
      <c r="B2726" t="s">
        <v>506</v>
      </c>
      <c r="C2726">
        <f t="shared" si="111"/>
        <v>240</v>
      </c>
      <c r="D2726">
        <v>2.5000000000000001E-2</v>
      </c>
      <c r="E2726" t="s">
        <v>336</v>
      </c>
      <c r="F2726" t="s">
        <v>527</v>
      </c>
      <c r="G2726">
        <f t="shared" si="112"/>
        <v>6</v>
      </c>
      <c r="N2726" t="s">
        <v>717</v>
      </c>
    </row>
    <row r="2727" spans="1:14">
      <c r="A2727" s="45">
        <v>43215</v>
      </c>
      <c r="B2727" t="s">
        <v>501</v>
      </c>
      <c r="C2727">
        <f t="shared" si="111"/>
        <v>78</v>
      </c>
      <c r="D2727">
        <v>0.09</v>
      </c>
      <c r="E2727" t="s">
        <v>336</v>
      </c>
      <c r="F2727" t="s">
        <v>527</v>
      </c>
      <c r="G2727">
        <f t="shared" si="112"/>
        <v>7.02</v>
      </c>
      <c r="N2727" t="s">
        <v>717</v>
      </c>
    </row>
    <row r="2728" spans="1:14">
      <c r="A2728" s="45">
        <v>43215</v>
      </c>
      <c r="B2728" t="s">
        <v>380</v>
      </c>
      <c r="C2728">
        <f t="shared" si="111"/>
        <v>90</v>
      </c>
      <c r="D2728">
        <v>0.09</v>
      </c>
      <c r="E2728" t="s">
        <v>336</v>
      </c>
      <c r="F2728" t="s">
        <v>527</v>
      </c>
      <c r="G2728">
        <f t="shared" si="112"/>
        <v>8.1</v>
      </c>
      <c r="N2728" t="s">
        <v>717</v>
      </c>
    </row>
    <row r="2729" spans="1:14">
      <c r="A2729" s="45">
        <v>43215</v>
      </c>
      <c r="B2729" t="s">
        <v>471</v>
      </c>
      <c r="C2729">
        <f t="shared" si="111"/>
        <v>160</v>
      </c>
      <c r="D2729">
        <v>0.05</v>
      </c>
      <c r="E2729" t="s">
        <v>336</v>
      </c>
      <c r="F2729" t="s">
        <v>527</v>
      </c>
      <c r="G2729">
        <f t="shared" si="112"/>
        <v>8</v>
      </c>
    </row>
    <row r="2730" spans="1:14">
      <c r="A2730" s="45">
        <v>43215</v>
      </c>
      <c r="B2730" t="s">
        <v>510</v>
      </c>
      <c r="C2730">
        <f t="shared" si="111"/>
        <v>62.03</v>
      </c>
      <c r="D2730">
        <v>0.08</v>
      </c>
      <c r="E2730" t="s">
        <v>336</v>
      </c>
      <c r="F2730" t="s">
        <v>527</v>
      </c>
      <c r="G2730">
        <f t="shared" si="112"/>
        <v>4.9624000000000006</v>
      </c>
    </row>
    <row r="2731" spans="1:14">
      <c r="A2731" s="45">
        <v>43215</v>
      </c>
      <c r="B2731" t="s">
        <v>502</v>
      </c>
      <c r="C2731">
        <f t="shared" si="111"/>
        <v>40</v>
      </c>
      <c r="D2731">
        <v>0.1</v>
      </c>
      <c r="E2731" t="s">
        <v>336</v>
      </c>
      <c r="F2731" t="s">
        <v>527</v>
      </c>
      <c r="G2731">
        <f t="shared" si="112"/>
        <v>4</v>
      </c>
    </row>
    <row r="2732" spans="1:14">
      <c r="A2732" s="45">
        <v>43215</v>
      </c>
      <c r="B2732" t="s">
        <v>484</v>
      </c>
      <c r="C2732">
        <f t="shared" si="111"/>
        <v>430</v>
      </c>
      <c r="D2732">
        <v>0.08</v>
      </c>
      <c r="E2732" t="s">
        <v>336</v>
      </c>
      <c r="F2732" t="s">
        <v>527</v>
      </c>
      <c r="G2732">
        <f t="shared" si="112"/>
        <v>34.4</v>
      </c>
      <c r="N2732" t="s">
        <v>717</v>
      </c>
    </row>
    <row r="2733" spans="1:14">
      <c r="A2733" s="45">
        <v>43215</v>
      </c>
      <c r="B2733" t="s">
        <v>376</v>
      </c>
      <c r="C2733">
        <f t="shared" si="111"/>
        <v>220</v>
      </c>
      <c r="D2733">
        <v>0.01</v>
      </c>
      <c r="E2733" t="s">
        <v>336</v>
      </c>
      <c r="F2733" t="s">
        <v>527</v>
      </c>
      <c r="G2733">
        <f t="shared" si="112"/>
        <v>2.2000000000000002</v>
      </c>
    </row>
    <row r="2734" spans="1:14">
      <c r="A2734" s="45">
        <v>43215</v>
      </c>
      <c r="B2734" t="s">
        <v>377</v>
      </c>
      <c r="C2734">
        <f t="shared" si="111"/>
        <v>740</v>
      </c>
      <c r="D2734">
        <v>0.01</v>
      </c>
      <c r="E2734" t="s">
        <v>336</v>
      </c>
      <c r="F2734" t="s">
        <v>527</v>
      </c>
      <c r="G2734">
        <f t="shared" si="112"/>
        <v>7.4</v>
      </c>
    </row>
    <row r="2735" spans="1:14">
      <c r="A2735" s="45">
        <v>43215</v>
      </c>
      <c r="B2735" t="s">
        <v>461</v>
      </c>
      <c r="C2735">
        <f t="shared" si="111"/>
        <v>1450</v>
      </c>
      <c r="D2735">
        <v>5.0000000000000001E-3</v>
      </c>
      <c r="E2735" t="s">
        <v>336</v>
      </c>
      <c r="F2735" t="s">
        <v>527</v>
      </c>
      <c r="G2735">
        <f t="shared" si="112"/>
        <v>7.25</v>
      </c>
    </row>
    <row r="2736" spans="1:14">
      <c r="A2736" s="45">
        <v>43215</v>
      </c>
      <c r="B2736" t="s">
        <v>464</v>
      </c>
      <c r="C2736">
        <f t="shared" si="111"/>
        <v>750</v>
      </c>
      <c r="D2736">
        <v>0.01</v>
      </c>
      <c r="E2736" t="s">
        <v>336</v>
      </c>
      <c r="F2736" t="s">
        <v>527</v>
      </c>
      <c r="G2736">
        <f t="shared" si="112"/>
        <v>7.5</v>
      </c>
    </row>
    <row r="2737" spans="1:14">
      <c r="A2737" s="45">
        <v>43215</v>
      </c>
      <c r="B2737" t="s">
        <v>399</v>
      </c>
      <c r="C2737">
        <f t="shared" si="111"/>
        <v>1480</v>
      </c>
      <c r="D2737">
        <v>5.0000000000000001E-3</v>
      </c>
      <c r="E2737" t="s">
        <v>336</v>
      </c>
      <c r="F2737" t="s">
        <v>527</v>
      </c>
      <c r="G2737">
        <f t="shared" si="112"/>
        <v>7.4</v>
      </c>
    </row>
    <row r="2738" spans="1:14">
      <c r="A2738" s="45">
        <v>43215</v>
      </c>
      <c r="B2738" t="s">
        <v>380</v>
      </c>
      <c r="C2738">
        <f t="shared" si="111"/>
        <v>90</v>
      </c>
      <c r="D2738">
        <v>0.09</v>
      </c>
      <c r="E2738" t="s">
        <v>336</v>
      </c>
      <c r="F2738" t="s">
        <v>527</v>
      </c>
      <c r="G2738">
        <f t="shared" si="112"/>
        <v>8.1</v>
      </c>
    </row>
    <row r="2739" spans="1:14">
      <c r="A2739" s="45">
        <v>43215</v>
      </c>
      <c r="B2739" t="s">
        <v>461</v>
      </c>
      <c r="C2739">
        <f t="shared" si="111"/>
        <v>1450</v>
      </c>
      <c r="D2739">
        <v>0.01</v>
      </c>
      <c r="E2739" t="s">
        <v>336</v>
      </c>
      <c r="F2739" t="s">
        <v>527</v>
      </c>
      <c r="G2739">
        <f t="shared" si="112"/>
        <v>14.5</v>
      </c>
      <c r="N2739" t="s">
        <v>717</v>
      </c>
    </row>
    <row r="2740" spans="1:14">
      <c r="A2740" s="45">
        <v>43215</v>
      </c>
      <c r="B2740" t="s">
        <v>381</v>
      </c>
      <c r="C2740">
        <f t="shared" si="111"/>
        <v>7</v>
      </c>
      <c r="D2740">
        <v>0.55500000000000005</v>
      </c>
      <c r="E2740" t="s">
        <v>336</v>
      </c>
      <c r="F2740" t="s">
        <v>527</v>
      </c>
      <c r="G2740">
        <f t="shared" si="112"/>
        <v>3.8850000000000002</v>
      </c>
      <c r="N2740" t="s">
        <v>717</v>
      </c>
    </row>
    <row r="2741" spans="1:14">
      <c r="A2741" s="45">
        <v>43215</v>
      </c>
      <c r="B2741" t="s">
        <v>371</v>
      </c>
      <c r="C2741">
        <f t="shared" si="111"/>
        <v>23.33</v>
      </c>
      <c r="D2741">
        <v>0.1</v>
      </c>
      <c r="E2741" t="s">
        <v>336</v>
      </c>
      <c r="F2741" t="s">
        <v>527</v>
      </c>
      <c r="G2741">
        <f t="shared" si="112"/>
        <v>2.3329999999999997</v>
      </c>
      <c r="N2741" t="s">
        <v>717</v>
      </c>
    </row>
    <row r="2742" spans="1:14">
      <c r="A2742" s="45">
        <v>43216</v>
      </c>
      <c r="B2742" t="s">
        <v>428</v>
      </c>
      <c r="C2742">
        <f t="shared" si="111"/>
        <v>78.95</v>
      </c>
      <c r="D2742">
        <v>4.1399999999999997</v>
      </c>
      <c r="E2742" t="s">
        <v>336</v>
      </c>
      <c r="F2742" t="s">
        <v>527</v>
      </c>
      <c r="G2742">
        <f t="shared" si="112"/>
        <v>326.85300000000001</v>
      </c>
    </row>
    <row r="2743" spans="1:14">
      <c r="A2743" s="45">
        <v>43215</v>
      </c>
      <c r="C2743" t="str">
        <f t="shared" si="111"/>
        <v/>
      </c>
    </row>
    <row r="2744" spans="1:14">
      <c r="C2744" t="str">
        <f t="shared" si="111"/>
        <v/>
      </c>
    </row>
    <row r="2745" spans="1:14">
      <c r="C2745" t="str">
        <f t="shared" si="111"/>
        <v/>
      </c>
    </row>
    <row r="2746" spans="1:14">
      <c r="C2746" t="str">
        <f t="shared" si="111"/>
        <v/>
      </c>
    </row>
    <row r="2747" spans="1:14">
      <c r="C2747" t="str">
        <f t="shared" ref="C2747:C2776" si="113">IF(B2747="","",VLOOKUP(B2747,$XEY$3:$XEZ$1158,2,FALSE))</f>
        <v/>
      </c>
    </row>
    <row r="2748" spans="1:14">
      <c r="C2748" t="str">
        <f t="shared" si="113"/>
        <v/>
      </c>
    </row>
    <row r="2749" spans="1:14">
      <c r="C2749" t="str">
        <f t="shared" si="113"/>
        <v/>
      </c>
    </row>
    <row r="2750" spans="1:14">
      <c r="C2750" t="str">
        <f t="shared" si="113"/>
        <v/>
      </c>
    </row>
    <row r="2751" spans="1:14">
      <c r="C2751" t="str">
        <f t="shared" si="113"/>
        <v/>
      </c>
    </row>
    <row r="2752" spans="1:14">
      <c r="C2752" t="str">
        <f t="shared" si="113"/>
        <v/>
      </c>
    </row>
    <row r="2753" spans="3:3">
      <c r="C2753" t="str">
        <f t="shared" si="113"/>
        <v/>
      </c>
    </row>
    <row r="2754" spans="3:3">
      <c r="C2754" t="str">
        <f t="shared" si="113"/>
        <v/>
      </c>
    </row>
    <row r="2755" spans="3:3">
      <c r="C2755" t="str">
        <f t="shared" si="113"/>
        <v/>
      </c>
    </row>
    <row r="2756" spans="3:3">
      <c r="C2756" t="str">
        <f t="shared" si="113"/>
        <v/>
      </c>
    </row>
    <row r="2757" spans="3:3">
      <c r="C2757" t="str">
        <f t="shared" si="113"/>
        <v/>
      </c>
    </row>
    <row r="2758" spans="3:3">
      <c r="C2758" t="str">
        <f t="shared" si="113"/>
        <v/>
      </c>
    </row>
    <row r="2759" spans="3:3">
      <c r="C2759" t="str">
        <f t="shared" si="113"/>
        <v/>
      </c>
    </row>
    <row r="2760" spans="3:3">
      <c r="C2760" t="str">
        <f t="shared" si="113"/>
        <v/>
      </c>
    </row>
    <row r="2761" spans="3:3">
      <c r="C2761" t="str">
        <f t="shared" si="113"/>
        <v/>
      </c>
    </row>
    <row r="2762" spans="3:3">
      <c r="C2762" t="str">
        <f t="shared" si="113"/>
        <v/>
      </c>
    </row>
    <row r="2763" spans="3:3">
      <c r="C2763" t="str">
        <f t="shared" si="113"/>
        <v/>
      </c>
    </row>
    <row r="2764" spans="3:3">
      <c r="C2764" t="str">
        <f t="shared" si="113"/>
        <v/>
      </c>
    </row>
    <row r="2765" spans="3:3">
      <c r="C2765" t="str">
        <f t="shared" si="113"/>
        <v/>
      </c>
    </row>
    <row r="2766" spans="3:3">
      <c r="C2766" t="str">
        <f t="shared" si="113"/>
        <v/>
      </c>
    </row>
    <row r="2767" spans="3:3">
      <c r="C2767" t="str">
        <f t="shared" si="113"/>
        <v/>
      </c>
    </row>
    <row r="2768" spans="3:3">
      <c r="C2768" t="str">
        <f t="shared" si="113"/>
        <v/>
      </c>
    </row>
    <row r="2769" spans="3:3">
      <c r="C2769" t="str">
        <f t="shared" si="113"/>
        <v/>
      </c>
    </row>
    <row r="2770" spans="3:3">
      <c r="C2770" t="str">
        <f t="shared" si="113"/>
        <v/>
      </c>
    </row>
    <row r="2771" spans="3:3">
      <c r="C2771" t="str">
        <f t="shared" si="113"/>
        <v/>
      </c>
    </row>
    <row r="2772" spans="3:3">
      <c r="C2772" t="str">
        <f t="shared" si="113"/>
        <v/>
      </c>
    </row>
    <row r="2773" spans="3:3">
      <c r="C2773" t="str">
        <f t="shared" si="113"/>
        <v/>
      </c>
    </row>
    <row r="2774" spans="3:3">
      <c r="C2774" t="str">
        <f t="shared" si="113"/>
        <v/>
      </c>
    </row>
    <row r="2775" spans="3:3">
      <c r="C2775" t="str">
        <f t="shared" si="113"/>
        <v/>
      </c>
    </row>
    <row r="2776" spans="3:3">
      <c r="C2776" t="str">
        <f t="shared" si="113"/>
        <v/>
      </c>
    </row>
  </sheetData>
  <autoFilter ref="A1:XFA2673">
    <filterColumn colId="13"/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AM29"/>
  <sheetViews>
    <sheetView workbookViewId="0">
      <pane xSplit="1" ySplit="3" topLeftCell="Q4" activePane="bottomRight" state="frozen"/>
      <selection pane="topRight" activeCell="B1" sqref="B1"/>
      <selection pane="bottomLeft" activeCell="A4" sqref="A4"/>
      <selection pane="bottomRight" activeCell="A2" sqref="A2:XFD3"/>
    </sheetView>
  </sheetViews>
  <sheetFormatPr defaultRowHeight="15"/>
  <cols>
    <col min="1" max="1" width="12.85546875" bestFit="1" customWidth="1"/>
    <col min="2" max="2" width="9.5703125" bestFit="1" customWidth="1"/>
  </cols>
  <sheetData>
    <row r="2" spans="1:39">
      <c r="A2" s="6" t="s">
        <v>557</v>
      </c>
      <c r="B2" s="60">
        <v>43191</v>
      </c>
      <c r="C2" s="60"/>
      <c r="D2" s="60">
        <v>43192</v>
      </c>
      <c r="E2" s="60"/>
      <c r="F2" s="60">
        <v>43193</v>
      </c>
      <c r="G2" s="60"/>
      <c r="H2" s="60">
        <v>43194</v>
      </c>
      <c r="I2" s="60"/>
      <c r="J2" s="60">
        <v>43195</v>
      </c>
      <c r="K2" s="60"/>
      <c r="L2" s="60">
        <v>43196</v>
      </c>
      <c r="M2" s="60"/>
      <c r="N2" s="60">
        <v>43197</v>
      </c>
      <c r="O2" s="60"/>
      <c r="P2" s="60">
        <v>43198</v>
      </c>
      <c r="Q2" s="60"/>
      <c r="R2" s="60">
        <v>43199</v>
      </c>
      <c r="S2" s="60"/>
      <c r="T2" s="60">
        <v>43200</v>
      </c>
      <c r="U2" s="60"/>
      <c r="V2" s="60">
        <v>43201</v>
      </c>
      <c r="W2" s="60"/>
      <c r="X2" s="60">
        <v>43202</v>
      </c>
      <c r="Y2" s="60"/>
      <c r="Z2" s="60">
        <v>43203</v>
      </c>
      <c r="AA2" s="60"/>
      <c r="AB2" s="60">
        <v>43204</v>
      </c>
      <c r="AC2" s="60"/>
      <c r="AD2" s="60">
        <v>43205</v>
      </c>
      <c r="AE2" s="60"/>
      <c r="AF2" s="60">
        <v>43206</v>
      </c>
      <c r="AG2" s="60"/>
      <c r="AH2" s="60">
        <v>43207</v>
      </c>
      <c r="AI2" s="60"/>
      <c r="AJ2" s="60">
        <v>43208</v>
      </c>
      <c r="AK2" s="60"/>
      <c r="AL2" s="60">
        <v>43209</v>
      </c>
      <c r="AM2" s="60"/>
    </row>
    <row r="3" spans="1:39">
      <c r="A3" s="6" t="s">
        <v>560</v>
      </c>
      <c r="B3" s="22" t="s">
        <v>558</v>
      </c>
      <c r="C3" s="6" t="s">
        <v>559</v>
      </c>
      <c r="D3" s="22" t="s">
        <v>558</v>
      </c>
      <c r="E3" s="6" t="s">
        <v>559</v>
      </c>
      <c r="F3" s="22" t="s">
        <v>558</v>
      </c>
      <c r="G3" s="6" t="s">
        <v>559</v>
      </c>
      <c r="H3" s="22" t="s">
        <v>558</v>
      </c>
      <c r="I3" s="6" t="s">
        <v>559</v>
      </c>
      <c r="J3" s="22" t="s">
        <v>558</v>
      </c>
      <c r="K3" s="6" t="s">
        <v>559</v>
      </c>
      <c r="L3" s="22" t="s">
        <v>558</v>
      </c>
      <c r="M3" s="6" t="s">
        <v>559</v>
      </c>
      <c r="N3" s="22" t="s">
        <v>558</v>
      </c>
      <c r="O3" s="6" t="s">
        <v>559</v>
      </c>
      <c r="P3" s="22" t="s">
        <v>558</v>
      </c>
      <c r="Q3" s="6" t="s">
        <v>559</v>
      </c>
      <c r="R3" s="22" t="s">
        <v>558</v>
      </c>
      <c r="S3" s="6" t="s">
        <v>559</v>
      </c>
      <c r="T3" s="22" t="s">
        <v>558</v>
      </c>
      <c r="U3" s="6" t="s">
        <v>559</v>
      </c>
      <c r="V3" s="22" t="s">
        <v>558</v>
      </c>
      <c r="W3" s="6" t="s">
        <v>559</v>
      </c>
      <c r="X3" s="22" t="s">
        <v>558</v>
      </c>
      <c r="Y3" s="6" t="s">
        <v>559</v>
      </c>
      <c r="Z3" s="22" t="s">
        <v>558</v>
      </c>
      <c r="AA3" s="6" t="s">
        <v>559</v>
      </c>
      <c r="AB3" s="22" t="s">
        <v>558</v>
      </c>
      <c r="AC3" s="6" t="s">
        <v>559</v>
      </c>
      <c r="AD3" s="22" t="s">
        <v>558</v>
      </c>
      <c r="AE3" s="6" t="s">
        <v>559</v>
      </c>
      <c r="AF3" s="22" t="s">
        <v>558</v>
      </c>
      <c r="AG3" s="6" t="s">
        <v>559</v>
      </c>
      <c r="AH3" s="22" t="s">
        <v>558</v>
      </c>
      <c r="AI3" s="6" t="s">
        <v>559</v>
      </c>
      <c r="AJ3" s="22" t="s">
        <v>558</v>
      </c>
      <c r="AK3" s="6" t="s">
        <v>559</v>
      </c>
      <c r="AL3" s="22" t="s">
        <v>558</v>
      </c>
      <c r="AM3" s="6" t="s">
        <v>559</v>
      </c>
    </row>
    <row r="4" spans="1:39">
      <c r="A4" s="18" t="s">
        <v>340</v>
      </c>
      <c r="B4" s="19">
        <v>19</v>
      </c>
      <c r="C4" s="19">
        <v>1500.05</v>
      </c>
      <c r="D4" s="19">
        <v>19</v>
      </c>
      <c r="E4" s="19">
        <v>1500.05</v>
      </c>
      <c r="F4" s="19">
        <v>19</v>
      </c>
      <c r="G4" s="19">
        <v>1500.05</v>
      </c>
      <c r="H4" s="19">
        <v>19</v>
      </c>
      <c r="I4" s="19">
        <v>1500.05</v>
      </c>
      <c r="J4" s="19">
        <v>19</v>
      </c>
      <c r="K4" s="19">
        <v>1500.05</v>
      </c>
      <c r="L4" s="19">
        <v>19</v>
      </c>
      <c r="M4" s="19">
        <v>1500.05</v>
      </c>
      <c r="N4" s="19">
        <v>19</v>
      </c>
      <c r="O4" s="19">
        <v>1500.05</v>
      </c>
      <c r="P4" s="19">
        <v>19</v>
      </c>
      <c r="Q4" s="19">
        <v>1500.05</v>
      </c>
      <c r="R4" s="19">
        <v>19</v>
      </c>
      <c r="S4" s="19">
        <v>1500.05</v>
      </c>
      <c r="T4" s="19">
        <v>19</v>
      </c>
      <c r="U4" s="19">
        <v>1500.05</v>
      </c>
      <c r="V4" s="19">
        <v>19</v>
      </c>
      <c r="W4" s="19">
        <v>1500.05</v>
      </c>
    </row>
    <row r="5" spans="1:39">
      <c r="A5" s="18" t="s">
        <v>528</v>
      </c>
      <c r="B5" s="19">
        <v>3.4550000000000001</v>
      </c>
      <c r="C5" s="19">
        <v>30.789450000000002</v>
      </c>
      <c r="D5" s="19">
        <v>3.0009999999999999</v>
      </c>
      <c r="E5" s="19">
        <v>122.58800000000001</v>
      </c>
      <c r="F5" s="19">
        <v>2.605</v>
      </c>
      <c r="G5" s="19">
        <v>57.5488</v>
      </c>
      <c r="H5" s="19">
        <v>1.79</v>
      </c>
      <c r="I5" s="19">
        <v>33.136499999999998</v>
      </c>
      <c r="J5" s="19">
        <v>1.4550000000000001</v>
      </c>
      <c r="K5" s="19">
        <v>116.52500000000001</v>
      </c>
      <c r="L5" s="19">
        <v>3.5450000000000004</v>
      </c>
      <c r="M5" s="19">
        <v>89.055099999999996</v>
      </c>
      <c r="N5" s="19">
        <v>1.365</v>
      </c>
      <c r="O5" s="19">
        <v>25.460549999999998</v>
      </c>
      <c r="P5" s="19">
        <v>2.34</v>
      </c>
      <c r="Q5" s="19">
        <v>64.836300000000008</v>
      </c>
      <c r="R5" s="19">
        <v>1.3199999999999998</v>
      </c>
      <c r="S5" s="19">
        <v>23.247500000000002</v>
      </c>
      <c r="T5" s="19">
        <v>3.4699999999999998</v>
      </c>
      <c r="U5" s="19">
        <v>162.40309999999999</v>
      </c>
    </row>
    <row r="6" spans="1:39">
      <c r="A6" s="18" t="s">
        <v>543</v>
      </c>
      <c r="D6" s="19">
        <v>31.421000000000003</v>
      </c>
      <c r="E6" s="19">
        <v>470.63600000000002</v>
      </c>
      <c r="F6" s="19">
        <v>8</v>
      </c>
      <c r="G6" s="19">
        <v>300</v>
      </c>
      <c r="H6" s="19">
        <v>29.88</v>
      </c>
      <c r="I6" s="19">
        <v>445.6</v>
      </c>
      <c r="J6" s="19">
        <v>57.879999999999995</v>
      </c>
      <c r="K6" s="19">
        <v>508.4</v>
      </c>
      <c r="L6" s="19">
        <v>22.39</v>
      </c>
      <c r="M6" s="19">
        <v>895.5</v>
      </c>
      <c r="N6" s="19">
        <v>44.9</v>
      </c>
      <c r="O6" s="19">
        <v>448.5</v>
      </c>
      <c r="P6" s="19">
        <v>4.0999999999999996</v>
      </c>
      <c r="Q6" s="19">
        <v>151.69999999999999</v>
      </c>
      <c r="R6" s="19">
        <v>21.45</v>
      </c>
      <c r="S6" s="19">
        <v>89</v>
      </c>
      <c r="T6" s="19">
        <v>32.96</v>
      </c>
      <c r="U6" s="19">
        <v>238</v>
      </c>
    </row>
    <row r="7" spans="1:39">
      <c r="A7" s="18" t="s">
        <v>525</v>
      </c>
      <c r="B7" s="19">
        <v>66.689999999999984</v>
      </c>
      <c r="C7" s="19">
        <v>2786.8825000000006</v>
      </c>
      <c r="D7" s="19">
        <v>76.120000000000019</v>
      </c>
      <c r="E7" s="19">
        <v>2669.6232500000006</v>
      </c>
      <c r="F7" s="19">
        <v>29.23</v>
      </c>
      <c r="G7" s="19">
        <v>1804.6030000000001</v>
      </c>
      <c r="H7" s="19">
        <v>62.1</v>
      </c>
      <c r="I7" s="19">
        <v>2420.4566</v>
      </c>
      <c r="J7" s="19">
        <v>53.285000000000004</v>
      </c>
      <c r="K7" s="19">
        <v>2713.6485000000002</v>
      </c>
      <c r="L7" s="19">
        <v>58.855000000000004</v>
      </c>
      <c r="M7" s="19">
        <v>2573.2755999999999</v>
      </c>
      <c r="N7" s="19">
        <v>67.425000000000011</v>
      </c>
      <c r="O7" s="19">
        <v>2417.9785999999999</v>
      </c>
      <c r="P7" s="19">
        <v>79.35499999999999</v>
      </c>
      <c r="Q7" s="19">
        <v>3403.7041999999997</v>
      </c>
      <c r="R7" s="19">
        <v>43.34</v>
      </c>
      <c r="S7" s="19">
        <v>1931.3845999999999</v>
      </c>
      <c r="T7" s="19">
        <v>34.280000000000008</v>
      </c>
      <c r="U7" s="19">
        <v>1895.3887999999999</v>
      </c>
    </row>
    <row r="8" spans="1:39">
      <c r="A8" s="18" t="s">
        <v>336</v>
      </c>
      <c r="B8" s="19">
        <v>17.375000000000007</v>
      </c>
      <c r="C8" s="19">
        <v>772.8732</v>
      </c>
      <c r="D8" s="19">
        <v>20.323999999999998</v>
      </c>
      <c r="E8" s="19">
        <v>971.12165000000016</v>
      </c>
      <c r="F8" s="19">
        <v>16.689999999999998</v>
      </c>
      <c r="G8" s="19">
        <v>788.39639999999997</v>
      </c>
      <c r="H8" s="19">
        <v>17.164999999999999</v>
      </c>
      <c r="I8" s="19">
        <v>886.26560000000006</v>
      </c>
      <c r="J8" s="19">
        <v>20.51</v>
      </c>
      <c r="K8" s="19">
        <v>972.25350000000003</v>
      </c>
      <c r="L8" s="19">
        <v>19.645000000000003</v>
      </c>
      <c r="M8" s="19">
        <v>950.5548</v>
      </c>
      <c r="N8" s="19">
        <v>21.59</v>
      </c>
      <c r="O8" s="19">
        <v>967.89535000000012</v>
      </c>
      <c r="P8" s="19">
        <v>14.229999999999999</v>
      </c>
      <c r="Q8" s="19">
        <v>662.34055000000001</v>
      </c>
      <c r="R8" s="19">
        <v>17.074999999999999</v>
      </c>
      <c r="S8" s="19">
        <v>846.56795000000011</v>
      </c>
      <c r="T8" s="19">
        <v>18.065000000000005</v>
      </c>
      <c r="U8" s="19">
        <v>863.06099999999992</v>
      </c>
    </row>
    <row r="9" spans="1:39">
      <c r="A9" s="18" t="s">
        <v>542</v>
      </c>
      <c r="D9" s="19">
        <v>0.5</v>
      </c>
      <c r="E9" s="19">
        <v>195</v>
      </c>
      <c r="H9" s="19">
        <v>0.25</v>
      </c>
      <c r="I9" s="19">
        <v>97.5</v>
      </c>
      <c r="N9" s="19">
        <v>0.85999999999999988</v>
      </c>
      <c r="O9" s="19">
        <v>264.79999999999995</v>
      </c>
      <c r="P9" s="19">
        <v>1.1000000000000001</v>
      </c>
      <c r="Q9" s="19">
        <v>181.9</v>
      </c>
      <c r="R9" s="19">
        <v>0.1</v>
      </c>
      <c r="S9" s="19">
        <v>39</v>
      </c>
      <c r="T9" s="19">
        <v>0.7</v>
      </c>
      <c r="U9" s="19">
        <v>25.9</v>
      </c>
    </row>
    <row r="10" spans="1:39">
      <c r="A10" s="18" t="s">
        <v>555</v>
      </c>
      <c r="H10" s="19">
        <v>17.5</v>
      </c>
      <c r="I10" s="19">
        <v>142.19999999999999</v>
      </c>
      <c r="J10" s="19">
        <v>15.8</v>
      </c>
      <c r="K10" s="19">
        <v>56.2</v>
      </c>
      <c r="L10" s="19">
        <v>6</v>
      </c>
      <c r="M10" s="19">
        <v>65.599999999999994</v>
      </c>
      <c r="N10" s="19">
        <v>10.4</v>
      </c>
      <c r="O10" s="19">
        <v>35.6</v>
      </c>
      <c r="P10" s="19">
        <v>10.76</v>
      </c>
      <c r="Q10" s="19">
        <v>56.5</v>
      </c>
      <c r="R10" s="19">
        <v>10.5</v>
      </c>
      <c r="S10" s="19">
        <v>37</v>
      </c>
      <c r="T10" s="19">
        <v>11.24</v>
      </c>
      <c r="U10" s="19">
        <v>92.94</v>
      </c>
    </row>
    <row r="11" spans="1:39">
      <c r="A11" s="21"/>
    </row>
    <row r="12" spans="1:39">
      <c r="AG12">
        <v>7100</v>
      </c>
    </row>
    <row r="13" spans="1:39">
      <c r="B13" s="6"/>
      <c r="AG13">
        <f>Sales!Q21-Sheet5!AG12</f>
        <v>5988</v>
      </c>
    </row>
    <row r="14" spans="1:39">
      <c r="AG14">
        <f>110000/30</f>
        <v>3666.6666666666665</v>
      </c>
    </row>
    <row r="15" spans="1:39">
      <c r="A15" s="6" t="s">
        <v>560</v>
      </c>
      <c r="B15" s="22" t="s">
        <v>558</v>
      </c>
      <c r="C15" s="6" t="s">
        <v>559</v>
      </c>
      <c r="G15" s="6" t="s">
        <v>585</v>
      </c>
      <c r="H15" s="6" t="s">
        <v>584</v>
      </c>
      <c r="K15" s="24"/>
      <c r="L15" s="27" t="s">
        <v>587</v>
      </c>
      <c r="M15" s="27" t="s">
        <v>588</v>
      </c>
      <c r="N15" s="6" t="s">
        <v>586</v>
      </c>
      <c r="AG15">
        <v>1100</v>
      </c>
    </row>
    <row r="16" spans="1:39">
      <c r="A16" s="18" t="s">
        <v>340</v>
      </c>
      <c r="B16" s="19">
        <f>AVERAGE(B4,D4,F4,H4,J4,L4,N4,P4,R4,T4)</f>
        <v>19</v>
      </c>
      <c r="C16" s="19">
        <f>AVERAGE(C4,E4,G4,I4,K4,M4,O4,Q4,S4,U4)</f>
        <v>1500.0499999999997</v>
      </c>
      <c r="F16" s="18" t="s">
        <v>525</v>
      </c>
      <c r="G16">
        <f>((B16-3)*(1500.05/19))+C19+C22</f>
        <v>3794.3288507142861</v>
      </c>
      <c r="H16" s="13">
        <f>G16/$C$23</f>
        <v>0.68987345834713232</v>
      </c>
      <c r="K16" s="24" t="s">
        <v>525</v>
      </c>
      <c r="L16" s="24">
        <v>87446</v>
      </c>
      <c r="M16" s="25">
        <f>L16/10</f>
        <v>8744.6</v>
      </c>
      <c r="N16">
        <f>M16-G16</f>
        <v>4950.2711492857143</v>
      </c>
      <c r="O16" s="13">
        <f>N16/M16</f>
        <v>0.56609463546482564</v>
      </c>
      <c r="AG16">
        <v>400</v>
      </c>
    </row>
    <row r="17" spans="1:33">
      <c r="A17" s="18" t="s">
        <v>528</v>
      </c>
      <c r="B17" s="19">
        <f t="shared" ref="B17:C17" si="0">AVERAGE(B5,D5,F5,H5,J5,L5,N5,P5,R5,T5)</f>
        <v>2.4345999999999997</v>
      </c>
      <c r="C17" s="19">
        <f t="shared" si="0"/>
        <v>72.559030000000007</v>
      </c>
      <c r="F17" s="18" t="s">
        <v>336</v>
      </c>
      <c r="G17">
        <f>((2)*(1500.05/19))+C20</f>
        <v>1026.0330000000001</v>
      </c>
      <c r="H17" s="13">
        <f t="shared" ref="H17:H20" si="1">G17/$C$23</f>
        <v>0.18655023376664706</v>
      </c>
      <c r="K17" s="24" t="s">
        <v>336</v>
      </c>
      <c r="L17" s="24">
        <v>7270</v>
      </c>
      <c r="M17" s="25">
        <f t="shared" ref="M17:M20" si="2">L17/10</f>
        <v>727</v>
      </c>
      <c r="N17">
        <f t="shared" ref="N17:N20" si="3">M17-G17</f>
        <v>-299.03300000000013</v>
      </c>
      <c r="O17" s="13">
        <f t="shared" ref="O17:O20" si="4">N17/M17</f>
        <v>-0.4113246217331501</v>
      </c>
      <c r="AB17">
        <v>17</v>
      </c>
      <c r="AC17">
        <v>200000</v>
      </c>
      <c r="AG17">
        <v>40</v>
      </c>
    </row>
    <row r="18" spans="1:33">
      <c r="A18" s="18" t="s">
        <v>543</v>
      </c>
      <c r="B18" s="19">
        <f t="shared" ref="B18:C18" si="5">AVERAGE(B6,D6,F6,H6,J6,L6,N6,P6,R6,T6)</f>
        <v>28.108999999999998</v>
      </c>
      <c r="C18" s="19">
        <f t="shared" si="5"/>
        <v>394.14844444444441</v>
      </c>
      <c r="F18" s="18" t="s">
        <v>528</v>
      </c>
      <c r="G18">
        <f>((1)*(1500.05/19))+C17</f>
        <v>151.50903</v>
      </c>
      <c r="H18" s="13">
        <f t="shared" si="1"/>
        <v>2.7546916097491929E-2</v>
      </c>
      <c r="K18" s="24" t="s">
        <v>562</v>
      </c>
      <c r="L18" s="24">
        <v>5305</v>
      </c>
      <c r="M18" s="25">
        <f t="shared" si="2"/>
        <v>530.5</v>
      </c>
      <c r="N18">
        <f t="shared" si="3"/>
        <v>378.99097</v>
      </c>
      <c r="O18" s="13">
        <f t="shared" si="4"/>
        <v>0.71440333647502352</v>
      </c>
      <c r="AB18">
        <f>30-AB17</f>
        <v>13</v>
      </c>
      <c r="AC18">
        <f>AC17*AB18/AB17</f>
        <v>152941.17647058822</v>
      </c>
      <c r="AG18" s="6">
        <f>SUM(AG14:AG17)</f>
        <v>5206.6666666666661</v>
      </c>
    </row>
    <row r="19" spans="1:33">
      <c r="A19" s="18" t="s">
        <v>525</v>
      </c>
      <c r="B19" s="19">
        <f t="shared" ref="B19:C19" si="6">AVERAGE(B7,D7,F7,H7,J7,L7,N7,P7,R7,T7)</f>
        <v>57.068000000000005</v>
      </c>
      <c r="C19" s="19">
        <f t="shared" si="6"/>
        <v>2461.6945650000002</v>
      </c>
      <c r="F19" s="18" t="s">
        <v>543</v>
      </c>
      <c r="G19">
        <f>C18</f>
        <v>394.14844444444441</v>
      </c>
      <c r="H19" s="13">
        <f t="shared" si="1"/>
        <v>7.1662884575711891E-2</v>
      </c>
      <c r="K19" s="24" t="s">
        <v>543</v>
      </c>
      <c r="L19" s="24">
        <v>16884</v>
      </c>
      <c r="M19" s="25">
        <f t="shared" si="2"/>
        <v>1688.4</v>
      </c>
      <c r="N19">
        <f t="shared" si="3"/>
        <v>1294.2515555555556</v>
      </c>
      <c r="O19" s="13">
        <f t="shared" si="4"/>
        <v>0.76655505541077673</v>
      </c>
      <c r="AC19">
        <f>SUM(AC18,AC17)</f>
        <v>352941.17647058819</v>
      </c>
      <c r="AG19">
        <f>AG13-AG18</f>
        <v>781.33333333333394</v>
      </c>
    </row>
    <row r="20" spans="1:33">
      <c r="A20" s="18" t="s">
        <v>336</v>
      </c>
      <c r="B20" s="19">
        <f t="shared" ref="B20:C20" si="7">AVERAGE(B8,D8,F8,H8,J8,L8,N8,P8,R8,T8)</f>
        <v>18.2669</v>
      </c>
      <c r="C20" s="19">
        <f t="shared" si="7"/>
        <v>868.13300000000004</v>
      </c>
      <c r="F20" s="18" t="s">
        <v>542</v>
      </c>
      <c r="G20">
        <f>C21</f>
        <v>134.01666666666665</v>
      </c>
      <c r="H20" s="13">
        <f t="shared" si="1"/>
        <v>2.4366507213017006E-2</v>
      </c>
      <c r="K20" s="24" t="s">
        <v>542</v>
      </c>
      <c r="L20" s="24">
        <v>3756</v>
      </c>
      <c r="M20" s="25">
        <f t="shared" si="2"/>
        <v>375.6</v>
      </c>
      <c r="N20">
        <f t="shared" si="3"/>
        <v>241.58333333333337</v>
      </c>
      <c r="O20" s="13">
        <f t="shared" si="4"/>
        <v>0.64319311324103667</v>
      </c>
      <c r="AG20">
        <f>75*10</f>
        <v>750</v>
      </c>
    </row>
    <row r="21" spans="1:33">
      <c r="A21" s="18" t="s">
        <v>542</v>
      </c>
      <c r="B21" s="19">
        <f t="shared" ref="B21:C21" si="8">AVERAGE(B9,D9,F9,H9,J9,L9,N9,P9,R9,T9)</f>
        <v>0.58499999999999996</v>
      </c>
      <c r="C21" s="19">
        <f t="shared" si="8"/>
        <v>134.01666666666665</v>
      </c>
      <c r="M21" s="25"/>
      <c r="N21" s="6">
        <f>SUM(N16:N20)</f>
        <v>6566.0640081746023</v>
      </c>
      <c r="AG21">
        <f>AG19+AG20</f>
        <v>1531.3333333333339</v>
      </c>
    </row>
    <row r="22" spans="1:33">
      <c r="A22" s="18" t="s">
        <v>555</v>
      </c>
      <c r="B22" s="19">
        <f t="shared" ref="B22:C22" si="9">AVERAGE(B10,D10,F10,H10,J10,L10,N10,P10,R10,T10)</f>
        <v>11.742857142857142</v>
      </c>
      <c r="C22" s="19">
        <f t="shared" si="9"/>
        <v>69.434285714285721</v>
      </c>
      <c r="E22">
        <v>12000</v>
      </c>
      <c r="M22" s="25"/>
      <c r="N22">
        <f>N21*30</f>
        <v>196981.92024523806</v>
      </c>
      <c r="AG22">
        <f>AG21-745</f>
        <v>786.33333333333394</v>
      </c>
    </row>
    <row r="23" spans="1:33">
      <c r="C23" s="23">
        <f>SUM(C16:C22)</f>
        <v>5500.0359918253962</v>
      </c>
      <c r="E23">
        <f>C23/E22</f>
        <v>0.45833633265211637</v>
      </c>
      <c r="M23" s="25"/>
      <c r="N23">
        <v>31000</v>
      </c>
      <c r="AG23">
        <f>AG22*30</f>
        <v>23590.000000000018</v>
      </c>
    </row>
    <row r="24" spans="1:33">
      <c r="K24" s="24"/>
      <c r="L24" s="24">
        <v>120661</v>
      </c>
      <c r="M24" s="25"/>
      <c r="N24">
        <v>12000</v>
      </c>
    </row>
    <row r="25" spans="1:33">
      <c r="K25" s="24"/>
      <c r="L25" s="24"/>
      <c r="M25" s="25"/>
      <c r="N25">
        <v>130000</v>
      </c>
    </row>
    <row r="26" spans="1:33">
      <c r="K26" s="24"/>
      <c r="L26" s="24"/>
      <c r="M26" s="25"/>
      <c r="N26">
        <v>600</v>
      </c>
    </row>
    <row r="27" spans="1:33">
      <c r="K27" s="24"/>
      <c r="L27" s="24"/>
      <c r="M27" s="25"/>
      <c r="N27">
        <v>1200</v>
      </c>
    </row>
    <row r="28" spans="1:33">
      <c r="K28" s="24"/>
      <c r="L28" s="24"/>
      <c r="M28" s="25"/>
      <c r="N28" s="6">
        <f>SUM(N23:N27)</f>
        <v>174800</v>
      </c>
    </row>
    <row r="29" spans="1:33">
      <c r="N29">
        <f>N22-N28</f>
        <v>22181.920245238056</v>
      </c>
    </row>
  </sheetData>
  <mergeCells count="19">
    <mergeCell ref="J2:K2"/>
    <mergeCell ref="L2:M2"/>
    <mergeCell ref="N2:O2"/>
    <mergeCell ref="P2:Q2"/>
    <mergeCell ref="B2:C2"/>
    <mergeCell ref="D2:E2"/>
    <mergeCell ref="F2:G2"/>
    <mergeCell ref="H2:I2"/>
    <mergeCell ref="R2:S2"/>
    <mergeCell ref="T2:U2"/>
    <mergeCell ref="V2:W2"/>
    <mergeCell ref="X2:Y2"/>
    <mergeCell ref="Z2:AA2"/>
    <mergeCell ref="AL2:AM2"/>
    <mergeCell ref="AB2:AC2"/>
    <mergeCell ref="AD2:AE2"/>
    <mergeCell ref="AF2:AG2"/>
    <mergeCell ref="AH2:AI2"/>
    <mergeCell ref="AJ2:AK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2"/>
  <sheetViews>
    <sheetView workbookViewId="0">
      <pane xSplit="1" ySplit="2" topLeftCell="V3" activePane="bottomRight" state="frozen"/>
      <selection pane="topRight" activeCell="B1" sqref="B1"/>
      <selection pane="bottomLeft" activeCell="A3" sqref="A3"/>
      <selection pane="bottomRight" activeCell="Z4" sqref="Z4"/>
    </sheetView>
  </sheetViews>
  <sheetFormatPr defaultRowHeight="15"/>
  <cols>
    <col min="1" max="1" width="13.85546875" bestFit="1" customWidth="1"/>
    <col min="2" max="11" width="9.5703125" bestFit="1" customWidth="1"/>
    <col min="12" max="13" width="9.5703125" customWidth="1"/>
    <col min="14" max="18" width="9.5703125" bestFit="1" customWidth="1"/>
    <col min="19" max="27" width="9.5703125" customWidth="1"/>
    <col min="33" max="33" width="9.42578125" bestFit="1" customWidth="1"/>
  </cols>
  <sheetData>
    <row r="1" spans="1:33">
      <c r="A1" s="6" t="s">
        <v>583</v>
      </c>
      <c r="B1" s="22" t="s">
        <v>576</v>
      </c>
      <c r="C1" s="22" t="s">
        <v>577</v>
      </c>
      <c r="D1" s="22" t="s">
        <v>578</v>
      </c>
      <c r="E1" s="22" t="s">
        <v>579</v>
      </c>
      <c r="F1" s="22" t="s">
        <v>580</v>
      </c>
      <c r="G1" s="22" t="s">
        <v>581</v>
      </c>
      <c r="H1" s="22" t="s">
        <v>582</v>
      </c>
      <c r="I1" s="22" t="s">
        <v>576</v>
      </c>
      <c r="J1" s="22" t="s">
        <v>577</v>
      </c>
      <c r="K1" s="22" t="s">
        <v>578</v>
      </c>
      <c r="L1" s="22" t="s">
        <v>579</v>
      </c>
      <c r="M1" s="22" t="s">
        <v>580</v>
      </c>
      <c r="N1" s="22" t="s">
        <v>581</v>
      </c>
      <c r="O1" s="22" t="s">
        <v>582</v>
      </c>
      <c r="P1" s="22" t="s">
        <v>576</v>
      </c>
      <c r="Q1" s="22" t="s">
        <v>577</v>
      </c>
      <c r="R1" s="22" t="s">
        <v>578</v>
      </c>
      <c r="S1" s="22" t="s">
        <v>579</v>
      </c>
      <c r="T1" s="22" t="s">
        <v>580</v>
      </c>
      <c r="U1" s="22" t="s">
        <v>581</v>
      </c>
      <c r="V1" s="22" t="s">
        <v>582</v>
      </c>
      <c r="W1" s="22" t="s">
        <v>576</v>
      </c>
      <c r="X1" s="22" t="s">
        <v>577</v>
      </c>
      <c r="Y1" s="22" t="s">
        <v>578</v>
      </c>
      <c r="Z1" s="22" t="s">
        <v>579</v>
      </c>
      <c r="AA1" s="54" t="s">
        <v>580</v>
      </c>
    </row>
    <row r="2" spans="1:33">
      <c r="A2" s="6" t="s">
        <v>557</v>
      </c>
      <c r="B2" s="26">
        <v>43191</v>
      </c>
      <c r="C2" s="26">
        <v>43192</v>
      </c>
      <c r="D2" s="26">
        <v>43193</v>
      </c>
      <c r="E2" s="26">
        <v>43194</v>
      </c>
      <c r="F2" s="26">
        <v>43195</v>
      </c>
      <c r="G2" s="26">
        <v>43196</v>
      </c>
      <c r="H2" s="26">
        <v>43197</v>
      </c>
      <c r="I2" s="26">
        <v>43198</v>
      </c>
      <c r="J2" s="26">
        <v>43199</v>
      </c>
      <c r="K2" s="26">
        <v>43200</v>
      </c>
      <c r="L2" s="26">
        <v>43201</v>
      </c>
      <c r="M2" s="26">
        <v>43202</v>
      </c>
      <c r="N2" s="26">
        <v>43203</v>
      </c>
      <c r="O2" s="26">
        <v>43204</v>
      </c>
      <c r="P2" s="26">
        <v>43205</v>
      </c>
      <c r="Q2" s="26">
        <v>43206</v>
      </c>
      <c r="R2" s="26">
        <v>43207</v>
      </c>
      <c r="S2" s="26">
        <v>43208</v>
      </c>
      <c r="T2" s="26">
        <v>43209</v>
      </c>
      <c r="U2" s="26">
        <v>43210</v>
      </c>
      <c r="V2" s="26">
        <v>43211</v>
      </c>
      <c r="W2" s="26">
        <v>43212</v>
      </c>
      <c r="X2" s="26">
        <v>43213</v>
      </c>
      <c r="Y2" s="26">
        <v>43214</v>
      </c>
      <c r="Z2" s="26">
        <v>43215</v>
      </c>
      <c r="AA2" s="26">
        <v>43216</v>
      </c>
      <c r="AB2" s="6" t="s">
        <v>616</v>
      </c>
      <c r="AC2" s="6" t="s">
        <v>617</v>
      </c>
    </row>
    <row r="3" spans="1:33">
      <c r="A3" t="s">
        <v>541</v>
      </c>
      <c r="B3">
        <v>955</v>
      </c>
      <c r="C3">
        <v>1209</v>
      </c>
      <c r="D3">
        <v>455</v>
      </c>
      <c r="E3">
        <v>665</v>
      </c>
      <c r="F3">
        <v>185</v>
      </c>
      <c r="G3">
        <v>712</v>
      </c>
      <c r="H3">
        <v>292</v>
      </c>
      <c r="I3">
        <v>56</v>
      </c>
      <c r="J3">
        <v>580</v>
      </c>
      <c r="K3">
        <v>850</v>
      </c>
      <c r="L3">
        <v>995</v>
      </c>
      <c r="M3">
        <v>730</v>
      </c>
      <c r="N3">
        <f>515-45</f>
        <v>470</v>
      </c>
      <c r="O3">
        <f>815+185</f>
        <v>1000</v>
      </c>
      <c r="P3">
        <f>595+30+45+60</f>
        <v>730</v>
      </c>
      <c r="Q3">
        <f>480+265</f>
        <v>745</v>
      </c>
      <c r="R3">
        <f>155+70</f>
        <v>225</v>
      </c>
      <c r="S3">
        <f>480+175</f>
        <v>655</v>
      </c>
      <c r="T3">
        <f>530+75</f>
        <v>605</v>
      </c>
      <c r="U3">
        <f>(525-255)+170</f>
        <v>440</v>
      </c>
      <c r="V3">
        <f>1240-415+105</f>
        <v>930</v>
      </c>
      <c r="W3">
        <f>105+(799-230)</f>
        <v>674</v>
      </c>
      <c r="X3">
        <f>805-280+270</f>
        <v>795</v>
      </c>
      <c r="Y3">
        <f>264-45+50</f>
        <v>269</v>
      </c>
      <c r="Z3">
        <f>510-220+110</f>
        <v>400</v>
      </c>
      <c r="AA3">
        <f>120+20+(608-70)</f>
        <v>678</v>
      </c>
      <c r="AB3">
        <f>SUM(B3:AA3)</f>
        <v>16300</v>
      </c>
      <c r="AC3">
        <f>AVERAGE(B3:Y3)</f>
        <v>634.25</v>
      </c>
    </row>
    <row r="4" spans="1:33">
      <c r="A4" t="s">
        <v>542</v>
      </c>
      <c r="B4">
        <v>860</v>
      </c>
      <c r="C4">
        <v>382</v>
      </c>
      <c r="D4">
        <v>220</v>
      </c>
      <c r="E4">
        <v>350</v>
      </c>
      <c r="F4">
        <v>120</v>
      </c>
      <c r="G4">
        <v>290</v>
      </c>
      <c r="H4">
        <v>242</v>
      </c>
      <c r="I4">
        <v>880</v>
      </c>
      <c r="J4">
        <v>206</v>
      </c>
      <c r="K4">
        <v>206</v>
      </c>
      <c r="L4">
        <v>370</v>
      </c>
      <c r="M4">
        <v>144</v>
      </c>
      <c r="N4">
        <v>240</v>
      </c>
      <c r="O4">
        <v>200</v>
      </c>
      <c r="P4">
        <v>902</v>
      </c>
      <c r="Q4">
        <v>660</v>
      </c>
      <c r="R4">
        <v>170</v>
      </c>
      <c r="S4">
        <v>202</v>
      </c>
      <c r="T4">
        <v>320</v>
      </c>
      <c r="U4">
        <v>160</v>
      </c>
      <c r="V4">
        <v>240</v>
      </c>
      <c r="W4">
        <v>840</v>
      </c>
      <c r="X4">
        <v>290</v>
      </c>
      <c r="Y4">
        <v>200</v>
      </c>
      <c r="Z4">
        <v>122</v>
      </c>
      <c r="AA4">
        <v>270</v>
      </c>
      <c r="AB4">
        <f t="shared" ref="AB4:AB16" si="0">SUM(B4:AA4)</f>
        <v>9086</v>
      </c>
      <c r="AC4">
        <f>AVERAGE(B4:AA4)</f>
        <v>349.46153846153845</v>
      </c>
      <c r="AE4" t="s">
        <v>525</v>
      </c>
      <c r="AF4">
        <f>SUM(AB5,AB6,AB10,AB9,AB11,AB13,AB14,AB15,AB16)</f>
        <v>215243</v>
      </c>
      <c r="AG4" s="49">
        <f>AF4/COUNTA($B$2:$Z$2)</f>
        <v>8609.7199999999993</v>
      </c>
    </row>
    <row r="5" spans="1:33">
      <c r="A5" t="s">
        <v>568</v>
      </c>
      <c r="B5">
        <v>1675</v>
      </c>
      <c r="C5">
        <v>967</v>
      </c>
      <c r="D5">
        <v>970</v>
      </c>
      <c r="E5">
        <v>1532</v>
      </c>
      <c r="F5">
        <v>688</v>
      </c>
      <c r="G5">
        <v>1455</v>
      </c>
      <c r="H5">
        <v>1050</v>
      </c>
      <c r="I5">
        <v>565</v>
      </c>
      <c r="J5">
        <v>923</v>
      </c>
      <c r="K5">
        <v>990</v>
      </c>
      <c r="L5">
        <v>1430</v>
      </c>
      <c r="M5">
        <v>652</v>
      </c>
      <c r="N5">
        <v>1245</v>
      </c>
      <c r="O5">
        <v>1694</v>
      </c>
      <c r="P5">
        <v>1135</v>
      </c>
      <c r="Q5">
        <v>1375</v>
      </c>
      <c r="R5">
        <v>750</v>
      </c>
      <c r="S5">
        <v>1050</v>
      </c>
      <c r="T5">
        <v>565</v>
      </c>
      <c r="U5">
        <v>515</v>
      </c>
      <c r="V5">
        <v>1247</v>
      </c>
      <c r="W5">
        <v>2192</v>
      </c>
      <c r="X5">
        <v>1085</v>
      </c>
      <c r="Y5">
        <v>1130</v>
      </c>
      <c r="Z5">
        <v>820</v>
      </c>
      <c r="AA5">
        <v>810</v>
      </c>
      <c r="AB5">
        <f t="shared" si="0"/>
        <v>28510</v>
      </c>
      <c r="AC5">
        <f>AVERAGE(B5:AA5)</f>
        <v>1096.5384615384614</v>
      </c>
      <c r="AE5" t="s">
        <v>336</v>
      </c>
      <c r="AF5">
        <f>AB8</f>
        <v>22005</v>
      </c>
      <c r="AG5" s="49">
        <f t="shared" ref="AG5:AG8" si="1">AF5/COUNTA($B$2:$Z$2)</f>
        <v>880.2</v>
      </c>
    </row>
    <row r="6" spans="1:33">
      <c r="A6" t="s">
        <v>569</v>
      </c>
      <c r="B6">
        <v>1910</v>
      </c>
      <c r="C6">
        <v>3697</v>
      </c>
      <c r="D6">
        <v>1400</v>
      </c>
      <c r="E6">
        <v>2332</v>
      </c>
      <c r="F6">
        <v>1860</v>
      </c>
      <c r="G6">
        <v>1627</v>
      </c>
      <c r="H6">
        <v>1990</v>
      </c>
      <c r="I6">
        <v>1435</v>
      </c>
      <c r="J6">
        <v>1345</v>
      </c>
      <c r="K6">
        <v>1485</v>
      </c>
      <c r="L6">
        <v>1739</v>
      </c>
      <c r="M6">
        <v>861</v>
      </c>
      <c r="N6">
        <v>1385</v>
      </c>
      <c r="O6">
        <v>1806</v>
      </c>
      <c r="P6">
        <v>2015</v>
      </c>
      <c r="Q6">
        <v>2015</v>
      </c>
      <c r="R6">
        <v>795</v>
      </c>
      <c r="S6">
        <v>1120</v>
      </c>
      <c r="T6">
        <v>1415</v>
      </c>
      <c r="U6">
        <v>885</v>
      </c>
      <c r="V6">
        <v>1750</v>
      </c>
      <c r="W6">
        <v>1681</v>
      </c>
      <c r="X6">
        <v>1395</v>
      </c>
      <c r="Y6">
        <v>1920</v>
      </c>
      <c r="Z6">
        <v>1090</v>
      </c>
      <c r="AA6">
        <v>1564</v>
      </c>
      <c r="AB6">
        <f t="shared" si="0"/>
        <v>42517</v>
      </c>
      <c r="AC6">
        <f>AVERAGE(B6:AA6)</f>
        <v>1635.2692307692307</v>
      </c>
      <c r="AE6" t="s">
        <v>528</v>
      </c>
      <c r="AF6">
        <f>AB20</f>
        <v>11690</v>
      </c>
      <c r="AG6" s="49">
        <f t="shared" si="1"/>
        <v>467.6</v>
      </c>
    </row>
    <row r="7" spans="1:33">
      <c r="A7" t="s">
        <v>564</v>
      </c>
      <c r="B7">
        <v>160</v>
      </c>
      <c r="C7">
        <v>120</v>
      </c>
      <c r="D7">
        <v>55</v>
      </c>
      <c r="E7">
        <v>120</v>
      </c>
      <c r="F7">
        <v>240</v>
      </c>
      <c r="G7">
        <v>95</v>
      </c>
      <c r="H7">
        <v>123</v>
      </c>
      <c r="I7">
        <v>75</v>
      </c>
      <c r="J7">
        <v>120</v>
      </c>
      <c r="K7">
        <v>90</v>
      </c>
      <c r="L7">
        <v>70</v>
      </c>
      <c r="M7">
        <v>105</v>
      </c>
      <c r="N7">
        <v>120</v>
      </c>
      <c r="O7">
        <v>76</v>
      </c>
      <c r="P7">
        <v>195</v>
      </c>
      <c r="Q7">
        <v>103</v>
      </c>
      <c r="R7">
        <v>180</v>
      </c>
      <c r="S7">
        <v>65</v>
      </c>
      <c r="T7">
        <v>160</v>
      </c>
      <c r="U7">
        <v>140</v>
      </c>
      <c r="V7">
        <v>75</v>
      </c>
      <c r="W7">
        <v>255</v>
      </c>
      <c r="X7">
        <v>90</v>
      </c>
      <c r="Y7">
        <v>90</v>
      </c>
      <c r="Z7">
        <v>75</v>
      </c>
      <c r="AA7">
        <v>145</v>
      </c>
      <c r="AB7">
        <f t="shared" si="0"/>
        <v>3142</v>
      </c>
      <c r="AC7">
        <f>AVERAGE(B7:AA7)</f>
        <v>120.84615384615384</v>
      </c>
      <c r="AE7" t="s">
        <v>618</v>
      </c>
      <c r="AF7">
        <f>AB12</f>
        <v>39720</v>
      </c>
      <c r="AG7" s="49">
        <f t="shared" si="1"/>
        <v>1588.8</v>
      </c>
    </row>
    <row r="8" spans="1:33">
      <c r="A8" t="s">
        <v>565</v>
      </c>
      <c r="B8">
        <v>300</v>
      </c>
      <c r="C8">
        <v>1080</v>
      </c>
      <c r="D8">
        <v>360</v>
      </c>
      <c r="E8">
        <v>600</v>
      </c>
      <c r="F8">
        <v>1320</v>
      </c>
      <c r="G8">
        <v>840</v>
      </c>
      <c r="H8">
        <v>420</v>
      </c>
      <c r="I8">
        <v>480</v>
      </c>
      <c r="J8">
        <v>1020</v>
      </c>
      <c r="K8">
        <v>660</v>
      </c>
      <c r="L8">
        <v>1320</v>
      </c>
      <c r="M8">
        <v>1020</v>
      </c>
      <c r="N8">
        <v>1080</v>
      </c>
      <c r="O8">
        <v>1440</v>
      </c>
      <c r="P8">
        <v>240</v>
      </c>
      <c r="Q8">
        <v>1440</v>
      </c>
      <c r="R8">
        <v>525</v>
      </c>
      <c r="S8">
        <v>840</v>
      </c>
      <c r="T8">
        <v>1020</v>
      </c>
      <c r="U8">
        <v>1440</v>
      </c>
      <c r="V8">
        <v>540</v>
      </c>
      <c r="W8">
        <v>720</v>
      </c>
      <c r="X8">
        <v>1080</v>
      </c>
      <c r="Y8">
        <v>600</v>
      </c>
      <c r="Z8">
        <v>660</v>
      </c>
      <c r="AA8">
        <v>960</v>
      </c>
      <c r="AB8">
        <f t="shared" si="0"/>
        <v>22005</v>
      </c>
      <c r="AC8">
        <f>AVERAGE(B8:AA8)</f>
        <v>846.34615384615381</v>
      </c>
      <c r="AD8" s="6"/>
      <c r="AE8" t="s">
        <v>541</v>
      </c>
      <c r="AF8">
        <f>AB3</f>
        <v>16300</v>
      </c>
      <c r="AG8" s="49">
        <f t="shared" si="1"/>
        <v>652</v>
      </c>
    </row>
    <row r="9" spans="1:33">
      <c r="A9" t="s">
        <v>567</v>
      </c>
      <c r="B9">
        <v>200</v>
      </c>
      <c r="C9">
        <v>50</v>
      </c>
      <c r="D9">
        <v>50</v>
      </c>
      <c r="E9">
        <v>50</v>
      </c>
      <c r="F9">
        <v>50</v>
      </c>
      <c r="G9">
        <v>250</v>
      </c>
      <c r="H9">
        <v>150</v>
      </c>
      <c r="I9">
        <v>250</v>
      </c>
      <c r="J9">
        <v>250</v>
      </c>
      <c r="K9">
        <v>100</v>
      </c>
      <c r="L9">
        <v>100</v>
      </c>
      <c r="M9">
        <v>100</v>
      </c>
      <c r="N9">
        <v>150</v>
      </c>
      <c r="P9">
        <v>250</v>
      </c>
      <c r="R9">
        <v>100</v>
      </c>
      <c r="S9">
        <v>150</v>
      </c>
      <c r="T9">
        <v>100</v>
      </c>
      <c r="U9">
        <v>150</v>
      </c>
      <c r="V9">
        <v>50</v>
      </c>
      <c r="W9">
        <v>50</v>
      </c>
      <c r="X9">
        <v>200</v>
      </c>
      <c r="Y9">
        <v>150</v>
      </c>
      <c r="AA9">
        <v>50</v>
      </c>
      <c r="AB9">
        <f t="shared" si="0"/>
        <v>3000</v>
      </c>
      <c r="AC9">
        <f t="shared" ref="AC9:AC19" si="2">AVERAGE(B9:Y9)</f>
        <v>134.09090909090909</v>
      </c>
      <c r="AF9" s="52">
        <f>SUM(AF4:AF8)</f>
        <v>304958</v>
      </c>
      <c r="AG9" s="52">
        <f>SUM(AG4:AG8)</f>
        <v>12198.32</v>
      </c>
    </row>
    <row r="10" spans="1:33">
      <c r="A10" t="s">
        <v>566</v>
      </c>
      <c r="B10">
        <v>600</v>
      </c>
      <c r="C10">
        <v>375</v>
      </c>
      <c r="D10">
        <v>600</v>
      </c>
      <c r="E10">
        <v>585</v>
      </c>
      <c r="F10">
        <v>1200</v>
      </c>
      <c r="G10">
        <v>900</v>
      </c>
      <c r="H10">
        <v>150</v>
      </c>
      <c r="I10">
        <v>675</v>
      </c>
      <c r="J10">
        <v>1275</v>
      </c>
      <c r="K10">
        <v>300</v>
      </c>
      <c r="L10">
        <v>300</v>
      </c>
      <c r="M10">
        <v>225</v>
      </c>
      <c r="N10">
        <v>975</v>
      </c>
      <c r="O10">
        <v>300</v>
      </c>
      <c r="P10">
        <v>300</v>
      </c>
      <c r="Q10">
        <v>900</v>
      </c>
      <c r="R10">
        <v>940</v>
      </c>
      <c r="S10">
        <v>545</v>
      </c>
      <c r="T10">
        <f>975+45</f>
        <v>1020</v>
      </c>
      <c r="U10">
        <v>620</v>
      </c>
      <c r="V10">
        <v>385</v>
      </c>
      <c r="W10">
        <v>535</v>
      </c>
      <c r="X10">
        <v>985</v>
      </c>
      <c r="Y10">
        <v>450</v>
      </c>
      <c r="Z10">
        <v>610</v>
      </c>
      <c r="AA10">
        <v>365</v>
      </c>
      <c r="AB10">
        <f t="shared" si="0"/>
        <v>16115</v>
      </c>
      <c r="AC10">
        <f>AVERAGE(B10:AA10)</f>
        <v>619.80769230769226</v>
      </c>
    </row>
    <row r="11" spans="1:33">
      <c r="A11" t="s">
        <v>570</v>
      </c>
      <c r="B11">
        <v>1390</v>
      </c>
      <c r="C11">
        <v>1555</v>
      </c>
      <c r="D11">
        <v>1015</v>
      </c>
      <c r="E11">
        <v>1170</v>
      </c>
      <c r="F11">
        <v>1605</v>
      </c>
      <c r="G11">
        <v>1160</v>
      </c>
      <c r="H11">
        <v>1965</v>
      </c>
      <c r="I11">
        <v>1101</v>
      </c>
      <c r="J11">
        <v>1546</v>
      </c>
      <c r="K11">
        <v>1530</v>
      </c>
      <c r="L11">
        <v>765</v>
      </c>
      <c r="M11">
        <v>1214</v>
      </c>
      <c r="N11">
        <v>1495</v>
      </c>
      <c r="O11">
        <v>1816</v>
      </c>
      <c r="P11">
        <v>2060</v>
      </c>
      <c r="Q11">
        <v>1125</v>
      </c>
      <c r="R11">
        <v>735</v>
      </c>
      <c r="S11">
        <v>975</v>
      </c>
      <c r="T11">
        <v>1950</v>
      </c>
      <c r="U11">
        <v>905</v>
      </c>
      <c r="V11">
        <v>1385</v>
      </c>
      <c r="W11">
        <v>1510</v>
      </c>
      <c r="X11">
        <v>1717</v>
      </c>
      <c r="Y11">
        <v>645</v>
      </c>
      <c r="Z11">
        <v>1345</v>
      </c>
      <c r="AA11">
        <v>1451</v>
      </c>
      <c r="AB11">
        <f t="shared" si="0"/>
        <v>35130</v>
      </c>
      <c r="AC11">
        <f>AVERAGE(B11:AA11)</f>
        <v>1351.1538461538462</v>
      </c>
    </row>
    <row r="12" spans="1:33">
      <c r="A12" t="s">
        <v>563</v>
      </c>
      <c r="B12">
        <v>955</v>
      </c>
      <c r="C12">
        <v>2110</v>
      </c>
      <c r="D12">
        <v>1210</v>
      </c>
      <c r="E12">
        <v>2420</v>
      </c>
      <c r="F12">
        <v>1375</v>
      </c>
      <c r="G12">
        <v>1894</v>
      </c>
      <c r="H12">
        <v>2610</v>
      </c>
      <c r="I12">
        <v>1320</v>
      </c>
      <c r="J12">
        <v>1500</v>
      </c>
      <c r="K12">
        <v>1490</v>
      </c>
      <c r="L12">
        <v>2160</v>
      </c>
      <c r="M12">
        <v>1675</v>
      </c>
      <c r="N12">
        <f>1370+45</f>
        <v>1415</v>
      </c>
      <c r="O12">
        <f>1690-185</f>
        <v>1505</v>
      </c>
      <c r="P12">
        <v>1055</v>
      </c>
      <c r="Q12">
        <f>230+1455</f>
        <v>1685</v>
      </c>
      <c r="R12">
        <f>845+35</f>
        <v>880</v>
      </c>
      <c r="S12">
        <v>1340</v>
      </c>
      <c r="T12">
        <f>1405-75</f>
        <v>1330</v>
      </c>
      <c r="U12">
        <f>255+(1120-170)</f>
        <v>1205</v>
      </c>
      <c r="V12">
        <f>280+135+(1950-105)</f>
        <v>2260</v>
      </c>
      <c r="W12">
        <f>1195-105+230</f>
        <v>1320</v>
      </c>
      <c r="X12">
        <f>280+(1935-270)</f>
        <v>1945</v>
      </c>
      <c r="Y12">
        <f>45+890</f>
        <v>935</v>
      </c>
      <c r="Z12">
        <f>220+755</f>
        <v>975</v>
      </c>
      <c r="AA12">
        <f>1221-140+70</f>
        <v>1151</v>
      </c>
      <c r="AB12">
        <f t="shared" si="0"/>
        <v>39720</v>
      </c>
      <c r="AC12">
        <f t="shared" si="2"/>
        <v>1566.4166666666667</v>
      </c>
    </row>
    <row r="13" spans="1:33">
      <c r="A13" t="s">
        <v>571</v>
      </c>
      <c r="B13">
        <v>1465</v>
      </c>
      <c r="C13">
        <v>1835</v>
      </c>
      <c r="D13">
        <v>1300</v>
      </c>
      <c r="E13">
        <v>2063</v>
      </c>
      <c r="F13">
        <v>2692</v>
      </c>
      <c r="G13">
        <v>1311</v>
      </c>
      <c r="H13">
        <v>2095</v>
      </c>
      <c r="I13">
        <v>1191</v>
      </c>
      <c r="J13">
        <v>1600</v>
      </c>
      <c r="K13">
        <v>1870</v>
      </c>
      <c r="L13">
        <v>1844</v>
      </c>
      <c r="M13">
        <v>2016</v>
      </c>
      <c r="N13">
        <v>2200</v>
      </c>
      <c r="O13">
        <v>1700</v>
      </c>
      <c r="P13">
        <v>2015</v>
      </c>
      <c r="Q13">
        <v>1065</v>
      </c>
      <c r="R13">
        <v>1660</v>
      </c>
      <c r="S13">
        <v>1430</v>
      </c>
      <c r="T13">
        <v>1545</v>
      </c>
      <c r="U13">
        <v>1055</v>
      </c>
      <c r="V13">
        <v>2546</v>
      </c>
      <c r="W13">
        <v>2036</v>
      </c>
      <c r="X13">
        <v>1440</v>
      </c>
      <c r="Y13">
        <v>1010</v>
      </c>
      <c r="Z13">
        <v>2035</v>
      </c>
      <c r="AA13">
        <v>1870</v>
      </c>
      <c r="AB13">
        <f t="shared" si="0"/>
        <v>44889</v>
      </c>
      <c r="AC13">
        <f>AVERAGE(B13:AA13)</f>
        <v>1726.5</v>
      </c>
    </row>
    <row r="14" spans="1:33">
      <c r="A14" t="s">
        <v>572</v>
      </c>
      <c r="B14">
        <v>945</v>
      </c>
      <c r="C14">
        <v>1485</v>
      </c>
      <c r="D14">
        <v>1145</v>
      </c>
      <c r="E14">
        <v>1534</v>
      </c>
      <c r="F14">
        <v>1945</v>
      </c>
      <c r="G14">
        <v>1116</v>
      </c>
      <c r="H14">
        <v>1645</v>
      </c>
      <c r="I14">
        <v>891</v>
      </c>
      <c r="J14">
        <v>910</v>
      </c>
      <c r="K14">
        <v>1345</v>
      </c>
      <c r="L14">
        <v>1583</v>
      </c>
      <c r="M14">
        <v>1173</v>
      </c>
      <c r="N14">
        <v>1975</v>
      </c>
      <c r="O14">
        <v>1436</v>
      </c>
      <c r="P14">
        <v>1645</v>
      </c>
      <c r="Q14">
        <v>890</v>
      </c>
      <c r="R14">
        <v>830</v>
      </c>
      <c r="S14">
        <v>955</v>
      </c>
      <c r="T14">
        <v>895</v>
      </c>
      <c r="U14">
        <v>905</v>
      </c>
      <c r="V14">
        <v>1757</v>
      </c>
      <c r="W14">
        <v>1389</v>
      </c>
      <c r="X14">
        <v>997</v>
      </c>
      <c r="Y14">
        <v>550</v>
      </c>
      <c r="Z14">
        <v>1380</v>
      </c>
      <c r="AA14">
        <v>1385</v>
      </c>
      <c r="AB14">
        <f t="shared" si="0"/>
        <v>32706</v>
      </c>
      <c r="AC14">
        <f>AVERAGE(B14:AA14)</f>
        <v>1257.9230769230769</v>
      </c>
    </row>
    <row r="15" spans="1:33">
      <c r="A15" t="s">
        <v>573</v>
      </c>
      <c r="B15">
        <v>195</v>
      </c>
      <c r="C15">
        <v>980</v>
      </c>
      <c r="D15">
        <v>195</v>
      </c>
      <c r="E15">
        <v>450</v>
      </c>
      <c r="F15">
        <v>555</v>
      </c>
      <c r="G15">
        <v>240</v>
      </c>
      <c r="H15">
        <v>705</v>
      </c>
      <c r="I15">
        <v>570</v>
      </c>
      <c r="J15">
        <v>375</v>
      </c>
      <c r="K15">
        <v>470</v>
      </c>
      <c r="L15">
        <v>726</v>
      </c>
      <c r="M15">
        <v>110</v>
      </c>
      <c r="N15">
        <v>640</v>
      </c>
      <c r="O15">
        <v>570</v>
      </c>
      <c r="P15">
        <v>810</v>
      </c>
      <c r="Q15">
        <v>610</v>
      </c>
      <c r="S15">
        <v>145</v>
      </c>
      <c r="T15">
        <v>545</v>
      </c>
      <c r="U15">
        <v>0</v>
      </c>
      <c r="V15">
        <v>485</v>
      </c>
      <c r="W15">
        <v>715</v>
      </c>
      <c r="X15">
        <v>615</v>
      </c>
      <c r="Y15">
        <v>250</v>
      </c>
      <c r="Z15">
        <v>320</v>
      </c>
      <c r="AA15">
        <v>575</v>
      </c>
      <c r="AB15">
        <f t="shared" si="0"/>
        <v>11851</v>
      </c>
      <c r="AC15">
        <f>AVERAGE(B15:AA15)</f>
        <v>474.04</v>
      </c>
    </row>
    <row r="16" spans="1:33">
      <c r="A16" t="s">
        <v>574</v>
      </c>
      <c r="B16">
        <v>60</v>
      </c>
      <c r="C16">
        <v>25</v>
      </c>
      <c r="D16">
        <v>30</v>
      </c>
      <c r="E16">
        <v>10</v>
      </c>
      <c r="F16">
        <v>40</v>
      </c>
      <c r="G16">
        <v>65</v>
      </c>
      <c r="H16">
        <v>30</v>
      </c>
      <c r="I16">
        <v>0</v>
      </c>
      <c r="J16">
        <v>30</v>
      </c>
      <c r="K16">
        <v>45</v>
      </c>
      <c r="L16">
        <v>30</v>
      </c>
      <c r="M16">
        <v>40</v>
      </c>
      <c r="N16">
        <v>20</v>
      </c>
      <c r="P16">
        <v>30</v>
      </c>
      <c r="Q16">
        <v>30</v>
      </c>
      <c r="T16">
        <v>0</v>
      </c>
      <c r="Z16">
        <v>40</v>
      </c>
      <c r="AB16">
        <f t="shared" si="0"/>
        <v>525</v>
      </c>
      <c r="AC16">
        <f t="shared" si="2"/>
        <v>30.3125</v>
      </c>
    </row>
    <row r="19" spans="1:29">
      <c r="A19" t="s">
        <v>575</v>
      </c>
      <c r="B19">
        <v>80</v>
      </c>
      <c r="C19">
        <v>30</v>
      </c>
      <c r="D19">
        <v>25</v>
      </c>
      <c r="E19">
        <v>55</v>
      </c>
      <c r="O19">
        <v>30</v>
      </c>
      <c r="P19">
        <v>25</v>
      </c>
      <c r="T19">
        <v>55</v>
      </c>
      <c r="X19">
        <v>100</v>
      </c>
      <c r="AB19">
        <f t="shared" ref="AB19:AB20" si="3">SUM(B19:AA19)</f>
        <v>400</v>
      </c>
      <c r="AC19">
        <f t="shared" si="2"/>
        <v>50</v>
      </c>
    </row>
    <row r="20" spans="1:29">
      <c r="A20" t="s">
        <v>562</v>
      </c>
      <c r="B20">
        <v>250</v>
      </c>
      <c r="C20">
        <v>670</v>
      </c>
      <c r="D20">
        <v>415</v>
      </c>
      <c r="E20">
        <v>955</v>
      </c>
      <c r="F20">
        <v>340</v>
      </c>
      <c r="G20">
        <v>465</v>
      </c>
      <c r="H20">
        <v>480</v>
      </c>
      <c r="I20">
        <v>505</v>
      </c>
      <c r="J20">
        <v>530</v>
      </c>
      <c r="K20">
        <v>695</v>
      </c>
      <c r="L20">
        <v>570</v>
      </c>
      <c r="M20">
        <v>190</v>
      </c>
      <c r="N20">
        <v>370</v>
      </c>
      <c r="O20">
        <v>430</v>
      </c>
      <c r="P20">
        <v>370</v>
      </c>
      <c r="Q20">
        <v>445</v>
      </c>
      <c r="R20">
        <v>285</v>
      </c>
      <c r="S20">
        <v>480</v>
      </c>
      <c r="T20">
        <v>785</v>
      </c>
      <c r="U20">
        <v>155</v>
      </c>
      <c r="V20">
        <v>160</v>
      </c>
      <c r="W20">
        <v>380</v>
      </c>
      <c r="X20">
        <v>505</v>
      </c>
      <c r="Y20">
        <v>470</v>
      </c>
      <c r="Z20">
        <v>500</v>
      </c>
      <c r="AA20">
        <v>290</v>
      </c>
      <c r="AB20">
        <f t="shared" si="3"/>
        <v>11690</v>
      </c>
      <c r="AC20">
        <f>AVERAGE(B20:AA20)</f>
        <v>449.61538461538464</v>
      </c>
    </row>
    <row r="21" spans="1:29">
      <c r="A21" t="s">
        <v>623</v>
      </c>
      <c r="B21" s="6">
        <f t="shared" ref="B21:AB21" si="4">SUM(B3:B20)</f>
        <v>12000</v>
      </c>
      <c r="C21" s="6">
        <f t="shared" si="4"/>
        <v>16570</v>
      </c>
      <c r="D21" s="6">
        <f t="shared" si="4"/>
        <v>9445</v>
      </c>
      <c r="E21" s="14">
        <f t="shared" si="4"/>
        <v>14891</v>
      </c>
      <c r="F21" s="6">
        <f t="shared" si="4"/>
        <v>14215</v>
      </c>
      <c r="G21" s="6">
        <f t="shared" si="4"/>
        <v>12420</v>
      </c>
      <c r="H21" s="6">
        <f t="shared" si="4"/>
        <v>13947</v>
      </c>
      <c r="I21" s="6">
        <f t="shared" si="4"/>
        <v>9994</v>
      </c>
      <c r="J21" s="6">
        <f t="shared" si="4"/>
        <v>12210</v>
      </c>
      <c r="K21" s="6">
        <f t="shared" si="4"/>
        <v>12126</v>
      </c>
      <c r="L21" s="6">
        <f t="shared" si="4"/>
        <v>14002</v>
      </c>
      <c r="M21" s="6">
        <f t="shared" si="4"/>
        <v>10255</v>
      </c>
      <c r="N21" s="6">
        <f t="shared" si="4"/>
        <v>13780</v>
      </c>
      <c r="O21" s="6">
        <f t="shared" si="4"/>
        <v>14003</v>
      </c>
      <c r="P21" s="6">
        <f t="shared" si="4"/>
        <v>13777</v>
      </c>
      <c r="Q21" s="6">
        <f t="shared" si="4"/>
        <v>13088</v>
      </c>
      <c r="R21" s="6">
        <f t="shared" si="4"/>
        <v>8075</v>
      </c>
      <c r="S21" s="6">
        <f t="shared" si="4"/>
        <v>9952</v>
      </c>
      <c r="T21" s="6">
        <f t="shared" si="4"/>
        <v>12310</v>
      </c>
      <c r="U21" s="6">
        <f>SUM(U3:U20)</f>
        <v>8575</v>
      </c>
      <c r="V21" s="6">
        <f t="shared" si="4"/>
        <v>13810</v>
      </c>
      <c r="W21" s="6">
        <f t="shared" si="4"/>
        <v>14297</v>
      </c>
      <c r="X21" s="6">
        <f t="shared" si="4"/>
        <v>13239</v>
      </c>
      <c r="Y21" s="6">
        <f t="shared" si="4"/>
        <v>8669</v>
      </c>
      <c r="Z21" s="6">
        <f t="shared" si="4"/>
        <v>10372</v>
      </c>
      <c r="AA21" s="6">
        <f t="shared" si="4"/>
        <v>11564</v>
      </c>
      <c r="AB21" s="6">
        <f t="shared" si="4"/>
        <v>317586</v>
      </c>
      <c r="AC21" s="6">
        <f t="shared" ref="AC21" si="5">AVERAGE(B21:R21)</f>
        <v>12635.176470588236</v>
      </c>
    </row>
    <row r="22" spans="1:29">
      <c r="A22" t="s">
        <v>680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57"/>
  <sheetViews>
    <sheetView tabSelected="1" workbookViewId="0">
      <pane xSplit="1" ySplit="2" topLeftCell="W3" activePane="bottomRight" state="frozen"/>
      <selection pane="topRight" activeCell="B1" sqref="B1"/>
      <selection pane="bottomLeft" activeCell="A3" sqref="A3"/>
      <selection pane="bottomRight" activeCell="AC6" sqref="AC6"/>
    </sheetView>
  </sheetViews>
  <sheetFormatPr defaultRowHeight="15"/>
  <cols>
    <col min="1" max="1" width="24.7109375" bestFit="1" customWidth="1"/>
    <col min="2" max="18" width="9.5703125" bestFit="1" customWidth="1"/>
    <col min="19" max="31" width="9.5703125" customWidth="1"/>
    <col min="32" max="32" width="8.140625" bestFit="1" customWidth="1"/>
    <col min="33" max="33" width="4.28515625" bestFit="1" customWidth="1"/>
  </cols>
  <sheetData>
    <row r="1" spans="1:33">
      <c r="A1" s="6" t="s">
        <v>583</v>
      </c>
      <c r="B1" s="22" t="s">
        <v>576</v>
      </c>
      <c r="C1" s="22" t="s">
        <v>577</v>
      </c>
      <c r="D1" s="22" t="s">
        <v>578</v>
      </c>
      <c r="E1" s="22" t="s">
        <v>579</v>
      </c>
      <c r="F1" s="22" t="s">
        <v>580</v>
      </c>
      <c r="G1" s="22" t="s">
        <v>581</v>
      </c>
      <c r="H1" s="22" t="s">
        <v>582</v>
      </c>
      <c r="I1" s="22" t="s">
        <v>576</v>
      </c>
      <c r="J1" s="22" t="s">
        <v>577</v>
      </c>
      <c r="K1" s="22" t="s">
        <v>578</v>
      </c>
      <c r="L1" s="22" t="s">
        <v>579</v>
      </c>
      <c r="M1" s="22" t="s">
        <v>580</v>
      </c>
      <c r="N1" s="22" t="s">
        <v>581</v>
      </c>
      <c r="O1" s="22" t="s">
        <v>582</v>
      </c>
      <c r="P1" s="22" t="s">
        <v>576</v>
      </c>
      <c r="Q1" s="22" t="s">
        <v>577</v>
      </c>
      <c r="R1" s="22" t="s">
        <v>578</v>
      </c>
      <c r="S1" s="22" t="s">
        <v>579</v>
      </c>
      <c r="T1" s="22" t="s">
        <v>580</v>
      </c>
      <c r="U1" s="22" t="s">
        <v>581</v>
      </c>
      <c r="V1" s="22" t="s">
        <v>582</v>
      </c>
      <c r="W1" s="22" t="s">
        <v>576</v>
      </c>
      <c r="X1" s="22" t="s">
        <v>577</v>
      </c>
      <c r="Y1" s="61" t="s">
        <v>578</v>
      </c>
      <c r="Z1" s="61"/>
      <c r="AA1" s="61" t="s">
        <v>579</v>
      </c>
      <c r="AB1" s="61"/>
      <c r="AC1" s="61" t="s">
        <v>580</v>
      </c>
      <c r="AD1" s="61"/>
      <c r="AE1" s="53"/>
    </row>
    <row r="2" spans="1:33">
      <c r="A2" s="6" t="s">
        <v>557</v>
      </c>
      <c r="B2" s="26">
        <v>43191</v>
      </c>
      <c r="C2" s="26">
        <v>43192</v>
      </c>
      <c r="D2" s="26">
        <v>43193</v>
      </c>
      <c r="E2" s="26">
        <v>43194</v>
      </c>
      <c r="F2" s="26">
        <v>43195</v>
      </c>
      <c r="G2" s="26">
        <v>43196</v>
      </c>
      <c r="H2" s="26">
        <v>43197</v>
      </c>
      <c r="I2" s="26">
        <v>43198</v>
      </c>
      <c r="J2" s="26">
        <v>43199</v>
      </c>
      <c r="K2" s="26">
        <v>43200</v>
      </c>
      <c r="L2" s="26">
        <v>43201</v>
      </c>
      <c r="M2" s="26">
        <v>43202</v>
      </c>
      <c r="N2" s="26">
        <v>43203</v>
      </c>
      <c r="O2" s="26">
        <v>43204</v>
      </c>
      <c r="P2" s="26">
        <v>43205</v>
      </c>
      <c r="Q2" s="26">
        <v>43206</v>
      </c>
      <c r="R2" s="26">
        <v>43207</v>
      </c>
      <c r="S2" s="26">
        <v>43208</v>
      </c>
      <c r="T2" s="26">
        <v>43209</v>
      </c>
      <c r="U2" s="26">
        <v>43210</v>
      </c>
      <c r="V2" s="26">
        <v>43211</v>
      </c>
      <c r="W2" s="26">
        <v>43212</v>
      </c>
      <c r="X2" s="26">
        <v>43213</v>
      </c>
      <c r="Y2" s="26">
        <v>43214</v>
      </c>
      <c r="Z2" s="26" t="s">
        <v>717</v>
      </c>
      <c r="AA2" s="26">
        <v>43215</v>
      </c>
      <c r="AB2" s="26" t="s">
        <v>717</v>
      </c>
      <c r="AC2" s="26">
        <v>43216</v>
      </c>
      <c r="AD2" s="26" t="s">
        <v>717</v>
      </c>
      <c r="AE2" s="26"/>
      <c r="AF2" s="6" t="s">
        <v>616</v>
      </c>
      <c r="AG2" s="6" t="s">
        <v>617</v>
      </c>
    </row>
    <row r="3" spans="1:33">
      <c r="A3" t="s">
        <v>624</v>
      </c>
      <c r="B3" t="s">
        <v>720</v>
      </c>
      <c r="C3" t="s">
        <v>677</v>
      </c>
      <c r="N3">
        <v>4.4000000000000004</v>
      </c>
      <c r="O3">
        <v>4.0999999999999996</v>
      </c>
      <c r="P3">
        <v>4.0999999999999996</v>
      </c>
      <c r="R3">
        <v>4.0999999999999996</v>
      </c>
      <c r="Y3">
        <v>4.9000000000000004</v>
      </c>
    </row>
    <row r="4" spans="1:33">
      <c r="A4" t="s">
        <v>625</v>
      </c>
      <c r="B4" t="s">
        <v>720</v>
      </c>
      <c r="N4">
        <v>1.3</v>
      </c>
      <c r="O4">
        <v>1.1000000000000001</v>
      </c>
      <c r="P4">
        <v>1.2</v>
      </c>
      <c r="R4">
        <v>1</v>
      </c>
      <c r="Y4">
        <v>1.1000000000000001</v>
      </c>
    </row>
    <row r="5" spans="1:33">
      <c r="A5" t="s">
        <v>626</v>
      </c>
      <c r="N5">
        <f>2.7+1</f>
        <v>3.7</v>
      </c>
      <c r="O5">
        <v>4</v>
      </c>
      <c r="P5">
        <v>3.8</v>
      </c>
      <c r="R5">
        <v>4.3</v>
      </c>
      <c r="Y5">
        <v>3.85</v>
      </c>
      <c r="Z5">
        <v>0.85</v>
      </c>
      <c r="AA5">
        <v>0.7</v>
      </c>
      <c r="AC5">
        <v>0.7</v>
      </c>
    </row>
    <row r="6" spans="1:33">
      <c r="A6" t="s">
        <v>356</v>
      </c>
      <c r="N6">
        <f>1.1+0.5</f>
        <v>1.6</v>
      </c>
      <c r="O6">
        <v>1.6</v>
      </c>
      <c r="P6">
        <v>1.8</v>
      </c>
      <c r="R6">
        <v>2</v>
      </c>
      <c r="Y6">
        <v>1.6</v>
      </c>
      <c r="Z6">
        <v>0.5</v>
      </c>
      <c r="AA6">
        <v>0.5</v>
      </c>
      <c r="AC6">
        <v>0.5</v>
      </c>
    </row>
    <row r="7" spans="1:33">
      <c r="A7" t="s">
        <v>627</v>
      </c>
      <c r="N7">
        <v>1.1000000000000001</v>
      </c>
      <c r="O7">
        <v>1.4</v>
      </c>
      <c r="P7">
        <v>1.4</v>
      </c>
      <c r="R7">
        <v>1.3</v>
      </c>
      <c r="Y7">
        <v>1.5</v>
      </c>
    </row>
    <row r="8" spans="1:33">
      <c r="A8" t="s">
        <v>628</v>
      </c>
      <c r="N8">
        <v>1.3</v>
      </c>
      <c r="P8">
        <v>1.2</v>
      </c>
      <c r="R8">
        <v>1.6</v>
      </c>
      <c r="Y8">
        <v>1.25</v>
      </c>
    </row>
    <row r="9" spans="1:33">
      <c r="A9" t="s">
        <v>629</v>
      </c>
      <c r="N9">
        <f>1.8+1</f>
        <v>2.8</v>
      </c>
      <c r="P9">
        <v>6</v>
      </c>
      <c r="R9">
        <v>4.9000000000000004</v>
      </c>
      <c r="Y9">
        <v>3.95</v>
      </c>
      <c r="Z9">
        <v>0.85</v>
      </c>
      <c r="AA9">
        <v>1</v>
      </c>
      <c r="AC9">
        <v>1</v>
      </c>
    </row>
    <row r="10" spans="1:33">
      <c r="A10" t="s">
        <v>353</v>
      </c>
      <c r="N10">
        <f>2.4+1.1</f>
        <v>3.5</v>
      </c>
      <c r="O10">
        <v>4</v>
      </c>
      <c r="P10">
        <v>3.8</v>
      </c>
      <c r="R10">
        <v>6</v>
      </c>
      <c r="Y10">
        <v>4</v>
      </c>
      <c r="Z10">
        <v>1.25</v>
      </c>
      <c r="AA10">
        <v>1.2</v>
      </c>
      <c r="AC10">
        <v>1.2</v>
      </c>
    </row>
    <row r="11" spans="1:33">
      <c r="A11" t="s">
        <v>352</v>
      </c>
      <c r="N11">
        <f>5+2.1</f>
        <v>7.1</v>
      </c>
      <c r="O11">
        <v>8</v>
      </c>
      <c r="P11">
        <v>10.1</v>
      </c>
      <c r="R11">
        <v>9</v>
      </c>
      <c r="Y11">
        <v>13.5</v>
      </c>
      <c r="Z11">
        <v>5</v>
      </c>
      <c r="AA11">
        <v>5</v>
      </c>
      <c r="AC11">
        <v>5</v>
      </c>
    </row>
    <row r="12" spans="1:33">
      <c r="A12" t="s">
        <v>630</v>
      </c>
      <c r="N12">
        <v>3.1</v>
      </c>
      <c r="O12">
        <v>3.7</v>
      </c>
      <c r="P12">
        <v>3.5</v>
      </c>
      <c r="R12">
        <v>2.6</v>
      </c>
    </row>
    <row r="13" spans="1:33">
      <c r="A13" t="s">
        <v>155</v>
      </c>
      <c r="C13" t="s">
        <v>720</v>
      </c>
      <c r="N13">
        <v>9.1</v>
      </c>
      <c r="O13">
        <v>9.3000000000000007</v>
      </c>
      <c r="P13">
        <v>9.4</v>
      </c>
      <c r="Y13">
        <f>SUM(Y11,Y10,Y9,Y6,Y5)</f>
        <v>26.900000000000002</v>
      </c>
      <c r="Z13" s="6">
        <f>SUM(Z11,Z10,Z9,Z6,Z5)</f>
        <v>8.4499999999999993</v>
      </c>
      <c r="AA13" s="6">
        <f>SUM(AA11,AA10,AA9,AA6,AA5)</f>
        <v>8.4</v>
      </c>
      <c r="AC13" s="6">
        <f>SUM(AC11,AC10,AC9,AC6,AC5)</f>
        <v>8.4</v>
      </c>
    </row>
    <row r="14" spans="1:33">
      <c r="A14" s="16" t="s">
        <v>561</v>
      </c>
      <c r="C14" t="s">
        <v>720</v>
      </c>
    </row>
    <row r="15" spans="1:33">
      <c r="A15" s="16" t="s">
        <v>632</v>
      </c>
      <c r="C15" t="s">
        <v>720</v>
      </c>
    </row>
    <row r="16" spans="1:33">
      <c r="A16" s="16" t="s">
        <v>633</v>
      </c>
      <c r="C16" t="s">
        <v>720</v>
      </c>
    </row>
    <row r="17" spans="1:3">
      <c r="A17" s="16" t="s">
        <v>634</v>
      </c>
      <c r="C17" t="s">
        <v>720</v>
      </c>
    </row>
    <row r="18" spans="1:3">
      <c r="A18" s="16" t="s">
        <v>635</v>
      </c>
      <c r="C18" t="s">
        <v>720</v>
      </c>
    </row>
    <row r="19" spans="1:3">
      <c r="A19" s="16" t="s">
        <v>636</v>
      </c>
      <c r="C19" t="s">
        <v>720</v>
      </c>
    </row>
    <row r="20" spans="1:3">
      <c r="A20" s="16" t="s">
        <v>723</v>
      </c>
      <c r="C20" t="s">
        <v>720</v>
      </c>
    </row>
    <row r="21" spans="1:3">
      <c r="A21" s="16" t="s">
        <v>637</v>
      </c>
      <c r="C21" t="s">
        <v>720</v>
      </c>
    </row>
    <row r="22" spans="1:3">
      <c r="A22" s="16" t="s">
        <v>638</v>
      </c>
      <c r="C22" t="s">
        <v>720</v>
      </c>
    </row>
    <row r="23" spans="1:3">
      <c r="A23" s="16" t="s">
        <v>639</v>
      </c>
      <c r="C23" t="s">
        <v>720</v>
      </c>
    </row>
    <row r="24" spans="1:3">
      <c r="A24" s="16" t="s">
        <v>640</v>
      </c>
      <c r="C24" t="s">
        <v>720</v>
      </c>
    </row>
    <row r="25" spans="1:3">
      <c r="A25" s="16" t="s">
        <v>641</v>
      </c>
      <c r="C25" t="s">
        <v>720</v>
      </c>
    </row>
    <row r="26" spans="1:3">
      <c r="A26" s="16" t="s">
        <v>642</v>
      </c>
      <c r="C26" t="s">
        <v>720</v>
      </c>
    </row>
    <row r="27" spans="1:3">
      <c r="A27" s="16" t="s">
        <v>643</v>
      </c>
      <c r="C27" t="s">
        <v>720</v>
      </c>
    </row>
    <row r="28" spans="1:3">
      <c r="A28" s="16" t="s">
        <v>644</v>
      </c>
      <c r="C28" t="s">
        <v>720</v>
      </c>
    </row>
    <row r="29" spans="1:3">
      <c r="A29" s="16" t="s">
        <v>645</v>
      </c>
      <c r="C29" s="16" t="s">
        <v>720</v>
      </c>
    </row>
    <row r="30" spans="1:3">
      <c r="A30" s="16" t="s">
        <v>646</v>
      </c>
      <c r="C30" t="s">
        <v>720</v>
      </c>
    </row>
    <row r="31" spans="1:3">
      <c r="A31" s="16" t="s">
        <v>647</v>
      </c>
      <c r="C31" t="s">
        <v>720</v>
      </c>
    </row>
    <row r="32" spans="1:3">
      <c r="A32" s="16" t="s">
        <v>648</v>
      </c>
      <c r="C32" t="s">
        <v>720</v>
      </c>
    </row>
    <row r="33" spans="1:2">
      <c r="A33" s="16" t="s">
        <v>649</v>
      </c>
    </row>
    <row r="34" spans="1:2">
      <c r="A34" s="16" t="s">
        <v>650</v>
      </c>
    </row>
    <row r="35" spans="1:2">
      <c r="A35" s="16" t="s">
        <v>651</v>
      </c>
    </row>
    <row r="36" spans="1:2">
      <c r="A36" s="16" t="s">
        <v>652</v>
      </c>
    </row>
    <row r="37" spans="1:2">
      <c r="A37" s="16" t="s">
        <v>653</v>
      </c>
    </row>
    <row r="38" spans="1:2">
      <c r="A38" s="16" t="s">
        <v>654</v>
      </c>
    </row>
    <row r="39" spans="1:2">
      <c r="A39" s="16" t="s">
        <v>655</v>
      </c>
    </row>
    <row r="40" spans="1:2">
      <c r="A40" s="16" t="s">
        <v>656</v>
      </c>
    </row>
    <row r="41" spans="1:2">
      <c r="A41" s="16" t="s">
        <v>657</v>
      </c>
    </row>
    <row r="42" spans="1:2">
      <c r="A42" s="16" t="s">
        <v>658</v>
      </c>
    </row>
    <row r="43" spans="1:2">
      <c r="A43" s="16" t="s">
        <v>659</v>
      </c>
    </row>
    <row r="44" spans="1:2">
      <c r="A44" s="16" t="s">
        <v>660</v>
      </c>
    </row>
    <row r="45" spans="1:2">
      <c r="A45" s="16" t="s">
        <v>661</v>
      </c>
    </row>
    <row r="46" spans="1:2">
      <c r="A46" s="16" t="s">
        <v>662</v>
      </c>
    </row>
    <row r="47" spans="1:2">
      <c r="A47" s="16" t="s">
        <v>663</v>
      </c>
    </row>
    <row r="48" spans="1:2">
      <c r="A48" s="16" t="s">
        <v>721</v>
      </c>
      <c r="B48" t="s">
        <v>720</v>
      </c>
    </row>
    <row r="49" spans="1:1">
      <c r="A49" s="16" t="s">
        <v>722</v>
      </c>
    </row>
    <row r="50" spans="1:1">
      <c r="A50" s="16" t="s">
        <v>664</v>
      </c>
    </row>
    <row r="51" spans="1:1">
      <c r="A51" s="16" t="s">
        <v>665</v>
      </c>
    </row>
    <row r="52" spans="1:1">
      <c r="A52" s="16" t="s">
        <v>666</v>
      </c>
    </row>
    <row r="53" spans="1:1">
      <c r="A53" s="16" t="s">
        <v>667</v>
      </c>
    </row>
    <row r="54" spans="1:1">
      <c r="A54" s="16" t="s">
        <v>668</v>
      </c>
    </row>
    <row r="55" spans="1:1">
      <c r="A55" s="16" t="s">
        <v>669</v>
      </c>
    </row>
    <row r="56" spans="1:1">
      <c r="A56" s="16" t="s">
        <v>670</v>
      </c>
    </row>
    <row r="57" spans="1:1">
      <c r="A57" s="16" t="s">
        <v>671</v>
      </c>
    </row>
  </sheetData>
  <mergeCells count="3">
    <mergeCell ref="Y1:Z1"/>
    <mergeCell ref="AA1:AB1"/>
    <mergeCell ref="AC1:AD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1"/>
  <sheetViews>
    <sheetView workbookViewId="0">
      <pane xSplit="1" ySplit="2" topLeftCell="E3" activePane="bottomRight" state="frozen"/>
      <selection pane="topRight" activeCell="B1" sqref="B1"/>
      <selection pane="bottomLeft" activeCell="A3" sqref="A3"/>
      <selection pane="bottomRight" activeCell="R12" sqref="R12"/>
    </sheetView>
  </sheetViews>
  <sheetFormatPr defaultRowHeight="15"/>
  <cols>
    <col min="1" max="1" width="5.140625" bestFit="1" customWidth="1"/>
    <col min="2" max="18" width="9.5703125" bestFit="1" customWidth="1"/>
    <col min="19" max="19" width="8.140625" bestFit="1" customWidth="1"/>
    <col min="20" max="20" width="4.28515625" bestFit="1" customWidth="1"/>
  </cols>
  <sheetData>
    <row r="1" spans="1:20">
      <c r="A1" s="6" t="s">
        <v>583</v>
      </c>
      <c r="B1" s="22" t="s">
        <v>576</v>
      </c>
      <c r="C1" s="22" t="s">
        <v>577</v>
      </c>
      <c r="D1" s="22" t="s">
        <v>578</v>
      </c>
      <c r="E1" s="22" t="s">
        <v>579</v>
      </c>
      <c r="F1" s="22" t="s">
        <v>580</v>
      </c>
      <c r="G1" s="22" t="s">
        <v>581</v>
      </c>
      <c r="H1" s="22" t="s">
        <v>582</v>
      </c>
      <c r="I1" s="22" t="s">
        <v>576</v>
      </c>
      <c r="J1" s="22" t="s">
        <v>577</v>
      </c>
      <c r="K1" s="22" t="s">
        <v>578</v>
      </c>
      <c r="L1" s="22" t="s">
        <v>579</v>
      </c>
      <c r="M1" s="22" t="s">
        <v>580</v>
      </c>
      <c r="N1" s="22" t="s">
        <v>581</v>
      </c>
      <c r="O1" s="22" t="s">
        <v>582</v>
      </c>
      <c r="P1" s="22" t="s">
        <v>576</v>
      </c>
      <c r="Q1" s="22" t="s">
        <v>577</v>
      </c>
      <c r="R1" s="22" t="s">
        <v>578</v>
      </c>
    </row>
    <row r="2" spans="1:20">
      <c r="A2" s="6" t="s">
        <v>557</v>
      </c>
      <c r="B2" s="26">
        <v>43191</v>
      </c>
      <c r="C2" s="26">
        <v>43192</v>
      </c>
      <c r="D2" s="26">
        <v>43193</v>
      </c>
      <c r="E2" s="26">
        <v>43194</v>
      </c>
      <c r="F2" s="26">
        <v>43195</v>
      </c>
      <c r="G2" s="26">
        <v>43196</v>
      </c>
      <c r="H2" s="26">
        <v>43197</v>
      </c>
      <c r="I2" s="26">
        <v>43198</v>
      </c>
      <c r="J2" s="26">
        <v>43199</v>
      </c>
      <c r="K2" s="26">
        <v>43200</v>
      </c>
      <c r="L2" s="26">
        <v>43201</v>
      </c>
      <c r="M2" s="26">
        <v>43202</v>
      </c>
      <c r="N2" s="26">
        <v>43203</v>
      </c>
      <c r="O2" s="26">
        <v>43204</v>
      </c>
      <c r="P2" s="26">
        <v>43205</v>
      </c>
      <c r="Q2" s="26">
        <v>43206</v>
      </c>
      <c r="R2" s="26">
        <v>43207</v>
      </c>
      <c r="S2" s="6" t="s">
        <v>616</v>
      </c>
      <c r="T2" s="6" t="s">
        <v>617</v>
      </c>
    </row>
    <row r="3" spans="1:20">
      <c r="A3" t="s">
        <v>682</v>
      </c>
      <c r="R3">
        <v>19</v>
      </c>
    </row>
    <row r="4" spans="1:20">
      <c r="A4" t="s">
        <v>683</v>
      </c>
      <c r="R4">
        <v>15</v>
      </c>
    </row>
    <row r="5" spans="1:20">
      <c r="A5" t="s">
        <v>684</v>
      </c>
      <c r="R5">
        <v>42</v>
      </c>
    </row>
    <row r="6" spans="1:20">
      <c r="A6" t="s">
        <v>685</v>
      </c>
      <c r="R6">
        <f>15+23</f>
        <v>38</v>
      </c>
    </row>
    <row r="7" spans="1:20">
      <c r="A7" t="s">
        <v>686</v>
      </c>
      <c r="R7">
        <v>24</v>
      </c>
    </row>
    <row r="8" spans="1:20">
      <c r="A8" t="s">
        <v>687</v>
      </c>
      <c r="R8">
        <v>0</v>
      </c>
    </row>
    <row r="9" spans="1:20">
      <c r="A9" t="s">
        <v>688</v>
      </c>
      <c r="R9">
        <v>0</v>
      </c>
    </row>
    <row r="10" spans="1:20">
      <c r="A10" t="s">
        <v>689</v>
      </c>
      <c r="R10">
        <v>29</v>
      </c>
    </row>
    <row r="11" spans="1:20">
      <c r="A11" t="s">
        <v>690</v>
      </c>
      <c r="R11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21"/>
  <sheetViews>
    <sheetView topLeftCell="J1" workbookViewId="0">
      <selection activeCell="W21" sqref="W21"/>
    </sheetView>
  </sheetViews>
  <sheetFormatPr defaultRowHeight="15"/>
  <cols>
    <col min="1" max="1" width="5.140625" bestFit="1" customWidth="1"/>
    <col min="2" max="2" width="9.5703125" bestFit="1" customWidth="1"/>
    <col min="3" max="3" width="9.5703125" customWidth="1"/>
    <col min="4" max="6" width="9.5703125" bestFit="1" customWidth="1"/>
    <col min="7" max="7" width="9.5703125" customWidth="1"/>
    <col min="8" max="9" width="9.5703125" bestFit="1" customWidth="1"/>
    <col min="10" max="10" width="9.5703125" customWidth="1"/>
    <col min="11" max="16" width="9.5703125" bestFit="1" customWidth="1"/>
    <col min="17" max="17" width="9.5703125" customWidth="1"/>
    <col min="18" max="19" width="9.5703125" bestFit="1" customWidth="1"/>
    <col min="20" max="20" width="9.5703125" customWidth="1"/>
    <col min="21" max="22" width="9.5703125" bestFit="1" customWidth="1"/>
    <col min="23" max="23" width="9.5703125" customWidth="1"/>
    <col min="24" max="24" width="9.5703125" bestFit="1" customWidth="1"/>
    <col min="25" max="25" width="9.5703125" customWidth="1"/>
    <col min="26" max="26" width="8.140625" bestFit="1" customWidth="1"/>
    <col min="27" max="27" width="4.28515625" bestFit="1" customWidth="1"/>
  </cols>
  <sheetData>
    <row r="1" spans="1:45">
      <c r="A1" s="6" t="s">
        <v>557</v>
      </c>
      <c r="B1" s="60">
        <v>43208</v>
      </c>
      <c r="C1" s="60"/>
      <c r="D1" s="60"/>
      <c r="E1" s="60">
        <v>43209</v>
      </c>
      <c r="F1" s="60"/>
      <c r="G1" s="60"/>
      <c r="H1" s="60">
        <v>43210</v>
      </c>
      <c r="I1" s="60"/>
      <c r="J1" s="46"/>
      <c r="K1" s="60">
        <v>43211</v>
      </c>
      <c r="L1" s="60"/>
      <c r="M1" s="60">
        <v>43213</v>
      </c>
      <c r="N1" s="60"/>
      <c r="O1" s="60">
        <v>43214</v>
      </c>
      <c r="P1" s="60"/>
      <c r="Q1" s="46"/>
      <c r="R1" s="60">
        <v>43215</v>
      </c>
      <c r="S1" s="60"/>
      <c r="T1" s="48"/>
      <c r="U1" s="60">
        <v>43216</v>
      </c>
      <c r="V1" s="60"/>
      <c r="W1" s="50"/>
      <c r="X1" s="60">
        <v>43215</v>
      </c>
      <c r="Y1" s="60"/>
      <c r="Z1" s="60">
        <v>43216</v>
      </c>
      <c r="AA1" s="60"/>
      <c r="AB1" s="60">
        <v>43217</v>
      </c>
      <c r="AC1" s="60"/>
      <c r="AD1" s="60">
        <v>43218</v>
      </c>
      <c r="AE1" s="60"/>
      <c r="AF1" s="60">
        <v>43219</v>
      </c>
      <c r="AG1" s="60"/>
      <c r="AH1" s="60">
        <v>43220</v>
      </c>
      <c r="AI1" s="60"/>
      <c r="AJ1" s="60">
        <v>43221</v>
      </c>
      <c r="AK1" s="60"/>
      <c r="AL1" s="60">
        <v>43222</v>
      </c>
      <c r="AM1" s="60"/>
      <c r="AN1" s="60">
        <v>43223</v>
      </c>
      <c r="AO1" s="60"/>
      <c r="AP1" s="60">
        <v>43224</v>
      </c>
      <c r="AQ1" s="60"/>
      <c r="AR1" s="60">
        <v>43225</v>
      </c>
      <c r="AS1" s="60"/>
    </row>
    <row r="2" spans="1:45">
      <c r="A2" s="6" t="s">
        <v>560</v>
      </c>
      <c r="B2" s="22" t="s">
        <v>692</v>
      </c>
      <c r="C2" s="22"/>
      <c r="D2" s="6" t="s">
        <v>693</v>
      </c>
      <c r="E2" s="22" t="s">
        <v>692</v>
      </c>
      <c r="F2" s="6" t="s">
        <v>693</v>
      </c>
      <c r="G2" s="6" t="s">
        <v>704</v>
      </c>
      <c r="H2" s="22" t="s">
        <v>692</v>
      </c>
      <c r="I2" s="6" t="s">
        <v>693</v>
      </c>
      <c r="J2" s="6" t="s">
        <v>704</v>
      </c>
      <c r="K2" s="22" t="s">
        <v>692</v>
      </c>
      <c r="L2" s="6" t="s">
        <v>693</v>
      </c>
      <c r="M2" s="22" t="s">
        <v>692</v>
      </c>
      <c r="N2" s="6" t="s">
        <v>693</v>
      </c>
      <c r="O2" s="22" t="s">
        <v>692</v>
      </c>
      <c r="P2" s="6" t="s">
        <v>693</v>
      </c>
      <c r="Q2" s="6" t="s">
        <v>704</v>
      </c>
      <c r="R2" s="22" t="s">
        <v>692</v>
      </c>
      <c r="S2" s="6" t="s">
        <v>693</v>
      </c>
      <c r="T2" s="6" t="s">
        <v>704</v>
      </c>
      <c r="U2" s="22" t="s">
        <v>692</v>
      </c>
      <c r="V2" s="6" t="s">
        <v>693</v>
      </c>
      <c r="W2" s="6" t="s">
        <v>704</v>
      </c>
      <c r="X2" s="22" t="s">
        <v>692</v>
      </c>
      <c r="Y2" s="6" t="s">
        <v>693</v>
      </c>
      <c r="Z2" s="22" t="s">
        <v>692</v>
      </c>
      <c r="AA2" s="6" t="s">
        <v>693</v>
      </c>
      <c r="AB2" s="22" t="s">
        <v>692</v>
      </c>
      <c r="AC2" s="6" t="s">
        <v>693</v>
      </c>
      <c r="AD2" s="22" t="s">
        <v>692</v>
      </c>
      <c r="AE2" s="6" t="s">
        <v>693</v>
      </c>
      <c r="AF2" s="22" t="s">
        <v>692</v>
      </c>
      <c r="AG2" s="6" t="s">
        <v>693</v>
      </c>
      <c r="AH2" s="22" t="s">
        <v>692</v>
      </c>
      <c r="AI2" s="6" t="s">
        <v>693</v>
      </c>
      <c r="AJ2" s="22" t="s">
        <v>692</v>
      </c>
      <c r="AK2" s="6" t="s">
        <v>693</v>
      </c>
      <c r="AL2" s="22" t="s">
        <v>692</v>
      </c>
      <c r="AM2" s="6" t="s">
        <v>693</v>
      </c>
      <c r="AN2" s="22" t="s">
        <v>692</v>
      </c>
      <c r="AO2" s="6" t="s">
        <v>693</v>
      </c>
      <c r="AP2" s="22" t="s">
        <v>692</v>
      </c>
      <c r="AQ2" s="6" t="s">
        <v>693</v>
      </c>
      <c r="AR2" s="22" t="s">
        <v>692</v>
      </c>
      <c r="AS2" s="6" t="s">
        <v>693</v>
      </c>
    </row>
    <row r="3" spans="1:45">
      <c r="B3" t="s">
        <v>691</v>
      </c>
      <c r="D3">
        <v>19.399999999999999</v>
      </c>
      <c r="E3" t="s">
        <v>699</v>
      </c>
      <c r="F3">
        <v>35.799999999999997</v>
      </c>
      <c r="G3">
        <f>D3-F11</f>
        <v>-12.700000000000003</v>
      </c>
      <c r="H3" t="s">
        <v>699</v>
      </c>
      <c r="I3">
        <v>23.4</v>
      </c>
      <c r="J3">
        <f>F3-I3</f>
        <v>12.399999999999999</v>
      </c>
      <c r="K3" t="s">
        <v>699</v>
      </c>
      <c r="L3">
        <v>19.600000000000001</v>
      </c>
      <c r="M3" t="s">
        <v>696</v>
      </c>
      <c r="N3">
        <v>32.9</v>
      </c>
      <c r="O3" t="s">
        <v>696</v>
      </c>
      <c r="P3">
        <v>25.8</v>
      </c>
      <c r="Q3">
        <f>N3-P3</f>
        <v>7.0999999999999979</v>
      </c>
      <c r="R3" t="s">
        <v>696</v>
      </c>
      <c r="S3">
        <v>22.4</v>
      </c>
      <c r="T3">
        <f>P3-S3</f>
        <v>3.4000000000000021</v>
      </c>
      <c r="U3" t="s">
        <v>696</v>
      </c>
      <c r="V3">
        <v>19.8</v>
      </c>
      <c r="W3">
        <f>S3-V3</f>
        <v>2.5999999999999979</v>
      </c>
      <c r="Y3" t="s">
        <v>691</v>
      </c>
    </row>
    <row r="4" spans="1:45">
      <c r="B4" t="s">
        <v>694</v>
      </c>
      <c r="D4">
        <v>21.4</v>
      </c>
      <c r="E4" t="s">
        <v>698</v>
      </c>
      <c r="F4">
        <v>20.7</v>
      </c>
      <c r="G4">
        <f t="shared" ref="G4:G10" si="0">D4-F4</f>
        <v>0.69999999999999929</v>
      </c>
      <c r="H4" t="s">
        <v>698</v>
      </c>
      <c r="I4">
        <v>20.100000000000001</v>
      </c>
      <c r="J4">
        <f t="shared" ref="J4:J11" si="1">F4-I4</f>
        <v>0.59999999999999787</v>
      </c>
      <c r="K4" t="s">
        <v>698</v>
      </c>
      <c r="L4">
        <v>19.8</v>
      </c>
      <c r="M4" t="s">
        <v>705</v>
      </c>
      <c r="N4">
        <v>25.4</v>
      </c>
      <c r="O4" t="s">
        <v>705</v>
      </c>
      <c r="P4">
        <v>19.899999999999999</v>
      </c>
      <c r="Q4">
        <f t="shared" ref="Q4:Q14" si="2">N4-P4</f>
        <v>5.5</v>
      </c>
      <c r="R4" t="s">
        <v>705</v>
      </c>
      <c r="S4" s="16">
        <v>19.399999999999999</v>
      </c>
      <c r="T4">
        <f t="shared" ref="T4:T11" si="3">P4-S4</f>
        <v>0.5</v>
      </c>
      <c r="U4">
        <v>0</v>
      </c>
    </row>
    <row r="5" spans="1:45">
      <c r="B5" t="s">
        <v>695</v>
      </c>
      <c r="D5">
        <v>20.3</v>
      </c>
      <c r="E5" t="s">
        <v>697</v>
      </c>
      <c r="F5">
        <v>21.4</v>
      </c>
      <c r="G5">
        <f t="shared" si="0"/>
        <v>-1.0999999999999979</v>
      </c>
      <c r="H5" t="s">
        <v>697</v>
      </c>
      <c r="I5">
        <v>21</v>
      </c>
      <c r="J5">
        <f t="shared" si="1"/>
        <v>0.39999999999999858</v>
      </c>
      <c r="K5" t="s">
        <v>697</v>
      </c>
      <c r="L5">
        <v>19.7</v>
      </c>
      <c r="M5" t="s">
        <v>703</v>
      </c>
      <c r="N5">
        <v>30.9</v>
      </c>
      <c r="O5" t="s">
        <v>703</v>
      </c>
      <c r="P5">
        <v>30.5</v>
      </c>
      <c r="Q5">
        <f t="shared" si="2"/>
        <v>0.39999999999999858</v>
      </c>
      <c r="R5" t="s">
        <v>703</v>
      </c>
      <c r="S5">
        <v>30.1</v>
      </c>
      <c r="T5">
        <f t="shared" si="3"/>
        <v>0.39999999999999858</v>
      </c>
      <c r="U5" t="s">
        <v>703</v>
      </c>
      <c r="V5">
        <v>29.88</v>
      </c>
      <c r="W5">
        <f t="shared" ref="W5:W11" si="4">S5-V5</f>
        <v>0.22000000000000242</v>
      </c>
    </row>
    <row r="6" spans="1:45">
      <c r="B6" t="s">
        <v>700</v>
      </c>
      <c r="D6">
        <v>20.2</v>
      </c>
      <c r="E6" t="s">
        <v>694</v>
      </c>
      <c r="F6">
        <v>21.4</v>
      </c>
      <c r="G6">
        <f t="shared" si="0"/>
        <v>-1.1999999999999993</v>
      </c>
      <c r="H6" t="s">
        <v>694</v>
      </c>
      <c r="I6">
        <v>21.4</v>
      </c>
      <c r="J6">
        <f t="shared" si="1"/>
        <v>0</v>
      </c>
      <c r="M6" t="s">
        <v>702</v>
      </c>
      <c r="N6">
        <v>34.200000000000003</v>
      </c>
      <c r="O6" t="s">
        <v>702</v>
      </c>
      <c r="P6">
        <v>34.200000000000003</v>
      </c>
      <c r="Q6">
        <f t="shared" si="2"/>
        <v>0</v>
      </c>
      <c r="R6" t="s">
        <v>702</v>
      </c>
      <c r="S6">
        <v>34.200000000000003</v>
      </c>
      <c r="T6">
        <f t="shared" si="3"/>
        <v>0</v>
      </c>
      <c r="U6" t="s">
        <v>702</v>
      </c>
      <c r="V6">
        <v>34.200000000000003</v>
      </c>
      <c r="W6">
        <f t="shared" si="4"/>
        <v>0</v>
      </c>
    </row>
    <row r="7" spans="1:45">
      <c r="B7" t="s">
        <v>696</v>
      </c>
      <c r="D7">
        <v>38.4</v>
      </c>
      <c r="E7" t="s">
        <v>695</v>
      </c>
      <c r="F7">
        <v>38.299999999999997</v>
      </c>
      <c r="G7">
        <f t="shared" si="0"/>
        <v>0.10000000000000142</v>
      </c>
      <c r="H7" t="s">
        <v>695</v>
      </c>
      <c r="I7">
        <v>38.299999999999997</v>
      </c>
      <c r="J7">
        <f t="shared" si="1"/>
        <v>0</v>
      </c>
      <c r="M7" t="s">
        <v>694</v>
      </c>
      <c r="N7">
        <v>19.7</v>
      </c>
      <c r="O7" t="s">
        <v>694</v>
      </c>
      <c r="P7">
        <v>19.7</v>
      </c>
      <c r="Q7">
        <f t="shared" si="2"/>
        <v>0</v>
      </c>
      <c r="W7">
        <f t="shared" si="4"/>
        <v>0</v>
      </c>
    </row>
    <row r="8" spans="1:45">
      <c r="B8" s="16" t="s">
        <v>697</v>
      </c>
      <c r="C8" s="16"/>
      <c r="D8">
        <v>21.4</v>
      </c>
      <c r="E8" t="s">
        <v>696</v>
      </c>
      <c r="F8">
        <v>38.4</v>
      </c>
      <c r="G8">
        <f t="shared" si="0"/>
        <v>-17</v>
      </c>
      <c r="H8" t="s">
        <v>696</v>
      </c>
      <c r="I8">
        <v>38.4</v>
      </c>
      <c r="J8">
        <f t="shared" si="1"/>
        <v>0</v>
      </c>
      <c r="M8" t="s">
        <v>706</v>
      </c>
      <c r="N8">
        <v>21.3</v>
      </c>
      <c r="O8" t="s">
        <v>706</v>
      </c>
      <c r="P8">
        <v>19.399999999999999</v>
      </c>
      <c r="Q8">
        <f t="shared" si="2"/>
        <v>1.9000000000000021</v>
      </c>
      <c r="R8" t="s">
        <v>706</v>
      </c>
      <c r="S8" s="16">
        <v>19.399999999999999</v>
      </c>
      <c r="T8">
        <f t="shared" si="3"/>
        <v>0</v>
      </c>
      <c r="U8" t="s">
        <v>706</v>
      </c>
      <c r="V8">
        <v>19.399999999999999</v>
      </c>
      <c r="W8">
        <f t="shared" si="4"/>
        <v>0</v>
      </c>
    </row>
    <row r="9" spans="1:45">
      <c r="B9" s="16" t="s">
        <v>698</v>
      </c>
      <c r="C9" s="16"/>
      <c r="D9">
        <v>29.6</v>
      </c>
      <c r="E9" t="s">
        <v>705</v>
      </c>
      <c r="F9">
        <v>38.4</v>
      </c>
      <c r="G9">
        <f t="shared" si="0"/>
        <v>-8.7999999999999972</v>
      </c>
      <c r="H9" t="s">
        <v>705</v>
      </c>
      <c r="I9">
        <v>38.4</v>
      </c>
      <c r="J9">
        <f t="shared" si="1"/>
        <v>0</v>
      </c>
      <c r="M9" t="s">
        <v>695</v>
      </c>
      <c r="N9">
        <v>38.299999999999997</v>
      </c>
      <c r="O9" t="s">
        <v>695</v>
      </c>
      <c r="P9">
        <v>38.200000000000003</v>
      </c>
      <c r="Q9">
        <f t="shared" si="2"/>
        <v>9.9999999999994316E-2</v>
      </c>
      <c r="R9" t="s">
        <v>695</v>
      </c>
      <c r="S9">
        <v>26.6</v>
      </c>
      <c r="T9">
        <f t="shared" si="3"/>
        <v>11.600000000000001</v>
      </c>
      <c r="U9" t="s">
        <v>695</v>
      </c>
      <c r="V9">
        <v>19.600000000000001</v>
      </c>
      <c r="W9">
        <f t="shared" si="4"/>
        <v>7</v>
      </c>
    </row>
    <row r="10" spans="1:45">
      <c r="B10" s="16" t="s">
        <v>699</v>
      </c>
      <c r="C10" s="16"/>
      <c r="D10">
        <v>38</v>
      </c>
      <c r="E10" t="s">
        <v>702</v>
      </c>
      <c r="F10">
        <v>34.200000000000003</v>
      </c>
      <c r="G10">
        <f t="shared" si="0"/>
        <v>3.7999999999999972</v>
      </c>
      <c r="H10" t="s">
        <v>702</v>
      </c>
      <c r="I10">
        <v>34.200000000000003</v>
      </c>
      <c r="J10">
        <f t="shared" si="1"/>
        <v>0</v>
      </c>
      <c r="M10" t="s">
        <v>708</v>
      </c>
      <c r="N10">
        <v>38.6</v>
      </c>
      <c r="O10" t="s">
        <v>708</v>
      </c>
      <c r="P10">
        <v>38.6</v>
      </c>
      <c r="Q10">
        <f t="shared" si="2"/>
        <v>0</v>
      </c>
      <c r="R10" t="s">
        <v>708</v>
      </c>
      <c r="S10">
        <v>38.6</v>
      </c>
      <c r="T10">
        <f t="shared" si="3"/>
        <v>0</v>
      </c>
      <c r="U10" t="s">
        <v>708</v>
      </c>
      <c r="V10">
        <v>35.39</v>
      </c>
      <c r="W10">
        <f t="shared" si="4"/>
        <v>3.2100000000000009</v>
      </c>
    </row>
    <row r="11" spans="1:45">
      <c r="B11" t="s">
        <v>701</v>
      </c>
      <c r="D11">
        <v>38.299999999999997</v>
      </c>
      <c r="E11" t="s">
        <v>703</v>
      </c>
      <c r="F11">
        <v>32.1</v>
      </c>
      <c r="H11" t="s">
        <v>703</v>
      </c>
      <c r="I11">
        <v>31.7</v>
      </c>
      <c r="J11">
        <f t="shared" si="1"/>
        <v>0.40000000000000213</v>
      </c>
      <c r="M11" t="s">
        <v>701</v>
      </c>
      <c r="N11">
        <v>38.200000000000003</v>
      </c>
      <c r="O11" t="s">
        <v>701</v>
      </c>
      <c r="P11">
        <v>38.200000000000003</v>
      </c>
      <c r="Q11">
        <f t="shared" si="2"/>
        <v>0</v>
      </c>
      <c r="R11" t="s">
        <v>701</v>
      </c>
      <c r="S11">
        <v>38.200000000000003</v>
      </c>
      <c r="T11">
        <f t="shared" si="3"/>
        <v>0</v>
      </c>
      <c r="U11" t="s">
        <v>701</v>
      </c>
      <c r="V11">
        <v>38.200000000000003</v>
      </c>
      <c r="W11">
        <f t="shared" si="4"/>
        <v>0</v>
      </c>
    </row>
    <row r="12" spans="1:45">
      <c r="B12" t="s">
        <v>702</v>
      </c>
      <c r="D12">
        <v>34.200000000000003</v>
      </c>
      <c r="E12" t="s">
        <v>695</v>
      </c>
      <c r="G12">
        <f>D12-F13</f>
        <v>-3.7999999999999972</v>
      </c>
      <c r="H12" t="s">
        <v>706</v>
      </c>
      <c r="I12">
        <v>28.6</v>
      </c>
      <c r="J12">
        <f>F13-I12</f>
        <v>9.3999999999999986</v>
      </c>
      <c r="Q12">
        <f t="shared" si="2"/>
        <v>0</v>
      </c>
    </row>
    <row r="13" spans="1:45">
      <c r="B13" t="s">
        <v>703</v>
      </c>
      <c r="D13">
        <v>32.299999999999997</v>
      </c>
      <c r="E13" t="s">
        <v>707</v>
      </c>
      <c r="F13">
        <v>38</v>
      </c>
      <c r="G13" t="e">
        <f>D13-#REF!</f>
        <v>#REF!</v>
      </c>
      <c r="H13" t="s">
        <v>707</v>
      </c>
      <c r="I13">
        <v>19.600000000000001</v>
      </c>
      <c r="J13">
        <f>F13-I13</f>
        <v>18.399999999999999</v>
      </c>
      <c r="Q13">
        <f t="shared" si="2"/>
        <v>0</v>
      </c>
    </row>
    <row r="14" spans="1:45">
      <c r="B14" t="s">
        <v>696</v>
      </c>
      <c r="D14">
        <v>38.4</v>
      </c>
      <c r="E14" t="s">
        <v>706</v>
      </c>
      <c r="F14">
        <v>38</v>
      </c>
      <c r="H14" t="s">
        <v>706</v>
      </c>
      <c r="I14">
        <v>38</v>
      </c>
      <c r="J14">
        <f>F14-I14</f>
        <v>0</v>
      </c>
      <c r="Q14">
        <f t="shared" si="2"/>
        <v>0</v>
      </c>
      <c r="R14" t="s">
        <v>336</v>
      </c>
      <c r="U14" t="s">
        <v>336</v>
      </c>
    </row>
    <row r="15" spans="1:45">
      <c r="H15" t="s">
        <v>708</v>
      </c>
      <c r="I15">
        <v>38.6</v>
      </c>
      <c r="R15" t="s">
        <v>696</v>
      </c>
      <c r="S15">
        <v>19.8</v>
      </c>
      <c r="U15" t="s">
        <v>696</v>
      </c>
      <c r="V15">
        <v>19.8</v>
      </c>
      <c r="W15">
        <f t="shared" ref="W15:W17" si="5">S15-V15</f>
        <v>0</v>
      </c>
    </row>
    <row r="16" spans="1:45">
      <c r="H16" t="s">
        <v>701</v>
      </c>
      <c r="I16">
        <v>38.1</v>
      </c>
      <c r="R16" t="s">
        <v>695</v>
      </c>
      <c r="S16">
        <v>20.445</v>
      </c>
      <c r="U16" t="s">
        <v>695</v>
      </c>
      <c r="V16">
        <v>19.600000000000001</v>
      </c>
      <c r="W16">
        <f t="shared" si="5"/>
        <v>0.84499999999999886</v>
      </c>
    </row>
    <row r="17" spans="18:23">
      <c r="R17" t="s">
        <v>708</v>
      </c>
      <c r="S17">
        <v>38.6</v>
      </c>
      <c r="U17" t="s">
        <v>708</v>
      </c>
      <c r="V17">
        <v>35.39</v>
      </c>
      <c r="W17">
        <f t="shared" si="5"/>
        <v>3.2100000000000009</v>
      </c>
    </row>
    <row r="20" spans="18:23">
      <c r="W20">
        <f>SUM(W3:W11)</f>
        <v>13.030000000000001</v>
      </c>
    </row>
    <row r="21" spans="18:23">
      <c r="W21">
        <f>W20-SUM(W17,W16,W5)</f>
        <v>8.754999999999999</v>
      </c>
    </row>
  </sheetData>
  <mergeCells count="19">
    <mergeCell ref="B1:D1"/>
    <mergeCell ref="H1:I1"/>
    <mergeCell ref="K1:L1"/>
    <mergeCell ref="M1:N1"/>
    <mergeCell ref="O1:P1"/>
    <mergeCell ref="AR1:AS1"/>
    <mergeCell ref="E1:G1"/>
    <mergeCell ref="AF1:AG1"/>
    <mergeCell ref="AH1:AI1"/>
    <mergeCell ref="AJ1:AK1"/>
    <mergeCell ref="AL1:AM1"/>
    <mergeCell ref="AN1:AO1"/>
    <mergeCell ref="AP1:AQ1"/>
    <mergeCell ref="R1:S1"/>
    <mergeCell ref="U1:V1"/>
    <mergeCell ref="X1:Y1"/>
    <mergeCell ref="Z1:AA1"/>
    <mergeCell ref="AB1:AC1"/>
    <mergeCell ref="AD1:A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21" sqref="K2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Summary</vt:lpstr>
      <vt:lpstr>Sheet7</vt:lpstr>
      <vt:lpstr>Database</vt:lpstr>
      <vt:lpstr>Sheet5</vt:lpstr>
      <vt:lpstr>Sales</vt:lpstr>
      <vt:lpstr>Sheet4</vt:lpstr>
      <vt:lpstr>IcecreamWaterSftDrnks</vt:lpstr>
      <vt:lpstr>Gas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2018-04-27T06:35:28Z</dcterms:modified>
</cp:coreProperties>
</file>