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UEIL" sheetId="1" state="visible" r:id="rId1"/>
    <sheet xmlns:r="http://schemas.openxmlformats.org/officeDocument/2006/relationships" name="CARTES" sheetId="2" state="visible" r:id="rId2"/>
    <sheet xmlns:r="http://schemas.openxmlformats.org/officeDocument/2006/relationships" name="INCIDENTS" sheetId="3" state="visible" r:id="rId3"/>
    <sheet xmlns:r="http://schemas.openxmlformats.org/officeDocument/2006/relationships" name="REGIONS" sheetId="4" state="visible" r:id="rId4"/>
    <sheet xmlns:r="http://schemas.openxmlformats.org/officeDocument/2006/relationships" name="ACTEURS" sheetId="5" state="visible" r:id="rId5"/>
    <sheet xmlns:r="http://schemas.openxmlformats.org/officeDocument/2006/relationships" name="CHRONOLOGIE" sheetId="6" state="visible" r:id="rId6"/>
    <sheet xmlns:r="http://schemas.openxmlformats.org/officeDocument/2006/relationships" name="MODES_CIBLES" sheetId="7" state="visible" r:id="rId7"/>
    <sheet xmlns:r="http://schemas.openxmlformats.org/officeDocument/2006/relationships" name="PRESSION_BAMAKO" sheetId="8" state="visible" r:id="rId8"/>
    <sheet xmlns:r="http://schemas.openxmlformats.org/officeDocument/2006/relationships" name="EVALUATION" sheetId="9" state="visible" r:id="rId9"/>
    <sheet xmlns:r="http://schemas.openxmlformats.org/officeDocument/2006/relationships" name="QUALITE_SOURCES" sheetId="10" state="visible" r:id="rId10"/>
    <sheet xmlns:r="http://schemas.openxmlformats.org/officeDocument/2006/relationships" name="PARAMETRES" sheetId="11" state="visible" r:id="rId11"/>
    <sheet xmlns:r="http://schemas.openxmlformats.org/officeDocument/2006/relationships" name="MODE_EMPLOI" sheetId="12" state="visible" r:id="rId12"/>
    <sheet xmlns:r="http://schemas.openxmlformats.org/officeDocument/2006/relationships" name="DICTIONNAIRE" sheetId="13" state="visible" r:id="rId13"/>
  </sheets>
  <definedNames>
    <definedName name="inc_id">INCIDENTS!$A$2:$A$500</definedName>
    <definedName name="inc_date">INCIDENTS!$B$2:$B$500</definedName>
    <definedName name="inc_periode">INCIDENTS!$D$2:$D$500</definedName>
    <definedName name="inc_region">INCIDENTS!$F$2:$F$500</definedName>
    <definedName name="inc_cercle">INCIDENTS!$G$2:$G$500</definedName>
    <definedName name="inc_mode">INCIDENTS!$N$2:$N$500</definedName>
    <definedName name="inc_acteur">INCIDENTS!$O$2:$O$500</definedName>
    <definedName name="inc_cible">INCIDENTS!$Q$2:$Q$500</definedName>
    <definedName name="inc_civ_k">INCIDENTS!$T$2:$T$500</definedName>
    <definedName name="inc_civ_w">INCIDENTS!$U$2:$U$500</definedName>
    <definedName name="inc_fama">INCIDENTS!$V$2:$V$500</definedName>
    <definedName name="inc_ac">INCIDENTS!$W$2:$W$500</definedName>
    <definedName name="inc_ga">INCIDENTS!$X$2:$X$500</definedName>
    <definedName name="inc_tues">INCIDENTS!$Y$2:$Y$500</definedName>
    <definedName name="inc_pow">INCIDENTS!$Z$2:$Z$500</definedName>
    <definedName name="inc_vehd">INCIDENTS!$AA$2:$AA$500</definedName>
    <definedName name="inc_vehs">INCIDENTS!$AB$2:$AB$500</definedName>
    <definedName name="inc_dist">INCIDENTS!$AE$2:$AE$500</definedName>
    <definedName name="inc_rayon">INCIDENTS!$AF$2:$AF$500</definedName>
    <definedName name="inc_fiab">INCIDENTS!$AG$2:$AG$500</definedName>
    <definedName name="inc_sources">INCIDENTS!$AI$2:$AI$500</definedName>
    <definedName name="inc_revend">INCIDENTS!$AH$2:$AH$500</definedName>
    <definedName name="inc_prec">INCIDENTS!$L$2:$L$500</definedName>
    <definedName name="P_DEBUT">PARAMETRES!$C$5</definedName>
    <definedName name="P_FIN">PARAMETRES!$C$6</definedName>
    <definedName name="P_DEBUT_P2">PARAMETRES!$C$7</definedName>
    <definedName name="LAT_BAMAKO">PARAMETRES!$C$9</definedName>
    <definedName name="LON_BAMAKO">PARAMETRES!$C$10</definedName>
    <definedName name="SEUIL_KM">PARAMETRES!$C$11</definedName>
    <definedName name="URL_TABLEAU">PARAMETRES!$C$13</definedName>
    <definedName name="FICHIER_HTML">PARAMETRES!$C$14</definedName>
    <definedName name="FEN_RECENTE">PARAMETRES!$C$16</definedName>
    <definedName name="W_FREQ">PARAMETRES!$C$17</definedName>
    <definedName name="W_LETAL">PARAMETRES!$C$18</definedName>
    <definedName name="W_CIVILS">PARAMETRES!$C$19</definedName>
    <definedName name="W_RECENT">PARAMETRES!$C$20</definedName>
    <definedName name="S_CRITIQUE">PARAMETRES!$C$21</definedName>
    <definedName name="S_ELEVE">PARAMETRES!$C$22</definedName>
    <definedName name="S_MODERE">PARAMETRES!$C$23</definedName>
    <definedName name="_xlnm.Print_Titles" localSheetId="2">'INCIDENTS'!$1:$1</definedName>
  </definedNames>
  <calcPr calcId="124519" fullCalcOnLoad="1"/>
</workbook>
</file>

<file path=xl/styles.xml><?xml version="1.0" encoding="utf-8"?>
<styleSheet xmlns="http://schemas.openxmlformats.org/spreadsheetml/2006/main">
  <numFmts count="7">
    <numFmt numFmtId="164" formatCode="yyyy-mm-dd"/>
    <numFmt numFmtId="165" formatCode="DD/MM/YYYY"/>
    <numFmt numFmtId="166" formatCode="0.0000"/>
    <numFmt numFmtId="167" formatCode="0;-0;&quot;·&quot;"/>
    <numFmt numFmtId="168" formatCode="+0%;-0%;0%"/>
    <numFmt numFmtId="169" formatCode="+0;-0;0"/>
    <numFmt numFmtId="170" formatCode="0.0"/>
  </numFmts>
  <fonts count="41">
    <font>
      <name val="Calibri"/>
      <family val="2"/>
      <color theme="1"/>
      <sz val="11"/>
      <scheme val="minor"/>
    </font>
    <font>
      <name val="Arial"/>
      <b val="1"/>
      <color rgb="00FFFFFF"/>
      <sz val="16"/>
    </font>
    <font>
      <name val="Arial"/>
      <color rgb="00C9D3DC"/>
      <sz val="9"/>
    </font>
    <font>
      <name val="Arial"/>
      <b val="1"/>
      <color rgb="000F7C86"/>
      <sz val="12"/>
    </font>
    <font>
      <name val="Arial"/>
      <b val="1"/>
      <color rgb="00566577"/>
      <sz val="8"/>
    </font>
    <font>
      <name val="Arial"/>
      <b val="1"/>
      <color rgb="0013202C"/>
      <sz val="22"/>
    </font>
    <font>
      <name val="Arial"/>
      <b val="1"/>
      <color rgb="002F6FB5"/>
      <sz val="22"/>
    </font>
    <font>
      <name val="Arial"/>
      <b val="1"/>
      <color rgb="00DC4A26"/>
      <sz val="22"/>
    </font>
    <font>
      <name val="Arial"/>
      <b val="1"/>
      <color rgb="00C8102E"/>
      <sz val="22"/>
    </font>
    <font>
      <name val="Arial"/>
      <b val="1"/>
      <color rgb="00E2701C"/>
      <sz val="22"/>
    </font>
    <font>
      <name val="Arial"/>
      <b val="1"/>
      <color rgb="000563C1"/>
      <sz val="11"/>
      <u val="single"/>
    </font>
    <font>
      <name val="Arial"/>
      <color rgb="00566577"/>
      <sz val="9"/>
    </font>
    <font>
      <name val="Arial"/>
      <b val="1"/>
      <color rgb="00C8102E"/>
      <sz val="10"/>
    </font>
    <font>
      <name val="Arial"/>
      <color rgb="0013202C"/>
      <sz val="10"/>
    </font>
    <font>
      <name val="Arial"/>
      <b val="1"/>
      <color rgb="00E2701C"/>
      <sz val="10"/>
    </font>
    <font>
      <name val="Arial"/>
      <b val="1"/>
      <color rgb="000563C1"/>
      <sz val="10"/>
      <u val="single"/>
    </font>
    <font>
      <name val="Arial"/>
      <b val="1"/>
      <color rgb="0013202C"/>
      <sz val="9"/>
    </font>
    <font>
      <name val="Arial"/>
      <color rgb="00FFFFFF"/>
      <sz val="9"/>
      <u val="single"/>
    </font>
    <font>
      <name val="Arial"/>
      <b val="1"/>
      <color rgb="0013202C"/>
      <sz val="10"/>
    </font>
    <font>
      <name val="Arial"/>
      <i val="1"/>
      <color rgb="00566577"/>
      <sz val="8"/>
    </font>
    <font>
      <name val="Arial"/>
      <b val="1"/>
      <color rgb="00FFFFFF"/>
      <sz val="9"/>
    </font>
    <font>
      <name val="Arial"/>
      <color rgb="0013202C"/>
      <sz val="9"/>
    </font>
    <font>
      <name val="Arial"/>
      <color rgb="000563C1"/>
      <sz val="9"/>
      <u val="single"/>
    </font>
    <font>
      <name val="Arial"/>
      <i val="1"/>
      <color rgb="00566577"/>
      <sz val="9"/>
    </font>
    <font>
      <name val="Arial"/>
      <b val="1"/>
      <color rgb="00FFFFFF"/>
      <sz val="10"/>
    </font>
    <font>
      <name val="Arial"/>
      <b val="1"/>
      <color rgb="00DC4A26"/>
      <sz val="10"/>
    </font>
    <font>
      <name val="Arial"/>
      <b val="1"/>
      <color rgb="008A4FD6"/>
      <sz val="10"/>
    </font>
    <font>
      <name val="Arial"/>
      <b val="1"/>
      <color rgb="00D69A12"/>
      <sz val="10"/>
    </font>
    <font>
      <name val="Arial"/>
      <b val="1"/>
      <color rgb="002F6FB5"/>
      <sz val="10"/>
    </font>
    <font>
      <name val="Arial"/>
      <b val="1"/>
      <color rgb="007D8A97"/>
      <sz val="10"/>
    </font>
    <font>
      <name val="Arial"/>
      <color rgb="000000FF"/>
      <sz val="10"/>
    </font>
    <font>
      <name val="Arial"/>
      <color rgb="000563C1"/>
      <sz val="10"/>
      <u val="single"/>
    </font>
    <font>
      <name val="Arial"/>
      <b val="1"/>
      <color rgb="000F7C86"/>
      <sz val="10"/>
    </font>
    <font>
      <name val="Arial"/>
      <b val="1"/>
      <color rgb="00E2701C"/>
      <sz val="14"/>
    </font>
    <font>
      <name val="Arial"/>
      <b val="1"/>
      <color rgb="00C8102E"/>
      <sz val="14"/>
    </font>
    <font>
      <name val="Arial"/>
      <b val="1"/>
      <color rgb="008A4FD6"/>
      <sz val="14"/>
    </font>
    <font>
      <name val="Arial"/>
      <b val="1"/>
      <color rgb="004F8A3C"/>
      <sz val="10"/>
    </font>
    <font>
      <name val="Arial"/>
      <b val="1"/>
      <color rgb="00D1A20F"/>
      <sz val="10"/>
    </font>
    <font>
      <name val="Arial"/>
      <b val="1"/>
      <color rgb="000000FF"/>
      <sz val="10"/>
    </font>
    <font>
      <name val="Arial"/>
      <color rgb="00566577"/>
      <sz val="10"/>
    </font>
    <font>
      <name val="Arial"/>
      <color rgb="000F7C86"/>
      <sz val="10"/>
    </font>
  </fonts>
  <fills count="13">
    <fill>
      <patternFill/>
    </fill>
    <fill>
      <patternFill patternType="gray125"/>
    </fill>
    <fill>
      <patternFill patternType="solid">
        <fgColor rgb="0013202C"/>
        <bgColor rgb="0013202C"/>
      </patternFill>
    </fill>
    <fill>
      <patternFill patternType="solid">
        <fgColor rgb="00F7F9FB"/>
        <bgColor rgb="00F7F9FB"/>
      </patternFill>
    </fill>
    <fill>
      <patternFill patternType="solid">
        <fgColor rgb="00DC4A26"/>
        <bgColor rgb="00DC4A26"/>
      </patternFill>
    </fill>
    <fill>
      <patternFill patternType="solid">
        <fgColor rgb="008A4FD6"/>
        <bgColor rgb="008A4FD6"/>
      </patternFill>
    </fill>
    <fill>
      <patternFill patternType="solid">
        <fgColor rgb="00D69A12"/>
        <bgColor rgb="00D69A12"/>
      </patternFill>
    </fill>
    <fill>
      <patternFill patternType="solid">
        <fgColor rgb="002F6FB5"/>
        <bgColor rgb="002F6FB5"/>
      </patternFill>
    </fill>
    <fill>
      <patternFill patternType="solid">
        <fgColor rgb="007D8A97"/>
        <bgColor rgb="007D8A97"/>
      </patternFill>
    </fill>
    <fill>
      <patternFill patternType="solid">
        <fgColor rgb="00EEF2F5"/>
        <bgColor rgb="00EEF2F5"/>
      </patternFill>
    </fill>
    <fill>
      <patternFill patternType="solid">
        <fgColor rgb="000F7C86"/>
        <bgColor rgb="000F7C86"/>
      </patternFill>
    </fill>
    <fill>
      <patternFill patternType="solid">
        <fgColor rgb="00E2701C"/>
        <bgColor rgb="00E2701C"/>
      </patternFill>
    </fill>
    <fill>
      <patternFill patternType="solid">
        <fgColor rgb="00C8102E"/>
        <bgColor rgb="00C8102E"/>
      </patternFill>
    </fill>
  </fills>
  <borders count="14">
    <border>
      <left/>
      <right/>
      <top/>
      <bottom/>
      <diagonal/>
    </border>
    <border>
      <bottom style="medium">
        <color rgb="000F7C86"/>
      </bottom>
    </border>
    <border>
      <left style="thick">
        <color rgb="0013202C"/>
      </left>
    </border>
    <border/>
    <border>
      <left style="thick">
        <color rgb="002F6FB5"/>
      </left>
    </border>
    <border>
      <left style="thick">
        <color rgb="00DC4A26"/>
      </left>
    </border>
    <border>
      <left style="thick">
        <color rgb="00C8102E"/>
      </left>
    </border>
    <border>
      <left style="thick">
        <color rgb="00E2701C"/>
      </left>
    </border>
    <border>
      <left style="thin">
        <color rgb="00D3DBE3"/>
      </left>
      <right style="thin">
        <color rgb="00D3DBE3"/>
      </right>
      <top style="thin">
        <color rgb="00D3DBE3"/>
      </top>
      <bottom style="thin">
        <color rgb="00D3DBE3"/>
      </bottom>
    </border>
    <border>
      <bottom style="thin">
        <color rgb="00D3DBE3"/>
      </bottom>
    </border>
    <border>
      <left/>
      <right/>
      <top style="thin">
        <color rgb="00D3DBE3"/>
      </top>
      <bottom/>
      <diagonal/>
    </border>
    <border>
      <left/>
      <right style="thin">
        <color rgb="00D3DBE3"/>
      </right>
      <top style="thin">
        <color rgb="00D3DBE3"/>
      </top>
      <bottom/>
      <diagonal/>
    </border>
    <border>
      <left/>
      <right style="thin">
        <color rgb="00D3DBE3"/>
      </right>
      <top style="thin">
        <color rgb="00D3DBE3"/>
      </top>
      <bottom style="thin">
        <color rgb="00D3DBE3"/>
      </bottom>
      <diagonal/>
    </border>
    <border>
      <left/>
      <right/>
      <top style="thin">
        <color rgb="00D3DBE3"/>
      </top>
      <bottom style="thin">
        <color rgb="00D3DBE3"/>
      </bottom>
      <diagonal/>
    </border>
  </borders>
  <cellStyleXfs count="1">
    <xf numFmtId="0" fontId="0" fillId="0" borderId="0"/>
  </cellStyleXfs>
  <cellXfs count="96">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0" borderId="1" pivotButton="0" quotePrefix="0" xfId="0"/>
    <xf numFmtId="0" fontId="0" fillId="0" borderId="1" pivotButton="0" quotePrefix="0" xfId="0"/>
    <xf numFmtId="0" fontId="4" fillId="3" borderId="2" applyAlignment="1" pivotButton="0" quotePrefix="0" xfId="0">
      <alignment horizontal="left" vertical="bottom" indent="1"/>
    </xf>
    <xf numFmtId="0" fontId="0" fillId="3" borderId="3" pivotButton="0" quotePrefix="0" xfId="0"/>
    <xf numFmtId="0" fontId="4" fillId="3" borderId="4" applyAlignment="1" pivotButton="0" quotePrefix="0" xfId="0">
      <alignment horizontal="left" vertical="bottom" indent="1"/>
    </xf>
    <xf numFmtId="0" fontId="4" fillId="3" borderId="5" applyAlignment="1" pivotButton="0" quotePrefix="0" xfId="0">
      <alignment horizontal="left" vertical="bottom" indent="1"/>
    </xf>
    <xf numFmtId="0" fontId="4" fillId="3" borderId="6" applyAlignment="1" pivotButton="0" quotePrefix="0" xfId="0">
      <alignment horizontal="left" vertical="bottom" indent="1"/>
    </xf>
    <xf numFmtId="3" fontId="5" fillId="3" borderId="2" applyAlignment="1" pivotButton="0" quotePrefix="0" xfId="0">
      <alignment horizontal="left" vertical="center" indent="1"/>
    </xf>
    <xf numFmtId="3" fontId="6" fillId="3" borderId="4" applyAlignment="1" pivotButton="0" quotePrefix="0" xfId="0">
      <alignment horizontal="left" vertical="center" indent="1"/>
    </xf>
    <xf numFmtId="3" fontId="7" fillId="3" borderId="5" applyAlignment="1" pivotButton="0" quotePrefix="0" xfId="0">
      <alignment horizontal="left" vertical="center" indent="1"/>
    </xf>
    <xf numFmtId="3" fontId="8" fillId="3" borderId="6" applyAlignment="1" pivotButton="0" quotePrefix="0" xfId="0">
      <alignment horizontal="left" vertical="center" indent="1"/>
    </xf>
    <xf numFmtId="0" fontId="4" fillId="3" borderId="7" applyAlignment="1" pivotButton="0" quotePrefix="0" xfId="0">
      <alignment horizontal="left" vertical="bottom" indent="1"/>
    </xf>
    <xf numFmtId="3" fontId="9" fillId="3" borderId="7" applyAlignment="1" pivotButton="0" quotePrefix="0" xfId="0">
      <alignment horizontal="left" vertical="center" indent="1"/>
    </xf>
    <xf numFmtId="9" fontId="7" fillId="3" borderId="5" applyAlignment="1" pivotButton="0" quotePrefix="0" xfId="0">
      <alignment horizontal="left" vertical="center" indent="1"/>
    </xf>
    <xf numFmtId="0" fontId="10" fillId="0" borderId="0" pivotButton="0" quotePrefix="0" xfId="0"/>
    <xf numFmtId="0" fontId="11" fillId="0" borderId="0" applyAlignment="1" pivotButton="0" quotePrefix="0" xfId="0">
      <alignment vertical="center" wrapText="1"/>
    </xf>
    <xf numFmtId="0" fontId="12" fillId="0" borderId="6" applyAlignment="1" pivotButton="0" quotePrefix="0" xfId="0">
      <alignment vertical="center" wrapText="1"/>
    </xf>
    <xf numFmtId="0" fontId="13" fillId="0" borderId="0" applyAlignment="1" pivotButton="0" quotePrefix="0" xfId="0">
      <alignment vertical="center" wrapText="1"/>
    </xf>
    <xf numFmtId="0" fontId="14" fillId="0" borderId="7" applyAlignment="1" pivotButton="0" quotePrefix="0" xfId="0">
      <alignment vertical="center" wrapText="1"/>
    </xf>
    <xf numFmtId="0" fontId="15" fillId="0" borderId="0" pivotButton="0" quotePrefix="0" xfId="0"/>
    <xf numFmtId="0" fontId="11" fillId="0" borderId="0" pivotButton="0" quotePrefix="0" xfId="0"/>
    <xf numFmtId="0" fontId="16" fillId="0" borderId="0" pivotButton="0" quotePrefix="0" xfId="0"/>
    <xf numFmtId="0" fontId="17" fillId="2" borderId="0" applyAlignment="1" pivotButton="0" quotePrefix="0" xfId="0">
      <alignment horizontal="right" vertical="center"/>
    </xf>
    <xf numFmtId="0" fontId="18" fillId="0" borderId="0" pivotButton="0" quotePrefix="0" xfId="0"/>
    <xf numFmtId="0" fontId="19" fillId="0" borderId="0" pivotButton="0" quotePrefix="0" xfId="0"/>
    <xf numFmtId="0" fontId="20" fillId="2" borderId="8" applyAlignment="1" pivotButton="0" quotePrefix="0" xfId="0">
      <alignment horizontal="center" vertical="center" wrapText="1"/>
    </xf>
    <xf numFmtId="0" fontId="21" fillId="0" borderId="9" applyAlignment="1" pivotButton="0" quotePrefix="0" xfId="0">
      <alignment vertical="top"/>
    </xf>
    <xf numFmtId="165" fontId="21" fillId="0" borderId="9" applyAlignment="1" pivotButton="0" quotePrefix="0" xfId="0">
      <alignment vertical="top"/>
    </xf>
    <xf numFmtId="0" fontId="21" fillId="0" borderId="9" applyAlignment="1" pivotButton="0" quotePrefix="0" xfId="0">
      <alignment horizontal="center" vertical="top"/>
    </xf>
    <xf numFmtId="0" fontId="21" fillId="0" borderId="9" applyAlignment="1" pivotButton="0" quotePrefix="0" xfId="0">
      <alignment vertical="top" wrapText="1"/>
    </xf>
    <xf numFmtId="166" fontId="21" fillId="0" borderId="9" applyAlignment="1" pivotButton="0" quotePrefix="0" xfId="0">
      <alignment vertical="top"/>
    </xf>
    <xf numFmtId="0" fontId="16" fillId="0" borderId="9" applyAlignment="1" pivotButton="0" quotePrefix="0" xfId="0">
      <alignment horizontal="center" vertical="top"/>
    </xf>
    <xf numFmtId="0" fontId="22" fillId="0" borderId="9" applyAlignment="1" pivotButton="0" quotePrefix="0" xfId="0">
      <alignment vertical="top"/>
    </xf>
    <xf numFmtId="0" fontId="20" fillId="4" borderId="8" applyAlignment="1" pivotButton="0" quotePrefix="0" xfId="0">
      <alignment horizontal="center" vertical="center" wrapText="1"/>
    </xf>
    <xf numFmtId="0" fontId="20" fillId="5" borderId="8" applyAlignment="1" pivotButton="0" quotePrefix="0" xfId="0">
      <alignment horizontal="center" vertical="center" wrapText="1"/>
    </xf>
    <xf numFmtId="0" fontId="20" fillId="6" borderId="8" applyAlignment="1" pivotButton="0" quotePrefix="0" xfId="0">
      <alignment horizontal="center" vertical="center" wrapText="1"/>
    </xf>
    <xf numFmtId="0" fontId="20" fillId="7" borderId="8" applyAlignment="1" pivotButton="0" quotePrefix="0" xfId="0">
      <alignment horizontal="center" vertical="center" wrapText="1"/>
    </xf>
    <xf numFmtId="0" fontId="20" fillId="8" borderId="8" applyAlignment="1" pivotButton="0" quotePrefix="0" xfId="0">
      <alignment horizontal="center" vertical="center" wrapText="1"/>
    </xf>
    <xf numFmtId="0" fontId="18" fillId="0" borderId="8" applyAlignment="1" pivotButton="0" quotePrefix="0" xfId="0">
      <alignment vertical="top" wrapText="1"/>
    </xf>
    <xf numFmtId="1" fontId="13" fillId="0" borderId="8" applyAlignment="1" pivotButton="0" quotePrefix="0" xfId="0">
      <alignment horizontal="center" vertical="center" wrapText="1"/>
    </xf>
    <xf numFmtId="9" fontId="13" fillId="0" borderId="8" applyAlignment="1" pivotButton="0" quotePrefix="0" xfId="0">
      <alignment horizontal="center" vertical="center" wrapText="1"/>
    </xf>
    <xf numFmtId="1" fontId="18" fillId="0" borderId="8" applyAlignment="1" pivotButton="0" quotePrefix="0" xfId="0">
      <alignment horizontal="center" vertical="center" wrapText="1"/>
    </xf>
    <xf numFmtId="0" fontId="18" fillId="0" borderId="8" applyAlignment="1" pivotButton="0" quotePrefix="0" xfId="0">
      <alignment horizontal="center" vertical="center" wrapText="1"/>
    </xf>
    <xf numFmtId="0" fontId="13" fillId="0" borderId="8" applyAlignment="1" pivotButton="0" quotePrefix="0" xfId="0">
      <alignment horizontal="center" vertical="center" wrapText="1"/>
    </xf>
    <xf numFmtId="167" fontId="13" fillId="0" borderId="8" applyAlignment="1" pivotButton="0" quotePrefix="0" xfId="0">
      <alignment horizontal="center" vertical="center" wrapText="1"/>
    </xf>
    <xf numFmtId="0" fontId="18" fillId="9" borderId="8" applyAlignment="1" pivotButton="0" quotePrefix="0" xfId="0">
      <alignment vertical="top" wrapText="1"/>
    </xf>
    <xf numFmtId="1" fontId="18" fillId="9" borderId="8" applyAlignment="1" pivotButton="0" quotePrefix="0" xfId="0">
      <alignment horizontal="center" vertical="center" wrapText="1"/>
    </xf>
    <xf numFmtId="9" fontId="18" fillId="9" borderId="8" applyAlignment="1" pivotButton="0" quotePrefix="0" xfId="0">
      <alignment horizontal="center" vertical="center" wrapText="1"/>
    </xf>
    <xf numFmtId="0" fontId="0" fillId="9" borderId="8" pivotButton="0" quotePrefix="0" xfId="0"/>
    <xf numFmtId="0" fontId="23" fillId="0" borderId="0" applyAlignment="1" pivotButton="0" quotePrefix="0" xfId="0">
      <alignment vertical="top" wrapText="1"/>
    </xf>
    <xf numFmtId="0" fontId="24" fillId="4" borderId="8" applyAlignment="1" pivotButton="0" quotePrefix="0" xfId="0">
      <alignment vertical="top" wrapText="1"/>
    </xf>
    <xf numFmtId="168" fontId="13" fillId="0" borderId="8" applyAlignment="1" pivotButton="0" quotePrefix="0" xfId="0">
      <alignment horizontal="center" vertical="center" wrapText="1"/>
    </xf>
    <xf numFmtId="0" fontId="24" fillId="5" borderId="8" applyAlignment="1" pivotButton="0" quotePrefix="0" xfId="0">
      <alignment vertical="top" wrapText="1"/>
    </xf>
    <xf numFmtId="0" fontId="24" fillId="6" borderId="8" applyAlignment="1" pivotButton="0" quotePrefix="0" xfId="0">
      <alignment vertical="top" wrapText="1"/>
    </xf>
    <xf numFmtId="0" fontId="24" fillId="7" borderId="8" applyAlignment="1" pivotButton="0" quotePrefix="0" xfId="0">
      <alignment vertical="top" wrapText="1"/>
    </xf>
    <xf numFmtId="0" fontId="24" fillId="8" borderId="8" applyAlignment="1" pivotButton="0" quotePrefix="0" xfId="0">
      <alignment vertical="top" wrapText="1"/>
    </xf>
    <xf numFmtId="168" fontId="18" fillId="9" borderId="8" applyAlignment="1" pivotButton="0" quotePrefix="0" xfId="0">
      <alignment horizontal="center" vertical="center" wrapText="1"/>
    </xf>
    <xf numFmtId="0" fontId="20" fillId="10" borderId="8" applyAlignment="1" pivotButton="0" quotePrefix="0" xfId="0">
      <alignment horizontal="center" vertical="center" wrapText="1"/>
    </xf>
    <xf numFmtId="0" fontId="25" fillId="0" borderId="8" applyAlignment="1" pivotButton="0" quotePrefix="0" xfId="0">
      <alignment vertical="top" wrapText="1"/>
    </xf>
    <xf numFmtId="0" fontId="26" fillId="0" borderId="8" applyAlignment="1" pivotButton="0" quotePrefix="0" xfId="0">
      <alignment vertical="top" wrapText="1"/>
    </xf>
    <xf numFmtId="0" fontId="27" fillId="0" borderId="8" applyAlignment="1" pivotButton="0" quotePrefix="0" xfId="0">
      <alignment vertical="top" wrapText="1"/>
    </xf>
    <xf numFmtId="0" fontId="28" fillId="0" borderId="8" applyAlignment="1" pivotButton="0" quotePrefix="0" xfId="0">
      <alignment vertical="top" wrapText="1"/>
    </xf>
    <xf numFmtId="0" fontId="29" fillId="0" borderId="8" applyAlignment="1" pivotButton="0" quotePrefix="0" xfId="0">
      <alignment vertical="top" wrapText="1"/>
    </xf>
    <xf numFmtId="165" fontId="13" fillId="0" borderId="8" applyAlignment="1" pivotButton="0" quotePrefix="0" xfId="0">
      <alignment horizontal="center" vertical="center" wrapText="1"/>
    </xf>
    <xf numFmtId="169" fontId="13" fillId="0" borderId="8" applyAlignment="1" pivotButton="0" quotePrefix="0" xfId="0">
      <alignment horizontal="center" vertical="center" wrapText="1"/>
    </xf>
    <xf numFmtId="168" fontId="18" fillId="0" borderId="8" applyAlignment="1" pivotButton="0" quotePrefix="0" xfId="0">
      <alignment horizontal="center" vertical="center" wrapText="1"/>
    </xf>
    <xf numFmtId="170" fontId="13" fillId="0" borderId="8" applyAlignment="1" pivotButton="0" quotePrefix="0" xfId="0">
      <alignment horizontal="center" vertical="center" wrapText="1"/>
    </xf>
    <xf numFmtId="0" fontId="30" fillId="0" borderId="8" applyAlignment="1" pivotButton="0" quotePrefix="0" xfId="0">
      <alignment horizontal="center" vertical="center" wrapText="1"/>
    </xf>
    <xf numFmtId="0" fontId="31" fillId="0" borderId="8" applyAlignment="1" pivotButton="0" quotePrefix="0" xfId="0">
      <alignment vertical="top" wrapText="1"/>
    </xf>
    <xf numFmtId="0" fontId="13" fillId="0" borderId="8" applyAlignment="1" pivotButton="0" quotePrefix="0" xfId="0">
      <alignment vertical="top" wrapText="1"/>
    </xf>
    <xf numFmtId="0" fontId="32" fillId="0" borderId="8" applyAlignment="1" pivotButton="0" quotePrefix="0" xfId="0">
      <alignment horizontal="center" vertical="center" wrapText="1"/>
    </xf>
    <xf numFmtId="0" fontId="11" fillId="0" borderId="8" applyAlignment="1" pivotButton="0" quotePrefix="0" xfId="0">
      <alignment vertical="top" wrapText="1"/>
    </xf>
    <xf numFmtId="0" fontId="13" fillId="11" borderId="8" applyAlignment="1" pivotButton="0" quotePrefix="0" xfId="0">
      <alignment vertical="top" wrapText="1"/>
    </xf>
    <xf numFmtId="0" fontId="14" fillId="0" borderId="8" applyAlignment="1" pivotButton="0" quotePrefix="0" xfId="0">
      <alignment vertical="top" wrapText="1"/>
    </xf>
    <xf numFmtId="0" fontId="33" fillId="0" borderId="8" applyAlignment="1" pivotButton="0" quotePrefix="0" xfId="0">
      <alignment horizontal="center" vertical="center" wrapText="1"/>
    </xf>
    <xf numFmtId="0" fontId="13" fillId="12" borderId="8" applyAlignment="1" pivotButton="0" quotePrefix="0" xfId="0">
      <alignment vertical="top" wrapText="1"/>
    </xf>
    <xf numFmtId="0" fontId="12" fillId="0" borderId="8" applyAlignment="1" pivotButton="0" quotePrefix="0" xfId="0">
      <alignment vertical="top" wrapText="1"/>
    </xf>
    <xf numFmtId="0" fontId="34" fillId="0" borderId="8" applyAlignment="1" pivotButton="0" quotePrefix="0" xfId="0">
      <alignment horizontal="center" vertical="center" wrapText="1"/>
    </xf>
    <xf numFmtId="0" fontId="13" fillId="5" borderId="8" applyAlignment="1" pivotButton="0" quotePrefix="0" xfId="0">
      <alignment vertical="top" wrapText="1"/>
    </xf>
    <xf numFmtId="0" fontId="35" fillId="0" borderId="8" applyAlignment="1" pivotButton="0" quotePrefix="0" xfId="0">
      <alignment horizontal="center" vertical="center" wrapText="1"/>
    </xf>
    <xf numFmtId="0" fontId="24" fillId="2" borderId="0" pivotButton="0" quotePrefix="0" xfId="0"/>
    <xf numFmtId="0" fontId="0" fillId="0" borderId="12" pivotButton="0" quotePrefix="0" xfId="0"/>
    <xf numFmtId="0" fontId="32" fillId="0" borderId="8" applyAlignment="1" pivotButton="0" quotePrefix="0" xfId="0">
      <alignment vertical="top" wrapText="1"/>
    </xf>
    <xf numFmtId="0" fontId="36" fillId="0" borderId="8" applyAlignment="1" pivotButton="0" quotePrefix="0" xfId="0">
      <alignment vertical="top" wrapText="1"/>
    </xf>
    <xf numFmtId="0" fontId="37" fillId="0" borderId="8" applyAlignment="1" pivotButton="0" quotePrefix="0" xfId="0">
      <alignment vertical="top" wrapText="1"/>
    </xf>
    <xf numFmtId="0" fontId="0" fillId="0" borderId="13" pivotButton="0" quotePrefix="0" xfId="0"/>
    <xf numFmtId="165" fontId="38" fillId="0" borderId="8" applyAlignment="1" pivotButton="0" quotePrefix="0" xfId="0">
      <alignment vertical="top" wrapText="1"/>
    </xf>
    <xf numFmtId="0" fontId="38" fillId="0" borderId="8" applyAlignment="1" pivotButton="0" quotePrefix="0" xfId="0">
      <alignment vertical="top" wrapText="1"/>
    </xf>
    <xf numFmtId="9" fontId="38" fillId="0" borderId="8" applyAlignment="1" pivotButton="0" quotePrefix="0" xfId="0">
      <alignment vertical="top" wrapText="1"/>
    </xf>
    <xf numFmtId="9" fontId="18" fillId="0" borderId="8" applyAlignment="1" pivotButton="0" quotePrefix="0" xfId="0">
      <alignment vertical="top" wrapText="1"/>
    </xf>
    <xf numFmtId="0" fontId="39" fillId="0" borderId="8" applyAlignment="1" pivotButton="0" quotePrefix="0" xfId="0">
      <alignment horizontal="center" vertical="center" wrapText="1"/>
    </xf>
    <xf numFmtId="0" fontId="40" fillId="0" borderId="8" applyAlignment="1" pivotButton="0" quotePrefix="0" xfId="0">
      <alignment vertical="top" wrapText="1"/>
    </xf>
  </cellXfs>
  <cellStyles count="1">
    <cellStyle name="Normal" xfId="0" builtinId="0" hidden="0"/>
  </cellStyles>
  <dxfs count="17">
    <dxf>
      <font>
        <name val="Arial"/>
        <b val="1"/>
        <color rgb="00C8102E"/>
      </font>
      <fill>
        <patternFill patternType="solid">
          <fgColor rgb="00F9D3D8"/>
          <bgColor rgb="00F9D3D8"/>
        </patternFill>
      </fill>
    </dxf>
    <dxf>
      <font>
        <name val="Arial"/>
        <color rgb="00C8102E"/>
      </font>
      <fill>
        <patternFill patternType="solid">
          <fgColor rgb="00F9D3D8"/>
          <bgColor rgb="00F9D3D8"/>
        </patternFill>
      </fill>
    </dxf>
    <dxf>
      <font>
        <name val="Arial"/>
        <b val="1"/>
        <color rgb="00B4501A"/>
      </font>
      <fill>
        <patternFill patternType="solid">
          <fgColor rgb="00FBE3D0"/>
          <bgColor rgb="00FBE3D0"/>
        </patternFill>
      </fill>
    </dxf>
    <dxf>
      <font>
        <name val="Arial"/>
        <b val="1"/>
        <color rgb="00E2701C"/>
      </font>
    </dxf>
    <dxf>
      <font>
        <name val="Arial"/>
        <b val="1"/>
        <color rgb="004F8A3C"/>
      </font>
    </dxf>
    <dxf>
      <font>
        <name val="Arial"/>
        <b val="1"/>
        <color rgb="00D1A20F"/>
      </font>
    </dxf>
    <dxf>
      <font>
        <name val="Arial"/>
        <b val="1"/>
        <color rgb="00C8102E"/>
      </font>
    </dxf>
    <dxf>
      <font>
        <name val="Arial"/>
        <b val="1"/>
        <color rgb="00DC4A26"/>
      </font>
    </dxf>
    <dxf>
      <font>
        <name val="Arial"/>
        <b val="1"/>
        <color rgb="008A4FD6"/>
      </font>
    </dxf>
    <dxf>
      <font>
        <name val="Arial"/>
        <b val="1"/>
        <color rgb="00D69A12"/>
      </font>
    </dxf>
    <dxf>
      <font>
        <name val="Arial"/>
        <b val="1"/>
        <color rgb="002F6FB5"/>
      </font>
    </dxf>
    <dxf>
      <font>
        <name val="Arial"/>
        <b val="1"/>
        <color rgb="007D8A97"/>
      </font>
    </dxf>
    <dxf>
      <font>
        <name val="Arial"/>
        <b val="1"/>
        <color rgb="00FFFFFF"/>
      </font>
      <fill>
        <patternFill patternType="solid">
          <fgColor rgb="00C8102E"/>
          <bgColor rgb="00C8102E"/>
        </patternFill>
      </fill>
    </dxf>
    <dxf>
      <font>
        <name val="Arial"/>
        <b val="1"/>
        <color rgb="00FFFFFF"/>
      </font>
      <fill>
        <patternFill patternType="solid">
          <fgColor rgb="00E2701C"/>
          <bgColor rgb="00E2701C"/>
        </patternFill>
      </fill>
    </dxf>
    <dxf>
      <font>
        <name val="Arial"/>
        <b val="1"/>
        <color rgb="00FFFFFF"/>
      </font>
      <fill>
        <patternFill patternType="solid">
          <fgColor rgb="00D1A20F"/>
          <bgColor rgb="00D1A20F"/>
        </patternFill>
      </fill>
    </dxf>
    <dxf>
      <font>
        <name val="Arial"/>
        <b val="1"/>
        <color rgb="00FFFFFF"/>
      </font>
      <fill>
        <patternFill patternType="solid">
          <fgColor rgb="004F8A3C"/>
          <bgColor rgb="004F8A3C"/>
        </patternFill>
      </fill>
    </dxf>
    <dxf>
      <fill>
        <patternFill patternType="solid">
          <fgColor rgb="00F9D3D8"/>
          <bgColor rgb="00F9D3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Indice de menace par région</a:t>
            </a:r>
          </a:p>
        </rich>
      </tx>
    </title>
    <plotArea>
      <barChart>
        <barDir val="bar"/>
        <grouping val="clustered"/>
        <ser>
          <idx val="0"/>
          <order val="0"/>
          <tx>
            <strRef>
              <f>'REGIONS'!I4</f>
            </strRef>
          </tx>
          <spPr>
            <a:solidFill xmlns:a="http://schemas.openxmlformats.org/drawingml/2006/main">
              <a:srgbClr val="C8102E"/>
            </a:solidFill>
            <a:ln xmlns:a="http://schemas.openxmlformats.org/drawingml/2006/main">
              <a:prstDash val="solid"/>
            </a:ln>
          </spPr>
          <cat>
            <numRef>
              <f>'REGIONS'!$B$5:$B$12</f>
            </numRef>
          </cat>
          <val>
            <numRef>
              <f>'REGIONS'!$I$5:$I$12</f>
            </numRef>
          </val>
        </ser>
        <dLbls>
          <showLegendKey val="0"/>
          <showVal val="1"/>
          <showCatName val="0"/>
          <showSerName val="0"/>
          <showPercent val="0"/>
          <showLeaderLines val="0"/>
        </dLbls>
        <gapWidth val="150"/>
        <axId val="10"/>
        <axId val="100"/>
      </barChart>
      <catAx>
        <axId val="10"/>
        <scaling>
          <orientation val="maxMin"/>
        </scaling>
        <delete val="0"/>
        <axPos val="l"/>
        <majorTickMark val="none"/>
        <minorTickMark val="none"/>
        <crossAx val="100"/>
        <lblOffset val="100"/>
      </catAx>
      <valAx>
        <axId val="100"/>
        <scaling>
          <orientation val="minMax"/>
          <max val="100"/>
          <min val="0"/>
        </scaling>
        <delete val="0"/>
        <axPos val="l"/>
        <title>
          <tx>
            <rich>
              <a:bodyPr xmlns:a="http://schemas.openxmlformats.org/drawingml/2006/main"/>
              <a:p xmlns:a="http://schemas.openxmlformats.org/drawingml/2006/main">
                <a:pPr>
                  <a:defRPr/>
                </a:pPr>
                <a:r>
                  <a:t>Indice (0-100)</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Incidents par région et par acteur</a:t>
            </a:r>
          </a:p>
        </rich>
      </tx>
    </title>
    <plotArea>
      <barChart>
        <barDir val="bar"/>
        <grouping val="stacked"/>
        <ser>
          <idx val="0"/>
          <order val="0"/>
          <tx>
            <strRef>
              <f>'REGIONS'!L4</f>
            </strRef>
          </tx>
          <spPr>
            <a:solidFill xmlns:a="http://schemas.openxmlformats.org/drawingml/2006/main">
              <a:srgbClr val="DC4A26"/>
            </a:solidFill>
            <a:ln xmlns:a="http://schemas.openxmlformats.org/drawingml/2006/main">
              <a:prstDash val="solid"/>
            </a:ln>
          </spPr>
          <cat>
            <numRef>
              <f>'REGIONS'!$B$5:$B$12</f>
            </numRef>
          </cat>
          <val>
            <numRef>
              <f>'REGIONS'!$L$5:$L$12</f>
            </numRef>
          </val>
        </ser>
        <ser>
          <idx val="1"/>
          <order val="1"/>
          <tx>
            <strRef>
              <f>'REGIONS'!M4</f>
            </strRef>
          </tx>
          <spPr>
            <a:solidFill xmlns:a="http://schemas.openxmlformats.org/drawingml/2006/main">
              <a:srgbClr val="8A4FD6"/>
            </a:solidFill>
            <a:ln xmlns:a="http://schemas.openxmlformats.org/drawingml/2006/main">
              <a:prstDash val="solid"/>
            </a:ln>
          </spPr>
          <cat>
            <numRef>
              <f>'REGIONS'!$B$5:$B$12</f>
            </numRef>
          </cat>
          <val>
            <numRef>
              <f>'REGIONS'!$M$5:$M$12</f>
            </numRef>
          </val>
        </ser>
        <ser>
          <idx val="2"/>
          <order val="2"/>
          <tx>
            <strRef>
              <f>'REGIONS'!N4</f>
            </strRef>
          </tx>
          <spPr>
            <a:solidFill xmlns:a="http://schemas.openxmlformats.org/drawingml/2006/main">
              <a:srgbClr val="D69A12"/>
            </a:solidFill>
            <a:ln xmlns:a="http://schemas.openxmlformats.org/drawingml/2006/main">
              <a:prstDash val="solid"/>
            </a:ln>
          </spPr>
          <cat>
            <numRef>
              <f>'REGIONS'!$B$5:$B$12</f>
            </numRef>
          </cat>
          <val>
            <numRef>
              <f>'REGIONS'!$N$5:$N$12</f>
            </numRef>
          </val>
        </ser>
        <ser>
          <idx val="3"/>
          <order val="3"/>
          <tx>
            <strRef>
              <f>'REGIONS'!O4</f>
            </strRef>
          </tx>
          <spPr>
            <a:solidFill xmlns:a="http://schemas.openxmlformats.org/drawingml/2006/main">
              <a:srgbClr val="2F6FB5"/>
            </a:solidFill>
            <a:ln xmlns:a="http://schemas.openxmlformats.org/drawingml/2006/main">
              <a:prstDash val="solid"/>
            </a:ln>
          </spPr>
          <cat>
            <numRef>
              <f>'REGIONS'!$B$5:$B$12</f>
            </numRef>
          </cat>
          <val>
            <numRef>
              <f>'REGIONS'!$O$5:$O$12</f>
            </numRef>
          </val>
        </ser>
        <ser>
          <idx val="4"/>
          <order val="4"/>
          <tx>
            <strRef>
              <f>'REGIONS'!P4</f>
            </strRef>
          </tx>
          <spPr>
            <a:solidFill xmlns:a="http://schemas.openxmlformats.org/drawingml/2006/main">
              <a:srgbClr val="7D8A97"/>
            </a:solidFill>
            <a:ln xmlns:a="http://schemas.openxmlformats.org/drawingml/2006/main">
              <a:prstDash val="solid"/>
            </a:ln>
          </spPr>
          <cat>
            <numRef>
              <f>'REGIONS'!$B$5:$B$12</f>
            </numRef>
          </cat>
          <val>
            <numRef>
              <f>'REGIONS'!$P$5:$P$12</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Incidents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Part des incidents par acteur</a:t>
            </a:r>
          </a:p>
        </rich>
      </tx>
    </title>
    <plotArea>
      <pieChart>
        <varyColors val="1"/>
        <ser>
          <idx val="0"/>
          <order val="0"/>
          <tx>
            <strRef>
              <f>'ACTEURS'!C4</f>
            </strRef>
          </tx>
          <spPr>
            <a:ln xmlns:a="http://schemas.openxmlformats.org/drawingml/2006/main">
              <a:prstDash val="solid"/>
            </a:ln>
          </spPr>
          <dPt>
            <idx val="0"/>
            <spPr>
              <a:solidFill xmlns:a="http://schemas.openxmlformats.org/drawingml/2006/main">
                <a:srgbClr val="DC4A26"/>
              </a:solidFill>
              <a:ln xmlns:a="http://schemas.openxmlformats.org/drawingml/2006/main">
                <a:prstDash val="solid"/>
              </a:ln>
            </spPr>
          </dPt>
          <dPt>
            <idx val="1"/>
            <spPr>
              <a:solidFill xmlns:a="http://schemas.openxmlformats.org/drawingml/2006/main">
                <a:srgbClr val="8A4FD6"/>
              </a:solidFill>
              <a:ln xmlns:a="http://schemas.openxmlformats.org/drawingml/2006/main">
                <a:prstDash val="solid"/>
              </a:ln>
            </spPr>
          </dPt>
          <dPt>
            <idx val="2"/>
            <spPr>
              <a:solidFill xmlns:a="http://schemas.openxmlformats.org/drawingml/2006/main">
                <a:srgbClr val="D69A12"/>
              </a:solidFill>
              <a:ln xmlns:a="http://schemas.openxmlformats.org/drawingml/2006/main">
                <a:prstDash val="solid"/>
              </a:ln>
            </spPr>
          </dPt>
          <dPt>
            <idx val="3"/>
            <spPr>
              <a:solidFill xmlns:a="http://schemas.openxmlformats.org/drawingml/2006/main">
                <a:srgbClr val="2F6FB5"/>
              </a:solidFill>
              <a:ln xmlns:a="http://schemas.openxmlformats.org/drawingml/2006/main">
                <a:prstDash val="solid"/>
              </a:ln>
            </spPr>
          </dPt>
          <dPt>
            <idx val="4"/>
            <spPr>
              <a:solidFill xmlns:a="http://schemas.openxmlformats.org/drawingml/2006/main">
                <a:srgbClr val="7D8A97"/>
              </a:solidFill>
              <a:ln xmlns:a="http://schemas.openxmlformats.org/drawingml/2006/main">
                <a:prstDash val="solid"/>
              </a:ln>
            </spPr>
          </dPt>
          <cat>
            <numRef>
              <f>'ACTEURS'!$B$5:$B$9</f>
            </numRef>
          </cat>
          <val>
            <numRef>
              <f>'ACTEURS'!$C$5:$C$9</f>
            </numRef>
          </val>
        </ser>
        <dLbls>
          <showLegendKey val="0"/>
          <showVal val="0"/>
          <showCatName val="0"/>
          <showSerName val="0"/>
          <showPercent val="1"/>
          <showLeaderLines val="0"/>
        </dLbls>
        <firstSliceAng val="0"/>
      </pieChart>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Pertes infligées lors des actions de chaque acteur</a:t>
            </a:r>
          </a:p>
        </rich>
      </tx>
    </title>
    <plotArea>
      <barChart>
        <barDir val="col"/>
        <grouping val="stacked"/>
        <ser>
          <idx val="0"/>
          <order val="0"/>
          <tx>
            <strRef>
              <f>'ACTEURS'!F4</f>
            </strRef>
          </tx>
          <spPr>
            <a:solidFill xmlns:a="http://schemas.openxmlformats.org/drawingml/2006/main">
              <a:srgbClr val="2F6FB5"/>
            </a:solidFill>
            <a:ln xmlns:a="http://schemas.openxmlformats.org/drawingml/2006/main">
              <a:prstDash val="solid"/>
            </a:ln>
          </spPr>
          <cat>
            <numRef>
              <f>'ACTEURS'!$B$5:$B$9</f>
            </numRef>
          </cat>
          <val>
            <numRef>
              <f>'ACTEURS'!$F$5:$F$9</f>
            </numRef>
          </val>
        </ser>
        <ser>
          <idx val="1"/>
          <order val="1"/>
          <tx>
            <strRef>
              <f>'ACTEURS'!G4</f>
            </strRef>
          </tx>
          <spPr>
            <a:solidFill xmlns:a="http://schemas.openxmlformats.org/drawingml/2006/main">
              <a:srgbClr val="7D8A97"/>
            </a:solidFill>
            <a:ln xmlns:a="http://schemas.openxmlformats.org/drawingml/2006/main">
              <a:prstDash val="solid"/>
            </a:ln>
          </spPr>
          <cat>
            <numRef>
              <f>'ACTEURS'!$B$5:$B$9</f>
            </numRef>
          </cat>
          <val>
            <numRef>
              <f>'ACTEURS'!$G$5:$G$9</f>
            </numRef>
          </val>
        </ser>
        <ser>
          <idx val="2"/>
          <order val="2"/>
          <tx>
            <strRef>
              <f>'ACTEURS'!H4</f>
            </strRef>
          </tx>
          <spPr>
            <a:solidFill xmlns:a="http://schemas.openxmlformats.org/drawingml/2006/main">
              <a:srgbClr val="C8102E"/>
            </a:solidFill>
            <a:ln xmlns:a="http://schemas.openxmlformats.org/drawingml/2006/main">
              <a:prstDash val="solid"/>
            </a:ln>
          </spPr>
          <cat>
            <numRef>
              <f>'ACTEURS'!$B$5:$B$9</f>
            </numRef>
          </cat>
          <val>
            <numRef>
              <f>'ACTEURS'!$H$5:$H$9</f>
            </numRef>
          </val>
        </ser>
        <ser>
          <idx val="3"/>
          <order val="3"/>
          <tx>
            <strRef>
              <f>'ACTEURS'!J4</f>
            </strRef>
          </tx>
          <spPr>
            <a:solidFill xmlns:a="http://schemas.openxmlformats.org/drawingml/2006/main">
              <a:srgbClr val="DC4A26"/>
            </a:solidFill>
            <a:ln xmlns:a="http://schemas.openxmlformats.org/drawingml/2006/main">
              <a:prstDash val="solid"/>
            </a:ln>
          </spPr>
          <cat>
            <numRef>
              <f>'ACTEURS'!$B$5:$B$9</f>
            </numRef>
          </cat>
          <val>
            <numRef>
              <f>'ACTEURS'!$J$5:$J$9</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Tués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Rythme opérationnel hebdomadaire par acteur</a:t>
            </a:r>
          </a:p>
        </rich>
      </tx>
    </title>
    <plotArea>
      <barChart>
        <barDir val="col"/>
        <grouping val="stacked"/>
        <ser>
          <idx val="0"/>
          <order val="0"/>
          <tx>
            <strRef>
              <f>'CHRONOLOGIE'!E4</f>
            </strRef>
          </tx>
          <spPr>
            <a:solidFill xmlns:a="http://schemas.openxmlformats.org/drawingml/2006/main">
              <a:srgbClr val="DC4A26"/>
            </a:solidFill>
            <a:ln xmlns:a="http://schemas.openxmlformats.org/drawingml/2006/main">
              <a:prstDash val="solid"/>
            </a:ln>
          </spPr>
          <cat>
            <numRef>
              <f>'CHRONOLOGIE'!$D$5:$D$13</f>
            </numRef>
          </cat>
          <val>
            <numRef>
              <f>'CHRONOLOGIE'!$E$5:$E$13</f>
            </numRef>
          </val>
        </ser>
        <ser>
          <idx val="1"/>
          <order val="1"/>
          <tx>
            <strRef>
              <f>'CHRONOLOGIE'!F4</f>
            </strRef>
          </tx>
          <spPr>
            <a:solidFill xmlns:a="http://schemas.openxmlformats.org/drawingml/2006/main">
              <a:srgbClr val="8A4FD6"/>
            </a:solidFill>
            <a:ln xmlns:a="http://schemas.openxmlformats.org/drawingml/2006/main">
              <a:prstDash val="solid"/>
            </a:ln>
          </spPr>
          <cat>
            <numRef>
              <f>'CHRONOLOGIE'!$D$5:$D$13</f>
            </numRef>
          </cat>
          <val>
            <numRef>
              <f>'CHRONOLOGIE'!$F$5:$F$13</f>
            </numRef>
          </val>
        </ser>
        <ser>
          <idx val="2"/>
          <order val="2"/>
          <tx>
            <strRef>
              <f>'CHRONOLOGIE'!G4</f>
            </strRef>
          </tx>
          <spPr>
            <a:solidFill xmlns:a="http://schemas.openxmlformats.org/drawingml/2006/main">
              <a:srgbClr val="D69A12"/>
            </a:solidFill>
            <a:ln xmlns:a="http://schemas.openxmlformats.org/drawingml/2006/main">
              <a:prstDash val="solid"/>
            </a:ln>
          </spPr>
          <cat>
            <numRef>
              <f>'CHRONOLOGIE'!$D$5:$D$13</f>
            </numRef>
          </cat>
          <val>
            <numRef>
              <f>'CHRONOLOGIE'!$G$5:$G$13</f>
            </numRef>
          </val>
        </ser>
        <ser>
          <idx val="3"/>
          <order val="3"/>
          <tx>
            <strRef>
              <f>'CHRONOLOGIE'!H4</f>
            </strRef>
          </tx>
          <spPr>
            <a:solidFill xmlns:a="http://schemas.openxmlformats.org/drawingml/2006/main">
              <a:srgbClr val="2F6FB5"/>
            </a:solidFill>
            <a:ln xmlns:a="http://schemas.openxmlformats.org/drawingml/2006/main">
              <a:prstDash val="solid"/>
            </a:ln>
          </spPr>
          <cat>
            <numRef>
              <f>'CHRONOLOGIE'!$D$5:$D$13</f>
            </numRef>
          </cat>
          <val>
            <numRef>
              <f>'CHRONOLOGIE'!$H$5:$H$13</f>
            </numRef>
          </val>
        </ser>
        <ser>
          <idx val="4"/>
          <order val="4"/>
          <tx>
            <strRef>
              <f>'CHRONOLOGIE'!I4</f>
            </strRef>
          </tx>
          <spPr>
            <a:solidFill xmlns:a="http://schemas.openxmlformats.org/drawingml/2006/main">
              <a:srgbClr val="7D8A97"/>
            </a:solidFill>
            <a:ln xmlns:a="http://schemas.openxmlformats.org/drawingml/2006/main">
              <a:prstDash val="solid"/>
            </a:ln>
          </spPr>
          <cat>
            <numRef>
              <f>'CHRONOLOGIE'!$D$5:$D$13</f>
            </numRef>
          </cat>
          <val>
            <numRef>
              <f>'CHRONOLOGIE'!$I$5:$I$13</f>
            </numRef>
          </val>
        </ser>
        <gapWidth val="150"/>
        <overlap val="100"/>
        <axId val="10"/>
        <axId val="100"/>
      </barChart>
      <lineChart>
        <grouping val="standard"/>
        <ser>
          <idx val="5"/>
          <order val="5"/>
          <tx>
            <strRef>
              <f>'CHRONOLOGIE'!K4</f>
            </strRef>
          </tx>
          <spPr>
            <a:ln xmlns:a="http://schemas.openxmlformats.org/drawingml/2006/main" w="28000">
              <a:solidFill>
                <a:srgbClr val="13202C"/>
              </a:solidFill>
              <a:prstDash val="solid"/>
            </a:ln>
          </spPr>
          <marker>
            <symbol val="none"/>
            <spPr>
              <a:ln xmlns:a="http://schemas.openxmlformats.org/drawingml/2006/main">
                <a:prstDash val="solid"/>
              </a:ln>
            </spPr>
          </marker>
          <val>
            <numRef>
              <f>'CHRONOLOGIE'!$K$5:$K$13</f>
            </numRef>
          </val>
          <smooth val="1"/>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Incidents</a:t>
                </a:r>
              </a:p>
            </rich>
          </tx>
        </title>
        <majorTickMark val="none"/>
        <minorTickMark val="none"/>
        <crossAx val="10"/>
      </valAx>
      <valAx>
        <axId val="200"/>
        <scaling>
          <orientation val="minMax"/>
        </scaling>
        <axPos val="l"/>
        <majorGridlines/>
        <title>
          <tx>
            <rich>
              <a:bodyPr xmlns:a="http://schemas.openxmlformats.org/drawingml/2006/main"/>
              <a:p xmlns:a="http://schemas.openxmlformats.org/drawingml/2006/main">
                <a:pPr>
                  <a:defRPr/>
                </a:pPr>
                <a:r>
                  <a:t>Tués</a:t>
                </a:r>
              </a:p>
            </rich>
          </tx>
        </title>
        <majorTickMark val="none"/>
        <minorTickMark val="none"/>
        <crossAx val="10"/>
        <crosses val="max"/>
      </valAx>
    </plotArea>
    <legend>
      <legendPos val="b"/>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Bilan humain hebdomadaire</a:t>
            </a:r>
          </a:p>
        </rich>
      </tx>
    </title>
    <plotArea>
      <barChart>
        <barDir val="col"/>
        <grouping val="stacked"/>
        <ser>
          <idx val="0"/>
          <order val="0"/>
          <tx>
            <strRef>
              <f>'CHRONOLOGIE'!L4</f>
            </strRef>
          </tx>
          <spPr>
            <a:solidFill xmlns:a="http://schemas.openxmlformats.org/drawingml/2006/main">
              <a:srgbClr val="2F6FB5"/>
            </a:solidFill>
            <a:ln xmlns:a="http://schemas.openxmlformats.org/drawingml/2006/main">
              <a:prstDash val="solid"/>
            </a:ln>
          </spPr>
          <cat>
            <numRef>
              <f>'CHRONOLOGIE'!$D$5:$D$13</f>
            </numRef>
          </cat>
          <val>
            <numRef>
              <f>'CHRONOLOGIE'!$L$5:$L$13</f>
            </numRef>
          </val>
        </ser>
        <ser>
          <idx val="1"/>
          <order val="1"/>
          <tx>
            <strRef>
              <f>'CHRONOLOGIE'!M4</f>
            </strRef>
          </tx>
          <spPr>
            <a:solidFill xmlns:a="http://schemas.openxmlformats.org/drawingml/2006/main">
              <a:srgbClr val="C8102E"/>
            </a:solidFill>
            <a:ln xmlns:a="http://schemas.openxmlformats.org/drawingml/2006/main">
              <a:prstDash val="solid"/>
            </a:ln>
          </spPr>
          <cat>
            <numRef>
              <f>'CHRONOLOGIE'!$D$5:$D$13</f>
            </numRef>
          </cat>
          <val>
            <numRef>
              <f>'CHRONOLOGIE'!$M$5:$M$13</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Tués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Fréquence des modes opératoires</a:t>
            </a:r>
          </a:p>
        </rich>
      </tx>
    </title>
    <plotArea>
      <barChart>
        <barDir val="bar"/>
        <grouping val="clustered"/>
        <ser>
          <idx val="0"/>
          <order val="0"/>
          <tx>
            <strRef>
              <f>'MODES_CIBLES'!C4</f>
            </strRef>
          </tx>
          <spPr>
            <a:solidFill xmlns:a="http://schemas.openxmlformats.org/drawingml/2006/main">
              <a:srgbClr val="0F7C86"/>
            </a:solidFill>
            <a:ln xmlns:a="http://schemas.openxmlformats.org/drawingml/2006/main">
              <a:prstDash val="solid"/>
            </a:ln>
          </spPr>
          <cat>
            <numRef>
              <f>'MODES_CIBLES'!$B$5:$B$16</f>
            </numRef>
          </cat>
          <val>
            <numRef>
              <f>'MODES_CIBLES'!$C$5:$C$16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Incidents</a:t>
                </a:r>
              </a:p>
            </rich>
          </tx>
        </title>
        <majorTickMark val="none"/>
        <minorTickMark val="none"/>
        <crossAx val="10"/>
      </valAx>
    </plotArea>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Létalité moyenne par mode (tués / incident)</a:t>
            </a:r>
          </a:p>
        </rich>
      </tx>
    </title>
    <plotArea>
      <barChart>
        <barDir val="bar"/>
        <grouping val="clustered"/>
        <ser>
          <idx val="0"/>
          <order val="0"/>
          <tx>
            <strRef>
              <f>'MODES_CIBLES'!F4</f>
            </strRef>
          </tx>
          <spPr>
            <a:solidFill xmlns:a="http://schemas.openxmlformats.org/drawingml/2006/main">
              <a:srgbClr val="C8102E"/>
            </a:solidFill>
            <a:ln xmlns:a="http://schemas.openxmlformats.org/drawingml/2006/main">
              <a:prstDash val="solid"/>
            </a:ln>
          </spPr>
          <cat>
            <numRef>
              <f>'MODES_CIBLES'!$B$5:$B$16</f>
            </numRef>
          </cat>
          <val>
            <numRef>
              <f>'MODES_CIBLES'!$F$5:$F$16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Tués par incident</a:t>
                </a:r>
              </a:p>
            </rich>
          </tx>
        </title>
        <majorTickMark val="none"/>
        <minorTickMark val="none"/>
        <crossAx val="10"/>
      </valAx>
    </plotArea>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Incidents par tranche de distance à Bamako</a:t>
            </a:r>
          </a:p>
        </rich>
      </tx>
    </title>
    <plotArea>
      <barChart>
        <barDir val="col"/>
        <grouping val="clustered"/>
        <ser>
          <idx val="0"/>
          <order val="0"/>
          <tx>
            <strRef>
              <f>'PRESSION_BAMAKO'!E4</f>
            </strRef>
          </tx>
          <spPr>
            <a:solidFill xmlns:a="http://schemas.openxmlformats.org/drawingml/2006/main">
              <a:srgbClr val="13202C"/>
            </a:solidFill>
            <a:ln xmlns:a="http://schemas.openxmlformats.org/drawingml/2006/main">
              <a:prstDash val="solid"/>
            </a:ln>
          </spPr>
          <cat>
            <numRef>
              <f>'PRESSION_BAMAKO'!$B$5:$B$10</f>
            </numRef>
          </cat>
          <val>
            <numRef>
              <f>'PRESSION_BAMAKO'!$E$5:$E$10</f>
            </numRef>
          </val>
        </ser>
        <ser>
          <idx val="1"/>
          <order val="1"/>
          <tx>
            <strRef>
              <f>'PRESSION_BAMAKO'!F4</f>
            </strRef>
          </tx>
          <spPr>
            <a:solidFill xmlns:a="http://schemas.openxmlformats.org/drawingml/2006/main">
              <a:srgbClr val="DC4A26"/>
            </a:solidFill>
            <a:ln xmlns:a="http://schemas.openxmlformats.org/drawingml/2006/main">
              <a:prstDash val="solid"/>
            </a:ln>
          </spPr>
          <cat>
            <numRef>
              <f>'PRESSION_BAMAKO'!$B$5:$B$10</f>
            </numRef>
          </cat>
          <val>
            <numRef>
              <f>'PRESSION_BAMAKO'!$F$5:$F$10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xmlns:a="http://schemas.openxmlformats.org/drawingml/2006/main"/>
              <a:p xmlns:a="http://schemas.openxmlformats.org/drawingml/2006/main">
                <a:pPr>
                  <a:defRPr/>
                </a:pPr>
                <a:r>
                  <a:t>Incidents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Corroboration des incidents</a:t>
            </a:r>
          </a:p>
        </rich>
      </tx>
    </title>
    <plotArea>
      <pieChart>
        <varyColors val="1"/>
        <ser>
          <idx val="0"/>
          <order val="0"/>
          <tx>
            <strRef>
              <f>'QUALITE_SOURCES'!H4</f>
            </strRef>
          </tx>
          <spPr>
            <a:ln xmlns:a="http://schemas.openxmlformats.org/drawingml/2006/main">
              <a:prstDash val="solid"/>
            </a:ln>
          </spPr>
          <dPt>
            <idx val="0"/>
            <spPr>
              <a:solidFill xmlns:a="http://schemas.openxmlformats.org/drawingml/2006/main">
                <a:srgbClr val="4F8A3C"/>
              </a:solidFill>
              <a:ln xmlns:a="http://schemas.openxmlformats.org/drawingml/2006/main">
                <a:prstDash val="solid"/>
              </a:ln>
            </spPr>
          </dPt>
          <dPt>
            <idx val="1"/>
            <spPr>
              <a:solidFill xmlns:a="http://schemas.openxmlformats.org/drawingml/2006/main">
                <a:srgbClr val="D1A20F"/>
              </a:solidFill>
              <a:ln xmlns:a="http://schemas.openxmlformats.org/drawingml/2006/main">
                <a:prstDash val="solid"/>
              </a:ln>
            </spPr>
          </dPt>
          <dPt>
            <idx val="2"/>
            <spPr>
              <a:solidFill xmlns:a="http://schemas.openxmlformats.org/drawingml/2006/main">
                <a:srgbClr val="E2701C"/>
              </a:solidFill>
              <a:ln xmlns:a="http://schemas.openxmlformats.org/drawingml/2006/main">
                <a:prstDash val="solid"/>
              </a:ln>
            </spPr>
          </dPt>
          <dPt>
            <idx val="3"/>
            <spPr>
              <a:solidFill xmlns:a="http://schemas.openxmlformats.org/drawingml/2006/main">
                <a:srgbClr val="C8102E"/>
              </a:solidFill>
              <a:ln xmlns:a="http://schemas.openxmlformats.org/drawingml/2006/main">
                <a:prstDash val="solid"/>
              </a:ln>
            </spPr>
          </dPt>
          <cat>
            <numRef>
              <f>'QUALITE_SOURCES'!$G$5:$G$8</f>
            </numRef>
          </cat>
          <val>
            <numRef>
              <f>'QUALITE_SOURCES'!$H$5:$H$8</f>
            </numRef>
          </val>
        </ser>
        <dLbls>
          <showLegendKey val="0"/>
          <showVal val="1"/>
          <showCatName val="0"/>
          <showSerName val="0"/>
          <showPercent val="0"/>
          <showLeaderLines val="0"/>
        </dLbls>
        <firstSliceAng val="0"/>
      </pieChart>
    </plotArea>
    <legend>
      <legendPos val="r"/>
    </legend>
    <plotVisOnly val="1"/>
    <dispBlanksAs val="gap"/>
  </chart>
</chartSpace>
</file>

<file path=xl/comments/comment1.xml><?xml version="1.0" encoding="utf-8"?>
<comments xmlns="http://schemas.openxmlformats.org/spreadsheetml/2006/main">
  <authors>
    <author>Observatoire</author>
  </authors>
  <commentList>
    <comment ref="A1" authorId="0" shapeId="0">
      <text>
        <t>Base source : DATA_CARTOGRAPHIE (compilations Naïm TOURÉ). Colonnes « géocodées » : jointure spatiale des coordonnées sur geoBoundaries. Les colonnes en formule (semaine, période, total, distance, liens) se recalculent automatiquement.</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4.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5.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1</col>
      <colOff>0</colOff>
      <row>31</row>
      <rowOff>0</rowOff>
    </from>
    <ext cx="6667500" cy="4362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6</row>
      <rowOff>0</rowOff>
    </from>
    <ext cx="10287000" cy="6734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44</row>
      <rowOff>0</rowOff>
    </from>
    <ext cx="10287000" cy="6734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82</row>
      <rowOff>0</rowOff>
    </from>
    <ext cx="10287000" cy="6734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16</row>
      <rowOff>0</rowOff>
    </from>
    <ext cx="64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16</row>
      <rowOff>0</rowOff>
    </from>
    <ext cx="64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1</col>
      <colOff>0</colOff>
      <row>20</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20</row>
      <rowOff>0</rowOff>
    </from>
    <ext cx="64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col>
      <colOff>0</colOff>
      <row>17</row>
      <rowOff>0</rowOff>
    </from>
    <ext cx="79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17</row>
      <rowOff>0</rowOff>
    </from>
    <ext cx="576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1</col>
      <colOff>0</colOff>
      <row>18</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18</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9</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6</col>
      <colOff>0</colOff>
      <row>12</row>
      <rowOff>0</rowOff>
    </from>
    <ext cx="39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Incidents" displayName="tblIncidents" ref="A1:AL37" headerRowCount="1">
  <autoFilter ref="A1:AL37"/>
  <tableColumns count="38">
    <tableColumn id="1" name="ID"/>
    <tableColumn id="2" name="Date"/>
    <tableColumn id="3" name="Semaine ISO"/>
    <tableColumn id="4" name="Période"/>
    <tableColumn id="5" name="Pays (géocodé)"/>
    <tableColumn id="6" name="Région (géocodée)"/>
    <tableColumn id="7" name="Cercle (géocodé)"/>
    <tableColumn id="8" name="Région déclarée"/>
    <tableColumn id="9" name="Localité"/>
    <tableColumn id="10" name="Latitude"/>
    <tableColumn id="11" name="Longitude"/>
    <tableColumn id="12" name="Précision géo."/>
    <tableColumn id="13" name="Typologie (source)"/>
    <tableColumn id="14" name="Mode opératoire"/>
    <tableColumn id="15" name="Instigateur"/>
    <tableColumn id="16" name="Instigateur (détail)"/>
    <tableColumn id="17" name="Cible"/>
    <tableColumn id="18" name="Cible (détail)"/>
    <tableColumn id="19" name="Description"/>
    <tableColumn id="20" name="Morts civils"/>
    <tableColumn id="21" name="Blessés civils"/>
    <tableColumn id="22" name="Morts FDS (FAMa)"/>
    <tableColumn id="23" name="Morts Africa Corps"/>
    <tableColumn id="24" name="Morts groupes armés"/>
    <tableColumn id="25" name="Total tués"/>
    <tableColumn id="26" name="Capturés"/>
    <tableColumn id="27" name="Véh./aéronefs détruits"/>
    <tableColumn id="28" name="Véh./aéronefs saisis"/>
    <tableColumn id="29" name="Armement / équipement saisi"/>
    <tableColumn id="30" name="Impact"/>
    <tableColumn id="31" name="Distance Bamako (km)"/>
    <tableColumn id="32" name="Dans le rayon Bamako"/>
    <tableColumn id="33" name="Fiabilité"/>
    <tableColumn id="34" name="Bilan revendiqué seul"/>
    <tableColumn id="35" name="Sources"/>
    <tableColumn id="36" name="Carte OSM"/>
    <tableColumn id="37" name="Google Maps"/>
    <tableColumn id="38" name="Tableau de bord"/>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ARTES!A1" TargetMode="External" Id="rId1"/><Relationship Type="http://schemas.openxmlformats.org/officeDocument/2006/relationships/hyperlink" Target="#INCIDENTS!AJ1" TargetMode="External" Id="rId2"/><Relationship Type="http://schemas.openxmlformats.org/officeDocument/2006/relationships/hyperlink" Target="#CARTES!A1" TargetMode="External" Id="rId3"/><Relationship Type="http://schemas.openxmlformats.org/officeDocument/2006/relationships/hyperlink" Target="#PRESSION_BAMAKO!A1" TargetMode="External" Id="rId4"/><Relationship Type="http://schemas.openxmlformats.org/officeDocument/2006/relationships/hyperlink" Target="#INCIDENTS!A1" TargetMode="External" Id="rId5"/><Relationship Type="http://schemas.openxmlformats.org/officeDocument/2006/relationships/hyperlink" Target="#EVALUATION!A1" TargetMode="External" Id="rId6"/><Relationship Type="http://schemas.openxmlformats.org/officeDocument/2006/relationships/hyperlink" Target="#REGIONS!A1" TargetMode="External" Id="rId7"/><Relationship Type="http://schemas.openxmlformats.org/officeDocument/2006/relationships/hyperlink" Target="#QUALITE_SOURCES!A1" TargetMode="External" Id="rId8"/><Relationship Type="http://schemas.openxmlformats.org/officeDocument/2006/relationships/hyperlink" Target="#ACTEURS!A1" TargetMode="External" Id="rId9"/><Relationship Type="http://schemas.openxmlformats.org/officeDocument/2006/relationships/hyperlink" Target="#PARAMETRES!A1" TargetMode="External" Id="rId10"/><Relationship Type="http://schemas.openxmlformats.org/officeDocument/2006/relationships/hyperlink" Target="#CHRONOLOGIE!A1" TargetMode="External" Id="rId11"/><Relationship Type="http://schemas.openxmlformats.org/officeDocument/2006/relationships/hyperlink" Target="#MODE_EMPLOI!A1" TargetMode="External" Id="rId12"/><Relationship Type="http://schemas.openxmlformats.org/officeDocument/2006/relationships/hyperlink" Target="#MODES_CIBLES!A1" TargetMode="External" Id="rId13"/><Relationship Type="http://schemas.openxmlformats.org/officeDocument/2006/relationships/hyperlink" Target="#DICTIONNAIRE!A1" TargetMode="External" Id="rId14"/><Relationship Type="http://schemas.openxmlformats.org/officeDocument/2006/relationships/drawing" Target="/xl/drawings/drawing1.xml" Id="rId15"/></Relationships>
</file>

<file path=xl/worksheets/_rels/sheet2.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drawing" Target="/xl/drawings/drawing3.xml" Id="rId2"/></Relationships>
</file>

<file path=xl/worksheets/_rels/sheet5.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drawing" Target="/xl/drawings/drawing4.xml" Id="rId2"/></Relationships>
</file>

<file path=xl/worksheets/_rels/sheet6.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drawing" Target="/xl/drawings/drawing5.xml" Id="rId2"/></Relationships>
</file>

<file path=xl/worksheets/_rels/sheet7.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drawing" Target="/xl/drawings/drawing6.xml" Id="rId2"/></Relationships>
</file>

<file path=xl/worksheets/_rels/sheet8.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hyperlink" Target="#INCIDENTS!A12" TargetMode="External" Id="rId2"/><Relationship Type="http://schemas.openxmlformats.org/officeDocument/2006/relationships/hyperlink" Target="#INCIDENTS!A5" TargetMode="External" Id="rId3"/><Relationship Type="http://schemas.openxmlformats.org/officeDocument/2006/relationships/hyperlink" Target="#INCIDENTS!A32" TargetMode="External" Id="rId4"/><Relationship Type="http://schemas.openxmlformats.org/officeDocument/2006/relationships/hyperlink" Target="#INCIDENTS!A9" TargetMode="External" Id="rId5"/><Relationship Type="http://schemas.openxmlformats.org/officeDocument/2006/relationships/hyperlink" Target="#INCIDENTS!A31" TargetMode="External" Id="rId6"/><Relationship Type="http://schemas.openxmlformats.org/officeDocument/2006/relationships/hyperlink" Target="#INCIDENTS!A13" TargetMode="External" Id="rId7"/><Relationship Type="http://schemas.openxmlformats.org/officeDocument/2006/relationships/hyperlink" Target="#INCIDENTS!A22" TargetMode="External" Id="rId8"/><Relationship Type="http://schemas.openxmlformats.org/officeDocument/2006/relationships/hyperlink" Target="#INCIDENTS!A24" TargetMode="External" Id="rId9"/><Relationship Type="http://schemas.openxmlformats.org/officeDocument/2006/relationships/hyperlink" Target="#INCIDENTS!A18" TargetMode="External" Id="rId10"/><Relationship Type="http://schemas.openxmlformats.org/officeDocument/2006/relationships/drawing" Target="/xl/drawings/drawing7.xml" Id="rId11"/></Relationships>
</file>

<file path=xl/worksheets/_rels/sheet9.xml.rels><Relationships xmlns="http://schemas.openxmlformats.org/package/2006/relationships"><Relationship Type="http://schemas.openxmlformats.org/officeDocument/2006/relationships/hyperlink" Target="#ACCUEIL!A1" TargetMode="External" Id="rId1"/></Relationships>
</file>

<file path=xl/worksheets/_rels/sheet10.xml.rels><Relationships xmlns="http://schemas.openxmlformats.org/package/2006/relationships"><Relationship Type="http://schemas.openxmlformats.org/officeDocument/2006/relationships/hyperlink" Target="#ACCUEIL!A1" TargetMode="External" Id="rId1"/><Relationship Type="http://schemas.openxmlformats.org/officeDocument/2006/relationships/drawing" Target="/xl/drawings/drawing8.xml" Id="rId2"/></Relationships>
</file>

<file path=xl/worksheets/_rels/sheet11.xml.rels><Relationships xmlns="http://schemas.openxmlformats.org/package/2006/relationships"><Relationship Type="http://schemas.openxmlformats.org/officeDocument/2006/relationships/hyperlink" Target="#ACCUEIL!A1" TargetMode="External" Id="rId1"/></Relationships>
</file>

<file path=xl/worksheets/_rels/sheet12.xml.rels><Relationships xmlns="http://schemas.openxmlformats.org/package/2006/relationships"><Relationship Type="http://schemas.openxmlformats.org/officeDocument/2006/relationships/hyperlink" Target="#ACCUEIL!A1" TargetMode="External" Id="rId1"/></Relationships>
</file>

<file path=xl/worksheets/_rels/sheet13.xml.rels><Relationships xmlns="http://schemas.openxmlformats.org/package/2006/relationships"><Relationship Type="http://schemas.openxmlformats.org/officeDocument/2006/relationships/hyperlink" Target="#ACCUEIL!A1" TargetMode="External" Id="rId1"/></Relationships>
</file>

<file path=xl/worksheets/sheet1.xml><?xml version="1.0" encoding="utf-8"?>
<worksheet xmlns="http://schemas.openxmlformats.org/spreadsheetml/2006/main">
  <sheetPr>
    <tabColor rgb="0013202C"/>
    <outlinePr summaryBelow="1" summaryRight="1"/>
    <pageSetUpPr fitToPage="1"/>
  </sheetPr>
  <dimension ref="A1:N31"/>
  <sheetViews>
    <sheetView showGridLines="0" zoomScale="9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2" customWidth="1" min="14" max="14"/>
  </cols>
  <sheetData>
    <row r="1" ht="30" customHeight="1">
      <c r="A1" s="1" t="inlineStr">
        <is>
          <t>OBSERVATOIRE SÉCURITAIRE · MALI — Tableau de bord décisionnel</t>
        </is>
      </c>
      <c r="B1" s="2" t="n"/>
      <c r="C1" s="2" t="n"/>
      <c r="D1" s="2" t="n"/>
      <c r="E1" s="2" t="n"/>
      <c r="F1" s="2" t="n"/>
      <c r="G1" s="2" t="n"/>
      <c r="H1" s="2" t="n"/>
      <c r="I1" s="2" t="n"/>
      <c r="J1" s="2" t="n"/>
      <c r="K1" s="2" t="n"/>
      <c r="L1" s="2" t="n"/>
      <c r="M1" s="2" t="n"/>
      <c r="N1" s="2" t="n"/>
    </row>
    <row r="2" ht="18" customHeight="1">
      <c r="A2" s="3" t="inlineStr">
        <is>
          <t>Période du 31/08/2026 au 26/10/2026 · Sources ouvertes · Diffusion restreinte · Généré le 29/10/2026</t>
        </is>
      </c>
      <c r="B2" s="2" t="n"/>
      <c r="C2" s="2" t="n"/>
      <c r="D2" s="2" t="n"/>
      <c r="E2" s="2" t="n"/>
      <c r="F2" s="2" t="n"/>
      <c r="G2" s="2" t="n"/>
      <c r="H2" s="2" t="n"/>
      <c r="I2" s="2" t="n"/>
      <c r="J2" s="2" t="n"/>
      <c r="K2" s="2" t="n"/>
      <c r="L2" s="2" t="n"/>
      <c r="M2" s="2" t="n"/>
      <c r="N2" s="2" t="n"/>
    </row>
    <row r="4" ht="22" customHeight="1">
      <c r="B4" s="4" t="inlineStr">
        <is>
          <t>Indicateurs clés (calculés depuis INCIDENTS)</t>
        </is>
      </c>
      <c r="C4" s="5" t="n"/>
      <c r="D4" s="5" t="n"/>
      <c r="E4" s="5" t="n"/>
      <c r="F4" s="5" t="n"/>
      <c r="G4" s="5" t="n"/>
      <c r="H4" s="5" t="n"/>
      <c r="I4" s="5" t="n"/>
      <c r="J4" s="5" t="n"/>
      <c r="K4" s="5" t="n"/>
      <c r="L4" s="5" t="n"/>
      <c r="M4" s="5" t="n"/>
    </row>
    <row r="5">
      <c r="B5" s="6" t="inlineStr">
        <is>
          <t>INCIDENTS</t>
        </is>
      </c>
      <c r="C5" s="7" t="n"/>
      <c r="D5" s="6" t="inlineStr">
        <is>
          <t>TUÉS (TOTAL)</t>
        </is>
      </c>
      <c r="E5" s="7" t="n"/>
      <c r="F5" s="8" t="inlineStr">
        <is>
          <t>FDS (FAMA) TUÉS</t>
        </is>
      </c>
      <c r="G5" s="7" t="n"/>
      <c r="H5" s="8" t="inlineStr">
        <is>
          <t>AFRICA CORPS TUÉS</t>
        </is>
      </c>
      <c r="I5" s="7" t="n"/>
      <c r="J5" s="9" t="inlineStr">
        <is>
          <t>COMBATTANTS ARMÉS TUÉS</t>
        </is>
      </c>
      <c r="K5" s="7" t="n"/>
      <c r="L5" s="10" t="inlineStr">
        <is>
          <t>CIVILS TUÉS</t>
        </is>
      </c>
      <c r="M5" s="7" t="n"/>
    </row>
    <row r="6" ht="34" customHeight="1">
      <c r="B6" s="11">
        <f>COUNTA(inc_id)</f>
        <v/>
      </c>
      <c r="C6" s="7" t="n"/>
      <c r="D6" s="11">
        <f>SUM(inc_tues)</f>
        <v/>
      </c>
      <c r="E6" s="7" t="n"/>
      <c r="F6" s="12">
        <f>SUM(inc_fama)</f>
        <v/>
      </c>
      <c r="G6" s="7" t="n"/>
      <c r="H6" s="12">
        <f>SUM(inc_ac)</f>
        <v/>
      </c>
      <c r="I6" s="7" t="n"/>
      <c r="J6" s="13">
        <f>SUM(inc_ga)</f>
        <v/>
      </c>
      <c r="K6" s="7" t="n"/>
      <c r="L6" s="14">
        <f>SUM(inc_civ_k)</f>
        <v/>
      </c>
      <c r="M6" s="7" t="n"/>
    </row>
    <row r="8">
      <c r="B8" s="10" t="inlineStr">
        <is>
          <t>CIVILS BLESSÉS</t>
        </is>
      </c>
      <c r="C8" s="7" t="n"/>
      <c r="D8" s="6" t="inlineStr">
        <is>
          <t>CAPTURÉS</t>
        </is>
      </c>
      <c r="E8" s="7" t="n"/>
      <c r="F8" s="6" t="inlineStr">
        <is>
          <t>VÉH. / AÉRONEFS DÉTRUITS</t>
        </is>
      </c>
      <c r="G8" s="7" t="n"/>
      <c r="H8" s="6" t="inlineStr">
        <is>
          <t>VÉH. / AÉRONEFS SAISIS</t>
        </is>
      </c>
      <c r="I8" s="7" t="n"/>
      <c r="J8" s="15" t="inlineStr">
        <is>
          <t>DANS LE RAYON DE BAMAKO</t>
        </is>
      </c>
      <c r="K8" s="7" t="n"/>
      <c r="L8" s="9" t="inlineStr">
        <is>
          <t>PART DU JNIM</t>
        </is>
      </c>
      <c r="M8" s="7" t="n"/>
    </row>
    <row r="9" ht="34" customHeight="1">
      <c r="B9" s="14">
        <f>SUM(inc_civ_w)</f>
        <v/>
      </c>
      <c r="C9" s="7" t="n"/>
      <c r="D9" s="11">
        <f>SUM(inc_pow)</f>
        <v/>
      </c>
      <c r="E9" s="7" t="n"/>
      <c r="F9" s="11">
        <f>SUM(inc_vehd)</f>
        <v/>
      </c>
      <c r="G9" s="7" t="n"/>
      <c r="H9" s="11">
        <f>SUM(inc_vehs)</f>
        <v/>
      </c>
      <c r="I9" s="7" t="n"/>
      <c r="J9" s="16">
        <f>COUNTIFS(inc_rayon,"Oui")</f>
        <v/>
      </c>
      <c r="K9" s="7" t="n"/>
      <c r="L9" s="17">
        <f>IF(COUNTA(inc_id)=0,0,COUNTIFS(inc_acteur,"JNIM")/COUNTA(inc_id))</f>
        <v/>
      </c>
      <c r="M9" s="7" t="n"/>
    </row>
    <row r="12" ht="22" customHeight="1">
      <c r="B12" s="4" t="inlineStr">
        <is>
          <t>Accès à la cartographie</t>
        </is>
      </c>
      <c r="C12" s="5" t="n"/>
      <c r="D12" s="5" t="n"/>
      <c r="E12" s="5" t="n"/>
      <c r="F12" s="5" t="n"/>
      <c r="G12" s="5" t="n"/>
      <c r="H12" s="5" t="n"/>
      <c r="I12" s="5" t="n"/>
      <c r="J12" s="5" t="n"/>
      <c r="K12" s="5" t="n"/>
      <c r="L12" s="5" t="n"/>
      <c r="M12" s="5" t="n"/>
    </row>
    <row r="13" ht="30" customHeight="1">
      <c r="B13" s="18">
        <f>HYPERLINK(URL_TABLEAU,"▶  Ouvrir le tableau de bord et la carte interactive (en ligne)")</f>
        <v/>
      </c>
      <c r="H13" s="19" t="inlineStr">
        <is>
          <t>Carte WebGL, filtres, animation chronologique, dossiers d'incidents. Nécessite Internet ; lien privé à partager depuis la page.</t>
        </is>
      </c>
    </row>
    <row r="14" ht="30" customHeight="1">
      <c r="B14" s="18">
        <f>HYPERLINK(FICHIER_HTML,"▶  Ouvrir la version locale (fichier HTML)")</f>
        <v/>
      </c>
      <c r="H14" s="19" t="inlineStr">
        <is>
          <t>Le fichier « tableau_de_bord_mali.html » doit être dans le même dossier que ce classeur. Internet requis pour charger le moteur cartographique.</t>
        </is>
      </c>
    </row>
    <row r="15" ht="30" customHeight="1">
      <c r="B15" s="18" t="inlineStr">
        <is>
          <t>▶  Cartes de situation (onglet CARTES)</t>
        </is>
      </c>
      <c r="H15" s="19" t="inlineStr">
        <is>
          <t>Voir les cartes de situation intégrées au classeur (consultables hors ligne et imprimables).</t>
        </is>
      </c>
    </row>
    <row r="16" ht="30" customHeight="1">
      <c r="B16" s="18" t="inlineStr">
        <is>
          <t>▶  Registre des incidents avec liens cartographiques</t>
        </is>
      </c>
      <c r="H16" s="19" t="inlineStr">
        <is>
          <t>Chaque incident possède des liens « OSM ↗ », « Google ↗ » et « Dossier ↗ » (colonnes AJ à AL de INCIDENTS).</t>
        </is>
      </c>
    </row>
    <row r="18" ht="22" customHeight="1">
      <c r="B18" s="4" t="inlineStr">
        <is>
          <t>L'essentiel</t>
        </is>
      </c>
      <c r="C18" s="5" t="n"/>
      <c r="D18" s="5" t="n"/>
      <c r="E18" s="5" t="n"/>
      <c r="F18" s="5" t="n"/>
      <c r="G18" s="5" t="n"/>
      <c r="H18" s="5" t="n"/>
      <c r="I18" s="5" t="n"/>
      <c r="J18" s="5" t="n"/>
      <c r="K18" s="5" t="n"/>
      <c r="L18" s="5" t="n"/>
      <c r="M18" s="5" t="n"/>
    </row>
    <row r="19" ht="32" customHeight="1">
      <c r="B19" s="20" t="inlineStr">
        <is>
          <t>Le JNIM mène l'initiative.</t>
        </is>
      </c>
      <c r="F19" s="21" t="inlineStr">
        <is>
          <t>21 des 36 incidents (58 %), dont 16 à Ségou et Mopti ; à l'origine de 92 % des FDS maliennes tuées (192 sur 208).</t>
        </is>
      </c>
    </row>
    <row r="20" ht="32" customHeight="1">
      <c r="B20" s="20" t="inlineStr">
        <is>
          <t>La pression se rapproche de Bamako.</t>
        </is>
      </c>
      <c r="F20" s="21" t="inlineStr">
        <is>
          <t>9 incidents à moins de 300 km, dont un poste pris à Kassela (32 km). Six attaques visent des axes routiers : asphyxie logistique.</t>
        </is>
      </c>
    </row>
    <row r="21" ht="32" customHeight="1">
      <c r="B21" s="22" t="inlineStr">
        <is>
          <t>Les frappes aériennes causent toutes les morts civiles recensées.</t>
        </is>
      </c>
      <c r="F21" s="21" t="inlineStr">
        <is>
          <t>28 civils tués sur 28 lors de quatre frappes FAMa / Africa Corps ; ×3 entre P1 et P2 (7 → 21).</t>
        </is>
      </c>
    </row>
    <row r="22" ht="32" customHeight="1">
      <c r="B22" s="22" t="inlineStr">
        <is>
          <t>La guerre JNIM – EI-Sahel saigne le Liptako.</t>
        </is>
      </c>
      <c r="F22" s="21" t="inlineStr">
        <is>
          <t>Deux batailles revendiquées : 600 tués, 64 % de la létalité de la base. Bilans à confirmer (double comptage possible).</t>
        </is>
      </c>
    </row>
    <row r="24" ht="22" customHeight="1">
      <c r="B24" s="4" t="inlineStr">
        <is>
          <t>Sommaire</t>
        </is>
      </c>
      <c r="C24" s="5" t="n"/>
      <c r="D24" s="5" t="n"/>
      <c r="E24" s="5" t="n"/>
      <c r="F24" s="5" t="n"/>
      <c r="G24" s="5" t="n"/>
      <c r="H24" s="5" t="n"/>
      <c r="I24" s="5" t="n"/>
      <c r="J24" s="5" t="n"/>
      <c r="K24" s="5" t="n"/>
      <c r="L24" s="5" t="n"/>
      <c r="M24" s="5" t="n"/>
    </row>
    <row r="25">
      <c r="B25" s="23" t="inlineStr">
        <is>
          <t>CARTES</t>
        </is>
      </c>
      <c r="D25" s="24" t="inlineStr">
        <is>
          <t>Cartes de situation (3 cartes)</t>
        </is>
      </c>
      <c r="H25" s="23" t="inlineStr">
        <is>
          <t>PRESSION_BAMAKO</t>
        </is>
      </c>
      <c r="J25" s="24" t="inlineStr">
        <is>
          <t>Distance à la capitale</t>
        </is>
      </c>
    </row>
    <row r="26">
      <c r="B26" s="23" t="inlineStr">
        <is>
          <t>INCIDENTS</t>
        </is>
      </c>
      <c r="D26" s="24" t="inlineStr">
        <is>
          <t>Registre enrichi des 36 incidents, liens cartographiques</t>
        </is>
      </c>
      <c r="H26" s="23" t="inlineStr">
        <is>
          <t>EVALUATION</t>
        </is>
      </c>
      <c r="J26" s="24" t="inlineStr">
        <is>
          <t>Jugements clés, scénarios, alertes, recommandations</t>
        </is>
      </c>
    </row>
    <row r="27">
      <c r="B27" s="23" t="inlineStr">
        <is>
          <t>REGIONS</t>
        </is>
      </c>
      <c r="D27" s="24" t="inlineStr">
        <is>
          <t>Synthèse régionale et indice de menace</t>
        </is>
      </c>
      <c r="H27" s="23" t="inlineStr">
        <is>
          <t>QUALITE_SOURCES</t>
        </is>
      </c>
      <c r="J27" s="24" t="inlineStr">
        <is>
          <t>Fiabilité, sources, limites</t>
        </is>
      </c>
    </row>
    <row r="28">
      <c r="B28" s="23" t="inlineStr">
        <is>
          <t>ACTEURS</t>
        </is>
      </c>
      <c r="D28" s="24" t="inlineStr">
        <is>
          <t>Synthèse par acteur, matrice acteur × mode</t>
        </is>
      </c>
      <c r="H28" s="23" t="inlineStr">
        <is>
          <t>PARAMETRES</t>
        </is>
      </c>
      <c r="J28" s="24" t="inlineStr">
        <is>
          <t>Hypothèses modifiables (période, rayon, poids de l'indice)</t>
        </is>
      </c>
    </row>
    <row r="29">
      <c r="B29" s="23" t="inlineStr">
        <is>
          <t>CHRONOLOGIE</t>
        </is>
      </c>
      <c r="D29" s="24" t="inlineStr">
        <is>
          <t>Rythme hebdomadaire, comparaison P1 / P2</t>
        </is>
      </c>
      <c r="H29" s="23" t="inlineStr">
        <is>
          <t>MODE_EMPLOI</t>
        </is>
      </c>
      <c r="J29" s="24" t="inlineStr">
        <is>
          <t>Ouvrir la carte depuis Excel, résolution des problèmes</t>
        </is>
      </c>
    </row>
    <row r="30">
      <c r="B30" s="23" t="inlineStr">
        <is>
          <t>MODES_CIBLES</t>
        </is>
      </c>
      <c r="D30" s="24" t="inlineStr">
        <is>
          <t>Modes opératoires et cibles</t>
        </is>
      </c>
      <c r="H30" s="23" t="inlineStr">
        <is>
          <t>DICTIONNAIRE</t>
        </is>
      </c>
      <c r="J30" s="24" t="inlineStr">
        <is>
          <t>Définition des colonnes</t>
        </is>
      </c>
    </row>
    <row r="31">
      <c r="B31" s="25" t="inlineStr">
        <is>
          <t>Carte de situation — cliquez « Ouvrir le tableau de bord » pour la version interactive</t>
        </is>
      </c>
    </row>
  </sheetData>
  <mergeCells count="64">
    <mergeCell ref="J5:K5"/>
    <mergeCell ref="B14:G14"/>
    <mergeCell ref="B25:C25"/>
    <mergeCell ref="D25:G25"/>
    <mergeCell ref="H29:I29"/>
    <mergeCell ref="F19:M19"/>
    <mergeCell ref="D30:G30"/>
    <mergeCell ref="F6:G6"/>
    <mergeCell ref="B13:G13"/>
    <mergeCell ref="B20:E20"/>
    <mergeCell ref="B27:C27"/>
    <mergeCell ref="D29:G29"/>
    <mergeCell ref="H9:I9"/>
    <mergeCell ref="H30:I30"/>
    <mergeCell ref="H16:M16"/>
    <mergeCell ref="J9:K9"/>
    <mergeCell ref="D6:E6"/>
    <mergeCell ref="H25:I25"/>
    <mergeCell ref="D26:G26"/>
    <mergeCell ref="H6:I6"/>
    <mergeCell ref="J6:K6"/>
    <mergeCell ref="F21:M21"/>
    <mergeCell ref="F5:G5"/>
    <mergeCell ref="F20:M20"/>
    <mergeCell ref="H13:M13"/>
    <mergeCell ref="L5:M5"/>
    <mergeCell ref="J29:M29"/>
    <mergeCell ref="L8:M8"/>
    <mergeCell ref="B8:C8"/>
    <mergeCell ref="B15:G15"/>
    <mergeCell ref="B22:E22"/>
    <mergeCell ref="F8:G8"/>
    <mergeCell ref="J28:M28"/>
    <mergeCell ref="H15:M15"/>
    <mergeCell ref="B29:C29"/>
    <mergeCell ref="H14:M14"/>
    <mergeCell ref="B21:E21"/>
    <mergeCell ref="B28:C28"/>
    <mergeCell ref="J25:M25"/>
    <mergeCell ref="F22:M22"/>
    <mergeCell ref="J30:M30"/>
    <mergeCell ref="H28:I28"/>
    <mergeCell ref="B9:C9"/>
    <mergeCell ref="D27:G27"/>
    <mergeCell ref="D9:E9"/>
    <mergeCell ref="F9:G9"/>
    <mergeCell ref="L9:M9"/>
    <mergeCell ref="H27:I27"/>
    <mergeCell ref="D8:E8"/>
    <mergeCell ref="B16:G16"/>
    <mergeCell ref="B6:C6"/>
    <mergeCell ref="B30:C30"/>
    <mergeCell ref="J27:M27"/>
    <mergeCell ref="B26:C26"/>
    <mergeCell ref="L6:M6"/>
    <mergeCell ref="J26:M26"/>
    <mergeCell ref="B5:C5"/>
    <mergeCell ref="D5:E5"/>
    <mergeCell ref="H5:I5"/>
    <mergeCell ref="B19:E19"/>
    <mergeCell ref="H8:I8"/>
    <mergeCell ref="J8:K8"/>
    <mergeCell ref="D28:G28"/>
    <mergeCell ref="H26:I26"/>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25" r:id="rId3"/>
    <hyperlink xmlns:r="http://schemas.openxmlformats.org/officeDocument/2006/relationships" ref="H25" r:id="rId4"/>
    <hyperlink xmlns:r="http://schemas.openxmlformats.org/officeDocument/2006/relationships" ref="B26" r:id="rId5"/>
    <hyperlink xmlns:r="http://schemas.openxmlformats.org/officeDocument/2006/relationships" ref="H26" r:id="rId6"/>
    <hyperlink xmlns:r="http://schemas.openxmlformats.org/officeDocument/2006/relationships" ref="B27" r:id="rId7"/>
    <hyperlink xmlns:r="http://schemas.openxmlformats.org/officeDocument/2006/relationships" ref="H27" r:id="rId8"/>
    <hyperlink xmlns:r="http://schemas.openxmlformats.org/officeDocument/2006/relationships" ref="B28" r:id="rId9"/>
    <hyperlink xmlns:r="http://schemas.openxmlformats.org/officeDocument/2006/relationships" ref="H28" r:id="rId10"/>
    <hyperlink xmlns:r="http://schemas.openxmlformats.org/officeDocument/2006/relationships" ref="B29" r:id="rId11"/>
    <hyperlink xmlns:r="http://schemas.openxmlformats.org/officeDocument/2006/relationships" ref="H29" r:id="rId12"/>
    <hyperlink xmlns:r="http://schemas.openxmlformats.org/officeDocument/2006/relationships" ref="B30" r:id="rId13"/>
    <hyperlink xmlns:r="http://schemas.openxmlformats.org/officeDocument/2006/relationships" ref="H30" r:id="rId14"/>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15"/>
</worksheet>
</file>

<file path=xl/worksheets/sheet2.xml><?xml version="1.0" encoding="utf-8"?>
<worksheet xmlns="http://schemas.openxmlformats.org/spreadsheetml/2006/main">
  <sheetPr>
    <tabColor rgb="000F7C86"/>
    <outlinePr summaryBelow="1" summaryRight="1"/>
    <pageSetUpPr fitToPage="1"/>
  </sheetPr>
  <dimension ref="A1:R120"/>
  <sheetViews>
    <sheetView showGridLines="0" zoomScale="9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ht="30" customHeight="1">
      <c r="A1" s="1" t="inlineStr">
        <is>
          <t>Cartes de situation</t>
        </is>
      </c>
      <c r="B1" s="2" t="n"/>
      <c r="C1" s="2" t="n"/>
      <c r="D1" s="2" t="n"/>
      <c r="E1" s="2" t="n"/>
      <c r="F1" s="2" t="n"/>
      <c r="G1" s="2" t="n"/>
      <c r="H1" s="2" t="n"/>
      <c r="I1" s="2" t="n"/>
      <c r="J1" s="2" t="n"/>
      <c r="K1" s="2" t="n"/>
      <c r="L1" s="2" t="n"/>
      <c r="M1" s="2" t="n"/>
      <c r="N1" s="2" t="n"/>
      <c r="O1" s="2" t="n"/>
      <c r="P1" s="2" t="n"/>
      <c r="Q1" s="2" t="n"/>
      <c r="R1" s="26" t="inlineStr">
        <is>
          <t>◄ Accueil</t>
        </is>
      </c>
    </row>
    <row r="2" ht="18" customHeight="1">
      <c r="A2" s="3" t="inlineStr">
        <is>
          <t>Instantanés du tableau de bord interactif. Pour zoomer, filtrer et animer : liens ci-dessous.</t>
        </is>
      </c>
      <c r="B2" s="2" t="n"/>
      <c r="C2" s="2" t="n"/>
      <c r="D2" s="2" t="n"/>
      <c r="E2" s="2" t="n"/>
      <c r="F2" s="2" t="n"/>
      <c r="G2" s="2" t="n"/>
      <c r="H2" s="2" t="n"/>
      <c r="I2" s="2" t="n"/>
      <c r="J2" s="2" t="n"/>
      <c r="K2" s="2" t="n"/>
      <c r="L2" s="2" t="n"/>
      <c r="M2" s="2" t="n"/>
      <c r="N2" s="2" t="n"/>
      <c r="O2" s="2" t="n"/>
      <c r="P2" s="2" t="n"/>
      <c r="Q2" s="2" t="n"/>
      <c r="R2" s="2" t="n"/>
    </row>
    <row r="4">
      <c r="B4" s="23">
        <f>HYPERLINK(URL_TABLEAU,"▶ Ouvrir la carte interactive (en ligne)")</f>
        <v/>
      </c>
      <c r="G4" s="23">
        <f>HYPERLINK(FICHIER_HTML,"▶ Ouvrir le fichier HTML local (même dossier)")</f>
        <v/>
      </c>
      <c r="L4" s="23">
        <f>HYPERLINK("https://www.openstreetmap.org/#map=6/16.5/-3.5","▶ Fond OpenStreetMap du Mali")</f>
        <v/>
      </c>
    </row>
    <row r="6">
      <c r="B6" s="27" t="inlineStr">
        <is>
          <t>Carte 1 — Situation générale : incidents par acteur (taille ∝ √ tués), indice de menace régional, axes routiers, fleuve Niger, rayons de 50 / 150 / 300 km autour de Bamako.</t>
        </is>
      </c>
    </row>
    <row r="44">
      <c r="B44" s="27" t="inlineStr">
        <is>
          <t>Carte 2 — Zoom Mali central (Koulikoro – Ségou – Mopti) : guerre des axes et pression sur Bamako.</t>
        </is>
      </c>
    </row>
    <row r="82">
      <c r="B82" s="27" t="inlineStr">
        <is>
          <t>Carte 3 — Densité 3D : hexagones de 30 km, hauteur et couleur = Σ(1 + √tués).</t>
        </is>
      </c>
    </row>
    <row r="120">
      <c r="B120" s="28" t="inlineStr">
        <is>
          <t>Fonds : geoBoundaries (CC BY 4.0), Natural Earth. Données : compilations Naïm TOURÉ, 31/08 – 26/10/2026.</t>
        </is>
      </c>
    </row>
  </sheetData>
  <hyperlinks>
    <hyperlink xmlns:r="http://schemas.openxmlformats.org/officeDocument/2006/relationships" ref="R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2"/>
</worksheet>
</file>

<file path=xl/worksheets/sheet3.xml><?xml version="1.0" encoding="utf-8"?>
<worksheet xmlns="http://schemas.openxmlformats.org/spreadsheetml/2006/main">
  <sheetPr>
    <tabColor rgb="000F7C86"/>
    <outlinePr summaryBelow="1" summaryRight="1"/>
    <pageSetUpPr fitToPage="1"/>
  </sheetPr>
  <dimension ref="A1:AL37"/>
  <sheetViews>
    <sheetView zoomScale="9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9" customWidth="1" min="3" max="3"/>
    <col width="8" customWidth="1" min="4" max="4"/>
    <col width="12" customWidth="1" min="5" max="5"/>
    <col width="15" customWidth="1" min="6" max="6"/>
    <col width="14" customWidth="1" min="7" max="7"/>
    <col width="18" customWidth="1" min="8" max="8"/>
    <col width="24" customWidth="1" min="9" max="9"/>
    <col width="9" customWidth="1" min="10" max="10"/>
    <col width="9" customWidth="1" min="11" max="11"/>
    <col width="12" customWidth="1" min="12" max="12"/>
    <col width="24" customWidth="1" min="13" max="13"/>
    <col width="20" customWidth="1" min="14" max="14"/>
    <col width="16" customWidth="1" min="15" max="15"/>
    <col width="22" customWidth="1" min="16" max="16"/>
    <col width="16" customWidth="1" min="17" max="17"/>
    <col width="22" customWidth="1" min="18" max="18"/>
    <col width="60"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9" customWidth="1" min="27" max="27"/>
    <col width="9" customWidth="1" min="28" max="28"/>
    <col width="26" customWidth="1" min="29" max="29"/>
    <col width="26" customWidth="1" min="30" max="30"/>
    <col width="10" customWidth="1" min="31" max="31"/>
    <col width="9" customWidth="1" min="32" max="32"/>
    <col width="16" customWidth="1" min="33" max="33"/>
    <col width="10" customWidth="1" min="34" max="34"/>
    <col width="30" customWidth="1" min="35" max="35"/>
    <col width="11" customWidth="1" min="36" max="36"/>
    <col width="11" customWidth="1" min="37" max="37"/>
    <col width="12" customWidth="1" min="38" max="38"/>
  </cols>
  <sheetData>
    <row r="1" ht="30" customHeight="1">
      <c r="A1" s="29" t="inlineStr">
        <is>
          <t>ID</t>
        </is>
      </c>
      <c r="B1" s="29" t="inlineStr">
        <is>
          <t>Date</t>
        </is>
      </c>
      <c r="C1" s="29" t="inlineStr">
        <is>
          <t>Semaine ISO</t>
        </is>
      </c>
      <c r="D1" s="29" t="inlineStr">
        <is>
          <t>Période</t>
        </is>
      </c>
      <c r="E1" s="29" t="inlineStr">
        <is>
          <t>Pays (géocodé)</t>
        </is>
      </c>
      <c r="F1" s="29" t="inlineStr">
        <is>
          <t>Région (géocodée)</t>
        </is>
      </c>
      <c r="G1" s="29" t="inlineStr">
        <is>
          <t>Cercle (géocodé)</t>
        </is>
      </c>
      <c r="H1" s="29" t="inlineStr">
        <is>
          <t>Région déclarée</t>
        </is>
      </c>
      <c r="I1" s="29" t="inlineStr">
        <is>
          <t>Localité</t>
        </is>
      </c>
      <c r="J1" s="29" t="inlineStr">
        <is>
          <t>Latitude</t>
        </is>
      </c>
      <c r="K1" s="29" t="inlineStr">
        <is>
          <t>Longitude</t>
        </is>
      </c>
      <c r="L1" s="29" t="inlineStr">
        <is>
          <t>Précision géo.</t>
        </is>
      </c>
      <c r="M1" s="29" t="inlineStr">
        <is>
          <t>Typologie (source)</t>
        </is>
      </c>
      <c r="N1" s="29" t="inlineStr">
        <is>
          <t>Mode opératoire</t>
        </is>
      </c>
      <c r="O1" s="29" t="inlineStr">
        <is>
          <t>Instigateur</t>
        </is>
      </c>
      <c r="P1" s="29" t="inlineStr">
        <is>
          <t>Instigateur (détail)</t>
        </is>
      </c>
      <c r="Q1" s="29" t="inlineStr">
        <is>
          <t>Cible</t>
        </is>
      </c>
      <c r="R1" s="29" t="inlineStr">
        <is>
          <t>Cible (détail)</t>
        </is>
      </c>
      <c r="S1" s="29" t="inlineStr">
        <is>
          <t>Description</t>
        </is>
      </c>
      <c r="T1" s="29" t="inlineStr">
        <is>
          <t>Morts civils</t>
        </is>
      </c>
      <c r="U1" s="29" t="inlineStr">
        <is>
          <t>Blessés civils</t>
        </is>
      </c>
      <c r="V1" s="29" t="inlineStr">
        <is>
          <t>Morts FDS (FAMa)</t>
        </is>
      </c>
      <c r="W1" s="29" t="inlineStr">
        <is>
          <t>Morts Africa Corps</t>
        </is>
      </c>
      <c r="X1" s="29" t="inlineStr">
        <is>
          <t>Morts groupes armés</t>
        </is>
      </c>
      <c r="Y1" s="29" t="inlineStr">
        <is>
          <t>Total tués</t>
        </is>
      </c>
      <c r="Z1" s="29" t="inlineStr">
        <is>
          <t>Capturés</t>
        </is>
      </c>
      <c r="AA1" s="29" t="inlineStr">
        <is>
          <t>Véh./aéronefs détruits</t>
        </is>
      </c>
      <c r="AB1" s="29" t="inlineStr">
        <is>
          <t>Véh./aéronefs saisis</t>
        </is>
      </c>
      <c r="AC1" s="29" t="inlineStr">
        <is>
          <t>Armement / équipement saisi</t>
        </is>
      </c>
      <c r="AD1" s="29" t="inlineStr">
        <is>
          <t>Impact</t>
        </is>
      </c>
      <c r="AE1" s="29" t="inlineStr">
        <is>
          <t>Distance Bamako (km)</t>
        </is>
      </c>
      <c r="AF1" s="29" t="inlineStr">
        <is>
          <t>Dans le rayon Bamako</t>
        </is>
      </c>
      <c r="AG1" s="29" t="inlineStr">
        <is>
          <t>Fiabilité</t>
        </is>
      </c>
      <c r="AH1" s="29" t="inlineStr">
        <is>
          <t>Bilan revendiqué seul</t>
        </is>
      </c>
      <c r="AI1" s="29" t="inlineStr">
        <is>
          <t>Sources</t>
        </is>
      </c>
      <c r="AJ1" s="29" t="inlineStr">
        <is>
          <t>Carte OSM</t>
        </is>
      </c>
      <c r="AK1" s="29" t="inlineStr">
        <is>
          <t>Google Maps</t>
        </is>
      </c>
      <c r="AL1" s="29" t="inlineStr">
        <is>
          <t>Tableau de bord</t>
        </is>
      </c>
    </row>
    <row r="2" ht="48" customHeight="1">
      <c r="A2" s="30" t="inlineStr">
        <is>
          <t>INC-2026-001</t>
        </is>
      </c>
      <c r="B2" s="31" t="n">
        <v>46265</v>
      </c>
      <c r="C2" s="32">
        <f>WEEKNUM(B2,21)</f>
        <v/>
      </c>
      <c r="D2" s="32">
        <f>IF(B2&lt;P_DEBUT_P2,"P1","P2")</f>
        <v/>
      </c>
      <c r="E2" s="30" t="inlineStr">
        <is>
          <t>Mali</t>
        </is>
      </c>
      <c r="F2" s="30" t="inlineStr">
        <is>
          <t>Mopti</t>
        </is>
      </c>
      <c r="G2" s="30" t="inlineStr">
        <is>
          <t>Bandiagara</t>
        </is>
      </c>
      <c r="H2" s="33" t="inlineStr">
        <is>
          <t>Mopti / Bandiagara</t>
        </is>
      </c>
      <c r="I2" s="33" t="inlineStr">
        <is>
          <t>NINNGARI</t>
        </is>
      </c>
      <c r="J2" s="34" t="n">
        <v>14.35</v>
      </c>
      <c r="K2" s="34" t="n">
        <v>-3.6167</v>
      </c>
      <c r="L2" s="30" t="inlineStr">
        <is>
          <t>Localité</t>
        </is>
      </c>
      <c r="M2" s="33" t="inlineStr">
        <is>
          <t>Attaque de Poste / Localité</t>
        </is>
      </c>
      <c r="N2" s="30" t="inlineStr">
        <is>
          <t>Attaque de poste / camp</t>
        </is>
      </c>
      <c r="O2" s="30" t="inlineStr">
        <is>
          <t>JNIM</t>
        </is>
      </c>
      <c r="P2" s="33" t="inlineStr">
        <is>
          <t>JNIM</t>
        </is>
      </c>
      <c r="Q2" s="30" t="inlineStr">
        <is>
          <t>Milices pro-gouv.</t>
        </is>
      </c>
      <c r="R2" s="33" t="inlineStr">
        <is>
          <t>Milices Dozos</t>
        </is>
      </c>
      <c r="S2" s="33" t="inlineStr">
        <is>
          <t>Le JNIM a attaqué la localité stratégique de NINNGARI à Bandiagara et en a pris le contrôle total.</t>
        </is>
      </c>
      <c r="T2" s="30" t="n">
        <v>0</v>
      </c>
      <c r="U2" s="30" t="n">
        <v>0</v>
      </c>
      <c r="V2" s="30" t="n">
        <v>0</v>
      </c>
      <c r="W2" s="30" t="n">
        <v>0</v>
      </c>
      <c r="X2" s="30" t="n">
        <v>0</v>
      </c>
      <c r="Y2" s="35">
        <f>T2+V2+W2+X2</f>
        <v/>
      </c>
      <c r="Z2" s="30" t="n">
        <v>0</v>
      </c>
      <c r="AA2" s="30" t="n">
        <v>0</v>
      </c>
      <c r="AB2" s="30" t="n">
        <v>0</v>
      </c>
      <c r="AC2" s="33" t="inlineStr">
        <is>
          <t>Non spécifié</t>
        </is>
      </c>
      <c r="AD2" s="33" t="inlineStr">
        <is>
          <t>Prise de contrôle de la localité</t>
        </is>
      </c>
      <c r="AE2" s="32">
        <f>ROUND(2*6371*ASIN(SQRT(SIN(RADIANS(J2-LAT_BAMAKO)/2)^2+COS(RADIANS(LAT_BAMAKO))*COS(RADIANS(J2))*SIN(RADIANS(K2-LON_BAMAKO)/2)^2)),0)</f>
        <v/>
      </c>
      <c r="AF2" s="32">
        <f>IF(AE2&lt;=SEUIL_KM,"Oui","Non")</f>
        <v/>
      </c>
      <c r="AG2" s="30" t="inlineStr">
        <is>
          <t>Partiellement corroboré</t>
        </is>
      </c>
      <c r="AH2" s="32" t="inlineStr">
        <is>
          <t>Non</t>
        </is>
      </c>
      <c r="AI2" s="33" t="inlineStr">
        <is>
          <t>AzZalaqa, Hasret K., Naïm TOURÉ</t>
        </is>
      </c>
      <c r="AJ2" s="36">
        <f>HYPERLINK("https://www.openstreetmap.org/?mlat="&amp;SUBSTITUTE(J2&amp;"",",",".")&amp;"&amp;mlon="&amp;SUBSTITUTE(K2&amp;"",",",".")&amp;"#map=11/"&amp;SUBSTITUTE(J2&amp;"",",",".")&amp;"/"&amp;SUBSTITUTE(K2&amp;"",",","."),"OSM ↗")</f>
        <v/>
      </c>
      <c r="AK2" s="36">
        <f>HYPERLINK("https://www.google.com/maps/search/?api=1&amp;query="&amp;SUBSTITUTE(J2&amp;"",",",".")&amp;"%2C"&amp;SUBSTITUTE(K2&amp;"",",","."),"Google ↗")</f>
        <v/>
      </c>
      <c r="AL2" s="36">
        <f>HYPERLINK(URL_TABLEAU&amp;"#"&amp;A2,"Dossier ↗")</f>
        <v/>
      </c>
    </row>
    <row r="3" ht="48" customHeight="1">
      <c r="A3" s="30" t="inlineStr">
        <is>
          <t>INC-2026-002</t>
        </is>
      </c>
      <c r="B3" s="31" t="n">
        <v>46265</v>
      </c>
      <c r="C3" s="32">
        <f>WEEKNUM(B3,21)</f>
        <v/>
      </c>
      <c r="D3" s="32">
        <f>IF(B3&lt;P_DEBUT_P2,"P1","P2")</f>
        <v/>
      </c>
      <c r="E3" s="30" t="inlineStr">
        <is>
          <t>Mali</t>
        </is>
      </c>
      <c r="F3" s="30" t="inlineStr">
        <is>
          <t>Kidal</t>
        </is>
      </c>
      <c r="G3" s="30" t="inlineStr">
        <is>
          <t>Tessalit</t>
        </is>
      </c>
      <c r="H3" s="33" t="inlineStr">
        <is>
          <t>Kidal</t>
        </is>
      </c>
      <c r="I3" s="33" t="inlineStr">
        <is>
          <t>Aguelhoc / Kidal</t>
        </is>
      </c>
      <c r="J3" s="34" t="n">
        <v>19.4633</v>
      </c>
      <c r="K3" s="34" t="n">
        <v>0.8552</v>
      </c>
      <c r="L3" s="30" t="inlineStr">
        <is>
          <t>Localité</t>
        </is>
      </c>
      <c r="M3" s="33" t="inlineStr">
        <is>
          <t>Frappe Drone / Air</t>
        </is>
      </c>
      <c r="N3" s="30" t="inlineStr">
        <is>
          <t>Drone armé (FPV)</t>
        </is>
      </c>
      <c r="O3" s="30" t="inlineStr">
        <is>
          <t>FLA</t>
        </is>
      </c>
      <c r="P3" s="33" t="inlineStr">
        <is>
          <t>FLA / Armée de l'Azawad</t>
        </is>
      </c>
      <c r="Q3" s="30" t="inlineStr">
        <is>
          <t>FAMa / Africa Corps</t>
        </is>
      </c>
      <c r="R3" s="33" t="inlineStr">
        <is>
          <t>FAMa / Africa Corps</t>
        </is>
      </c>
      <c r="S3" s="33" t="inlineStr">
        <is>
          <t>L’Armée de l’Azawad a mené plusieurs frappes de drones FPV contre le camp conjoint Africa Corps et FAMa.</t>
        </is>
      </c>
      <c r="T3" s="30" t="n">
        <v>0</v>
      </c>
      <c r="U3" s="30" t="n">
        <v>0</v>
      </c>
      <c r="V3" s="30" t="n">
        <v>0</v>
      </c>
      <c r="W3" s="30" t="n">
        <v>0</v>
      </c>
      <c r="X3" s="30" t="n">
        <v>0</v>
      </c>
      <c r="Y3" s="35">
        <f>T3+V3+W3+X3</f>
        <v/>
      </c>
      <c r="Z3" s="30" t="n">
        <v>0</v>
      </c>
      <c r="AA3" s="30" t="n">
        <v>0</v>
      </c>
      <c r="AB3" s="30" t="n">
        <v>0</v>
      </c>
      <c r="AC3" s="33" t="inlineStr">
        <is>
          <t>Non spécifié</t>
        </is>
      </c>
      <c r="AD3" s="33" t="inlineStr">
        <is>
          <t>Camp militaire ciblé par drones FPV</t>
        </is>
      </c>
      <c r="AE3" s="32">
        <f>ROUND(2*6371*ASIN(SQRT(SIN(RADIANS(J3-LAT_BAMAKO)/2)^2+COS(RADIANS(LAT_BAMAKO))*COS(RADIANS(J3))*SIN(RADIANS(K3-LON_BAMAKO)/2)^2)),0)</f>
        <v/>
      </c>
      <c r="AF3" s="32">
        <f>IF(AE3&lt;=SEUIL_KM,"Oui","Non")</f>
        <v/>
      </c>
      <c r="AG3" s="30" t="inlineStr">
        <is>
          <t>Source partisane seule</t>
        </is>
      </c>
      <c r="AH3" s="32" t="inlineStr">
        <is>
          <t>Non</t>
        </is>
      </c>
      <c r="AI3" s="33" t="inlineStr">
        <is>
          <t>FLA, Naïm TOURÉ</t>
        </is>
      </c>
      <c r="AJ3" s="36">
        <f>HYPERLINK("https://www.openstreetmap.org/?mlat="&amp;SUBSTITUTE(J3&amp;"",",",".")&amp;"&amp;mlon="&amp;SUBSTITUTE(K3&amp;"",",",".")&amp;"#map=11/"&amp;SUBSTITUTE(J3&amp;"",",",".")&amp;"/"&amp;SUBSTITUTE(K3&amp;"",",","."),"OSM ↗")</f>
        <v/>
      </c>
      <c r="AK3" s="36">
        <f>HYPERLINK("https://www.google.com/maps/search/?api=1&amp;query="&amp;SUBSTITUTE(J3&amp;"",",",".")&amp;"%2C"&amp;SUBSTITUTE(K3&amp;"",",","."),"Google ↗")</f>
        <v/>
      </c>
      <c r="AL3" s="36">
        <f>HYPERLINK(URL_TABLEAU&amp;"#"&amp;A3,"Dossier ↗")</f>
        <v/>
      </c>
    </row>
    <row r="4" ht="48" customHeight="1">
      <c r="A4" s="30" t="inlineStr">
        <is>
          <t>INC-2026-003</t>
        </is>
      </c>
      <c r="B4" s="31" t="n">
        <v>46266</v>
      </c>
      <c r="C4" s="32">
        <f>WEEKNUM(B4,21)</f>
        <v/>
      </c>
      <c r="D4" s="32">
        <f>IF(B4&lt;P_DEBUT_P2,"P1","P2")</f>
        <v/>
      </c>
      <c r="E4" s="30" t="inlineStr">
        <is>
          <t>Mali</t>
        </is>
      </c>
      <c r="F4" s="30" t="inlineStr">
        <is>
          <t>Tombouctou</t>
        </is>
      </c>
      <c r="G4" s="30" t="inlineStr">
        <is>
          <t>Gourma-Rharous</t>
        </is>
      </c>
      <c r="H4" s="33" t="inlineStr">
        <is>
          <t>Frontière Mali-Burkina (Oudalan / Ndaki)</t>
        </is>
      </c>
      <c r="I4" s="33" t="inlineStr">
        <is>
          <t>Gonadaouri / Ndaki</t>
        </is>
      </c>
      <c r="J4" s="34" t="n">
        <v>15.2833</v>
      </c>
      <c r="K4" s="34" t="n">
        <v>-1.1833</v>
      </c>
      <c r="L4" s="30" t="inlineStr">
        <is>
          <t>Localité</t>
        </is>
      </c>
      <c r="M4" s="33" t="inlineStr">
        <is>
          <t>Affrontement Inter-JNIM-EIS</t>
        </is>
      </c>
      <c r="N4" s="30" t="inlineStr">
        <is>
          <t>Affrontement JNIM–EIS</t>
        </is>
      </c>
      <c r="O4" s="30" t="inlineStr">
        <is>
          <t>EI-Sahel</t>
        </is>
      </c>
      <c r="P4" s="33" t="inlineStr">
        <is>
          <t>EI-Sahel (EIS)</t>
        </is>
      </c>
      <c r="Q4" s="30" t="inlineStr">
        <is>
          <t>Groupes armés</t>
        </is>
      </c>
      <c r="R4" s="33" t="inlineStr">
        <is>
          <t>JNIM</t>
        </is>
      </c>
      <c r="S4" s="33" t="inlineStr">
        <is>
          <t>Violents affrontements entre l'EI-Sahel et le JNIM. L'EI-Sahel affirme avoir tué plus de 200 à 400 combattants du JNIM et capturé un vaste territoire frontalier.</t>
        </is>
      </c>
      <c r="T4" s="30" t="n">
        <v>0</v>
      </c>
      <c r="U4" s="30" t="n">
        <v>0</v>
      </c>
      <c r="V4" s="30" t="n">
        <v>0</v>
      </c>
      <c r="W4" s="30" t="n">
        <v>0</v>
      </c>
      <c r="X4" s="30" t="n">
        <v>200</v>
      </c>
      <c r="Y4" s="35">
        <f>T4+V4+W4+X4</f>
        <v/>
      </c>
      <c r="Z4" s="30" t="n">
        <v>30</v>
      </c>
      <c r="AA4" s="30" t="n">
        <v>100</v>
      </c>
      <c r="AB4" s="30" t="n">
        <v>204</v>
      </c>
      <c r="AC4" s="33" t="inlineStr">
        <is>
          <t>242 fusils, importantes munitions</t>
        </is>
      </c>
      <c r="AD4" s="33" t="inlineStr">
        <is>
          <t>Contrôle territorial modifié le long de la frontière</t>
        </is>
      </c>
      <c r="AE4" s="32">
        <f>ROUND(2*6371*ASIN(SQRT(SIN(RADIANS(J4-LAT_BAMAKO)/2)^2+COS(RADIANS(LAT_BAMAKO))*COS(RADIANS(J4))*SIN(RADIANS(K4-LON_BAMAKO)/2)^2)),0)</f>
        <v/>
      </c>
      <c r="AF4" s="32">
        <f>IF(AE4&lt;=SEUIL_KM,"Oui","Non")</f>
        <v/>
      </c>
      <c r="AG4" s="30" t="inlineStr">
        <is>
          <t>Partiellement corroboré</t>
        </is>
      </c>
      <c r="AH4" s="32" t="inlineStr">
        <is>
          <t>Non</t>
        </is>
      </c>
      <c r="AI4" s="33" t="inlineStr">
        <is>
          <t>EIS, Brant P., JNIM, Naïm TOURÉ</t>
        </is>
      </c>
      <c r="AJ4" s="36">
        <f>HYPERLINK("https://www.openstreetmap.org/?mlat="&amp;SUBSTITUTE(J4&amp;"",",",".")&amp;"&amp;mlon="&amp;SUBSTITUTE(K4&amp;"",",",".")&amp;"#map=11/"&amp;SUBSTITUTE(J4&amp;"",",",".")&amp;"/"&amp;SUBSTITUTE(K4&amp;"",",","."),"OSM ↗")</f>
        <v/>
      </c>
      <c r="AK4" s="36">
        <f>HYPERLINK("https://www.google.com/maps/search/?api=1&amp;query="&amp;SUBSTITUTE(J4&amp;"",",",".")&amp;"%2C"&amp;SUBSTITUTE(K4&amp;"",",","."),"Google ↗")</f>
        <v/>
      </c>
      <c r="AL4" s="36">
        <f>HYPERLINK(URL_TABLEAU&amp;"#"&amp;A4,"Dossier ↗")</f>
        <v/>
      </c>
    </row>
    <row r="5" ht="48" customHeight="1">
      <c r="A5" s="30" t="inlineStr">
        <is>
          <t>INC-2026-004</t>
        </is>
      </c>
      <c r="B5" s="31" t="n">
        <v>46267</v>
      </c>
      <c r="C5" s="32">
        <f>WEEKNUM(B5,21)</f>
        <v/>
      </c>
      <c r="D5" s="32">
        <f>IF(B5&lt;P_DEBUT_P2,"P1","P2")</f>
        <v/>
      </c>
      <c r="E5" s="30" t="inlineStr">
        <is>
          <t>Mali</t>
        </is>
      </c>
      <c r="F5" s="30" t="inlineStr">
        <is>
          <t>Ségou</t>
        </is>
      </c>
      <c r="G5" s="30" t="inlineStr">
        <is>
          <t>Ségou</t>
        </is>
      </c>
      <c r="H5" s="33" t="inlineStr">
        <is>
          <t>Ségou</t>
        </is>
      </c>
      <c r="I5" s="33" t="inlineStr">
        <is>
          <t>Axe Ségou - Fana</t>
        </is>
      </c>
      <c r="J5" s="34" t="n">
        <v>13.35</v>
      </c>
      <c r="K5" s="34" t="n">
        <v>-6.3</v>
      </c>
      <c r="L5" s="30" t="inlineStr">
        <is>
          <t>Zone (±10 km)</t>
        </is>
      </c>
      <c r="M5" s="33" t="inlineStr">
        <is>
          <t>Sabotage / Incendie de Convoi</t>
        </is>
      </c>
      <c r="N5" s="30" t="inlineStr">
        <is>
          <t>Sabotage logistique</t>
        </is>
      </c>
      <c r="O5" s="30" t="inlineStr">
        <is>
          <t>JNIM</t>
        </is>
      </c>
      <c r="P5" s="33" t="inlineStr">
        <is>
          <t>JNIM</t>
        </is>
      </c>
      <c r="Q5" s="30" t="inlineStr">
        <is>
          <t>Logistique civile</t>
        </is>
      </c>
      <c r="R5" s="33" t="inlineStr">
        <is>
          <t>Transport commercial / Citernes</t>
        </is>
      </c>
      <c r="S5" s="33" t="inlineStr">
        <is>
          <t>Des combattants du JNIM ont incendié plusieurs citernes de carburant sur l'axe Ségou-Fana.</t>
        </is>
      </c>
      <c r="T5" s="30" t="n">
        <v>0</v>
      </c>
      <c r="U5" s="30" t="n">
        <v>0</v>
      </c>
      <c r="V5" s="30" t="n">
        <v>0</v>
      </c>
      <c r="W5" s="30" t="n">
        <v>0</v>
      </c>
      <c r="X5" s="30" t="n">
        <v>0</v>
      </c>
      <c r="Y5" s="35">
        <f>T5+V5+W5+X5</f>
        <v/>
      </c>
      <c r="Z5" s="30" t="n">
        <v>0</v>
      </c>
      <c r="AA5" s="30" t="n">
        <v>3</v>
      </c>
      <c r="AB5" s="30" t="n">
        <v>0</v>
      </c>
      <c r="AC5" s="33" t="inlineStr">
        <is>
          <t>Aucun</t>
        </is>
      </c>
      <c r="AD5" s="33" t="inlineStr">
        <is>
          <t>Axe routier Ségou-Fana perturbé, citernes détruites</t>
        </is>
      </c>
      <c r="AE5" s="32">
        <f>ROUND(2*6371*ASIN(SQRT(SIN(RADIANS(J5-LAT_BAMAKO)/2)^2+COS(RADIANS(LAT_BAMAKO))*COS(RADIANS(J5))*SIN(RADIANS(K5-LON_BAMAKO)/2)^2)),0)</f>
        <v/>
      </c>
      <c r="AF5" s="32">
        <f>IF(AE5&lt;=SEUIL_KM,"Oui","Non")</f>
        <v/>
      </c>
      <c r="AG5" s="30" t="inlineStr">
        <is>
          <t>Partiellement corroboré</t>
        </is>
      </c>
      <c r="AH5" s="32" t="inlineStr">
        <is>
          <t>Non</t>
        </is>
      </c>
      <c r="AI5" s="33" t="inlineStr">
        <is>
          <t>Sagnon, Naïm TOURÉ</t>
        </is>
      </c>
      <c r="AJ5" s="36">
        <f>HYPERLINK("https://www.openstreetmap.org/?mlat="&amp;SUBSTITUTE(J5&amp;"",",",".")&amp;"&amp;mlon="&amp;SUBSTITUTE(K5&amp;"",",",".")&amp;"#map=11/"&amp;SUBSTITUTE(J5&amp;"",",",".")&amp;"/"&amp;SUBSTITUTE(K5&amp;"",",","."),"OSM ↗")</f>
        <v/>
      </c>
      <c r="AK5" s="36">
        <f>HYPERLINK("https://www.google.com/maps/search/?api=1&amp;query="&amp;SUBSTITUTE(J5&amp;"",",",".")&amp;"%2C"&amp;SUBSTITUTE(K5&amp;"",",","."),"Google ↗")</f>
        <v/>
      </c>
      <c r="AL5" s="36">
        <f>HYPERLINK(URL_TABLEAU&amp;"#"&amp;A5,"Dossier ↗")</f>
        <v/>
      </c>
    </row>
    <row r="6" ht="48" customHeight="1">
      <c r="A6" s="30" t="inlineStr">
        <is>
          <t>INC-2026-005</t>
        </is>
      </c>
      <c r="B6" s="31" t="n">
        <v>46269</v>
      </c>
      <c r="C6" s="32">
        <f>WEEKNUM(B6,21)</f>
        <v/>
      </c>
      <c r="D6" s="32">
        <f>IF(B6&lt;P_DEBUT_P2,"P1","P2")</f>
        <v/>
      </c>
      <c r="E6" s="30" t="inlineStr">
        <is>
          <t>Mali</t>
        </is>
      </c>
      <c r="F6" s="30" t="inlineStr">
        <is>
          <t>Kidal</t>
        </is>
      </c>
      <c r="G6" s="30" t="inlineStr">
        <is>
          <t>Kidal</t>
        </is>
      </c>
      <c r="H6" s="33" t="inlineStr">
        <is>
          <t>Kidal</t>
        </is>
      </c>
      <c r="I6" s="33" t="inlineStr">
        <is>
          <t>Kidal Ville</t>
        </is>
      </c>
      <c r="J6" s="34" t="n">
        <v>18.4411</v>
      </c>
      <c r="K6" s="34" t="n">
        <v>1.4078</v>
      </c>
      <c r="L6" s="30" t="inlineStr">
        <is>
          <t>Localité</t>
        </is>
      </c>
      <c r="M6" s="33" t="inlineStr">
        <is>
          <t>Bombardement Aérien</t>
        </is>
      </c>
      <c r="N6" s="30" t="inlineStr">
        <is>
          <t>Frappe aérienne étatique</t>
        </is>
      </c>
      <c r="O6" s="30" t="inlineStr">
        <is>
          <t>FAMa / Africa Corps</t>
        </is>
      </c>
      <c r="P6" s="33" t="inlineStr">
        <is>
          <t>Africa Corps / FAMa</t>
        </is>
      </c>
      <c r="Q6" s="30" t="inlineStr">
        <is>
          <t>Civils</t>
        </is>
      </c>
      <c r="R6" s="33" t="inlineStr">
        <is>
          <t>Résidence du Maire de Kidal</t>
        </is>
      </c>
      <c r="S6" s="33" t="inlineStr">
        <is>
          <t>Un avion de chasse Sukhoï 24 appartenant à Africa Corps a bombardé la résidence du maire de Kidal.</t>
        </is>
      </c>
      <c r="T6" s="30" t="n">
        <v>0</v>
      </c>
      <c r="U6" s="30" t="n">
        <v>0</v>
      </c>
      <c r="V6" s="30" t="n">
        <v>0</v>
      </c>
      <c r="W6" s="30" t="n">
        <v>0</v>
      </c>
      <c r="X6" s="30" t="n">
        <v>0</v>
      </c>
      <c r="Y6" s="35">
        <f>T6+V6+W6+X6</f>
        <v/>
      </c>
      <c r="Z6" s="30" t="n">
        <v>0</v>
      </c>
      <c r="AA6" s="30" t="n">
        <v>0</v>
      </c>
      <c r="AB6" s="30" t="n">
        <v>0</v>
      </c>
      <c r="AC6" s="33" t="inlineStr">
        <is>
          <t>Aucun</t>
        </is>
      </c>
      <c r="AD6" s="33" t="inlineStr">
        <is>
          <t>Résidence du maire pilonnée</t>
        </is>
      </c>
      <c r="AE6" s="32">
        <f>ROUND(2*6371*ASIN(SQRT(SIN(RADIANS(J6-LAT_BAMAKO)/2)^2+COS(RADIANS(LAT_BAMAKO))*COS(RADIANS(J6))*SIN(RADIANS(K6-LON_BAMAKO)/2)^2)),0)</f>
        <v/>
      </c>
      <c r="AF6" s="32">
        <f>IF(AE6&lt;=SEUIL_KM,"Oui","Non")</f>
        <v/>
      </c>
      <c r="AG6" s="30" t="inlineStr">
        <is>
          <t>Partiellement corroboré</t>
        </is>
      </c>
      <c r="AH6" s="32" t="inlineStr">
        <is>
          <t>Non</t>
        </is>
      </c>
      <c r="AI6" s="33" t="inlineStr">
        <is>
          <t>Outamashaq, Naïm TOURÉ</t>
        </is>
      </c>
      <c r="AJ6" s="36">
        <f>HYPERLINK("https://www.openstreetmap.org/?mlat="&amp;SUBSTITUTE(J6&amp;"",",",".")&amp;"&amp;mlon="&amp;SUBSTITUTE(K6&amp;"",",",".")&amp;"#map=11/"&amp;SUBSTITUTE(J6&amp;"",",",".")&amp;"/"&amp;SUBSTITUTE(K6&amp;"",",","."),"OSM ↗")</f>
        <v/>
      </c>
      <c r="AK6" s="36">
        <f>HYPERLINK("https://www.google.com/maps/search/?api=1&amp;query="&amp;SUBSTITUTE(J6&amp;"",",",".")&amp;"%2C"&amp;SUBSTITUTE(K6&amp;"",",","."),"Google ↗")</f>
        <v/>
      </c>
      <c r="AL6" s="36">
        <f>HYPERLINK(URL_TABLEAU&amp;"#"&amp;A6,"Dossier ↗")</f>
        <v/>
      </c>
    </row>
    <row r="7" ht="48" customHeight="1">
      <c r="A7" s="30" t="inlineStr">
        <is>
          <t>INC-2026-006</t>
        </is>
      </c>
      <c r="B7" s="31" t="n">
        <v>46272</v>
      </c>
      <c r="C7" s="32">
        <f>WEEKNUM(B7,21)</f>
        <v/>
      </c>
      <c r="D7" s="32">
        <f>IF(B7&lt;P_DEBUT_P2,"P1","P2")</f>
        <v/>
      </c>
      <c r="E7" s="30" t="inlineStr">
        <is>
          <t>Mali</t>
        </is>
      </c>
      <c r="F7" s="30" t="inlineStr">
        <is>
          <t>Mopti</t>
        </is>
      </c>
      <c r="G7" s="30" t="inlineStr">
        <is>
          <t>Bandiagara</t>
        </is>
      </c>
      <c r="H7" s="33" t="inlineStr">
        <is>
          <t>Mopti</t>
        </is>
      </c>
      <c r="I7" s="33" t="inlineStr">
        <is>
          <t>Kaka</t>
        </is>
      </c>
      <c r="J7" s="34" t="n">
        <v>14.8</v>
      </c>
      <c r="K7" s="34" t="n">
        <v>-3.8</v>
      </c>
      <c r="L7" s="30" t="inlineStr">
        <is>
          <t>Zone (±10 km)</t>
        </is>
      </c>
      <c r="M7" s="33" t="inlineStr">
        <is>
          <t>Embuscade</t>
        </is>
      </c>
      <c r="N7" s="30" t="inlineStr">
        <is>
          <t>Embuscade</t>
        </is>
      </c>
      <c r="O7" s="30" t="inlineStr">
        <is>
          <t>JNIM</t>
        </is>
      </c>
      <c r="P7" s="33" t="inlineStr">
        <is>
          <t>JNIM</t>
        </is>
      </c>
      <c r="Q7" s="30" t="inlineStr">
        <is>
          <t>FAMa / Africa Corps</t>
        </is>
      </c>
      <c r="R7" s="33" t="inlineStr">
        <is>
          <t>FAMa / Africa Corps</t>
        </is>
      </c>
      <c r="S7" s="33" t="inlineStr">
        <is>
          <t>Embuscade du JNIM contre une patrouille conjointe FAMa et Africa Corps. Plusieurs mercenaires russes tués.</t>
        </is>
      </c>
      <c r="T7" s="30" t="n">
        <v>0</v>
      </c>
      <c r="U7" s="30" t="n">
        <v>0</v>
      </c>
      <c r="V7" s="30" t="n">
        <v>0</v>
      </c>
      <c r="W7" s="30" t="n">
        <v>4</v>
      </c>
      <c r="X7" s="30" t="n">
        <v>0</v>
      </c>
      <c r="Y7" s="35">
        <f>T7+V7+W7+X7</f>
        <v/>
      </c>
      <c r="Z7" s="30" t="n">
        <v>0</v>
      </c>
      <c r="AA7" s="30" t="n">
        <v>0</v>
      </c>
      <c r="AB7" s="30" t="n">
        <v>0</v>
      </c>
      <c r="AC7" s="33" t="inlineStr">
        <is>
          <t>Non spécifié</t>
        </is>
      </c>
      <c r="AD7" s="33" t="inlineStr">
        <is>
          <t>Convoi militaire stoppé</t>
        </is>
      </c>
      <c r="AE7" s="32">
        <f>ROUND(2*6371*ASIN(SQRT(SIN(RADIANS(J7-LAT_BAMAKO)/2)^2+COS(RADIANS(LAT_BAMAKO))*COS(RADIANS(J7))*SIN(RADIANS(K7-LON_BAMAKO)/2)^2)),0)</f>
        <v/>
      </c>
      <c r="AF7" s="32">
        <f>IF(AE7&lt;=SEUIL_KM,"Oui","Non")</f>
        <v/>
      </c>
      <c r="AG7" s="30" t="inlineStr">
        <is>
          <t>Partiellement corroboré</t>
        </is>
      </c>
      <c r="AH7" s="32" t="inlineStr">
        <is>
          <t>Non</t>
        </is>
      </c>
      <c r="AI7" s="33" t="inlineStr">
        <is>
          <t>Sahel Alerte, Naïm TOURÉ</t>
        </is>
      </c>
      <c r="AJ7" s="36">
        <f>HYPERLINK("https://www.openstreetmap.org/?mlat="&amp;SUBSTITUTE(J7&amp;"",",",".")&amp;"&amp;mlon="&amp;SUBSTITUTE(K7&amp;"",",",".")&amp;"#map=11/"&amp;SUBSTITUTE(J7&amp;"",",",".")&amp;"/"&amp;SUBSTITUTE(K7&amp;"",",","."),"OSM ↗")</f>
        <v/>
      </c>
      <c r="AK7" s="36">
        <f>HYPERLINK("https://www.google.com/maps/search/?api=1&amp;query="&amp;SUBSTITUTE(J7&amp;"",",",".")&amp;"%2C"&amp;SUBSTITUTE(K7&amp;"",",","."),"Google ↗")</f>
        <v/>
      </c>
      <c r="AL7" s="36">
        <f>HYPERLINK(URL_TABLEAU&amp;"#"&amp;A7,"Dossier ↗")</f>
        <v/>
      </c>
    </row>
    <row r="8" ht="48" customHeight="1">
      <c r="A8" s="30" t="inlineStr">
        <is>
          <t>INC-2026-007</t>
        </is>
      </c>
      <c r="B8" s="31" t="n">
        <v>46275</v>
      </c>
      <c r="C8" s="32">
        <f>WEEKNUM(B8,21)</f>
        <v/>
      </c>
      <c r="D8" s="32">
        <f>IF(B8&lt;P_DEBUT_P2,"P1","P2")</f>
        <v/>
      </c>
      <c r="E8" s="30" t="inlineStr">
        <is>
          <t>Mali</t>
        </is>
      </c>
      <c r="F8" s="30" t="inlineStr">
        <is>
          <t>Mopti</t>
        </is>
      </c>
      <c r="G8" s="30" t="inlineStr">
        <is>
          <t>Ténenkou</t>
        </is>
      </c>
      <c r="H8" s="33" t="inlineStr">
        <is>
          <t>Mopti</t>
        </is>
      </c>
      <c r="I8" s="33" t="inlineStr">
        <is>
          <t>Dioura</t>
        </is>
      </c>
      <c r="J8" s="34" t="n">
        <v>14.5333</v>
      </c>
      <c r="K8" s="34" t="n">
        <v>-5.2167</v>
      </c>
      <c r="L8" s="30" t="inlineStr">
        <is>
          <t>Localité</t>
        </is>
      </c>
      <c r="M8" s="33" t="inlineStr">
        <is>
          <t>Attaque Majeure de Camp / Base</t>
        </is>
      </c>
      <c r="N8" s="30" t="inlineStr">
        <is>
          <t>Attaque de poste / camp</t>
        </is>
      </c>
      <c r="O8" s="30" t="inlineStr">
        <is>
          <t>JNIM</t>
        </is>
      </c>
      <c r="P8" s="33" t="inlineStr">
        <is>
          <t>JNIM (Abou Mokhtar al-Ansari)</t>
        </is>
      </c>
      <c r="Q8" s="30" t="inlineStr">
        <is>
          <t>FAMa / Africa Corps</t>
        </is>
      </c>
      <c r="R8" s="33" t="inlineStr">
        <is>
          <t>FAMa (Camp militaire)</t>
        </is>
      </c>
      <c r="S8" s="33" t="inlineStr">
        <is>
          <t>Prise du camp de Dioura par le JNIM. Attaque dévastatrice avec plus de 150 soldats tués (dont 1 Colonel et 1 Capitaine) et 93 capturés.</t>
        </is>
      </c>
      <c r="T8" s="30" t="n">
        <v>0</v>
      </c>
      <c r="U8" s="30" t="n">
        <v>0</v>
      </c>
      <c r="V8" s="30" t="n">
        <v>150</v>
      </c>
      <c r="W8" s="30" t="n">
        <v>0</v>
      </c>
      <c r="X8" s="30" t="n">
        <v>0</v>
      </c>
      <c r="Y8" s="35">
        <f>T8+V8+W8+X8</f>
        <v/>
      </c>
      <c r="Z8" s="30" t="n">
        <v>93</v>
      </c>
      <c r="AA8" s="30" t="n">
        <v>115</v>
      </c>
      <c r="AB8" s="30" t="n">
        <v>16</v>
      </c>
      <c r="AC8" s="33" t="inlineStr">
        <is>
          <t>233 Kalachnikovs, 32 PKM, 17 Doushka, 10 RPG, 6 x 14mm, 3 mortiers/SPG, munitions</t>
        </is>
      </c>
      <c r="AD8" s="33" t="inlineStr">
        <is>
          <t>Camp militaire de Dioura détruit et pris</t>
        </is>
      </c>
      <c r="AE8" s="32">
        <f>ROUND(2*6371*ASIN(SQRT(SIN(RADIANS(J8-LAT_BAMAKO)/2)^2+COS(RADIANS(LAT_BAMAKO))*COS(RADIANS(J8))*SIN(RADIANS(K8-LON_BAMAKO)/2)^2)),0)</f>
        <v/>
      </c>
      <c r="AF8" s="32">
        <f>IF(AE8&lt;=SEUIL_KM,"Oui","Non")</f>
        <v/>
      </c>
      <c r="AG8" s="30" t="inlineStr">
        <is>
          <t>Corroboré</t>
        </is>
      </c>
      <c r="AH8" s="32" t="inlineStr">
        <is>
          <t>Non</t>
        </is>
      </c>
      <c r="AI8" s="33" t="inlineStr">
        <is>
          <t>AzZalaqa, Hasret K., Sahel Alerte, Naïm TOURÉ</t>
        </is>
      </c>
      <c r="AJ8" s="36">
        <f>HYPERLINK("https://www.openstreetmap.org/?mlat="&amp;SUBSTITUTE(J8&amp;"",",",".")&amp;"&amp;mlon="&amp;SUBSTITUTE(K8&amp;"",",",".")&amp;"#map=11/"&amp;SUBSTITUTE(J8&amp;"",",",".")&amp;"/"&amp;SUBSTITUTE(K8&amp;"",",","."),"OSM ↗")</f>
        <v/>
      </c>
      <c r="AK8" s="36">
        <f>HYPERLINK("https://www.google.com/maps/search/?api=1&amp;query="&amp;SUBSTITUTE(J8&amp;"",",",".")&amp;"%2C"&amp;SUBSTITUTE(K8&amp;"",",","."),"Google ↗")</f>
        <v/>
      </c>
      <c r="AL8" s="36">
        <f>HYPERLINK(URL_TABLEAU&amp;"#"&amp;A8,"Dossier ↗")</f>
        <v/>
      </c>
    </row>
    <row r="9" ht="48" customHeight="1">
      <c r="A9" s="30" t="inlineStr">
        <is>
          <t>INC-2026-008</t>
        </is>
      </c>
      <c r="B9" s="31" t="n">
        <v>46279</v>
      </c>
      <c r="C9" s="32">
        <f>WEEKNUM(B9,21)</f>
        <v/>
      </c>
      <c r="D9" s="32">
        <f>IF(B9&lt;P_DEBUT_P2,"P1","P2")</f>
        <v/>
      </c>
      <c r="E9" s="30" t="inlineStr">
        <is>
          <t>Mali</t>
        </is>
      </c>
      <c r="F9" s="30" t="inlineStr">
        <is>
          <t>Koulikoro</t>
        </is>
      </c>
      <c r="G9" s="30" t="inlineStr">
        <is>
          <t>Nara</t>
        </is>
      </c>
      <c r="H9" s="33" t="inlineStr">
        <is>
          <t>Koulikoro</t>
        </is>
      </c>
      <c r="I9" s="33" t="inlineStr">
        <is>
          <t>Axe Mourdja - Kaloumba</t>
        </is>
      </c>
      <c r="J9" s="34" t="n">
        <v>14.4833</v>
      </c>
      <c r="K9" s="34" t="n">
        <v>-7.4667</v>
      </c>
      <c r="L9" s="30" t="inlineStr">
        <is>
          <t>Localité</t>
        </is>
      </c>
      <c r="M9" s="33" t="inlineStr">
        <is>
          <t>Engin Explosif Improvisé (EEI)</t>
        </is>
      </c>
      <c r="N9" s="30" t="inlineStr">
        <is>
          <t>EEI</t>
        </is>
      </c>
      <c r="O9" s="30" t="inlineStr">
        <is>
          <t>JNIM</t>
        </is>
      </c>
      <c r="P9" s="33" t="inlineStr">
        <is>
          <t>JNIM</t>
        </is>
      </c>
      <c r="Q9" s="30" t="inlineStr">
        <is>
          <t>FAMa / Africa Corps</t>
        </is>
      </c>
      <c r="R9" s="33" t="inlineStr">
        <is>
          <t>FAMa / Africa Corps</t>
        </is>
      </c>
      <c r="S9" s="33" t="inlineStr">
        <is>
          <t>Attaque à l'EEI visant une patrouille mixte FAMa-Africa Corps sur l'axe Mourdja-Kaloumba.</t>
        </is>
      </c>
      <c r="T9" s="30" t="n">
        <v>0</v>
      </c>
      <c r="U9" s="30" t="n">
        <v>0</v>
      </c>
      <c r="V9" s="30" t="n">
        <v>2</v>
      </c>
      <c r="W9" s="30" t="n">
        <v>2</v>
      </c>
      <c r="X9" s="30" t="n">
        <v>0</v>
      </c>
      <c r="Y9" s="35">
        <f>T9+V9+W9+X9</f>
        <v/>
      </c>
      <c r="Z9" s="30" t="n">
        <v>0</v>
      </c>
      <c r="AA9" s="30" t="n">
        <v>1</v>
      </c>
      <c r="AB9" s="30" t="n">
        <v>0</v>
      </c>
      <c r="AC9" s="33" t="inlineStr">
        <is>
          <t>Aucun</t>
        </is>
      </c>
      <c r="AD9" s="33" t="inlineStr">
        <is>
          <t>Véhicule militaire touché par EEI</t>
        </is>
      </c>
      <c r="AE9" s="32">
        <f>ROUND(2*6371*ASIN(SQRT(SIN(RADIANS(J9-LAT_BAMAKO)/2)^2+COS(RADIANS(LAT_BAMAKO))*COS(RADIANS(J9))*SIN(RADIANS(K9-LON_BAMAKO)/2)^2)),0)</f>
        <v/>
      </c>
      <c r="AF9" s="32">
        <f>IF(AE9&lt;=SEUIL_KM,"Oui","Non")</f>
        <v/>
      </c>
      <c r="AG9" s="30" t="inlineStr">
        <is>
          <t>Partiellement corroboré</t>
        </is>
      </c>
      <c r="AH9" s="32" t="inlineStr">
        <is>
          <t>Non</t>
        </is>
      </c>
      <c r="AI9" s="33" t="inlineStr">
        <is>
          <t>Sahel Alerte, Naïm TOURÉ</t>
        </is>
      </c>
      <c r="AJ9" s="36">
        <f>HYPERLINK("https://www.openstreetmap.org/?mlat="&amp;SUBSTITUTE(J9&amp;"",",",".")&amp;"&amp;mlon="&amp;SUBSTITUTE(K9&amp;"",",",".")&amp;"#map=11/"&amp;SUBSTITUTE(J9&amp;"",",",".")&amp;"/"&amp;SUBSTITUTE(K9&amp;"",",","."),"OSM ↗")</f>
        <v/>
      </c>
      <c r="AK9" s="36">
        <f>HYPERLINK("https://www.google.com/maps/search/?api=1&amp;query="&amp;SUBSTITUTE(J9&amp;"",",",".")&amp;"%2C"&amp;SUBSTITUTE(K9&amp;"",",","."),"Google ↗")</f>
        <v/>
      </c>
      <c r="AL9" s="36">
        <f>HYPERLINK(URL_TABLEAU&amp;"#"&amp;A9,"Dossier ↗")</f>
        <v/>
      </c>
    </row>
    <row r="10" ht="48" customHeight="1">
      <c r="A10" s="30" t="inlineStr">
        <is>
          <t>INC-2026-009</t>
        </is>
      </c>
      <c r="B10" s="31" t="n">
        <v>46280</v>
      </c>
      <c r="C10" s="32">
        <f>WEEKNUM(B10,21)</f>
        <v/>
      </c>
      <c r="D10" s="32">
        <f>IF(B10&lt;P_DEBUT_P2,"P1","P2")</f>
        <v/>
      </c>
      <c r="E10" s="30" t="inlineStr">
        <is>
          <t>Mali</t>
        </is>
      </c>
      <c r="F10" s="30" t="inlineStr">
        <is>
          <t>Mopti</t>
        </is>
      </c>
      <c r="G10" s="30" t="inlineStr">
        <is>
          <t>Mopti</t>
        </is>
      </c>
      <c r="H10" s="33" t="inlineStr">
        <is>
          <t>Mopti</t>
        </is>
      </c>
      <c r="I10" s="33" t="inlineStr">
        <is>
          <t>Aéroport de Sévaré / Konna</t>
        </is>
      </c>
      <c r="J10" s="34" t="n">
        <v>14.5133</v>
      </c>
      <c r="K10" s="34" t="n">
        <v>-4.1033</v>
      </c>
      <c r="L10" s="30" t="inlineStr">
        <is>
          <t>Localité</t>
        </is>
      </c>
      <c r="M10" s="33" t="inlineStr">
        <is>
          <t>Tirs de Mortier / Artillerie</t>
        </is>
      </c>
      <c r="N10" s="30" t="inlineStr">
        <is>
          <t>Tirs indirects</t>
        </is>
      </c>
      <c r="O10" s="30" t="inlineStr">
        <is>
          <t>JNIM</t>
        </is>
      </c>
      <c r="P10" s="33" t="inlineStr">
        <is>
          <t>JNIM</t>
        </is>
      </c>
      <c r="Q10" s="30" t="inlineStr">
        <is>
          <t>FAMa / Africa Corps</t>
        </is>
      </c>
      <c r="R10" s="33" t="inlineStr">
        <is>
          <t>Base Aérienne FAMa / Africa Corps</t>
        </is>
      </c>
      <c r="S10" s="33" t="inlineStr">
        <is>
          <t>Tirs de mortiers et canons SPG-9 contre la base de Sévaré et Konna. 4 drones (Bayraktar TB2 / Akıncı) et plusieurs hélicoptères endommagés. Tour radar détruite.</t>
        </is>
      </c>
      <c r="T10" s="30" t="n">
        <v>0</v>
      </c>
      <c r="U10" s="30" t="n">
        <v>0</v>
      </c>
      <c r="V10" s="30" t="n">
        <v>15</v>
      </c>
      <c r="W10" s="30" t="n">
        <v>18</v>
      </c>
      <c r="X10" s="30" t="n">
        <v>0</v>
      </c>
      <c r="Y10" s="35">
        <f>T10+V10+W10+X10</f>
        <v/>
      </c>
      <c r="Z10" s="30" t="n">
        <v>0</v>
      </c>
      <c r="AA10" s="30" t="n">
        <v>6</v>
      </c>
      <c r="AB10" s="30" t="n">
        <v>0</v>
      </c>
      <c r="AC10" s="33" t="inlineStr">
        <is>
          <t>Aucun</t>
        </is>
      </c>
      <c r="AD10" s="33" t="inlineStr">
        <is>
          <t>Tour de contrôle réseau drone et radar détruits</t>
        </is>
      </c>
      <c r="AE10" s="32">
        <f>ROUND(2*6371*ASIN(SQRT(SIN(RADIANS(J10-LAT_BAMAKO)/2)^2+COS(RADIANS(LAT_BAMAKO))*COS(RADIANS(J10))*SIN(RADIANS(K10-LON_BAMAKO)/2)^2)),0)</f>
        <v/>
      </c>
      <c r="AF10" s="32">
        <f>IF(AE10&lt;=SEUIL_KM,"Oui","Non")</f>
        <v/>
      </c>
      <c r="AG10" s="30" t="inlineStr">
        <is>
          <t>Corroboré</t>
        </is>
      </c>
      <c r="AH10" s="32" t="inlineStr">
        <is>
          <t>Non</t>
        </is>
      </c>
      <c r="AI10" s="33" t="inlineStr">
        <is>
          <t>AzZalaqa, Hasret K., Sahel Alerte, Naïm TOURÉ</t>
        </is>
      </c>
      <c r="AJ10" s="36">
        <f>HYPERLINK("https://www.openstreetmap.org/?mlat="&amp;SUBSTITUTE(J10&amp;"",",",".")&amp;"&amp;mlon="&amp;SUBSTITUTE(K10&amp;"",",",".")&amp;"#map=11/"&amp;SUBSTITUTE(J10&amp;"",",",".")&amp;"/"&amp;SUBSTITUTE(K10&amp;"",",","."),"OSM ↗")</f>
        <v/>
      </c>
      <c r="AK10" s="36">
        <f>HYPERLINK("https://www.google.com/maps/search/?api=1&amp;query="&amp;SUBSTITUTE(J10&amp;"",",",".")&amp;"%2C"&amp;SUBSTITUTE(K10&amp;"",",","."),"Google ↗")</f>
        <v/>
      </c>
      <c r="AL10" s="36">
        <f>HYPERLINK(URL_TABLEAU&amp;"#"&amp;A10,"Dossier ↗")</f>
        <v/>
      </c>
    </row>
    <row r="11" ht="48" customHeight="1">
      <c r="A11" s="30" t="inlineStr">
        <is>
          <t>INC-2026-010</t>
        </is>
      </c>
      <c r="B11" s="31" t="n">
        <v>46281</v>
      </c>
      <c r="C11" s="32">
        <f>WEEKNUM(B11,21)</f>
        <v/>
      </c>
      <c r="D11" s="32">
        <f>IF(B11&lt;P_DEBUT_P2,"P1","P2")</f>
        <v/>
      </c>
      <c r="E11" s="30" t="inlineStr">
        <is>
          <t>Mali</t>
        </is>
      </c>
      <c r="F11" s="30" t="inlineStr">
        <is>
          <t>Mopti</t>
        </is>
      </c>
      <c r="G11" s="30" t="inlineStr">
        <is>
          <t>Ténenkou</t>
        </is>
      </c>
      <c r="H11" s="33" t="inlineStr">
        <is>
          <t>Mopti / Ténenkou</t>
        </is>
      </c>
      <c r="I11" s="33" t="inlineStr">
        <is>
          <t>Guèllèdjè</t>
        </is>
      </c>
      <c r="J11" s="34" t="n">
        <v>14.45</v>
      </c>
      <c r="K11" s="34" t="n">
        <v>-4.9167</v>
      </c>
      <c r="L11" s="30" t="inlineStr">
        <is>
          <t>Localité</t>
        </is>
      </c>
      <c r="M11" s="33" t="inlineStr">
        <is>
          <t>Frappe Drone / Bavure Civile</t>
        </is>
      </c>
      <c r="N11" s="30" t="inlineStr">
        <is>
          <t>Frappe aérienne étatique</t>
        </is>
      </c>
      <c r="O11" s="30" t="inlineStr">
        <is>
          <t>FAMa / Africa Corps</t>
        </is>
      </c>
      <c r="P11" s="33" t="inlineStr">
        <is>
          <t>FAMa / Africa Corps (Drone)</t>
        </is>
      </c>
      <c r="Q11" s="30" t="inlineStr">
        <is>
          <t>Civils</t>
        </is>
      </c>
      <c r="R11" s="33" t="inlineStr">
        <is>
          <t>Point de connexion Starlink (Civils)</t>
        </is>
      </c>
      <c r="S11" s="33" t="inlineStr">
        <is>
          <t>Bombardement par un drone militaire sur un point d'accès Starlink dans le village de Guèllèdjè.</t>
        </is>
      </c>
      <c r="T11" s="30" t="n">
        <v>7</v>
      </c>
      <c r="U11" s="30" t="n">
        <v>8</v>
      </c>
      <c r="V11" s="30" t="n">
        <v>0</v>
      </c>
      <c r="W11" s="30" t="n">
        <v>0</v>
      </c>
      <c r="X11" s="30" t="n">
        <v>0</v>
      </c>
      <c r="Y11" s="35">
        <f>T11+V11+W11+X11</f>
        <v/>
      </c>
      <c r="Z11" s="30" t="n">
        <v>0</v>
      </c>
      <c r="AA11" s="30" t="n">
        <v>0</v>
      </c>
      <c r="AB11" s="30" t="n">
        <v>0</v>
      </c>
      <c r="AC11" s="33" t="inlineStr">
        <is>
          <t>Aucun</t>
        </is>
      </c>
      <c r="AD11" s="33" t="inlineStr">
        <is>
          <t>Station Starlink civile détruite</t>
        </is>
      </c>
      <c r="AE11" s="32">
        <f>ROUND(2*6371*ASIN(SQRT(SIN(RADIANS(J11-LAT_BAMAKO)/2)^2+COS(RADIANS(LAT_BAMAKO))*COS(RADIANS(J11))*SIN(RADIANS(K11-LON_BAMAKO)/2)^2)),0)</f>
        <v/>
      </c>
      <c r="AF11" s="32">
        <f>IF(AE11&lt;=SEUIL_KM,"Oui","Non")</f>
        <v/>
      </c>
      <c r="AG11" s="30" t="inlineStr">
        <is>
          <t>Source unique</t>
        </is>
      </c>
      <c r="AH11" s="32" t="inlineStr">
        <is>
          <t>Oui</t>
        </is>
      </c>
      <c r="AI11" s="33" t="inlineStr">
        <is>
          <t>Naïm TOURÉ</t>
        </is>
      </c>
      <c r="AJ11" s="36">
        <f>HYPERLINK("https://www.openstreetmap.org/?mlat="&amp;SUBSTITUTE(J11&amp;"",",",".")&amp;"&amp;mlon="&amp;SUBSTITUTE(K11&amp;"",",",".")&amp;"#map=11/"&amp;SUBSTITUTE(J11&amp;"",",",".")&amp;"/"&amp;SUBSTITUTE(K11&amp;"",",","."),"OSM ↗")</f>
        <v/>
      </c>
      <c r="AK11" s="36">
        <f>HYPERLINK("https://www.google.com/maps/search/?api=1&amp;query="&amp;SUBSTITUTE(J11&amp;"",",",".")&amp;"%2C"&amp;SUBSTITUTE(K11&amp;"",",","."),"Google ↗")</f>
        <v/>
      </c>
      <c r="AL11" s="36">
        <f>HYPERLINK(URL_TABLEAU&amp;"#"&amp;A11,"Dossier ↗")</f>
        <v/>
      </c>
    </row>
    <row r="12" ht="48" customHeight="1">
      <c r="A12" s="30" t="inlineStr">
        <is>
          <t>INC-2026-011</t>
        </is>
      </c>
      <c r="B12" s="31" t="n">
        <v>46283</v>
      </c>
      <c r="C12" s="32">
        <f>WEEKNUM(B12,21)</f>
        <v/>
      </c>
      <c r="D12" s="32">
        <f>IF(B12&lt;P_DEBUT_P2,"P1","P2")</f>
        <v/>
      </c>
      <c r="E12" s="30" t="inlineStr">
        <is>
          <t>Mali</t>
        </is>
      </c>
      <c r="F12" s="30" t="inlineStr">
        <is>
          <t>Koulikoro</t>
        </is>
      </c>
      <c r="G12" s="30" t="inlineStr">
        <is>
          <t>Kati</t>
        </is>
      </c>
      <c r="H12" s="33" t="inlineStr">
        <is>
          <t>Koulikoro</t>
        </is>
      </c>
      <c r="I12" s="33" t="inlineStr">
        <is>
          <t>Kassela (~40km Bamako)</t>
        </is>
      </c>
      <c r="J12" s="34" t="n">
        <v>12.5833</v>
      </c>
      <c r="K12" s="34" t="n">
        <v>-7.7167</v>
      </c>
      <c r="L12" s="30" t="inlineStr">
        <is>
          <t>Localité</t>
        </is>
      </c>
      <c r="M12" s="33" t="inlineStr">
        <is>
          <t>Attaque de Poste / Infiltration</t>
        </is>
      </c>
      <c r="N12" s="30" t="inlineStr">
        <is>
          <t>Attaque de poste / camp</t>
        </is>
      </c>
      <c r="O12" s="30" t="inlineStr">
        <is>
          <t>JNIM</t>
        </is>
      </c>
      <c r="P12" s="33" t="inlineStr">
        <is>
          <t>JNIM</t>
        </is>
      </c>
      <c r="Q12" s="30" t="inlineStr">
        <is>
          <t>FAMa / Africa Corps</t>
        </is>
      </c>
      <c r="R12" s="33" t="inlineStr">
        <is>
          <t>Poste de contrôle FAMa</t>
        </is>
      </c>
      <c r="S12" s="33" t="inlineStr">
        <is>
          <t>Attaque nocturne (21h-22h) et prise de contrôle totale d'un poste de l'armée à seulement 40 km de Bamako.</t>
        </is>
      </c>
      <c r="T12" s="30" t="n">
        <v>0</v>
      </c>
      <c r="U12" s="30" t="n">
        <v>0</v>
      </c>
      <c r="V12" s="30" t="n">
        <v>3</v>
      </c>
      <c r="W12" s="30" t="n">
        <v>0</v>
      </c>
      <c r="X12" s="30" t="n">
        <v>0</v>
      </c>
      <c r="Y12" s="35">
        <f>T12+V12+W12+X12</f>
        <v/>
      </c>
      <c r="Z12" s="30" t="n">
        <v>0</v>
      </c>
      <c r="AA12" s="30" t="n">
        <v>1</v>
      </c>
      <c r="AB12" s="30" t="n">
        <v>0</v>
      </c>
      <c r="AC12" s="33" t="inlineStr">
        <is>
          <t>Armes légères et munitions</t>
        </is>
      </c>
      <c r="AD12" s="33" t="inlineStr">
        <is>
          <t>Poste de contrôle de Kassela incendié</t>
        </is>
      </c>
      <c r="AE12" s="32">
        <f>ROUND(2*6371*ASIN(SQRT(SIN(RADIANS(J12-LAT_BAMAKO)/2)^2+COS(RADIANS(LAT_BAMAKO))*COS(RADIANS(J12))*SIN(RADIANS(K12-LON_BAMAKO)/2)^2)),0)</f>
        <v/>
      </c>
      <c r="AF12" s="32">
        <f>IF(AE12&lt;=SEUIL_KM,"Oui","Non")</f>
        <v/>
      </c>
      <c r="AG12" s="30" t="inlineStr">
        <is>
          <t>Partiellement corroboré</t>
        </is>
      </c>
      <c r="AH12" s="32" t="inlineStr">
        <is>
          <t>Non</t>
        </is>
      </c>
      <c r="AI12" s="33" t="inlineStr">
        <is>
          <t>Sahel Alerte, AzZalaqa, Naïm TOURÉ</t>
        </is>
      </c>
      <c r="AJ12" s="36">
        <f>HYPERLINK("https://www.openstreetmap.org/?mlat="&amp;SUBSTITUTE(J12&amp;"",",",".")&amp;"&amp;mlon="&amp;SUBSTITUTE(K12&amp;"",",",".")&amp;"#map=11/"&amp;SUBSTITUTE(J12&amp;"",",",".")&amp;"/"&amp;SUBSTITUTE(K12&amp;"",",","."),"OSM ↗")</f>
        <v/>
      </c>
      <c r="AK12" s="36">
        <f>HYPERLINK("https://www.google.com/maps/search/?api=1&amp;query="&amp;SUBSTITUTE(J12&amp;"",",",".")&amp;"%2C"&amp;SUBSTITUTE(K12&amp;"",",","."),"Google ↗")</f>
        <v/>
      </c>
      <c r="AL12" s="36">
        <f>HYPERLINK(URL_TABLEAU&amp;"#"&amp;A12,"Dossier ↗")</f>
        <v/>
      </c>
    </row>
    <row r="13" ht="48" customHeight="1">
      <c r="A13" s="30" t="inlineStr">
        <is>
          <t>INC-2026-012</t>
        </is>
      </c>
      <c r="B13" s="31" t="n">
        <v>46284</v>
      </c>
      <c r="C13" s="32">
        <f>WEEKNUM(B13,21)</f>
        <v/>
      </c>
      <c r="D13" s="32">
        <f>IF(B13&lt;P_DEBUT_P2,"P1","P2")</f>
        <v/>
      </c>
      <c r="E13" s="30" t="inlineStr">
        <is>
          <t>Mali</t>
        </is>
      </c>
      <c r="F13" s="30" t="inlineStr">
        <is>
          <t>Ségou</t>
        </is>
      </c>
      <c r="G13" s="30" t="inlineStr">
        <is>
          <t>Bla</t>
        </is>
      </c>
      <c r="H13" s="33" t="inlineStr">
        <is>
          <t>Ségou</t>
        </is>
      </c>
      <c r="I13" s="33" t="inlineStr">
        <is>
          <t>Bla &amp; Noumouna</t>
        </is>
      </c>
      <c r="J13" s="34" t="n">
        <v>12.95</v>
      </c>
      <c r="K13" s="34" t="n">
        <v>-5.75</v>
      </c>
      <c r="L13" s="30" t="inlineStr">
        <is>
          <t>Localité</t>
        </is>
      </c>
      <c r="M13" s="33" t="inlineStr">
        <is>
          <t>Attaque / Menace Sécuritaire</t>
        </is>
      </c>
      <c r="N13" s="30" t="inlineStr">
        <is>
          <t>Attaque de poste / camp</t>
        </is>
      </c>
      <c r="O13" s="30" t="inlineStr">
        <is>
          <t>JNIM</t>
        </is>
      </c>
      <c r="P13" s="33" t="inlineStr">
        <is>
          <t>JNIM</t>
        </is>
      </c>
      <c r="Q13" s="30" t="inlineStr">
        <is>
          <t>FAMa / Africa Corps</t>
        </is>
      </c>
      <c r="R13" s="33" t="inlineStr">
        <is>
          <t>FAMa / Positions administratives</t>
        </is>
      </c>
      <c r="S13" s="33" t="inlineStr">
        <is>
          <t>Pression sécuritaire accrue et attaques ciblées sur Noumouna et Bla. Entraîne l'annulation des cérémonies de l'indépendance à Bla.</t>
        </is>
      </c>
      <c r="T13" s="30" t="n">
        <v>0</v>
      </c>
      <c r="U13" s="30" t="n">
        <v>0</v>
      </c>
      <c r="V13" s="30" t="n">
        <v>0</v>
      </c>
      <c r="W13" s="30" t="n">
        <v>0</v>
      </c>
      <c r="X13" s="30" t="n">
        <v>0</v>
      </c>
      <c r="Y13" s="35">
        <f>T13+V13+W13+X13</f>
        <v/>
      </c>
      <c r="Z13" s="30" t="n">
        <v>0</v>
      </c>
      <c r="AA13" s="30" t="n">
        <v>0</v>
      </c>
      <c r="AB13" s="30" t="n">
        <v>0</v>
      </c>
      <c r="AC13" s="33" t="inlineStr">
        <is>
          <t>Non spécifié</t>
        </is>
      </c>
      <c r="AD13" s="33" t="inlineStr">
        <is>
          <t>Festivités nationales du 22 septembre annulées</t>
        </is>
      </c>
      <c r="AE13" s="32">
        <f>ROUND(2*6371*ASIN(SQRT(SIN(RADIANS(J13-LAT_BAMAKO)/2)^2+COS(RADIANS(LAT_BAMAKO))*COS(RADIANS(J13))*SIN(RADIANS(K13-LON_BAMAKO)/2)^2)),0)</f>
        <v/>
      </c>
      <c r="AF13" s="32">
        <f>IF(AE13&lt;=SEUIL_KM,"Oui","Non")</f>
        <v/>
      </c>
      <c r="AG13" s="30" t="inlineStr">
        <is>
          <t>Partiellement corroboré</t>
        </is>
      </c>
      <c r="AH13" s="32" t="inlineStr">
        <is>
          <t>Non</t>
        </is>
      </c>
      <c r="AI13" s="33" t="inlineStr">
        <is>
          <t>Sahel Alerte, Naïm TOURÉ</t>
        </is>
      </c>
      <c r="AJ13" s="36">
        <f>HYPERLINK("https://www.openstreetmap.org/?mlat="&amp;SUBSTITUTE(J13&amp;"",",",".")&amp;"&amp;mlon="&amp;SUBSTITUTE(K13&amp;"",",",".")&amp;"#map=11/"&amp;SUBSTITUTE(J13&amp;"",",",".")&amp;"/"&amp;SUBSTITUTE(K13&amp;"",",","."),"OSM ↗")</f>
        <v/>
      </c>
      <c r="AK13" s="36">
        <f>HYPERLINK("https://www.google.com/maps/search/?api=1&amp;query="&amp;SUBSTITUTE(J13&amp;"",",",".")&amp;"%2C"&amp;SUBSTITUTE(K13&amp;"",",","."),"Google ↗")</f>
        <v/>
      </c>
      <c r="AL13" s="36">
        <f>HYPERLINK(URL_TABLEAU&amp;"#"&amp;A13,"Dossier ↗")</f>
        <v/>
      </c>
    </row>
    <row r="14" ht="48" customHeight="1">
      <c r="A14" s="30" t="inlineStr">
        <is>
          <t>INC-2026-013</t>
        </is>
      </c>
      <c r="B14" s="31" t="n">
        <v>46285</v>
      </c>
      <c r="C14" s="32">
        <f>WEEKNUM(B14,21)</f>
        <v/>
      </c>
      <c r="D14" s="32">
        <f>IF(B14&lt;P_DEBUT_P2,"P1","P2")</f>
        <v/>
      </c>
      <c r="E14" s="30" t="inlineStr">
        <is>
          <t>Mali</t>
        </is>
      </c>
      <c r="F14" s="30" t="inlineStr">
        <is>
          <t>Ségou</t>
        </is>
      </c>
      <c r="G14" s="30" t="inlineStr">
        <is>
          <t>Niono</t>
        </is>
      </c>
      <c r="H14" s="33" t="inlineStr">
        <is>
          <t>Ségou / Niono</t>
        </is>
      </c>
      <c r="I14" s="33" t="inlineStr">
        <is>
          <t>Diabali / Molodo</t>
        </is>
      </c>
      <c r="J14" s="34" t="n">
        <v>14.6833</v>
      </c>
      <c r="K14" s="34" t="n">
        <v>-6.0167</v>
      </c>
      <c r="L14" s="30" t="inlineStr">
        <is>
          <t>Localité</t>
        </is>
      </c>
      <c r="M14" s="33" t="inlineStr">
        <is>
          <t>Embuscade / Fuite de Convoi</t>
        </is>
      </c>
      <c r="N14" s="30" t="inlineStr">
        <is>
          <t>Embuscade</t>
        </is>
      </c>
      <c r="O14" s="30" t="inlineStr">
        <is>
          <t>JNIM</t>
        </is>
      </c>
      <c r="P14" s="33" t="inlineStr">
        <is>
          <t>JNIM</t>
        </is>
      </c>
      <c r="Q14" s="30" t="inlineStr">
        <is>
          <t>FAMa / Africa Corps</t>
        </is>
      </c>
      <c r="R14" s="33" t="inlineStr">
        <is>
          <t>FAMa / Africa Corps</t>
        </is>
      </c>
      <c r="S14" s="33" t="inlineStr">
        <is>
          <t>Patrouille mixte prise en embuscade. Les mercenaires russes fuient en abandonnant 3 véhicules blindés dont un GAZ-2330 et leurs équipements.</t>
        </is>
      </c>
      <c r="T14" s="30" t="n">
        <v>0</v>
      </c>
      <c r="U14" s="30" t="n">
        <v>0</v>
      </c>
      <c r="V14" s="30" t="n">
        <v>0</v>
      </c>
      <c r="W14" s="30" t="n">
        <v>2</v>
      </c>
      <c r="X14" s="30" t="n">
        <v>0</v>
      </c>
      <c r="Y14" s="35">
        <f>T14+V14+W14+X14</f>
        <v/>
      </c>
      <c r="Z14" s="30" t="n">
        <v>0</v>
      </c>
      <c r="AA14" s="30" t="n">
        <v>0</v>
      </c>
      <c r="AB14" s="30" t="n">
        <v>3</v>
      </c>
      <c r="AC14" s="33" t="inlineStr">
        <is>
          <t>Armes, munitions, drapeau Africa Corps</t>
        </is>
      </c>
      <c r="AD14" s="33" t="inlineStr">
        <is>
          <t>Abandon de matériel lourd militaire</t>
        </is>
      </c>
      <c r="AE14" s="32">
        <f>ROUND(2*6371*ASIN(SQRT(SIN(RADIANS(J14-LAT_BAMAKO)/2)^2+COS(RADIANS(LAT_BAMAKO))*COS(RADIANS(J14))*SIN(RADIANS(K14-LON_BAMAKO)/2)^2)),0)</f>
        <v/>
      </c>
      <c r="AF14" s="32">
        <f>IF(AE14&lt;=SEUIL_KM,"Oui","Non")</f>
        <v/>
      </c>
      <c r="AG14" s="30" t="inlineStr">
        <is>
          <t>Partiellement corroboré</t>
        </is>
      </c>
      <c r="AH14" s="32" t="inlineStr">
        <is>
          <t>Non</t>
        </is>
      </c>
      <c r="AI14" s="33" t="inlineStr">
        <is>
          <t>JNIM, Sahel Alerte, Naïm TOURÉ</t>
        </is>
      </c>
      <c r="AJ14" s="36">
        <f>HYPERLINK("https://www.openstreetmap.org/?mlat="&amp;SUBSTITUTE(J14&amp;"",",",".")&amp;"&amp;mlon="&amp;SUBSTITUTE(K14&amp;"",",",".")&amp;"#map=11/"&amp;SUBSTITUTE(J14&amp;"",",",".")&amp;"/"&amp;SUBSTITUTE(K14&amp;"",",","."),"OSM ↗")</f>
        <v/>
      </c>
      <c r="AK14" s="36">
        <f>HYPERLINK("https://www.google.com/maps/search/?api=1&amp;query="&amp;SUBSTITUTE(J14&amp;"",",",".")&amp;"%2C"&amp;SUBSTITUTE(K14&amp;"",",","."),"Google ↗")</f>
        <v/>
      </c>
      <c r="AL14" s="36">
        <f>HYPERLINK(URL_TABLEAU&amp;"#"&amp;A14,"Dossier ↗")</f>
        <v/>
      </c>
    </row>
    <row r="15" ht="48" customHeight="1">
      <c r="A15" s="30" t="inlineStr">
        <is>
          <t>INC-2026-014</t>
        </is>
      </c>
      <c r="B15" s="31" t="n">
        <v>46289</v>
      </c>
      <c r="C15" s="32">
        <f>WEEKNUM(B15,21)</f>
        <v/>
      </c>
      <c r="D15" s="32">
        <f>IF(B15&lt;P_DEBUT_P2,"P1","P2")</f>
        <v/>
      </c>
      <c r="E15" s="30" t="inlineStr">
        <is>
          <t>Mali</t>
        </is>
      </c>
      <c r="F15" s="30" t="inlineStr">
        <is>
          <t>Mopti</t>
        </is>
      </c>
      <c r="G15" s="30" t="inlineStr">
        <is>
          <t>Djenné</t>
        </is>
      </c>
      <c r="H15" s="33" t="inlineStr">
        <is>
          <t>Mopti</t>
        </is>
      </c>
      <c r="I15" s="33" t="inlineStr">
        <is>
          <t>Carrefour Djenné</t>
        </is>
      </c>
      <c r="J15" s="34" t="n">
        <v>13.9</v>
      </c>
      <c r="K15" s="34" t="n">
        <v>-4.55</v>
      </c>
      <c r="L15" s="30" t="inlineStr">
        <is>
          <t>Zone (±10 km)</t>
        </is>
      </c>
      <c r="M15" s="33" t="inlineStr">
        <is>
          <t>Attaque de Caserne</t>
        </is>
      </c>
      <c r="N15" s="30" t="inlineStr">
        <is>
          <t>Attaque de poste / camp</t>
        </is>
      </c>
      <c r="O15" s="30" t="inlineStr">
        <is>
          <t>JNIM</t>
        </is>
      </c>
      <c r="P15" s="33" t="inlineStr">
        <is>
          <t>JNIM</t>
        </is>
      </c>
      <c r="Q15" s="30" t="inlineStr">
        <is>
          <t>FAMa / Africa Corps</t>
        </is>
      </c>
      <c r="R15" s="33" t="inlineStr">
        <is>
          <t>Poste / Caserne FAMa</t>
        </is>
      </c>
      <c r="S15" s="33" t="inlineStr">
        <is>
          <t>Attaque contre la caserne du Carrefour Djenné. 2 soldats tués, 2 véhicules détruits et 5 véhicules saisis ainsi qu'un drone.</t>
        </is>
      </c>
      <c r="T15" s="30" t="n">
        <v>0</v>
      </c>
      <c r="U15" s="30" t="n">
        <v>0</v>
      </c>
      <c r="V15" s="30" t="n">
        <v>2</v>
      </c>
      <c r="W15" s="30" t="n">
        <v>0</v>
      </c>
      <c r="X15" s="30" t="n">
        <v>0</v>
      </c>
      <c r="Y15" s="35">
        <f>T15+V15+W15+X15</f>
        <v/>
      </c>
      <c r="Z15" s="30" t="n">
        <v>0</v>
      </c>
      <c r="AA15" s="30" t="n">
        <v>2</v>
      </c>
      <c r="AB15" s="30" t="n">
        <v>5</v>
      </c>
      <c r="AC15" s="33" t="inlineStr">
        <is>
          <t>1 drone, fusils et importantes munitions</t>
        </is>
      </c>
      <c r="AD15" s="33" t="inlineStr">
        <is>
          <t>Caserne militaire partiellement saccagée</t>
        </is>
      </c>
      <c r="AE15" s="32">
        <f>ROUND(2*6371*ASIN(SQRT(SIN(RADIANS(J15-LAT_BAMAKO)/2)^2+COS(RADIANS(LAT_BAMAKO))*COS(RADIANS(J15))*SIN(RADIANS(K15-LON_BAMAKO)/2)^2)),0)</f>
        <v/>
      </c>
      <c r="AF15" s="32">
        <f>IF(AE15&lt;=SEUIL_KM,"Oui","Non")</f>
        <v/>
      </c>
      <c r="AG15" s="30" t="inlineStr">
        <is>
          <t>Corroboré</t>
        </is>
      </c>
      <c r="AH15" s="32" t="inlineStr">
        <is>
          <t>Non</t>
        </is>
      </c>
      <c r="AI15" s="33" t="inlineStr">
        <is>
          <t>Sagnon, AzZalaqa, Hasret K., Naïm TOURÉ</t>
        </is>
      </c>
      <c r="AJ15" s="36">
        <f>HYPERLINK("https://www.openstreetmap.org/?mlat="&amp;SUBSTITUTE(J15&amp;"",",",".")&amp;"&amp;mlon="&amp;SUBSTITUTE(K15&amp;"",",",".")&amp;"#map=11/"&amp;SUBSTITUTE(J15&amp;"",",",".")&amp;"/"&amp;SUBSTITUTE(K15&amp;"",",","."),"OSM ↗")</f>
        <v/>
      </c>
      <c r="AK15" s="36">
        <f>HYPERLINK("https://www.google.com/maps/search/?api=1&amp;query="&amp;SUBSTITUTE(J15&amp;"",",",".")&amp;"%2C"&amp;SUBSTITUTE(K15&amp;"",",","."),"Google ↗")</f>
        <v/>
      </c>
      <c r="AL15" s="36">
        <f>HYPERLINK(URL_TABLEAU&amp;"#"&amp;A15,"Dossier ↗")</f>
        <v/>
      </c>
    </row>
    <row r="16" ht="48" customHeight="1">
      <c r="A16" s="30" t="inlineStr">
        <is>
          <t>INC-2026-015</t>
        </is>
      </c>
      <c r="B16" s="31" t="n">
        <v>46289</v>
      </c>
      <c r="C16" s="32">
        <f>WEEKNUM(B16,21)</f>
        <v/>
      </c>
      <c r="D16" s="32">
        <f>IF(B16&lt;P_DEBUT_P2,"P1","P2")</f>
        <v/>
      </c>
      <c r="E16" s="30" t="inlineStr">
        <is>
          <t>Mali</t>
        </is>
      </c>
      <c r="F16" s="30" t="inlineStr">
        <is>
          <t>Mopti</t>
        </is>
      </c>
      <c r="G16" s="30" t="inlineStr">
        <is>
          <t>Douentza</t>
        </is>
      </c>
      <c r="H16" s="33" t="inlineStr">
        <is>
          <t>Mopti</t>
        </is>
      </c>
      <c r="I16" s="33" t="inlineStr">
        <is>
          <t>Douentza (Quartier Fombori)</t>
        </is>
      </c>
      <c r="J16" s="34" t="n">
        <v>15</v>
      </c>
      <c r="K16" s="34" t="n">
        <v>-2.95</v>
      </c>
      <c r="L16" s="30" t="inlineStr">
        <is>
          <t>Zone (±10 km)</t>
        </is>
      </c>
      <c r="M16" s="33" t="inlineStr">
        <is>
          <t>Explosion / Attaque Ciblée</t>
        </is>
      </c>
      <c r="N16" s="30" t="inlineStr">
        <is>
          <t>Attaque ciblée / VIP</t>
        </is>
      </c>
      <c r="O16" s="30" t="inlineStr">
        <is>
          <t>JNIM</t>
        </is>
      </c>
      <c r="P16" s="33" t="inlineStr">
        <is>
          <t>Non identifié (Probablement JNIM)</t>
        </is>
      </c>
      <c r="Q16" s="30" t="inlineStr">
        <is>
          <t>Milices pro-gouv.</t>
        </is>
      </c>
      <c r="R16" s="33" t="inlineStr">
        <is>
          <t>Milices pro-gouvernementales</t>
        </is>
      </c>
      <c r="S16" s="33" t="inlineStr">
        <is>
          <t>Forte explosion à la sortie sud de Douentza visant une position des milices pro-gouvernementales.</t>
        </is>
      </c>
      <c r="T16" s="30" t="n">
        <v>0</v>
      </c>
      <c r="U16" s="30" t="n">
        <v>2</v>
      </c>
      <c r="V16" s="30" t="n">
        <v>0</v>
      </c>
      <c r="W16" s="30" t="n">
        <v>0</v>
      </c>
      <c r="X16" s="30" t="n">
        <v>1</v>
      </c>
      <c r="Y16" s="35">
        <f>T16+V16+W16+X16</f>
        <v/>
      </c>
      <c r="Z16" s="30" t="n">
        <v>0</v>
      </c>
      <c r="AA16" s="30" t="n">
        <v>0</v>
      </c>
      <c r="AB16" s="30" t="n">
        <v>0</v>
      </c>
      <c r="AC16" s="33" t="inlineStr">
        <is>
          <t>Aucun</t>
        </is>
      </c>
      <c r="AD16" s="33" t="inlineStr">
        <is>
          <t>Position de milice touchée par déflagration</t>
        </is>
      </c>
      <c r="AE16" s="32">
        <f>ROUND(2*6371*ASIN(SQRT(SIN(RADIANS(J16-LAT_BAMAKO)/2)^2+COS(RADIANS(LAT_BAMAKO))*COS(RADIANS(J16))*SIN(RADIANS(K16-LON_BAMAKO)/2)^2)),0)</f>
        <v/>
      </c>
      <c r="AF16" s="32">
        <f>IF(AE16&lt;=SEUIL_KM,"Oui","Non")</f>
        <v/>
      </c>
      <c r="AG16" s="30" t="inlineStr">
        <is>
          <t>Partiellement corroboré</t>
        </is>
      </c>
      <c r="AH16" s="32" t="inlineStr">
        <is>
          <t>Non</t>
        </is>
      </c>
      <c r="AI16" s="33" t="inlineStr">
        <is>
          <t>Sahel Alerte, Naïm TOURÉ</t>
        </is>
      </c>
      <c r="AJ16" s="36">
        <f>HYPERLINK("https://www.openstreetmap.org/?mlat="&amp;SUBSTITUTE(J16&amp;"",",",".")&amp;"&amp;mlon="&amp;SUBSTITUTE(K16&amp;"",",",".")&amp;"#map=11/"&amp;SUBSTITUTE(J16&amp;"",",",".")&amp;"/"&amp;SUBSTITUTE(K16&amp;"",",","."),"OSM ↗")</f>
        <v/>
      </c>
      <c r="AK16" s="36">
        <f>HYPERLINK("https://www.google.com/maps/search/?api=1&amp;query="&amp;SUBSTITUTE(J16&amp;"",",",".")&amp;"%2C"&amp;SUBSTITUTE(K16&amp;"",",","."),"Google ↗")</f>
        <v/>
      </c>
      <c r="AL16" s="36">
        <f>HYPERLINK(URL_TABLEAU&amp;"#"&amp;A16,"Dossier ↗")</f>
        <v/>
      </c>
    </row>
    <row r="17" ht="48" customHeight="1">
      <c r="A17" s="30" t="inlineStr">
        <is>
          <t>INC-2026-016</t>
        </is>
      </c>
      <c r="B17" s="31" t="n">
        <v>46290</v>
      </c>
      <c r="C17" s="32">
        <f>WEEKNUM(B17,21)</f>
        <v/>
      </c>
      <c r="D17" s="32">
        <f>IF(B17&lt;P_DEBUT_P2,"P1","P2")</f>
        <v/>
      </c>
      <c r="E17" s="30" t="inlineStr">
        <is>
          <t>Mali</t>
        </is>
      </c>
      <c r="F17" s="30" t="inlineStr">
        <is>
          <t>Kidal</t>
        </is>
      </c>
      <c r="G17" s="30" t="inlineStr">
        <is>
          <t>Tessalit</t>
        </is>
      </c>
      <c r="H17" s="33" t="inlineStr">
        <is>
          <t>Kidal</t>
        </is>
      </c>
      <c r="I17" s="33" t="inlineStr">
        <is>
          <t>Aguelhoc</t>
        </is>
      </c>
      <c r="J17" s="34" t="n">
        <v>19.4633</v>
      </c>
      <c r="K17" s="34" t="n">
        <v>0.8552</v>
      </c>
      <c r="L17" s="30" t="inlineStr">
        <is>
          <t>Localité</t>
        </is>
      </c>
      <c r="M17" s="33" t="inlineStr">
        <is>
          <t>Défense Antiaérienne / Drone Abattu</t>
        </is>
      </c>
      <c r="N17" s="30" t="inlineStr">
        <is>
          <t>Lutte anti-drone</t>
        </is>
      </c>
      <c r="O17" s="30" t="inlineStr">
        <is>
          <t>FLA</t>
        </is>
      </c>
      <c r="P17" s="33" t="inlineStr">
        <is>
          <t>Armée de l'Azawad (FLA)</t>
        </is>
      </c>
      <c r="Q17" s="30" t="inlineStr">
        <is>
          <t>FAMa / Africa Corps</t>
        </is>
      </c>
      <c r="R17" s="33" t="inlineStr">
        <is>
          <t>Drone Africa Corps (Molniya-2)</t>
        </is>
      </c>
      <c r="S17" s="33" t="inlineStr">
        <is>
          <t>L’armée de l’Azawad a abattu un drone russe Molniya-2 à Aguelhoc sans faire de victimes au sol.</t>
        </is>
      </c>
      <c r="T17" s="30" t="n">
        <v>0</v>
      </c>
      <c r="U17" s="30" t="n">
        <v>0</v>
      </c>
      <c r="V17" s="30" t="n">
        <v>0</v>
      </c>
      <c r="W17" s="30" t="n">
        <v>0</v>
      </c>
      <c r="X17" s="30" t="n">
        <v>0</v>
      </c>
      <c r="Y17" s="35">
        <f>T17+V17+W17+X17</f>
        <v/>
      </c>
      <c r="Z17" s="30" t="n">
        <v>0</v>
      </c>
      <c r="AA17" s="30" t="n">
        <v>1</v>
      </c>
      <c r="AB17" s="30" t="n">
        <v>0</v>
      </c>
      <c r="AC17" s="33" t="inlineStr">
        <is>
          <t>Débris de drone</t>
        </is>
      </c>
      <c r="AD17" s="33" t="inlineStr">
        <is>
          <t>Perte matérielle pour Africa Corps</t>
        </is>
      </c>
      <c r="AE17" s="32">
        <f>ROUND(2*6371*ASIN(SQRT(SIN(RADIANS(J17-LAT_BAMAKO)/2)^2+COS(RADIANS(LAT_BAMAKO))*COS(RADIANS(J17))*SIN(RADIANS(K17-LON_BAMAKO)/2)^2)),0)</f>
        <v/>
      </c>
      <c r="AF17" s="32">
        <f>IF(AE17&lt;=SEUIL_KM,"Oui","Non")</f>
        <v/>
      </c>
      <c r="AG17" s="30" t="inlineStr">
        <is>
          <t>Partiellement corroboré</t>
        </is>
      </c>
      <c r="AH17" s="32" t="inlineStr">
        <is>
          <t>Non</t>
        </is>
      </c>
      <c r="AI17" s="33" t="inlineStr">
        <is>
          <t>Sahel Alerte, Naïm TOURÉ</t>
        </is>
      </c>
      <c r="AJ17" s="36">
        <f>HYPERLINK("https://www.openstreetmap.org/?mlat="&amp;SUBSTITUTE(J17&amp;"",",",".")&amp;"&amp;mlon="&amp;SUBSTITUTE(K17&amp;"",",",".")&amp;"#map=11/"&amp;SUBSTITUTE(J17&amp;"",",",".")&amp;"/"&amp;SUBSTITUTE(K17&amp;"",",","."),"OSM ↗")</f>
        <v/>
      </c>
      <c r="AK17" s="36">
        <f>HYPERLINK("https://www.google.com/maps/search/?api=1&amp;query="&amp;SUBSTITUTE(J17&amp;"",",",".")&amp;"%2C"&amp;SUBSTITUTE(K17&amp;"",",","."),"Google ↗")</f>
        <v/>
      </c>
      <c r="AL17" s="36">
        <f>HYPERLINK(URL_TABLEAU&amp;"#"&amp;A17,"Dossier ↗")</f>
        <v/>
      </c>
    </row>
    <row r="18" ht="48" customHeight="1">
      <c r="A18" s="30" t="inlineStr">
        <is>
          <t>INC-2026-017</t>
        </is>
      </c>
      <c r="B18" s="31" t="n">
        <v>46292</v>
      </c>
      <c r="C18" s="32">
        <f>WEEKNUM(B18,21)</f>
        <v/>
      </c>
      <c r="D18" s="32">
        <f>IF(B18&lt;P_DEBUT_P2,"P1","P2")</f>
        <v/>
      </c>
      <c r="E18" s="30" t="inlineStr">
        <is>
          <t>Mali</t>
        </is>
      </c>
      <c r="F18" s="30" t="inlineStr">
        <is>
          <t>Ségou</t>
        </is>
      </c>
      <c r="G18" s="30" t="inlineStr">
        <is>
          <t>Niono</t>
        </is>
      </c>
      <c r="H18" s="33" t="inlineStr">
        <is>
          <t>Ségou</t>
        </is>
      </c>
      <c r="I18" s="33" t="inlineStr">
        <is>
          <t>Nord de Niono</t>
        </is>
      </c>
      <c r="J18" s="34" t="n">
        <v>14.25</v>
      </c>
      <c r="K18" s="34" t="n">
        <v>-5.9833</v>
      </c>
      <c r="L18" s="30" t="inlineStr">
        <is>
          <t>Localité</t>
        </is>
      </c>
      <c r="M18" s="33" t="inlineStr">
        <is>
          <t>Embuscade / Riposte</t>
        </is>
      </c>
      <c r="N18" s="30" t="inlineStr">
        <is>
          <t>Embuscade</t>
        </is>
      </c>
      <c r="O18" s="30" t="inlineStr">
        <is>
          <t>JNIM</t>
        </is>
      </c>
      <c r="P18" s="33" t="inlineStr">
        <is>
          <t>JNIM</t>
        </is>
      </c>
      <c r="Q18" s="30" t="inlineStr">
        <is>
          <t>FAMa / Africa Corps</t>
        </is>
      </c>
      <c r="R18" s="33" t="inlineStr">
        <is>
          <t>FAMa / Africa Corps</t>
        </is>
      </c>
      <c r="S18" s="33" t="inlineStr">
        <is>
          <t>Le JNIM repousse une offensive de patrouille russe et malienne au nord de Niono. 7 morts/blessés russes, 2 véhicules détruits.</t>
        </is>
      </c>
      <c r="T18" s="30" t="n">
        <v>0</v>
      </c>
      <c r="U18" s="30" t="n">
        <v>0</v>
      </c>
      <c r="V18" s="30" t="n">
        <v>0</v>
      </c>
      <c r="W18" s="30" t="n">
        <v>7</v>
      </c>
      <c r="X18" s="30" t="n">
        <v>0</v>
      </c>
      <c r="Y18" s="35">
        <f>T18+V18+W18+X18</f>
        <v/>
      </c>
      <c r="Z18" s="30" t="n">
        <v>0</v>
      </c>
      <c r="AA18" s="30" t="n">
        <v>2</v>
      </c>
      <c r="AB18" s="30" t="n">
        <v>1</v>
      </c>
      <c r="AC18" s="33" t="inlineStr">
        <is>
          <t>2 AK-47, 3 lance-grenades, 2 drones DJI, 2 radars, 17 grenades</t>
        </is>
      </c>
      <c r="AD18" s="33" t="inlineStr">
        <is>
          <t>Offensive militaire mise en échec</t>
        </is>
      </c>
      <c r="AE18" s="32">
        <f>ROUND(2*6371*ASIN(SQRT(SIN(RADIANS(J18-LAT_BAMAKO)/2)^2+COS(RADIANS(LAT_BAMAKO))*COS(RADIANS(J18))*SIN(RADIANS(K18-LON_BAMAKO)/2)^2)),0)</f>
        <v/>
      </c>
      <c r="AF18" s="32">
        <f>IF(AE18&lt;=SEUIL_KM,"Oui","Non")</f>
        <v/>
      </c>
      <c r="AG18" s="30" t="inlineStr">
        <is>
          <t>Corroboré</t>
        </is>
      </c>
      <c r="AH18" s="32" t="inlineStr">
        <is>
          <t>Non</t>
        </is>
      </c>
      <c r="AI18" s="33" t="inlineStr">
        <is>
          <t>AzZalaqa, Sahel Alerte, Ghana C. Monitor, Naïm TOURÉ</t>
        </is>
      </c>
      <c r="AJ18" s="36">
        <f>HYPERLINK("https://www.openstreetmap.org/?mlat="&amp;SUBSTITUTE(J18&amp;"",",",".")&amp;"&amp;mlon="&amp;SUBSTITUTE(K18&amp;"",",",".")&amp;"#map=11/"&amp;SUBSTITUTE(J18&amp;"",",",".")&amp;"/"&amp;SUBSTITUTE(K18&amp;"",",","."),"OSM ↗")</f>
        <v/>
      </c>
      <c r="AK18" s="36">
        <f>HYPERLINK("https://www.google.com/maps/search/?api=1&amp;query="&amp;SUBSTITUTE(J18&amp;"",",",".")&amp;"%2C"&amp;SUBSTITUTE(K18&amp;"",",","."),"Google ↗")</f>
        <v/>
      </c>
      <c r="AL18" s="36">
        <f>HYPERLINK(URL_TABLEAU&amp;"#"&amp;A18,"Dossier ↗")</f>
        <v/>
      </c>
    </row>
    <row r="19" ht="48" customHeight="1">
      <c r="A19" s="30" t="inlineStr">
        <is>
          <t>INC-2026-018</t>
        </is>
      </c>
      <c r="B19" s="31" t="n">
        <v>46293</v>
      </c>
      <c r="C19" s="32">
        <f>WEEKNUM(B19,21)</f>
        <v/>
      </c>
      <c r="D19" s="32">
        <f>IF(B19&lt;P_DEBUT_P2,"P1","P2")</f>
        <v/>
      </c>
      <c r="E19" s="30" t="inlineStr">
        <is>
          <t>Mali</t>
        </is>
      </c>
      <c r="F19" s="30" t="inlineStr">
        <is>
          <t>Ségou</t>
        </is>
      </c>
      <c r="G19" s="30" t="inlineStr">
        <is>
          <t>Macina</t>
        </is>
      </c>
      <c r="H19" s="33" t="inlineStr">
        <is>
          <t>Ségou / Mopti</t>
        </is>
      </c>
      <c r="I19" s="33" t="inlineStr">
        <is>
          <t>Axe Niono - Dioura</t>
        </is>
      </c>
      <c r="J19" s="34" t="n">
        <v>14.38</v>
      </c>
      <c r="K19" s="34" t="n">
        <v>-5.6</v>
      </c>
      <c r="L19" s="30" t="inlineStr">
        <is>
          <t>Zone (±10 km)</t>
        </is>
      </c>
      <c r="M19" s="33" t="inlineStr">
        <is>
          <t>Embuscade</t>
        </is>
      </c>
      <c r="N19" s="30" t="inlineStr">
        <is>
          <t>Embuscade</t>
        </is>
      </c>
      <c r="O19" s="30" t="inlineStr">
        <is>
          <t>JNIM</t>
        </is>
      </c>
      <c r="P19" s="33" t="inlineStr">
        <is>
          <t>JNIM</t>
        </is>
      </c>
      <c r="Q19" s="30" t="inlineStr">
        <is>
          <t>FAMa / Africa Corps</t>
        </is>
      </c>
      <c r="R19" s="33" t="inlineStr">
        <is>
          <t>FAMa / Africa Corps</t>
        </is>
      </c>
      <c r="S19" s="33" t="inlineStr">
        <is>
          <t>Nouvelle embuscade contre les forces conjointe FAMa-Russes sur l'axe Niono-Dioura.</t>
        </is>
      </c>
      <c r="T19" s="30" t="n">
        <v>0</v>
      </c>
      <c r="U19" s="30" t="n">
        <v>0</v>
      </c>
      <c r="V19" s="30" t="n">
        <v>3</v>
      </c>
      <c r="W19" s="30" t="n">
        <v>3</v>
      </c>
      <c r="X19" s="30" t="n">
        <v>0</v>
      </c>
      <c r="Y19" s="35">
        <f>T19+V19+W19+X19</f>
        <v/>
      </c>
      <c r="Z19" s="30" t="n">
        <v>0</v>
      </c>
      <c r="AA19" s="30" t="n">
        <v>1</v>
      </c>
      <c r="AB19" s="30" t="n">
        <v>0</v>
      </c>
      <c r="AC19" s="33" t="inlineStr">
        <is>
          <t>Munitions</t>
        </is>
      </c>
      <c r="AD19" s="33" t="inlineStr">
        <is>
          <t>Axe sous haute insécurité</t>
        </is>
      </c>
      <c r="AE19" s="32">
        <f>ROUND(2*6371*ASIN(SQRT(SIN(RADIANS(J19-LAT_BAMAKO)/2)^2+COS(RADIANS(LAT_BAMAKO))*COS(RADIANS(J19))*SIN(RADIANS(K19-LON_BAMAKO)/2)^2)),0)</f>
        <v/>
      </c>
      <c r="AF19" s="32">
        <f>IF(AE19&lt;=SEUIL_KM,"Oui","Non")</f>
        <v/>
      </c>
      <c r="AG19" s="30" t="inlineStr">
        <is>
          <t>Partiellement corroboré</t>
        </is>
      </c>
      <c r="AH19" s="32" t="inlineStr">
        <is>
          <t>Non</t>
        </is>
      </c>
      <c r="AI19" s="33" t="inlineStr">
        <is>
          <t>JNIM, Sagnon, Naïm TOURÉ</t>
        </is>
      </c>
      <c r="AJ19" s="36">
        <f>HYPERLINK("https://www.openstreetmap.org/?mlat="&amp;SUBSTITUTE(J19&amp;"",",",".")&amp;"&amp;mlon="&amp;SUBSTITUTE(K19&amp;"",",",".")&amp;"#map=11/"&amp;SUBSTITUTE(J19&amp;"",",",".")&amp;"/"&amp;SUBSTITUTE(K19&amp;"",",","."),"OSM ↗")</f>
        <v/>
      </c>
      <c r="AK19" s="36">
        <f>HYPERLINK("https://www.google.com/maps/search/?api=1&amp;query="&amp;SUBSTITUTE(J19&amp;"",",",".")&amp;"%2C"&amp;SUBSTITUTE(K19&amp;"",",","."),"Google ↗")</f>
        <v/>
      </c>
      <c r="AL19" s="36">
        <f>HYPERLINK(URL_TABLEAU&amp;"#"&amp;A19,"Dossier ↗")</f>
        <v/>
      </c>
    </row>
    <row r="20" ht="48" customHeight="1">
      <c r="A20" s="30" t="inlineStr">
        <is>
          <t>INC-2026-019</t>
        </is>
      </c>
      <c r="B20" s="31" t="n">
        <v>46293</v>
      </c>
      <c r="C20" s="32">
        <f>WEEKNUM(B20,21)</f>
        <v/>
      </c>
      <c r="D20" s="32">
        <f>IF(B20&lt;P_DEBUT_P2,"P1","P2")</f>
        <v/>
      </c>
      <c r="E20" s="30" t="inlineStr">
        <is>
          <t>Mali</t>
        </is>
      </c>
      <c r="F20" s="30" t="inlineStr">
        <is>
          <t>Gao</t>
        </is>
      </c>
      <c r="G20" s="30" t="inlineStr">
        <is>
          <t>Ansongo</t>
        </is>
      </c>
      <c r="H20" s="33" t="inlineStr">
        <is>
          <t>Gao / Ménaka</t>
        </is>
      </c>
      <c r="I20" s="33" t="inlineStr">
        <is>
          <t>Axe Ansongo - Ménaka / Tessit</t>
        </is>
      </c>
      <c r="J20" s="34" t="n">
        <v>15.65</v>
      </c>
      <c r="K20" s="34" t="n">
        <v>0.5</v>
      </c>
      <c r="L20" s="30" t="inlineStr">
        <is>
          <t>Zone (±10 km)</t>
        </is>
      </c>
      <c r="M20" s="33" t="inlineStr">
        <is>
          <t>Embuscade &amp; Affrontement Inter-groupe</t>
        </is>
      </c>
      <c r="N20" s="30" t="inlineStr">
        <is>
          <t>Embuscade</t>
        </is>
      </c>
      <c r="O20" s="30" t="inlineStr">
        <is>
          <t>EI-Sahel</t>
        </is>
      </c>
      <c r="P20" s="33" t="inlineStr">
        <is>
          <t>EI-Sahel (EIS)</t>
        </is>
      </c>
      <c r="Q20" s="30" t="inlineStr">
        <is>
          <t>FAMa / Africa Corps</t>
        </is>
      </c>
      <c r="R20" s="33" t="inlineStr">
        <is>
          <t>FAMa / JNIM</t>
        </is>
      </c>
      <c r="S20" s="33" t="inlineStr">
        <is>
          <t>Embuscade contre un convoi FAMa entre Ansongo et Ménaka, puis affrontements entre EIS et JNIM près de Tessit.</t>
        </is>
      </c>
      <c r="T20" s="30" t="n">
        <v>0</v>
      </c>
      <c r="U20" s="30" t="n">
        <v>0</v>
      </c>
      <c r="V20" s="30" t="n">
        <v>4</v>
      </c>
      <c r="W20" s="30" t="n">
        <v>0</v>
      </c>
      <c r="X20" s="30" t="n">
        <v>12</v>
      </c>
      <c r="Y20" s="35">
        <f>T20+V20+W20+X20</f>
        <v/>
      </c>
      <c r="Z20" s="30" t="n">
        <v>0</v>
      </c>
      <c r="AA20" s="30" t="n">
        <v>1</v>
      </c>
      <c r="AB20" s="30" t="n">
        <v>0</v>
      </c>
      <c r="AC20" s="33" t="inlineStr">
        <is>
          <t>Non spécifié</t>
        </is>
      </c>
      <c r="AD20" s="33" t="inlineStr">
        <is>
          <t>Zone des Trois Frontières sous tension extrême</t>
        </is>
      </c>
      <c r="AE20" s="32">
        <f>ROUND(2*6371*ASIN(SQRT(SIN(RADIANS(J20-LAT_BAMAKO)/2)^2+COS(RADIANS(LAT_BAMAKO))*COS(RADIANS(J20))*SIN(RADIANS(K20-LON_BAMAKO)/2)^2)),0)</f>
        <v/>
      </c>
      <c r="AF20" s="32">
        <f>IF(AE20&lt;=SEUIL_KM,"Oui","Non")</f>
        <v/>
      </c>
      <c r="AG20" s="30" t="inlineStr">
        <is>
          <t>Partiellement corroboré</t>
        </is>
      </c>
      <c r="AH20" s="32" t="inlineStr">
        <is>
          <t>Non</t>
        </is>
      </c>
      <c r="AI20" s="33" t="inlineStr">
        <is>
          <t>Brant P., Naïm TOURÉ</t>
        </is>
      </c>
      <c r="AJ20" s="36">
        <f>HYPERLINK("https://www.openstreetmap.org/?mlat="&amp;SUBSTITUTE(J20&amp;"",",",".")&amp;"&amp;mlon="&amp;SUBSTITUTE(K20&amp;"",",",".")&amp;"#map=11/"&amp;SUBSTITUTE(J20&amp;"",",",".")&amp;"/"&amp;SUBSTITUTE(K20&amp;"",",","."),"OSM ↗")</f>
        <v/>
      </c>
      <c r="AK20" s="36">
        <f>HYPERLINK("https://www.google.com/maps/search/?api=1&amp;query="&amp;SUBSTITUTE(J20&amp;"",",",".")&amp;"%2C"&amp;SUBSTITUTE(K20&amp;"",",","."),"Google ↗")</f>
        <v/>
      </c>
      <c r="AL20" s="36">
        <f>HYPERLINK(URL_TABLEAU&amp;"#"&amp;A20,"Dossier ↗")</f>
        <v/>
      </c>
    </row>
    <row r="21" ht="48" customHeight="1">
      <c r="A21" s="30" t="inlineStr">
        <is>
          <t>INC-2026-020</t>
        </is>
      </c>
      <c r="B21" s="31" t="n">
        <v>46294</v>
      </c>
      <c r="C21" s="32">
        <f>WEEKNUM(B21,21)</f>
        <v/>
      </c>
      <c r="D21" s="32">
        <f>IF(B21&lt;P_DEBUT_P2,"P1","P2")</f>
        <v/>
      </c>
      <c r="E21" s="30" t="inlineStr">
        <is>
          <t>Mali</t>
        </is>
      </c>
      <c r="F21" s="30" t="inlineStr">
        <is>
          <t>Tombouctou</t>
        </is>
      </c>
      <c r="G21" s="30" t="inlineStr">
        <is>
          <t>Goundam</t>
        </is>
      </c>
      <c r="H21" s="33" t="inlineStr">
        <is>
          <t>Tombouctou</t>
        </is>
      </c>
      <c r="I21" s="33" t="inlineStr">
        <is>
          <t>Goundam</t>
        </is>
      </c>
      <c r="J21" s="34" t="n">
        <v>16.4167</v>
      </c>
      <c r="K21" s="34" t="n">
        <v>-3.6667</v>
      </c>
      <c r="L21" s="30" t="inlineStr">
        <is>
          <t>Localité</t>
        </is>
      </c>
      <c r="M21" s="33" t="inlineStr">
        <is>
          <t>Frappe Drone Kamikaze</t>
        </is>
      </c>
      <c r="N21" s="30" t="inlineStr">
        <is>
          <t>Drone armé (FPV)</t>
        </is>
      </c>
      <c r="O21" s="30" t="inlineStr">
        <is>
          <t>FLA</t>
        </is>
      </c>
      <c r="P21" s="33" t="inlineStr">
        <is>
          <t>FLA / Armée de l'Azawad</t>
        </is>
      </c>
      <c r="Q21" s="30" t="inlineStr">
        <is>
          <t>FAMa / Africa Corps</t>
        </is>
      </c>
      <c r="R21" s="33" t="inlineStr">
        <is>
          <t>FAMa / Africa Corps</t>
        </is>
      </c>
      <c r="S21" s="33" t="inlineStr">
        <is>
          <t>Frappe de drones FPV kamikazes menée par le FLA contre le camp militaire mixte de Goundam.</t>
        </is>
      </c>
      <c r="T21" s="30" t="n">
        <v>0</v>
      </c>
      <c r="U21" s="30" t="n">
        <v>0</v>
      </c>
      <c r="V21" s="30" t="n">
        <v>2</v>
      </c>
      <c r="W21" s="30" t="n">
        <v>3</v>
      </c>
      <c r="X21" s="30" t="n">
        <v>0</v>
      </c>
      <c r="Y21" s="35">
        <f>T21+V21+W21+X21</f>
        <v/>
      </c>
      <c r="Z21" s="30" t="n">
        <v>0</v>
      </c>
      <c r="AA21" s="30" t="n">
        <v>1</v>
      </c>
      <c r="AB21" s="30" t="n">
        <v>0</v>
      </c>
      <c r="AC21" s="33" t="inlineStr">
        <is>
          <t>Aucun</t>
        </is>
      </c>
      <c r="AD21" s="33" t="inlineStr">
        <is>
          <t>Installations du camp touchées</t>
        </is>
      </c>
      <c r="AE21" s="32">
        <f>ROUND(2*6371*ASIN(SQRT(SIN(RADIANS(J21-LAT_BAMAKO)/2)^2+COS(RADIANS(LAT_BAMAKO))*COS(RADIANS(J21))*SIN(RADIANS(K21-LON_BAMAKO)/2)^2)),0)</f>
        <v/>
      </c>
      <c r="AF21" s="32">
        <f>IF(AE21&lt;=SEUIL_KM,"Oui","Non")</f>
        <v/>
      </c>
      <c r="AG21" s="30" t="inlineStr">
        <is>
          <t>Source partisane seule</t>
        </is>
      </c>
      <c r="AH21" s="32" t="inlineStr">
        <is>
          <t>Oui</t>
        </is>
      </c>
      <c r="AI21" s="33" t="inlineStr">
        <is>
          <t>FLA, Naïm TOURÉ</t>
        </is>
      </c>
      <c r="AJ21" s="36">
        <f>HYPERLINK("https://www.openstreetmap.org/?mlat="&amp;SUBSTITUTE(J21&amp;"",",",".")&amp;"&amp;mlon="&amp;SUBSTITUTE(K21&amp;"",",",".")&amp;"#map=11/"&amp;SUBSTITUTE(J21&amp;"",",",".")&amp;"/"&amp;SUBSTITUTE(K21&amp;"",",","."),"OSM ↗")</f>
        <v/>
      </c>
      <c r="AK21" s="36">
        <f>HYPERLINK("https://www.google.com/maps/search/?api=1&amp;query="&amp;SUBSTITUTE(J21&amp;"",",",".")&amp;"%2C"&amp;SUBSTITUTE(K21&amp;"",",","."),"Google ↗")</f>
        <v/>
      </c>
      <c r="AL21" s="36">
        <f>HYPERLINK(URL_TABLEAU&amp;"#"&amp;A21,"Dossier ↗")</f>
        <v/>
      </c>
    </row>
    <row r="22" ht="48" customHeight="1">
      <c r="A22" s="30" t="inlineStr">
        <is>
          <t>INC-2026-021</t>
        </is>
      </c>
      <c r="B22" s="31" t="n">
        <v>46299</v>
      </c>
      <c r="C22" s="32">
        <f>WEEKNUM(B22,21)</f>
        <v/>
      </c>
      <c r="D22" s="32">
        <f>IF(B22&lt;P_DEBUT_P2,"P1","P2")</f>
        <v/>
      </c>
      <c r="E22" s="30" t="inlineStr">
        <is>
          <t>Mali</t>
        </is>
      </c>
      <c r="F22" s="30" t="inlineStr">
        <is>
          <t>Sikasso</t>
        </is>
      </c>
      <c r="G22" s="30" t="inlineStr">
        <is>
          <t>Koutiala</t>
        </is>
      </c>
      <c r="H22" s="33" t="inlineStr">
        <is>
          <t>Sikasso / Koutiala</t>
        </is>
      </c>
      <c r="I22" s="33" t="inlineStr">
        <is>
          <t>Tieri / Tiéré</t>
        </is>
      </c>
      <c r="J22" s="34" t="n">
        <v>12.3833</v>
      </c>
      <c r="K22" s="34" t="n">
        <v>-5.4667</v>
      </c>
      <c r="L22" s="30" t="inlineStr">
        <is>
          <t>Localité</t>
        </is>
      </c>
      <c r="M22" s="33" t="inlineStr">
        <is>
          <t>Bombardement Aérien / Bavure Civile</t>
        </is>
      </c>
      <c r="N22" s="30" t="inlineStr">
        <is>
          <t>Frappe aérienne étatique</t>
        </is>
      </c>
      <c r="O22" s="30" t="inlineStr">
        <is>
          <t>FAMa / Africa Corps</t>
        </is>
      </c>
      <c r="P22" s="33" t="inlineStr">
        <is>
          <t>FAMa (Aviation)</t>
        </is>
      </c>
      <c r="Q22" s="30" t="inlineStr">
        <is>
          <t>Civils</t>
        </is>
      </c>
      <c r="R22" s="33" t="inlineStr">
        <is>
          <t>Base présumée terroriste (Village civil)</t>
        </is>
      </c>
      <c r="S22" s="33" t="inlineStr">
        <is>
          <t>Frappe aérienne de l'armée sur le village de Tieri au sud-est de Tiéré. Tue 2 enfants et 1 femme, 1 blessé.</t>
        </is>
      </c>
      <c r="T22" s="30" t="n">
        <v>3</v>
      </c>
      <c r="U22" s="30" t="n">
        <v>1</v>
      </c>
      <c r="V22" s="30" t="n">
        <v>0</v>
      </c>
      <c r="W22" s="30" t="n">
        <v>0</v>
      </c>
      <c r="X22" s="30" t="n">
        <v>0</v>
      </c>
      <c r="Y22" s="35">
        <f>T22+V22+W22+X22</f>
        <v/>
      </c>
      <c r="Z22" s="30" t="n">
        <v>0</v>
      </c>
      <c r="AA22" s="30" t="n">
        <v>0</v>
      </c>
      <c r="AB22" s="30" t="n">
        <v>0</v>
      </c>
      <c r="AC22" s="33" t="inlineStr">
        <is>
          <t>Aucun</t>
        </is>
      </c>
      <c r="AD22" s="33" t="inlineStr">
        <is>
          <t>Habitations civiles détruites</t>
        </is>
      </c>
      <c r="AE22" s="32">
        <f>ROUND(2*6371*ASIN(SQRT(SIN(RADIANS(J22-LAT_BAMAKO)/2)^2+COS(RADIANS(LAT_BAMAKO))*COS(RADIANS(J22))*SIN(RADIANS(K22-LON_BAMAKO)/2)^2)),0)</f>
        <v/>
      </c>
      <c r="AF22" s="32">
        <f>IF(AE22&lt;=SEUIL_KM,"Oui","Non")</f>
        <v/>
      </c>
      <c r="AG22" s="30" t="inlineStr">
        <is>
          <t>Partiellement corroboré</t>
        </is>
      </c>
      <c r="AH22" s="32" t="inlineStr">
        <is>
          <t>Non</t>
        </is>
      </c>
      <c r="AI22" s="33" t="inlineStr">
        <is>
          <t>AzZalaqa, État-Major FAMa, Ghana C. Monitor, Naïm TOURÉ</t>
        </is>
      </c>
      <c r="AJ22" s="36">
        <f>HYPERLINK("https://www.openstreetmap.org/?mlat="&amp;SUBSTITUTE(J22&amp;"",",",".")&amp;"&amp;mlon="&amp;SUBSTITUTE(K22&amp;"",",",".")&amp;"#map=11/"&amp;SUBSTITUTE(J22&amp;"",",",".")&amp;"/"&amp;SUBSTITUTE(K22&amp;"",",","."),"OSM ↗")</f>
        <v/>
      </c>
      <c r="AK22" s="36">
        <f>HYPERLINK("https://www.google.com/maps/search/?api=1&amp;query="&amp;SUBSTITUTE(J22&amp;"",",",".")&amp;"%2C"&amp;SUBSTITUTE(K22&amp;"",",","."),"Google ↗")</f>
        <v/>
      </c>
      <c r="AL22" s="36">
        <f>HYPERLINK(URL_TABLEAU&amp;"#"&amp;A22,"Dossier ↗")</f>
        <v/>
      </c>
    </row>
    <row r="23" ht="48" customHeight="1">
      <c r="A23" s="30" t="inlineStr">
        <is>
          <t>INC-2026-022</t>
        </is>
      </c>
      <c r="B23" s="31" t="n">
        <v>46300</v>
      </c>
      <c r="C23" s="32">
        <f>WEEKNUM(B23,21)</f>
        <v/>
      </c>
      <c r="D23" s="32">
        <f>IF(B23&lt;P_DEBUT_P2,"P1","P2")</f>
        <v/>
      </c>
      <c r="E23" s="30" t="inlineStr">
        <is>
          <t>Mali</t>
        </is>
      </c>
      <c r="F23" s="30" t="inlineStr">
        <is>
          <t>Kidal</t>
        </is>
      </c>
      <c r="G23" s="30" t="inlineStr">
        <is>
          <t>Tessalit</t>
        </is>
      </c>
      <c r="H23" s="33" t="inlineStr">
        <is>
          <t>Kidal / Mopti</t>
        </is>
      </c>
      <c r="I23" s="33" t="inlineStr">
        <is>
          <t>Anéfif, Djenné, Kidal, Tinzaouatène</t>
        </is>
      </c>
      <c r="J23" s="34" t="n">
        <v>19.9833</v>
      </c>
      <c r="K23" s="34" t="n">
        <v>0.5833</v>
      </c>
      <c r="L23" s="30" t="inlineStr">
        <is>
          <t>Localité</t>
        </is>
      </c>
      <c r="M23" s="33" t="inlineStr">
        <is>
          <t>Campagne de Frappes Aériennes</t>
        </is>
      </c>
      <c r="N23" s="30" t="inlineStr">
        <is>
          <t>Frappe aérienne étatique</t>
        </is>
      </c>
      <c r="O23" s="30" t="inlineStr">
        <is>
          <t>FAMa / Africa Corps</t>
        </is>
      </c>
      <c r="P23" s="33" t="inlineStr">
        <is>
          <t>FAMa (Drones &amp; Chasseurs)</t>
        </is>
      </c>
      <c r="Q23" s="30" t="inlineStr">
        <is>
          <t>Groupes armés</t>
        </is>
      </c>
      <c r="R23" s="33" t="inlineStr">
        <is>
          <t>Positions JNIM / FLA</t>
        </is>
      </c>
      <c r="S23" s="33" t="inlineStr">
        <is>
          <t>Vaste campagne de frappes aériennes sur plusieurs positions clés des groupes armés à Anéfif, Djenné, Kidal et Tinzaouatène.</t>
        </is>
      </c>
      <c r="T23" s="30" t="n">
        <v>0</v>
      </c>
      <c r="U23" s="30" t="n">
        <v>0</v>
      </c>
      <c r="V23" s="30" t="n">
        <v>0</v>
      </c>
      <c r="W23" s="30" t="n">
        <v>0</v>
      </c>
      <c r="X23" s="30" t="n">
        <v>15</v>
      </c>
      <c r="Y23" s="35">
        <f>T23+V23+W23+X23</f>
        <v/>
      </c>
      <c r="Z23" s="30" t="n">
        <v>0</v>
      </c>
      <c r="AA23" s="30" t="n">
        <v>3</v>
      </c>
      <c r="AB23" s="30" t="n">
        <v>0</v>
      </c>
      <c r="AC23" s="33" t="inlineStr">
        <is>
          <t>Aucun</t>
        </is>
      </c>
      <c r="AD23" s="33" t="inlineStr">
        <is>
          <t>Bases logistiques ennemies pilonnées</t>
        </is>
      </c>
      <c r="AE23" s="32">
        <f>ROUND(2*6371*ASIN(SQRT(SIN(RADIANS(J23-LAT_BAMAKO)/2)^2+COS(RADIANS(LAT_BAMAKO))*COS(RADIANS(J23))*SIN(RADIANS(K23-LON_BAMAKO)/2)^2)),0)</f>
        <v/>
      </c>
      <c r="AF23" s="32">
        <f>IF(AE23&lt;=SEUIL_KM,"Oui","Non")</f>
        <v/>
      </c>
      <c r="AG23" s="30" t="inlineStr">
        <is>
          <t>Partiellement corroboré</t>
        </is>
      </c>
      <c r="AH23" s="32" t="inlineStr">
        <is>
          <t>Non</t>
        </is>
      </c>
      <c r="AI23" s="33" t="inlineStr">
        <is>
          <t>État-Major FAMa, Hasret K., Naïm TOURÉ</t>
        </is>
      </c>
      <c r="AJ23" s="36">
        <f>HYPERLINK("https://www.openstreetmap.org/?mlat="&amp;SUBSTITUTE(J23&amp;"",",",".")&amp;"&amp;mlon="&amp;SUBSTITUTE(K23&amp;"",",",".")&amp;"#map=11/"&amp;SUBSTITUTE(J23&amp;"",",",".")&amp;"/"&amp;SUBSTITUTE(K23&amp;"",",","."),"OSM ↗")</f>
        <v/>
      </c>
      <c r="AK23" s="36">
        <f>HYPERLINK("https://www.google.com/maps/search/?api=1&amp;query="&amp;SUBSTITUTE(J23&amp;"",",",".")&amp;"%2C"&amp;SUBSTITUTE(K23&amp;"",",","."),"Google ↗")</f>
        <v/>
      </c>
      <c r="AL23" s="36">
        <f>HYPERLINK(URL_TABLEAU&amp;"#"&amp;A23,"Dossier ↗")</f>
        <v/>
      </c>
    </row>
    <row r="24" ht="48" customHeight="1">
      <c r="A24" s="30" t="inlineStr">
        <is>
          <t>INC-2026-023</t>
        </is>
      </c>
      <c r="B24" s="31" t="n">
        <v>46302</v>
      </c>
      <c r="C24" s="32">
        <f>WEEKNUM(B24,21)</f>
        <v/>
      </c>
      <c r="D24" s="32">
        <f>IF(B24&lt;P_DEBUT_P2,"P1","P2")</f>
        <v/>
      </c>
      <c r="E24" s="30" t="inlineStr">
        <is>
          <t>Mali</t>
        </is>
      </c>
      <c r="F24" s="30" t="inlineStr">
        <is>
          <t>Sikasso</t>
        </is>
      </c>
      <c r="G24" s="30" t="inlineStr">
        <is>
          <t>Sikasso</t>
        </is>
      </c>
      <c r="H24" s="33" t="inlineStr">
        <is>
          <t>Sikasso</t>
        </is>
      </c>
      <c r="I24" s="33" t="inlineStr">
        <is>
          <t>Kourouma</t>
        </is>
      </c>
      <c r="J24" s="34" t="n">
        <v>11.35</v>
      </c>
      <c r="K24" s="34" t="n">
        <v>-5.8167</v>
      </c>
      <c r="L24" s="30" t="inlineStr">
        <is>
          <t>Localité</t>
        </is>
      </c>
      <c r="M24" s="33" t="inlineStr">
        <is>
          <t>Attaque de Poste / Infiltration Sud</t>
        </is>
      </c>
      <c r="N24" s="30" t="inlineStr">
        <is>
          <t>Attaque de poste / camp</t>
        </is>
      </c>
      <c r="O24" s="30" t="inlineStr">
        <is>
          <t>JNIM</t>
        </is>
      </c>
      <c r="P24" s="33" t="inlineStr">
        <is>
          <t>JNIM</t>
        </is>
      </c>
      <c r="Q24" s="30" t="inlineStr">
        <is>
          <t>FAMa / Africa Corps</t>
        </is>
      </c>
      <c r="R24" s="33" t="inlineStr">
        <is>
          <t>Poste de l'armée malienne</t>
        </is>
      </c>
      <c r="S24" s="33" t="inlineStr">
        <is>
          <t>Le JNIM prend le contrôle total d'un poste militaire à Kourouma dans la région méridionale de Sikasso.</t>
        </is>
      </c>
      <c r="T24" s="30" t="n">
        <v>0</v>
      </c>
      <c r="U24" s="30" t="n">
        <v>0</v>
      </c>
      <c r="V24" s="30" t="n">
        <v>2</v>
      </c>
      <c r="W24" s="30" t="n">
        <v>0</v>
      </c>
      <c r="X24" s="30" t="n">
        <v>0</v>
      </c>
      <c r="Y24" s="35">
        <f>T24+V24+W24+X24</f>
        <v/>
      </c>
      <c r="Z24" s="30" t="n">
        <v>0</v>
      </c>
      <c r="AA24" s="30" t="n">
        <v>1</v>
      </c>
      <c r="AB24" s="30" t="n">
        <v>1</v>
      </c>
      <c r="AC24" s="33" t="inlineStr">
        <is>
          <t>Armes et munitions</t>
        </is>
      </c>
      <c r="AD24" s="33" t="inlineStr">
        <is>
          <t>Poste militaire saccagé</t>
        </is>
      </c>
      <c r="AE24" s="32">
        <f>ROUND(2*6371*ASIN(SQRT(SIN(RADIANS(J24-LAT_BAMAKO)/2)^2+COS(RADIANS(LAT_BAMAKO))*COS(RADIANS(J24))*SIN(RADIANS(K24-LON_BAMAKO)/2)^2)),0)</f>
        <v/>
      </c>
      <c r="AF24" s="32">
        <f>IF(AE24&lt;=SEUIL_KM,"Oui","Non")</f>
        <v/>
      </c>
      <c r="AG24" s="30" t="inlineStr">
        <is>
          <t>Partiellement corroboré</t>
        </is>
      </c>
      <c r="AH24" s="32" t="inlineStr">
        <is>
          <t>Non</t>
        </is>
      </c>
      <c r="AI24" s="33" t="inlineStr">
        <is>
          <t>AzZalaqa, Sahel Alerte, Naïm TOURÉ</t>
        </is>
      </c>
      <c r="AJ24" s="36">
        <f>HYPERLINK("https://www.openstreetmap.org/?mlat="&amp;SUBSTITUTE(J24&amp;"",",",".")&amp;"&amp;mlon="&amp;SUBSTITUTE(K24&amp;"",",",".")&amp;"#map=11/"&amp;SUBSTITUTE(J24&amp;"",",",".")&amp;"/"&amp;SUBSTITUTE(K24&amp;"",",","."),"OSM ↗")</f>
        <v/>
      </c>
      <c r="AK24" s="36">
        <f>HYPERLINK("https://www.google.com/maps/search/?api=1&amp;query="&amp;SUBSTITUTE(J24&amp;"",",",".")&amp;"%2C"&amp;SUBSTITUTE(K24&amp;"",",","."),"Google ↗")</f>
        <v/>
      </c>
      <c r="AL24" s="36">
        <f>HYPERLINK(URL_TABLEAU&amp;"#"&amp;A24,"Dossier ↗")</f>
        <v/>
      </c>
    </row>
    <row r="25" ht="48" customHeight="1">
      <c r="A25" s="30" t="inlineStr">
        <is>
          <t>INC-2026-024</t>
        </is>
      </c>
      <c r="B25" s="31" t="n">
        <v>46303</v>
      </c>
      <c r="C25" s="32">
        <f>WEEKNUM(B25,21)</f>
        <v/>
      </c>
      <c r="D25" s="32">
        <f>IF(B25&lt;P_DEBUT_P2,"P1","P2")</f>
        <v/>
      </c>
      <c r="E25" s="30" t="inlineStr">
        <is>
          <t>Mali</t>
        </is>
      </c>
      <c r="F25" s="30" t="inlineStr">
        <is>
          <t>Tombouctou</t>
        </is>
      </c>
      <c r="G25" s="30" t="inlineStr">
        <is>
          <t>Diré</t>
        </is>
      </c>
      <c r="H25" s="33" t="inlineStr">
        <is>
          <t>Tombouctou</t>
        </is>
      </c>
      <c r="I25" s="33" t="inlineStr">
        <is>
          <t>Koïgama</t>
        </is>
      </c>
      <c r="J25" s="34" t="n">
        <v>16.2</v>
      </c>
      <c r="K25" s="34" t="n">
        <v>-3.2</v>
      </c>
      <c r="L25" s="30" t="inlineStr">
        <is>
          <t>Zone (±10 km)</t>
        </is>
      </c>
      <c r="M25" s="33" t="inlineStr">
        <is>
          <t>Engin Explosif Improvisé (EEI)</t>
        </is>
      </c>
      <c r="N25" s="30" t="inlineStr">
        <is>
          <t>EEI</t>
        </is>
      </c>
      <c r="O25" s="30" t="inlineStr">
        <is>
          <t>JNIM</t>
        </is>
      </c>
      <c r="P25" s="33" t="inlineStr">
        <is>
          <t>JNIM</t>
        </is>
      </c>
      <c r="Q25" s="30" t="inlineStr">
        <is>
          <t>FAMa / Africa Corps</t>
        </is>
      </c>
      <c r="R25" s="33" t="inlineStr">
        <is>
          <t>FAMa / Africa Corps</t>
        </is>
      </c>
      <c r="S25" s="33" t="inlineStr">
        <is>
          <t>Attaque à l'EEI détruisant un véhicule blindé. Tous les occupants civils/militaires russes et maliens tués sur le coup.</t>
        </is>
      </c>
      <c r="T25" s="30" t="n">
        <v>0</v>
      </c>
      <c r="U25" s="30" t="n">
        <v>0</v>
      </c>
      <c r="V25" s="30" t="n">
        <v>3</v>
      </c>
      <c r="W25" s="30" t="n">
        <v>4</v>
      </c>
      <c r="X25" s="30" t="n">
        <v>0</v>
      </c>
      <c r="Y25" s="35">
        <f>T25+V25+W25+X25</f>
        <v/>
      </c>
      <c r="Z25" s="30" t="n">
        <v>0</v>
      </c>
      <c r="AA25" s="30" t="n">
        <v>1</v>
      </c>
      <c r="AB25" s="30" t="n">
        <v>0</v>
      </c>
      <c r="AC25" s="33" t="inlineStr">
        <is>
          <t>Aucun</t>
        </is>
      </c>
      <c r="AD25" s="33" t="inlineStr">
        <is>
          <t>Véhicule détruit par EEI</t>
        </is>
      </c>
      <c r="AE25" s="32">
        <f>ROUND(2*6371*ASIN(SQRT(SIN(RADIANS(J25-LAT_BAMAKO)/2)^2+COS(RADIANS(LAT_BAMAKO))*COS(RADIANS(J25))*SIN(RADIANS(K25-LON_BAMAKO)/2)^2)),0)</f>
        <v/>
      </c>
      <c r="AF25" s="32">
        <f>IF(AE25&lt;=SEUIL_KM,"Oui","Non")</f>
        <v/>
      </c>
      <c r="AG25" s="30" t="inlineStr">
        <is>
          <t>Partiellement corroboré</t>
        </is>
      </c>
      <c r="AH25" s="32" t="inlineStr">
        <is>
          <t>Non</t>
        </is>
      </c>
      <c r="AI25" s="33" t="inlineStr">
        <is>
          <t>AzZalaqa, Sahel Alerte, Naïm TOURÉ</t>
        </is>
      </c>
      <c r="AJ25" s="36">
        <f>HYPERLINK("https://www.openstreetmap.org/?mlat="&amp;SUBSTITUTE(J25&amp;"",",",".")&amp;"&amp;mlon="&amp;SUBSTITUTE(K25&amp;"",",",".")&amp;"#map=11/"&amp;SUBSTITUTE(J25&amp;"",",",".")&amp;"/"&amp;SUBSTITUTE(K25&amp;"",",","."),"OSM ↗")</f>
        <v/>
      </c>
      <c r="AK25" s="36">
        <f>HYPERLINK("https://www.google.com/maps/search/?api=1&amp;query="&amp;SUBSTITUTE(J25&amp;"",",",".")&amp;"%2C"&amp;SUBSTITUTE(K25&amp;"",",","."),"Google ↗")</f>
        <v/>
      </c>
      <c r="AL25" s="36">
        <f>HYPERLINK(URL_TABLEAU&amp;"#"&amp;A25,"Dossier ↗")</f>
        <v/>
      </c>
    </row>
    <row r="26" ht="48" customHeight="1">
      <c r="A26" s="30" t="inlineStr">
        <is>
          <t>INC-2026-025</t>
        </is>
      </c>
      <c r="B26" s="31" t="n">
        <v>46304</v>
      </c>
      <c r="C26" s="32">
        <f>WEEKNUM(B26,21)</f>
        <v/>
      </c>
      <c r="D26" s="32">
        <f>IF(B26&lt;P_DEBUT_P2,"P1","P2")</f>
        <v/>
      </c>
      <c r="E26" s="30" t="inlineStr">
        <is>
          <t>Burkina Faso</t>
        </is>
      </c>
      <c r="F26" s="30" t="inlineStr">
        <is>
          <t>Hors Mali (Burkina Faso)</t>
        </is>
      </c>
      <c r="G26" s="30" t="inlineStr">
        <is>
          <t>—</t>
        </is>
      </c>
      <c r="H26" s="33" t="inlineStr">
        <is>
          <t>Oudalan (Sahel)</t>
        </is>
      </c>
      <c r="I26" s="33" t="inlineStr">
        <is>
          <t>Ganadaouri / Arbinda / Tin-Akoff</t>
        </is>
      </c>
      <c r="J26" s="34" t="n">
        <v>14.8</v>
      </c>
      <c r="K26" s="34" t="n">
        <v>-0.25</v>
      </c>
      <c r="L26" s="30" t="inlineStr">
        <is>
          <t>Zone (±10 km)</t>
        </is>
      </c>
      <c r="M26" s="33" t="inlineStr">
        <is>
          <t>Bataille Majeure Inter-terroriste</t>
        </is>
      </c>
      <c r="N26" s="30" t="inlineStr">
        <is>
          <t>Affrontement JNIM–EIS</t>
        </is>
      </c>
      <c r="O26" s="30" t="inlineStr">
        <is>
          <t>JNIM</t>
        </is>
      </c>
      <c r="P26" s="33" t="inlineStr">
        <is>
          <t>JNIM vs EI-Sahel (EIS)</t>
        </is>
      </c>
      <c r="Q26" s="30" t="inlineStr">
        <is>
          <t>Groupes armés</t>
        </is>
      </c>
      <c r="R26" s="33" t="inlineStr">
        <is>
          <t>JNIM / EIS</t>
        </is>
      </c>
      <c r="S26" s="33" t="inlineStr">
        <is>
          <t>La bataille la plus meurtrière enregistrée au Sahel : environ 400 combattants du JNIM tués lors d'une offensive repoussée par l'EIS à Ganadaouri.</t>
        </is>
      </c>
      <c r="T26" s="30" t="n">
        <v>0</v>
      </c>
      <c r="U26" s="30" t="n">
        <v>0</v>
      </c>
      <c r="V26" s="30" t="n">
        <v>0</v>
      </c>
      <c r="W26" s="30" t="n">
        <v>0</v>
      </c>
      <c r="X26" s="30" t="n">
        <v>400</v>
      </c>
      <c r="Y26" s="35">
        <f>T26+V26+W26+X26</f>
        <v/>
      </c>
      <c r="Z26" s="30" t="n">
        <v>0</v>
      </c>
      <c r="AA26" s="30" t="n">
        <v>50</v>
      </c>
      <c r="AB26" s="30" t="n">
        <v>30</v>
      </c>
      <c r="AC26" s="33" t="inlineStr">
        <is>
          <t>Stock massif d'armes et motos</t>
        </is>
      </c>
      <c r="AD26" s="33" t="inlineStr">
        <is>
          <t>Repositionnement tactique majeur de l'EIS</t>
        </is>
      </c>
      <c r="AE26" s="32">
        <f>ROUND(2*6371*ASIN(SQRT(SIN(RADIANS(J26-LAT_BAMAKO)/2)^2+COS(RADIANS(LAT_BAMAKO))*COS(RADIANS(J26))*SIN(RADIANS(K26-LON_BAMAKO)/2)^2)),0)</f>
        <v/>
      </c>
      <c r="AF26" s="32">
        <f>IF(AE26&lt;=SEUIL_KM,"Oui","Non")</f>
        <v/>
      </c>
      <c r="AG26" s="30" t="inlineStr">
        <is>
          <t>Corroboré</t>
        </is>
      </c>
      <c r="AH26" s="32" t="inlineStr">
        <is>
          <t>Non</t>
        </is>
      </c>
      <c r="AI26" s="33" t="inlineStr">
        <is>
          <t>Amaq, Acled (Héni Nsaibia), Wamaps, Naïm TOURÉ</t>
        </is>
      </c>
      <c r="AJ26" s="36">
        <f>HYPERLINK("https://www.openstreetmap.org/?mlat="&amp;SUBSTITUTE(J26&amp;"",",",".")&amp;"&amp;mlon="&amp;SUBSTITUTE(K26&amp;"",",",".")&amp;"#map=11/"&amp;SUBSTITUTE(J26&amp;"",",",".")&amp;"/"&amp;SUBSTITUTE(K26&amp;"",",","."),"OSM ↗")</f>
        <v/>
      </c>
      <c r="AK26" s="36">
        <f>HYPERLINK("https://www.google.com/maps/search/?api=1&amp;query="&amp;SUBSTITUTE(J26&amp;"",",",".")&amp;"%2C"&amp;SUBSTITUTE(K26&amp;"",",","."),"Google ↗")</f>
        <v/>
      </c>
      <c r="AL26" s="36">
        <f>HYPERLINK(URL_TABLEAU&amp;"#"&amp;A26,"Dossier ↗")</f>
        <v/>
      </c>
    </row>
    <row r="27" ht="48" customHeight="1">
      <c r="A27" s="30" t="inlineStr">
        <is>
          <t>INC-2026-026</t>
        </is>
      </c>
      <c r="B27" s="31" t="n">
        <v>46305</v>
      </c>
      <c r="C27" s="32">
        <f>WEEKNUM(B27,21)</f>
        <v/>
      </c>
      <c r="D27" s="32">
        <f>IF(B27&lt;P_DEBUT_P2,"P1","P2")</f>
        <v/>
      </c>
      <c r="E27" s="30" t="inlineStr">
        <is>
          <t>Mali</t>
        </is>
      </c>
      <c r="F27" s="30" t="inlineStr">
        <is>
          <t>Tombouctou</t>
        </is>
      </c>
      <c r="G27" s="30" t="inlineStr">
        <is>
          <t>Niafunké</t>
        </is>
      </c>
      <c r="H27" s="33" t="inlineStr">
        <is>
          <t>Tombouctou</t>
        </is>
      </c>
      <c r="I27" s="33" t="inlineStr">
        <is>
          <t>Soumpi</t>
        </is>
      </c>
      <c r="J27" s="34" t="n">
        <v>15.8333</v>
      </c>
      <c r="K27" s="34" t="n">
        <v>-4.2167</v>
      </c>
      <c r="L27" s="30" t="inlineStr">
        <is>
          <t>Localité</t>
        </is>
      </c>
      <c r="M27" s="33" t="inlineStr">
        <is>
          <t>Frappe Drone FPV</t>
        </is>
      </c>
      <c r="N27" s="30" t="inlineStr">
        <is>
          <t>Drone armé (FPV)</t>
        </is>
      </c>
      <c r="O27" s="30" t="inlineStr">
        <is>
          <t>FLA</t>
        </is>
      </c>
      <c r="P27" s="33" t="inlineStr">
        <is>
          <t>Armée de l'Azawad (FLA)</t>
        </is>
      </c>
      <c r="Q27" s="30" t="inlineStr">
        <is>
          <t>FAMa / Africa Corps</t>
        </is>
      </c>
      <c r="R27" s="33" t="inlineStr">
        <is>
          <t>FAMa / Africa Corps</t>
        </is>
      </c>
      <c r="S27" s="33" t="inlineStr">
        <is>
          <t>Attaque par drones kamikazes FPV détruisant un véhicule de combat transportant une arme lourde.</t>
        </is>
      </c>
      <c r="T27" s="30" t="n">
        <v>0</v>
      </c>
      <c r="U27" s="30" t="n">
        <v>0</v>
      </c>
      <c r="V27" s="30" t="n">
        <v>1</v>
      </c>
      <c r="W27" s="30" t="n">
        <v>2</v>
      </c>
      <c r="X27" s="30" t="n">
        <v>0</v>
      </c>
      <c r="Y27" s="35">
        <f>T27+V27+W27+X27</f>
        <v/>
      </c>
      <c r="Z27" s="30" t="n">
        <v>0</v>
      </c>
      <c r="AA27" s="30" t="n">
        <v>1</v>
      </c>
      <c r="AB27" s="30" t="n">
        <v>0</v>
      </c>
      <c r="AC27" s="33" t="inlineStr">
        <is>
          <t>Aucun</t>
        </is>
      </c>
      <c r="AD27" s="33" t="inlineStr">
        <is>
          <t>Véhicule avec arme lourde détruit</t>
        </is>
      </c>
      <c r="AE27" s="32">
        <f>ROUND(2*6371*ASIN(SQRT(SIN(RADIANS(J27-LAT_BAMAKO)/2)^2+COS(RADIANS(LAT_BAMAKO))*COS(RADIANS(J27))*SIN(RADIANS(K27-LON_BAMAKO)/2)^2)),0)</f>
        <v/>
      </c>
      <c r="AF27" s="32">
        <f>IF(AE27&lt;=SEUIL_KM,"Oui","Non")</f>
        <v/>
      </c>
      <c r="AG27" s="30" t="inlineStr">
        <is>
          <t>Partiellement corroboré</t>
        </is>
      </c>
      <c r="AH27" s="32" t="inlineStr">
        <is>
          <t>Non</t>
        </is>
      </c>
      <c r="AI27" s="33" t="inlineStr">
        <is>
          <t>FLA, Sahel Alerte, Naïm TOURÉ</t>
        </is>
      </c>
      <c r="AJ27" s="36">
        <f>HYPERLINK("https://www.openstreetmap.org/?mlat="&amp;SUBSTITUTE(J27&amp;"",",",".")&amp;"&amp;mlon="&amp;SUBSTITUTE(K27&amp;"",",",".")&amp;"#map=11/"&amp;SUBSTITUTE(J27&amp;"",",",".")&amp;"/"&amp;SUBSTITUTE(K27&amp;"",",","."),"OSM ↗")</f>
        <v/>
      </c>
      <c r="AK27" s="36">
        <f>HYPERLINK("https://www.google.com/maps/search/?api=1&amp;query="&amp;SUBSTITUTE(J27&amp;"",",",".")&amp;"%2C"&amp;SUBSTITUTE(K27&amp;"",",","."),"Google ↗")</f>
        <v/>
      </c>
      <c r="AL27" s="36">
        <f>HYPERLINK(URL_TABLEAU&amp;"#"&amp;A27,"Dossier ↗")</f>
        <v/>
      </c>
    </row>
    <row r="28" ht="48" customHeight="1">
      <c r="A28" s="30" t="inlineStr">
        <is>
          <t>INC-2026-027</t>
        </is>
      </c>
      <c r="B28" s="31" t="n">
        <v>46305</v>
      </c>
      <c r="C28" s="32">
        <f>WEEKNUM(B28,21)</f>
        <v/>
      </c>
      <c r="D28" s="32">
        <f>IF(B28&lt;P_DEBUT_P2,"P1","P2")</f>
        <v/>
      </c>
      <c r="E28" s="30" t="inlineStr">
        <is>
          <t>Mali</t>
        </is>
      </c>
      <c r="F28" s="30" t="inlineStr">
        <is>
          <t>Kidal</t>
        </is>
      </c>
      <c r="G28" s="30" t="inlineStr">
        <is>
          <t>Kidal</t>
        </is>
      </c>
      <c r="H28" s="33" t="inlineStr">
        <is>
          <t>Kidal</t>
        </is>
      </c>
      <c r="I28" s="33" t="inlineStr">
        <is>
          <t>Kidal Ville</t>
        </is>
      </c>
      <c r="J28" s="34" t="n">
        <v>18.4411</v>
      </c>
      <c r="K28" s="34" t="n">
        <v>1.4078</v>
      </c>
      <c r="L28" s="30" t="inlineStr">
        <is>
          <t>Localité</t>
        </is>
      </c>
      <c r="M28" s="33" t="inlineStr">
        <is>
          <t>Reconquête Stratégique</t>
        </is>
      </c>
      <c r="N28" s="30" t="inlineStr">
        <is>
          <t>Offensive terrestre</t>
        </is>
      </c>
      <c r="O28" s="30" t="inlineStr">
        <is>
          <t>FAMa / Africa Corps</t>
        </is>
      </c>
      <c r="P28" s="33" t="inlineStr">
        <is>
          <t>FAMa / Africa Corps (~4000 hommes)</t>
        </is>
      </c>
      <c r="Q28" s="30" t="inlineStr">
        <is>
          <t>Groupes armés</t>
        </is>
      </c>
      <c r="R28" s="33" t="inlineStr">
        <is>
          <t>FLA (Cadres de l'Azawad)</t>
        </is>
      </c>
      <c r="S28" s="33" t="inlineStr">
        <is>
          <t>Victoire majeure pour les FAMa et l'AES : reprise officielle de la ville stratégique de Kidal qui était sous contrôle du FLA depuis avril 2026.</t>
        </is>
      </c>
      <c r="T28" s="30" t="n">
        <v>0</v>
      </c>
      <c r="U28" s="30" t="n">
        <v>0</v>
      </c>
      <c r="V28" s="30" t="n">
        <v>5</v>
      </c>
      <c r="W28" s="30" t="n">
        <v>3</v>
      </c>
      <c r="X28" s="30" t="n">
        <v>12</v>
      </c>
      <c r="Y28" s="35">
        <f>T28+V28+W28+X28</f>
        <v/>
      </c>
      <c r="Z28" s="30" t="n">
        <v>0</v>
      </c>
      <c r="AA28" s="30" t="n">
        <v>2</v>
      </c>
      <c r="AB28" s="30" t="n">
        <v>5</v>
      </c>
      <c r="AC28" s="33" t="inlineStr">
        <is>
          <t>Matériel militaire abandonné par le FLA</t>
        </is>
      </c>
      <c r="AD28" s="33" t="inlineStr">
        <is>
          <t>Reprise de la garnison et des bâtiments officiels de Kidal</t>
        </is>
      </c>
      <c r="AE28" s="32">
        <f>ROUND(2*6371*ASIN(SQRT(SIN(RADIANS(J28-LAT_BAMAKO)/2)^2+COS(RADIANS(LAT_BAMAKO))*COS(RADIANS(J28))*SIN(RADIANS(K28-LON_BAMAKO)/2)^2)),0)</f>
        <v/>
      </c>
      <c r="AF28" s="32">
        <f>IF(AE28&lt;=SEUIL_KM,"Oui","Non")</f>
        <v/>
      </c>
      <c r="AG28" s="30" t="inlineStr">
        <is>
          <t>Partiellement corroboré</t>
        </is>
      </c>
      <c r="AH28" s="32" t="inlineStr">
        <is>
          <t>Non</t>
        </is>
      </c>
      <c r="AI28" s="33" t="inlineStr">
        <is>
          <t>Jeune Afrique, Naïm TOURÉ</t>
        </is>
      </c>
      <c r="AJ28" s="36">
        <f>HYPERLINK("https://www.openstreetmap.org/?mlat="&amp;SUBSTITUTE(J28&amp;"",",",".")&amp;"&amp;mlon="&amp;SUBSTITUTE(K28&amp;"",",",".")&amp;"#map=11/"&amp;SUBSTITUTE(J28&amp;"",",",".")&amp;"/"&amp;SUBSTITUTE(K28&amp;"",",","."),"OSM ↗")</f>
        <v/>
      </c>
      <c r="AK28" s="36">
        <f>HYPERLINK("https://www.google.com/maps/search/?api=1&amp;query="&amp;SUBSTITUTE(J28&amp;"",",",".")&amp;"%2C"&amp;SUBSTITUTE(K28&amp;"",",","."),"Google ↗")</f>
        <v/>
      </c>
      <c r="AL28" s="36">
        <f>HYPERLINK(URL_TABLEAU&amp;"#"&amp;A28,"Dossier ↗")</f>
        <v/>
      </c>
    </row>
    <row r="29" ht="48" customHeight="1">
      <c r="A29" s="30" t="inlineStr">
        <is>
          <t>INC-2026-028</t>
        </is>
      </c>
      <c r="B29" s="31" t="n">
        <v>46306</v>
      </c>
      <c r="C29" s="32">
        <f>WEEKNUM(B29,21)</f>
        <v/>
      </c>
      <c r="D29" s="32">
        <f>IF(B29&lt;P_DEBUT_P2,"P1","P2")</f>
        <v/>
      </c>
      <c r="E29" s="30" t="inlineStr">
        <is>
          <t>Mali</t>
        </is>
      </c>
      <c r="F29" s="30" t="inlineStr">
        <is>
          <t>Gao</t>
        </is>
      </c>
      <c r="G29" s="30" t="inlineStr">
        <is>
          <t>Gao</t>
        </is>
      </c>
      <c r="H29" s="33" t="inlineStr">
        <is>
          <t>Gao</t>
        </is>
      </c>
      <c r="I29" s="33" t="inlineStr">
        <is>
          <t>Tagoudou</t>
        </is>
      </c>
      <c r="J29" s="34" t="n">
        <v>16.15</v>
      </c>
      <c r="K29" s="34" t="n">
        <v>-0.1</v>
      </c>
      <c r="L29" s="30" t="inlineStr">
        <is>
          <t>Zone (±10 km)</t>
        </is>
      </c>
      <c r="M29" s="33" t="inlineStr">
        <is>
          <t>Crash d'Aéronef / Hélicoptère</t>
        </is>
      </c>
      <c r="N29" s="30" t="inlineStr">
        <is>
          <t>Perte d'aéronef (accident)</t>
        </is>
      </c>
      <c r="O29" s="30" t="inlineStr">
        <is>
          <t>Indéterminé / accident</t>
        </is>
      </c>
      <c r="P29" s="33" t="inlineStr">
        <is>
          <t>Panne / Inconnu</t>
        </is>
      </c>
      <c r="Q29" s="30" t="inlineStr">
        <is>
          <t>FAMa / Africa Corps</t>
        </is>
      </c>
      <c r="R29" s="33" t="inlineStr">
        <is>
          <t>Africa Corps (Hélicoptère)</t>
        </is>
      </c>
      <c r="S29" s="33" t="inlineStr">
        <is>
          <t>Crash d'un hélicoptère militaire russe près de Tagoudou. Lourd bilan humain chez les mercenaires russes d'Africa Corps, évacuation d'urgence.</t>
        </is>
      </c>
      <c r="T29" s="30" t="n">
        <v>0</v>
      </c>
      <c r="U29" s="30" t="n">
        <v>0</v>
      </c>
      <c r="V29" s="30" t="n">
        <v>0</v>
      </c>
      <c r="W29" s="30" t="n">
        <v>6</v>
      </c>
      <c r="X29" s="30" t="n">
        <v>0</v>
      </c>
      <c r="Y29" s="35">
        <f>T29+V29+W29+X29</f>
        <v/>
      </c>
      <c r="Z29" s="30" t="n">
        <v>0</v>
      </c>
      <c r="AA29" s="30" t="n">
        <v>1</v>
      </c>
      <c r="AB29" s="30" t="n">
        <v>0</v>
      </c>
      <c r="AC29" s="33" t="inlineStr">
        <is>
          <t>Aucun</t>
        </is>
      </c>
      <c r="AD29" s="33" t="inlineStr">
        <is>
          <t>Aéronef pulvérisé</t>
        </is>
      </c>
      <c r="AE29" s="32">
        <f>ROUND(2*6371*ASIN(SQRT(SIN(RADIANS(J29-LAT_BAMAKO)/2)^2+COS(RADIANS(LAT_BAMAKO))*COS(RADIANS(J29))*SIN(RADIANS(K29-LON_BAMAKO)/2)^2)),0)</f>
        <v/>
      </c>
      <c r="AF29" s="32">
        <f>IF(AE29&lt;=SEUIL_KM,"Oui","Non")</f>
        <v/>
      </c>
      <c r="AG29" s="30" t="inlineStr">
        <is>
          <t>Partiellement corroboré</t>
        </is>
      </c>
      <c r="AH29" s="32" t="inlineStr">
        <is>
          <t>Non</t>
        </is>
      </c>
      <c r="AI29" s="33" t="inlineStr">
        <is>
          <t>Sahel Alerte, Naïm TOURÉ</t>
        </is>
      </c>
      <c r="AJ29" s="36">
        <f>HYPERLINK("https://www.openstreetmap.org/?mlat="&amp;SUBSTITUTE(J29&amp;"",",",".")&amp;"&amp;mlon="&amp;SUBSTITUTE(K29&amp;"",",",".")&amp;"#map=11/"&amp;SUBSTITUTE(J29&amp;"",",",".")&amp;"/"&amp;SUBSTITUTE(K29&amp;"",",","."),"OSM ↗")</f>
        <v/>
      </c>
      <c r="AK29" s="36">
        <f>HYPERLINK("https://www.google.com/maps/search/?api=1&amp;query="&amp;SUBSTITUTE(J29&amp;"",",",".")&amp;"%2C"&amp;SUBSTITUTE(K29&amp;"",",","."),"Google ↗")</f>
        <v/>
      </c>
      <c r="AL29" s="36">
        <f>HYPERLINK(URL_TABLEAU&amp;"#"&amp;A29,"Dossier ↗")</f>
        <v/>
      </c>
    </row>
    <row r="30" ht="48" customHeight="1">
      <c r="A30" s="30" t="inlineStr">
        <is>
          <t>INC-2026-029</t>
        </is>
      </c>
      <c r="B30" s="31" t="n">
        <v>46306</v>
      </c>
      <c r="C30" s="32">
        <f>WEEKNUM(B30,21)</f>
        <v/>
      </c>
      <c r="D30" s="32">
        <f>IF(B30&lt;P_DEBUT_P2,"P1","P2")</f>
        <v/>
      </c>
      <c r="E30" s="30" t="inlineStr">
        <is>
          <t>Mali</t>
        </is>
      </c>
      <c r="F30" s="30" t="inlineStr">
        <is>
          <t>Mopti</t>
        </is>
      </c>
      <c r="G30" s="30" t="inlineStr">
        <is>
          <t>Mopti</t>
        </is>
      </c>
      <c r="H30" s="33" t="inlineStr">
        <is>
          <t>Mopti</t>
        </is>
      </c>
      <c r="I30" s="33" t="inlineStr">
        <is>
          <t>Kona - Kounsa &amp; Somadougou</t>
        </is>
      </c>
      <c r="J30" s="34" t="n">
        <v>14.8</v>
      </c>
      <c r="K30" s="34" t="n">
        <v>-3.8833</v>
      </c>
      <c r="L30" s="30" t="inlineStr">
        <is>
          <t>Zone (±10 km)</t>
        </is>
      </c>
      <c r="M30" s="33" t="inlineStr">
        <is>
          <t>EEI &amp; Embuscade Dozo</t>
        </is>
      </c>
      <c r="N30" s="30" t="inlineStr">
        <is>
          <t>EEI</t>
        </is>
      </c>
      <c r="O30" s="30" t="inlineStr">
        <is>
          <t>JNIM</t>
        </is>
      </c>
      <c r="P30" s="33" t="inlineStr">
        <is>
          <t>JNIM</t>
        </is>
      </c>
      <c r="Q30" s="30" t="inlineStr">
        <is>
          <t>Milices pro-gouv.</t>
        </is>
      </c>
      <c r="R30" s="33" t="inlineStr">
        <is>
          <t>Africa Corps &amp; Milices Dozo</t>
        </is>
      </c>
      <c r="S30" s="33" t="inlineStr">
        <is>
          <t>Attaque EEI télécommandée contre Africa Corps entre Kona et Kounsa, doublée d'une embuscade contre une patrouille Dozo à Somadougou.</t>
        </is>
      </c>
      <c r="T30" s="30" t="n">
        <v>0</v>
      </c>
      <c r="U30" s="30" t="n">
        <v>0</v>
      </c>
      <c r="V30" s="30" t="n">
        <v>0</v>
      </c>
      <c r="W30" s="30" t="n">
        <v>3</v>
      </c>
      <c r="X30" s="30" t="n">
        <v>4</v>
      </c>
      <c r="Y30" s="35">
        <f>T30+V30+W30+X30</f>
        <v/>
      </c>
      <c r="Z30" s="30" t="n">
        <v>0</v>
      </c>
      <c r="AA30" s="30" t="n">
        <v>1</v>
      </c>
      <c r="AB30" s="30" t="n">
        <v>0</v>
      </c>
      <c r="AC30" s="33" t="inlineStr">
        <is>
          <t>Fusils traditionnels et munitions</t>
        </is>
      </c>
      <c r="AD30" s="33" t="inlineStr">
        <is>
          <t>Matériel militaire endommagé</t>
        </is>
      </c>
      <c r="AE30" s="32">
        <f>ROUND(2*6371*ASIN(SQRT(SIN(RADIANS(J30-LAT_BAMAKO)/2)^2+COS(RADIANS(LAT_BAMAKO))*COS(RADIANS(J30))*SIN(RADIANS(K30-LON_BAMAKO)/2)^2)),0)</f>
        <v/>
      </c>
      <c r="AF30" s="32">
        <f>IF(AE30&lt;=SEUIL_KM,"Oui","Non")</f>
        <v/>
      </c>
      <c r="AG30" s="30" t="inlineStr">
        <is>
          <t>Corroboré</t>
        </is>
      </c>
      <c r="AH30" s="32" t="inlineStr">
        <is>
          <t>Non</t>
        </is>
      </c>
      <c r="AI30" s="33" t="inlineStr">
        <is>
          <t>AzZalaqa, Sahel Alerte, Hasret K., Naïm TOURÉ</t>
        </is>
      </c>
      <c r="AJ30" s="36">
        <f>HYPERLINK("https://www.openstreetmap.org/?mlat="&amp;SUBSTITUTE(J30&amp;"",",",".")&amp;"&amp;mlon="&amp;SUBSTITUTE(K30&amp;"",",",".")&amp;"#map=11/"&amp;SUBSTITUTE(J30&amp;"",",",".")&amp;"/"&amp;SUBSTITUTE(K30&amp;"",",","."),"OSM ↗")</f>
        <v/>
      </c>
      <c r="AK30" s="36">
        <f>HYPERLINK("https://www.google.com/maps/search/?api=1&amp;query="&amp;SUBSTITUTE(J30&amp;"",",",".")&amp;"%2C"&amp;SUBSTITUTE(K30&amp;"",",","."),"Google ↗")</f>
        <v/>
      </c>
      <c r="AL30" s="36">
        <f>HYPERLINK(URL_TABLEAU&amp;"#"&amp;A30,"Dossier ↗")</f>
        <v/>
      </c>
    </row>
    <row r="31" ht="48" customHeight="1">
      <c r="A31" s="30" t="inlineStr">
        <is>
          <t>INC-2026-030</t>
        </is>
      </c>
      <c r="B31" s="31" t="n">
        <v>46306</v>
      </c>
      <c r="C31" s="32">
        <f>WEEKNUM(B31,21)</f>
        <v/>
      </c>
      <c r="D31" s="32">
        <f>IF(B31&lt;P_DEBUT_P2,"P1","P2")</f>
        <v/>
      </c>
      <c r="E31" s="30" t="inlineStr">
        <is>
          <t>Mali</t>
        </is>
      </c>
      <c r="F31" s="30" t="inlineStr">
        <is>
          <t>Ségou</t>
        </is>
      </c>
      <c r="G31" s="30" t="inlineStr">
        <is>
          <t>Ségou</t>
        </is>
      </c>
      <c r="H31" s="33" t="inlineStr">
        <is>
          <t>Ségou</t>
        </is>
      </c>
      <c r="I31" s="33" t="inlineStr">
        <is>
          <t>Axe Dougabougou - Markala</t>
        </is>
      </c>
      <c r="J31" s="34" t="n">
        <v>13.8</v>
      </c>
      <c r="K31" s="34" t="n">
        <v>-6.0833</v>
      </c>
      <c r="L31" s="30" t="inlineStr">
        <is>
          <t>Zone (±10 km)</t>
        </is>
      </c>
      <c r="M31" s="33" t="inlineStr">
        <is>
          <t>Embuscade Mortelle sur Convoi</t>
        </is>
      </c>
      <c r="N31" s="30" t="inlineStr">
        <is>
          <t>Embuscade</t>
        </is>
      </c>
      <c r="O31" s="30" t="inlineStr">
        <is>
          <t>JNIM</t>
        </is>
      </c>
      <c r="P31" s="33" t="inlineStr">
        <is>
          <t>JNIM</t>
        </is>
      </c>
      <c r="Q31" s="30" t="inlineStr">
        <is>
          <t>FAMa / Africa Corps</t>
        </is>
      </c>
      <c r="R31" s="33" t="inlineStr">
        <is>
          <t>FAMa / Africa Corps</t>
        </is>
      </c>
      <c r="S31" s="33" t="inlineStr">
        <is>
          <t>Embuscade contre un convoi. Nombreuses victimes chez les soldats maliens et mercenaires russes, diffusion de vidéos de corps.</t>
        </is>
      </c>
      <c r="T31" s="30" t="n">
        <v>0</v>
      </c>
      <c r="U31" s="30" t="n">
        <v>0</v>
      </c>
      <c r="V31" s="30" t="n">
        <v>8</v>
      </c>
      <c r="W31" s="30" t="n">
        <v>6</v>
      </c>
      <c r="X31" s="30" t="n">
        <v>0</v>
      </c>
      <c r="Y31" s="35">
        <f>T31+V31+W31+X31</f>
        <v/>
      </c>
      <c r="Z31" s="30" t="n">
        <v>0</v>
      </c>
      <c r="AA31" s="30" t="n">
        <v>2</v>
      </c>
      <c r="AB31" s="30" t="n">
        <v>1</v>
      </c>
      <c r="AC31" s="33" t="inlineStr">
        <is>
          <t>Armes lourdes et équipements individuels</t>
        </is>
      </c>
      <c r="AD31" s="33" t="inlineStr">
        <is>
          <t>Convoi complètement disloqué</t>
        </is>
      </c>
      <c r="AE31" s="32">
        <f>ROUND(2*6371*ASIN(SQRT(SIN(RADIANS(J31-LAT_BAMAKO)/2)^2+COS(RADIANS(LAT_BAMAKO))*COS(RADIANS(J31))*SIN(RADIANS(K31-LON_BAMAKO)/2)^2)),0)</f>
        <v/>
      </c>
      <c r="AF31" s="32">
        <f>IF(AE31&lt;=SEUIL_KM,"Oui","Non")</f>
        <v/>
      </c>
      <c r="AG31" s="30" t="inlineStr">
        <is>
          <t>Partiellement corroboré</t>
        </is>
      </c>
      <c r="AH31" s="32" t="inlineStr">
        <is>
          <t>Non</t>
        </is>
      </c>
      <c r="AI31" s="33" t="inlineStr">
        <is>
          <t>Sahel Alerte, Naïm TOURÉ</t>
        </is>
      </c>
      <c r="AJ31" s="36">
        <f>HYPERLINK("https://www.openstreetmap.org/?mlat="&amp;SUBSTITUTE(J31&amp;"",",",".")&amp;"&amp;mlon="&amp;SUBSTITUTE(K31&amp;"",",",".")&amp;"#map=11/"&amp;SUBSTITUTE(J31&amp;"",",",".")&amp;"/"&amp;SUBSTITUTE(K31&amp;"",",","."),"OSM ↗")</f>
        <v/>
      </c>
      <c r="AK31" s="36">
        <f>HYPERLINK("https://www.google.com/maps/search/?api=1&amp;query="&amp;SUBSTITUTE(J31&amp;"",",",".")&amp;"%2C"&amp;SUBSTITUTE(K31&amp;"",",","."),"Google ↗")</f>
        <v/>
      </c>
      <c r="AL31" s="36">
        <f>HYPERLINK(URL_TABLEAU&amp;"#"&amp;A31,"Dossier ↗")</f>
        <v/>
      </c>
    </row>
    <row r="32" ht="48" customHeight="1">
      <c r="A32" s="30" t="inlineStr">
        <is>
          <t>INC-2026-031</t>
        </is>
      </c>
      <c r="B32" s="31" t="n">
        <v>46308</v>
      </c>
      <c r="C32" s="32">
        <f>WEEKNUM(B32,21)</f>
        <v/>
      </c>
      <c r="D32" s="32">
        <f>IF(B32&lt;P_DEBUT_P2,"P1","P2")</f>
        <v/>
      </c>
      <c r="E32" s="30" t="inlineStr">
        <is>
          <t>Mali</t>
        </is>
      </c>
      <c r="F32" s="30" t="inlineStr">
        <is>
          <t>Ségou</t>
        </is>
      </c>
      <c r="G32" s="30" t="inlineStr">
        <is>
          <t>Ségou</t>
        </is>
      </c>
      <c r="H32" s="33" t="inlineStr">
        <is>
          <t>Ségou</t>
        </is>
      </c>
      <c r="I32" s="33" t="inlineStr">
        <is>
          <t>Région de Ségou</t>
        </is>
      </c>
      <c r="J32" s="34" t="n">
        <v>13.4333</v>
      </c>
      <c r="K32" s="34" t="n">
        <v>-6.2667</v>
      </c>
      <c r="L32" s="30" t="inlineStr">
        <is>
          <t>Localité</t>
        </is>
      </c>
      <c r="M32" s="33" t="inlineStr">
        <is>
          <t>Crash Drone de Combat MALE</t>
        </is>
      </c>
      <c r="N32" s="30" t="inlineStr">
        <is>
          <t>Perte d'aéronef (accident)</t>
        </is>
      </c>
      <c r="O32" s="30" t="inlineStr">
        <is>
          <t>Indéterminé / accident</t>
        </is>
      </c>
      <c r="P32" s="33" t="inlineStr">
        <is>
          <t>Panne Technique / Inconnu</t>
        </is>
      </c>
      <c r="Q32" s="30" t="inlineStr">
        <is>
          <t>FAMa / Africa Corps</t>
        </is>
      </c>
      <c r="R32" s="33" t="inlineStr">
        <is>
          <t>Drone Kronstadt Orion (Inokhodets)</t>
        </is>
      </c>
      <c r="S32" s="33" t="inlineStr">
        <is>
          <t>Crash d'un drone russe de combat et reconnaissance MALE Kronstadt Orion (Inokhodets) d'une envergure de 16m.</t>
        </is>
      </c>
      <c r="T32" s="30" t="n">
        <v>0</v>
      </c>
      <c r="U32" s="30" t="n">
        <v>0</v>
      </c>
      <c r="V32" s="30" t="n">
        <v>0</v>
      </c>
      <c r="W32" s="30" t="n">
        <v>0</v>
      </c>
      <c r="X32" s="30" t="n">
        <v>0</v>
      </c>
      <c r="Y32" s="35">
        <f>T32+V32+W32+X32</f>
        <v/>
      </c>
      <c r="Z32" s="30" t="n">
        <v>0</v>
      </c>
      <c r="AA32" s="30" t="n">
        <v>1</v>
      </c>
      <c r="AB32" s="30" t="n">
        <v>0</v>
      </c>
      <c r="AC32" s="33" t="inlineStr">
        <is>
          <t>Épave récupérée</t>
        </is>
      </c>
      <c r="AD32" s="33" t="inlineStr">
        <is>
          <t>Perte stratégique aérienne de pointe</t>
        </is>
      </c>
      <c r="AE32" s="32">
        <f>ROUND(2*6371*ASIN(SQRT(SIN(RADIANS(J32-LAT_BAMAKO)/2)^2+COS(RADIANS(LAT_BAMAKO))*COS(RADIANS(J32))*SIN(RADIANS(K32-LON_BAMAKO)/2)^2)),0)</f>
        <v/>
      </c>
      <c r="AF32" s="32">
        <f>IF(AE32&lt;=SEUIL_KM,"Oui","Non")</f>
        <v/>
      </c>
      <c r="AG32" s="30" t="inlineStr">
        <is>
          <t>Partiellement corroboré</t>
        </is>
      </c>
      <c r="AH32" s="32" t="inlineStr">
        <is>
          <t>Non</t>
        </is>
      </c>
      <c r="AI32" s="33" t="inlineStr">
        <is>
          <t>F. Walett, Naïm TOURÉ</t>
        </is>
      </c>
      <c r="AJ32" s="36">
        <f>HYPERLINK("https://www.openstreetmap.org/?mlat="&amp;SUBSTITUTE(J32&amp;"",",",".")&amp;"&amp;mlon="&amp;SUBSTITUTE(K32&amp;"",",",".")&amp;"#map=11/"&amp;SUBSTITUTE(J32&amp;"",",",".")&amp;"/"&amp;SUBSTITUTE(K32&amp;"",",","."),"OSM ↗")</f>
        <v/>
      </c>
      <c r="AK32" s="36">
        <f>HYPERLINK("https://www.google.com/maps/search/?api=1&amp;query="&amp;SUBSTITUTE(J32&amp;"",",",".")&amp;"%2C"&amp;SUBSTITUTE(K32&amp;"",",","."),"Google ↗")</f>
        <v/>
      </c>
      <c r="AL32" s="36">
        <f>HYPERLINK(URL_TABLEAU&amp;"#"&amp;A32,"Dossier ↗")</f>
        <v/>
      </c>
    </row>
    <row r="33" ht="48" customHeight="1">
      <c r="A33" s="30" t="inlineStr">
        <is>
          <t>INC-2026-032</t>
        </is>
      </c>
      <c r="B33" s="31" t="n">
        <v>46310</v>
      </c>
      <c r="C33" s="32">
        <f>WEEKNUM(B33,21)</f>
        <v/>
      </c>
      <c r="D33" s="32">
        <f>IF(B33&lt;P_DEBUT_P2,"P1","P2")</f>
        <v/>
      </c>
      <c r="E33" s="30" t="inlineStr">
        <is>
          <t>Mali</t>
        </is>
      </c>
      <c r="F33" s="30" t="inlineStr">
        <is>
          <t>Ségou</t>
        </is>
      </c>
      <c r="G33" s="30" t="inlineStr">
        <is>
          <t>Macina</t>
        </is>
      </c>
      <c r="H33" s="33" t="inlineStr">
        <is>
          <t>Ségou</t>
        </is>
      </c>
      <c r="I33" s="33" t="inlineStr">
        <is>
          <t>Nzanakoro</t>
        </is>
      </c>
      <c r="J33" s="34" t="n">
        <v>13.9167</v>
      </c>
      <c r="K33" s="34" t="n">
        <v>-5.5333</v>
      </c>
      <c r="L33" s="30" t="inlineStr">
        <is>
          <t>Localité</t>
        </is>
      </c>
      <c r="M33" s="33" t="inlineStr">
        <is>
          <t>Bombardement Aérien / Bavure Civile</t>
        </is>
      </c>
      <c r="N33" s="30" t="inlineStr">
        <is>
          <t>Frappe aérienne étatique</t>
        </is>
      </c>
      <c r="O33" s="30" t="inlineStr">
        <is>
          <t>FAMa / Africa Corps</t>
        </is>
      </c>
      <c r="P33" s="33" t="inlineStr">
        <is>
          <t>FAMa / Africa Corps (Aviation)</t>
        </is>
      </c>
      <c r="Q33" s="30" t="inlineStr">
        <is>
          <t>Civils</t>
        </is>
      </c>
      <c r="R33" s="33" t="inlineStr">
        <is>
          <t>Village Peul (Civils)</t>
        </is>
      </c>
      <c r="S33" s="33" t="inlineStr">
        <is>
          <t>Tragédie de Nzanakoro : 7 frappes aériennes sur le village. 4 fillettes et 2 femmes mortes, 13 civils gravement blessés.</t>
        </is>
      </c>
      <c r="T33" s="30" t="n">
        <v>6</v>
      </c>
      <c r="U33" s="30" t="n">
        <v>13</v>
      </c>
      <c r="V33" s="30" t="n">
        <v>0</v>
      </c>
      <c r="W33" s="30" t="n">
        <v>0</v>
      </c>
      <c r="X33" s="30" t="n">
        <v>0</v>
      </c>
      <c r="Y33" s="35">
        <f>T33+V33+W33+X33</f>
        <v/>
      </c>
      <c r="Z33" s="30" t="n">
        <v>0</v>
      </c>
      <c r="AA33" s="30" t="n">
        <v>0</v>
      </c>
      <c r="AB33" s="30" t="n">
        <v>0</v>
      </c>
      <c r="AC33" s="33" t="inlineStr">
        <is>
          <t>Aucun</t>
        </is>
      </c>
      <c r="AD33" s="33" t="inlineStr">
        <is>
          <t>Carnage et destruction d'habitations civiles villageoises</t>
        </is>
      </c>
      <c r="AE33" s="32">
        <f>ROUND(2*6371*ASIN(SQRT(SIN(RADIANS(J33-LAT_BAMAKO)/2)^2+COS(RADIANS(LAT_BAMAKO))*COS(RADIANS(J33))*SIN(RADIANS(K33-LON_BAMAKO)/2)^2)),0)</f>
        <v/>
      </c>
      <c r="AF33" s="32">
        <f>IF(AE33&lt;=SEUIL_KM,"Oui","Non")</f>
        <v/>
      </c>
      <c r="AG33" s="30" t="inlineStr">
        <is>
          <t>Partiellement corroboré</t>
        </is>
      </c>
      <c r="AH33" s="32" t="inlineStr">
        <is>
          <t>Non</t>
        </is>
      </c>
      <c r="AI33" s="33" t="inlineStr">
        <is>
          <t>Wassim Nasr, Naïm TOURÉ</t>
        </is>
      </c>
      <c r="AJ33" s="36">
        <f>HYPERLINK("https://www.openstreetmap.org/?mlat="&amp;SUBSTITUTE(J33&amp;"",",",".")&amp;"&amp;mlon="&amp;SUBSTITUTE(K33&amp;"",",",".")&amp;"#map=11/"&amp;SUBSTITUTE(J33&amp;"",",",".")&amp;"/"&amp;SUBSTITUTE(K33&amp;"",",","."),"OSM ↗")</f>
        <v/>
      </c>
      <c r="AK33" s="36">
        <f>HYPERLINK("https://www.google.com/maps/search/?api=1&amp;query="&amp;SUBSTITUTE(J33&amp;"",",",".")&amp;"%2C"&amp;SUBSTITUTE(K33&amp;"",",","."),"Google ↗")</f>
        <v/>
      </c>
      <c r="AL33" s="36">
        <f>HYPERLINK(URL_TABLEAU&amp;"#"&amp;A33,"Dossier ↗")</f>
        <v/>
      </c>
    </row>
    <row r="34" ht="48" customHeight="1">
      <c r="A34" s="30" t="inlineStr">
        <is>
          <t>INC-2026-033</t>
        </is>
      </c>
      <c r="B34" s="31" t="n">
        <v>46314</v>
      </c>
      <c r="C34" s="32">
        <f>WEEKNUM(B34,21)</f>
        <v/>
      </c>
      <c r="D34" s="32">
        <f>IF(B34&lt;P_DEBUT_P2,"P1","P2")</f>
        <v/>
      </c>
      <c r="E34" s="30" t="inlineStr">
        <is>
          <t>Mali</t>
        </is>
      </c>
      <c r="F34" s="30" t="inlineStr">
        <is>
          <t>Mopti</t>
        </is>
      </c>
      <c r="G34" s="30" t="inlineStr">
        <is>
          <t>Bandiagara</t>
        </is>
      </c>
      <c r="H34" s="33" t="inlineStr">
        <is>
          <t>Mopti / Bandiagara</t>
        </is>
      </c>
      <c r="I34" s="33" t="inlineStr">
        <is>
          <t>Djambiya (Axe Bandiagara-Douentza)</t>
        </is>
      </c>
      <c r="J34" s="34" t="n">
        <v>14.5833</v>
      </c>
      <c r="K34" s="34" t="n">
        <v>-3.35</v>
      </c>
      <c r="L34" s="30" t="inlineStr">
        <is>
          <t>Localité</t>
        </is>
      </c>
      <c r="M34" s="33" t="inlineStr">
        <is>
          <t>Attaque de VIP / Chef de Milice</t>
        </is>
      </c>
      <c r="N34" s="30" t="inlineStr">
        <is>
          <t>Attaque ciblée / VIP</t>
        </is>
      </c>
      <c r="O34" s="30" t="inlineStr">
        <is>
          <t>JNIM</t>
        </is>
      </c>
      <c r="P34" s="33" t="inlineStr">
        <is>
          <t>JNIM</t>
        </is>
      </c>
      <c r="Q34" s="30" t="inlineStr">
        <is>
          <t>Milices pro-gouv.</t>
        </is>
      </c>
      <c r="R34" s="33" t="inlineStr">
        <is>
          <t>Youssouf Toloba (Dan Na Ambassagou)</t>
        </is>
      </c>
      <c r="S34" s="33" t="inlineStr">
        <is>
          <t>Attaque contre le convoi de Youssouf Toloba (chef des Dozos). Son chauffeur a été tué et son véhicule personnel a été capturé par le JNIM.</t>
        </is>
      </c>
      <c r="T34" s="30" t="n">
        <v>0</v>
      </c>
      <c r="U34" s="30" t="n">
        <v>0</v>
      </c>
      <c r="V34" s="30" t="n">
        <v>0</v>
      </c>
      <c r="W34" s="30" t="n">
        <v>0</v>
      </c>
      <c r="X34" s="30" t="n">
        <v>1</v>
      </c>
      <c r="Y34" s="35">
        <f>T34+V34+W34+X34</f>
        <v/>
      </c>
      <c r="Z34" s="30" t="n">
        <v>0</v>
      </c>
      <c r="AA34" s="30" t="n">
        <v>0</v>
      </c>
      <c r="AB34" s="30" t="n">
        <v>1</v>
      </c>
      <c r="AC34" s="33" t="inlineStr">
        <is>
          <t>Equipements personnels</t>
        </is>
      </c>
      <c r="AD34" s="33" t="inlineStr">
        <is>
          <t>Coup psychologique contre la milice Dozo</t>
        </is>
      </c>
      <c r="AE34" s="32">
        <f>ROUND(2*6371*ASIN(SQRT(SIN(RADIANS(J34-LAT_BAMAKO)/2)^2+COS(RADIANS(LAT_BAMAKO))*COS(RADIANS(J34))*SIN(RADIANS(K34-LON_BAMAKO)/2)^2)),0)</f>
        <v/>
      </c>
      <c r="AF34" s="32">
        <f>IF(AE34&lt;=SEUIL_KM,"Oui","Non")</f>
        <v/>
      </c>
      <c r="AG34" s="30" t="inlineStr">
        <is>
          <t>Corroboré</t>
        </is>
      </c>
      <c r="AH34" s="32" t="inlineStr">
        <is>
          <t>Non</t>
        </is>
      </c>
      <c r="AI34" s="33" t="inlineStr">
        <is>
          <t>Hasret K., Serge Daniel, Abbasi, Naïm TOURÉ</t>
        </is>
      </c>
      <c r="AJ34" s="36">
        <f>HYPERLINK("https://www.openstreetmap.org/?mlat="&amp;SUBSTITUTE(J34&amp;"",",",".")&amp;"&amp;mlon="&amp;SUBSTITUTE(K34&amp;"",",",".")&amp;"#map=11/"&amp;SUBSTITUTE(J34&amp;"",",",".")&amp;"/"&amp;SUBSTITUTE(K34&amp;"",",","."),"OSM ↗")</f>
        <v/>
      </c>
      <c r="AK34" s="36">
        <f>HYPERLINK("https://www.google.com/maps/search/?api=1&amp;query="&amp;SUBSTITUTE(J34&amp;"",",",".")&amp;"%2C"&amp;SUBSTITUTE(K34&amp;"",",","."),"Google ↗")</f>
        <v/>
      </c>
      <c r="AL34" s="36">
        <f>HYPERLINK(URL_TABLEAU&amp;"#"&amp;A34,"Dossier ↗")</f>
        <v/>
      </c>
    </row>
    <row r="35" ht="48" customHeight="1">
      <c r="A35" s="30" t="inlineStr">
        <is>
          <t>INC-2026-034</t>
        </is>
      </c>
      <c r="B35" s="31" t="n">
        <v>46319</v>
      </c>
      <c r="C35" s="32">
        <f>WEEKNUM(B35,21)</f>
        <v/>
      </c>
      <c r="D35" s="32">
        <f>IF(B35&lt;P_DEBUT_P2,"P1","P2")</f>
        <v/>
      </c>
      <c r="E35" s="30" t="inlineStr">
        <is>
          <t>Mali</t>
        </is>
      </c>
      <c r="F35" s="30" t="inlineStr">
        <is>
          <t>Ségou</t>
        </is>
      </c>
      <c r="G35" s="30" t="inlineStr">
        <is>
          <t>Niono</t>
        </is>
      </c>
      <c r="H35" s="33" t="inlineStr">
        <is>
          <t>Ségou</t>
        </is>
      </c>
      <c r="I35" s="33" t="inlineStr">
        <is>
          <t>Gouma - Tidoul (près de Diabaly)</t>
        </is>
      </c>
      <c r="J35" s="34" t="n">
        <v>14.7167</v>
      </c>
      <c r="K35" s="34" t="n">
        <v>-6.0833</v>
      </c>
      <c r="L35" s="30" t="inlineStr">
        <is>
          <t>Localité</t>
        </is>
      </c>
      <c r="M35" s="33" t="inlineStr">
        <is>
          <t>Embuscade sur Patrouille</t>
        </is>
      </c>
      <c r="N35" s="30" t="inlineStr">
        <is>
          <t>Embuscade</t>
        </is>
      </c>
      <c r="O35" s="30" t="inlineStr">
        <is>
          <t>JNIM</t>
        </is>
      </c>
      <c r="P35" s="33" t="inlineStr">
        <is>
          <t>JNIM</t>
        </is>
      </c>
      <c r="Q35" s="30" t="inlineStr">
        <is>
          <t>FAMa / Africa Corps</t>
        </is>
      </c>
      <c r="R35" s="33" t="inlineStr">
        <is>
          <t>Patrouille FAMa</t>
        </is>
      </c>
      <c r="S35" s="33" t="inlineStr">
        <is>
          <t>Le JNIM attaque une patrouille de l'armée malienne entre Gouma et Tidoul.</t>
        </is>
      </c>
      <c r="T35" s="30" t="n">
        <v>0</v>
      </c>
      <c r="U35" s="30" t="n">
        <v>0</v>
      </c>
      <c r="V35" s="30" t="n">
        <v>2</v>
      </c>
      <c r="W35" s="30" t="n">
        <v>0</v>
      </c>
      <c r="X35" s="30" t="n">
        <v>0</v>
      </c>
      <c r="Y35" s="35">
        <f>T35+V35+W35+X35</f>
        <v/>
      </c>
      <c r="Z35" s="30" t="n">
        <v>0</v>
      </c>
      <c r="AA35" s="30" t="n">
        <v>1</v>
      </c>
      <c r="AB35" s="30" t="n">
        <v>0</v>
      </c>
      <c r="AC35" s="33" t="inlineStr">
        <is>
          <t>Fusils AK-47</t>
        </is>
      </c>
      <c r="AD35" s="33" t="inlineStr">
        <is>
          <t>Véhicule militaire dégradé</t>
        </is>
      </c>
      <c r="AE35" s="32">
        <f>ROUND(2*6371*ASIN(SQRT(SIN(RADIANS(J35-LAT_BAMAKO)/2)^2+COS(RADIANS(LAT_BAMAKO))*COS(RADIANS(J35))*SIN(RADIANS(K35-LON_BAMAKO)/2)^2)),0)</f>
        <v/>
      </c>
      <c r="AF35" s="32">
        <f>IF(AE35&lt;=SEUIL_KM,"Oui","Non")</f>
        <v/>
      </c>
      <c r="AG35" s="30" t="inlineStr">
        <is>
          <t>Partiellement corroboré</t>
        </is>
      </c>
      <c r="AH35" s="32" t="inlineStr">
        <is>
          <t>Non</t>
        </is>
      </c>
      <c r="AI35" s="33" t="inlineStr">
        <is>
          <t>AzZalaqa, Sahel Alerte, Naïm TOURÉ</t>
        </is>
      </c>
      <c r="AJ35" s="36">
        <f>HYPERLINK("https://www.openstreetmap.org/?mlat="&amp;SUBSTITUTE(J35&amp;"",",",".")&amp;"&amp;mlon="&amp;SUBSTITUTE(K35&amp;"",",",".")&amp;"#map=11/"&amp;SUBSTITUTE(J35&amp;"",",",".")&amp;"/"&amp;SUBSTITUTE(K35&amp;"",",","."),"OSM ↗")</f>
        <v/>
      </c>
      <c r="AK35" s="36">
        <f>HYPERLINK("https://www.google.com/maps/search/?api=1&amp;query="&amp;SUBSTITUTE(J35&amp;"",",",".")&amp;"%2C"&amp;SUBSTITUTE(K35&amp;"",",","."),"Google ↗")</f>
        <v/>
      </c>
      <c r="AL35" s="36">
        <f>HYPERLINK(URL_TABLEAU&amp;"#"&amp;A35,"Dossier ↗")</f>
        <v/>
      </c>
    </row>
    <row r="36" ht="48" customHeight="1">
      <c r="A36" s="30" t="inlineStr">
        <is>
          <t>INC-2026-035</t>
        </is>
      </c>
      <c r="B36" s="31" t="n">
        <v>46320</v>
      </c>
      <c r="C36" s="32">
        <f>WEEKNUM(B36,21)</f>
        <v/>
      </c>
      <c r="D36" s="32">
        <f>IF(B36&lt;P_DEBUT_P2,"P1","P2")</f>
        <v/>
      </c>
      <c r="E36" s="30" t="inlineStr">
        <is>
          <t>Mali</t>
        </is>
      </c>
      <c r="F36" s="30" t="inlineStr">
        <is>
          <t>Tombouctou</t>
        </is>
      </c>
      <c r="G36" s="30" t="inlineStr">
        <is>
          <t>Tombouctou</t>
        </is>
      </c>
      <c r="H36" s="33" t="inlineStr">
        <is>
          <t>Tombouctou</t>
        </is>
      </c>
      <c r="I36" s="33" t="inlineStr">
        <is>
          <t>Tombouctou Ville / Périphérie</t>
        </is>
      </c>
      <c r="J36" s="34" t="n">
        <v>16.7758</v>
      </c>
      <c r="K36" s="34" t="n">
        <v>-3.0094</v>
      </c>
      <c r="L36" s="30" t="inlineStr">
        <is>
          <t>Localité</t>
        </is>
      </c>
      <c r="M36" s="33" t="inlineStr">
        <is>
          <t>Frappe Aérienne / Représailles</t>
        </is>
      </c>
      <c r="N36" s="30" t="inlineStr">
        <is>
          <t>Frappe aérienne étatique</t>
        </is>
      </c>
      <c r="O36" s="30" t="inlineStr">
        <is>
          <t>FAMa / Africa Corps</t>
        </is>
      </c>
      <c r="P36" s="33" t="inlineStr">
        <is>
          <t>FAMa / Africa Corps vs JNIM</t>
        </is>
      </c>
      <c r="Q36" s="30" t="inlineStr">
        <is>
          <t>FAMa / Africa Corps</t>
        </is>
      </c>
      <c r="R36" s="33" t="inlineStr">
        <is>
          <t>Tentes de civils / Soldats</t>
        </is>
      </c>
      <c r="S36" s="33" t="inlineStr">
        <is>
          <t>Frappe aérienne ciblant des tentes de civils (12 civils tués). En représailles immédiates, le JNIM a abattu 4 soldats.</t>
        </is>
      </c>
      <c r="T36" s="30" t="n">
        <v>12</v>
      </c>
      <c r="U36" s="30" t="n">
        <v>5</v>
      </c>
      <c r="V36" s="30" t="n">
        <v>4</v>
      </c>
      <c r="W36" s="30" t="n">
        <v>0</v>
      </c>
      <c r="X36" s="30" t="n">
        <v>0</v>
      </c>
      <c r="Y36" s="35">
        <f>T36+V36+W36+X36</f>
        <v/>
      </c>
      <c r="Z36" s="30" t="n">
        <v>0</v>
      </c>
      <c r="AA36" s="30" t="n">
        <v>0</v>
      </c>
      <c r="AB36" s="30" t="n">
        <v>0</v>
      </c>
      <c r="AC36" s="33" t="inlineStr">
        <is>
          <t>Aucun</t>
        </is>
      </c>
      <c r="AD36" s="33" t="inlineStr">
        <is>
          <t>Tentes et campements nomades civils détruits</t>
        </is>
      </c>
      <c r="AE36" s="32">
        <f>ROUND(2*6371*ASIN(SQRT(SIN(RADIANS(J36-LAT_BAMAKO)/2)^2+COS(RADIANS(LAT_BAMAKO))*COS(RADIANS(J36))*SIN(RADIANS(K36-LON_BAMAKO)/2)^2)),0)</f>
        <v/>
      </c>
      <c r="AF36" s="32">
        <f>IF(AE36&lt;=SEUIL_KM,"Oui","Non")</f>
        <v/>
      </c>
      <c r="AG36" s="30" t="inlineStr">
        <is>
          <t>Partiellement corroboré</t>
        </is>
      </c>
      <c r="AH36" s="32" t="inlineStr">
        <is>
          <t>Non</t>
        </is>
      </c>
      <c r="AI36" s="33" t="inlineStr">
        <is>
          <t>AzZalaqa, Ghana C. Monitor, Naïm TOURÉ</t>
        </is>
      </c>
      <c r="AJ36" s="36">
        <f>HYPERLINK("https://www.openstreetmap.org/?mlat="&amp;SUBSTITUTE(J36&amp;"",",",".")&amp;"&amp;mlon="&amp;SUBSTITUTE(K36&amp;"",",",".")&amp;"#map=11/"&amp;SUBSTITUTE(J36&amp;"",",",".")&amp;"/"&amp;SUBSTITUTE(K36&amp;"",",","."),"OSM ↗")</f>
        <v/>
      </c>
      <c r="AK36" s="36">
        <f>HYPERLINK("https://www.google.com/maps/search/?api=1&amp;query="&amp;SUBSTITUTE(J36&amp;"",",",".")&amp;"%2C"&amp;SUBSTITUTE(K36&amp;"",",","."),"Google ↗")</f>
        <v/>
      </c>
      <c r="AL36" s="36">
        <f>HYPERLINK(URL_TABLEAU&amp;"#"&amp;A36,"Dossier ↗")</f>
        <v/>
      </c>
    </row>
    <row r="37" ht="48" customHeight="1">
      <c r="A37" s="30" t="inlineStr">
        <is>
          <t>INC-2026-036</t>
        </is>
      </c>
      <c r="B37" s="31" t="n">
        <v>46321</v>
      </c>
      <c r="C37" s="32">
        <f>WEEKNUM(B37,21)</f>
        <v/>
      </c>
      <c r="D37" s="32">
        <f>IF(B37&lt;P_DEBUT_P2,"P1","P2")</f>
        <v/>
      </c>
      <c r="E37" s="30" t="inlineStr">
        <is>
          <t>Mali</t>
        </is>
      </c>
      <c r="F37" s="30" t="inlineStr">
        <is>
          <t>Ségou</t>
        </is>
      </c>
      <c r="G37" s="30" t="inlineStr">
        <is>
          <t>Niono</t>
        </is>
      </c>
      <c r="H37" s="33" t="inlineStr">
        <is>
          <t>Ségou</t>
        </is>
      </c>
      <c r="I37" s="33" t="inlineStr">
        <is>
          <t>Nampala</t>
        </is>
      </c>
      <c r="J37" s="34" t="n">
        <v>15.2833</v>
      </c>
      <c r="K37" s="34" t="n">
        <v>-5.3167</v>
      </c>
      <c r="L37" s="30" t="inlineStr">
        <is>
          <t>Localité</t>
        </is>
      </c>
      <c r="M37" s="33" t="inlineStr">
        <is>
          <t>Attaque à l'EEI Dirigé</t>
        </is>
      </c>
      <c r="N37" s="30" t="inlineStr">
        <is>
          <t>EEI</t>
        </is>
      </c>
      <c r="O37" s="30" t="inlineStr">
        <is>
          <t>JNIM</t>
        </is>
      </c>
      <c r="P37" s="33" t="inlineStr">
        <is>
          <t>JNIM</t>
        </is>
      </c>
      <c r="Q37" s="30" t="inlineStr">
        <is>
          <t>FAMa / Africa Corps</t>
        </is>
      </c>
      <c r="R37" s="33" t="inlineStr">
        <is>
          <t>Poste FAMa à l'entrée de la ville</t>
        </is>
      </c>
      <c r="S37" s="33" t="inlineStr">
        <is>
          <t>Attaque ciblant un poste de contrôle à l'entrée de Nampala avec un engin explosif télécommandé.</t>
        </is>
      </c>
      <c r="T37" s="30" t="n">
        <v>0</v>
      </c>
      <c r="U37" s="30" t="n">
        <v>0</v>
      </c>
      <c r="V37" s="30" t="n">
        <v>2</v>
      </c>
      <c r="W37" s="30" t="n">
        <v>0</v>
      </c>
      <c r="X37" s="30" t="n">
        <v>0</v>
      </c>
      <c r="Y37" s="35">
        <f>T37+V37+W37+X37</f>
        <v/>
      </c>
      <c r="Z37" s="30" t="n">
        <v>0</v>
      </c>
      <c r="AA37" s="30" t="n">
        <v>1</v>
      </c>
      <c r="AB37" s="30" t="n">
        <v>0</v>
      </c>
      <c r="AC37" s="33" t="inlineStr">
        <is>
          <t>Aucun</t>
        </is>
      </c>
      <c r="AD37" s="33" t="inlineStr">
        <is>
          <t>Poste de contrôle endommagé</t>
        </is>
      </c>
      <c r="AE37" s="32">
        <f>ROUND(2*6371*ASIN(SQRT(SIN(RADIANS(J37-LAT_BAMAKO)/2)^2+COS(RADIANS(LAT_BAMAKO))*COS(RADIANS(J37))*SIN(RADIANS(K37-LON_BAMAKO)/2)^2)),0)</f>
        <v/>
      </c>
      <c r="AF37" s="32">
        <f>IF(AE37&lt;=SEUIL_KM,"Oui","Non")</f>
        <v/>
      </c>
      <c r="AG37" s="30" t="inlineStr">
        <is>
          <t>Partiellement corroboré</t>
        </is>
      </c>
      <c r="AH37" s="32" t="inlineStr">
        <is>
          <t>Non</t>
        </is>
      </c>
      <c r="AI37" s="33" t="inlineStr">
        <is>
          <t>AzZalaqa, Sahel Alerte, Naïm TOURÉ</t>
        </is>
      </c>
      <c r="AJ37" s="36">
        <f>HYPERLINK("https://www.openstreetmap.org/?mlat="&amp;SUBSTITUTE(J37&amp;"",",",".")&amp;"&amp;mlon="&amp;SUBSTITUTE(K37&amp;"",",",".")&amp;"#map=11/"&amp;SUBSTITUTE(J37&amp;"",",",".")&amp;"/"&amp;SUBSTITUTE(K37&amp;"",",","."),"OSM ↗")</f>
        <v/>
      </c>
      <c r="AK37" s="36">
        <f>HYPERLINK("https://www.google.com/maps/search/?api=1&amp;query="&amp;SUBSTITUTE(J37&amp;"",",",".")&amp;"%2C"&amp;SUBSTITUTE(K37&amp;"",",","."),"Google ↗")</f>
        <v/>
      </c>
      <c r="AL37" s="36">
        <f>HYPERLINK(URL_TABLEAU&amp;"#"&amp;A37,"Dossier ↗")</f>
        <v/>
      </c>
    </row>
  </sheetData>
  <conditionalFormatting sqref="Y2:Y500">
    <cfRule type="dataBar" priority="1">
      <dataBar showValue="1">
        <cfvo type="num" val="0"/>
        <cfvo type="max"/>
        <color rgb="00E2701C"/>
      </dataBar>
    </cfRule>
  </conditionalFormatting>
  <conditionalFormatting sqref="T2:T500">
    <cfRule type="cellIs" priority="2" operator="greaterThan" dxfId="0">
      <formula>0</formula>
    </cfRule>
  </conditionalFormatting>
  <conditionalFormatting sqref="U2:U500">
    <cfRule type="cellIs" priority="3" operator="greaterThan" dxfId="1">
      <formula>0</formula>
    </cfRule>
  </conditionalFormatting>
  <conditionalFormatting sqref="AF2:AF500">
    <cfRule type="cellIs" priority="4" operator="equal" dxfId="2">
      <formula>"Oui"</formula>
    </cfRule>
  </conditionalFormatting>
  <conditionalFormatting sqref="AH2:AH500">
    <cfRule type="cellIs" priority="5" operator="equal" dxfId="3">
      <formula>"Oui"</formula>
    </cfRule>
  </conditionalFormatting>
  <conditionalFormatting sqref="AG2:AG500">
    <cfRule type="cellIs" priority="6" operator="equal" dxfId="4">
      <formula>"Corroboré"</formula>
    </cfRule>
    <cfRule type="cellIs" priority="7" operator="equal" dxfId="5">
      <formula>"Partiellement corroboré"</formula>
    </cfRule>
    <cfRule type="cellIs" priority="8" operator="equal" dxfId="3">
      <formula>"Source partisane seule"</formula>
    </cfRule>
    <cfRule type="cellIs" priority="9" operator="equal" dxfId="6">
      <formula>"Source unique"</formula>
    </cfRule>
  </conditionalFormatting>
  <conditionalFormatting sqref="O2:O500">
    <cfRule type="cellIs" priority="10" operator="equal" dxfId="7">
      <formula>"JNIM"</formula>
    </cfRule>
    <cfRule type="cellIs" priority="11" operator="equal" dxfId="8">
      <formula>"EI-Sahel"</formula>
    </cfRule>
    <cfRule type="cellIs" priority="12" operator="equal" dxfId="9">
      <formula>"FLA"</formula>
    </cfRule>
    <cfRule type="cellIs" priority="13" operator="equal" dxfId="10">
      <formula>"FAMa / Africa Corps"</formula>
    </cfRule>
    <cfRule type="cellIs" priority="14" operator="equal" dxfId="11">
      <formula>"Indéterminé / accident"</formula>
    </cfRule>
  </conditionalFormatting>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566577"/>
    <outlinePr summaryBelow="1" summaryRight="1"/>
    <pageSetUpPr fitToPage="1"/>
  </sheetPr>
  <dimension ref="A1:P15"/>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10" customWidth="1" min="3" max="3"/>
    <col width="8" customWidth="1" min="4" max="4"/>
    <col width="9" customWidth="1" min="5" max="5"/>
    <col width="12" customWidth="1" min="6" max="6"/>
    <col width="12" customWidth="1" min="7" max="7"/>
    <col width="11" customWidth="1" min="8" max="8"/>
    <col width="12" customWidth="1" min="9" max="9"/>
    <col width="11" customWidth="1" min="10" max="10"/>
    <col width="20" customWidth="1" min="11" max="11"/>
    <col width="9" customWidth="1" min="12" max="12"/>
    <col width="9" customWidth="1" min="13" max="13"/>
    <col width="9" customWidth="1" min="14" max="14"/>
    <col width="11" customWidth="1" min="15" max="15"/>
    <col width="11" customWidth="1" min="16" max="16"/>
  </cols>
  <sheetData>
    <row r="1" ht="30" customHeight="1">
      <c r="A1" s="1" t="inlineStr">
        <is>
          <t>Synthèse régionale et indice de menace</t>
        </is>
      </c>
      <c r="B1" s="2" t="n"/>
      <c r="C1" s="2" t="n"/>
      <c r="D1" s="2" t="n"/>
      <c r="E1" s="2" t="n"/>
      <c r="F1" s="2" t="n"/>
      <c r="G1" s="2" t="n"/>
      <c r="H1" s="2" t="n"/>
      <c r="I1" s="2" t="n"/>
      <c r="J1" s="2" t="n"/>
      <c r="K1" s="2" t="n"/>
      <c r="L1" s="2" t="n"/>
      <c r="M1" s="2" t="n"/>
      <c r="N1" s="2" t="n"/>
      <c r="O1" s="2" t="n"/>
      <c r="P1" s="26" t="inlineStr">
        <is>
          <t>◄ Accueil</t>
        </is>
      </c>
    </row>
    <row r="2" ht="18" customHeight="1">
      <c r="A2" s="3" t="inlineStr">
        <is>
          <t>Toutes les valeurs sont calculées par formule à partir de la feuille INCIDENTS.</t>
        </is>
      </c>
      <c r="B2" s="2" t="n"/>
      <c r="C2" s="2" t="n"/>
      <c r="D2" s="2" t="n"/>
      <c r="E2" s="2" t="n"/>
      <c r="F2" s="2" t="n"/>
      <c r="G2" s="2" t="n"/>
      <c r="H2" s="2" t="n"/>
      <c r="I2" s="2" t="n"/>
      <c r="J2" s="2" t="n"/>
      <c r="K2" s="2" t="n"/>
      <c r="L2" s="2" t="n"/>
      <c r="M2" s="2" t="n"/>
      <c r="N2" s="2" t="n"/>
      <c r="O2" s="2" t="n"/>
      <c r="P2" s="2" t="n"/>
    </row>
    <row r="4" ht="30" customHeight="1">
      <c r="B4" s="29" t="inlineStr">
        <is>
          <t>Région</t>
        </is>
      </c>
      <c r="C4" s="29" t="inlineStr">
        <is>
          <t>Incidents</t>
        </is>
      </c>
      <c r="D4" s="29" t="inlineStr">
        <is>
          <t>Part</t>
        </is>
      </c>
      <c r="E4" s="29" t="inlineStr">
        <is>
          <t>Tués</t>
        </is>
      </c>
      <c r="F4" s="29" t="inlineStr">
        <is>
          <t>FDS + Africa Corps tués</t>
        </is>
      </c>
      <c r="G4" s="29" t="inlineStr">
        <is>
          <t>Civils tués + blessés</t>
        </is>
      </c>
      <c r="H4" s="29" t="inlineStr">
        <is>
          <t>Incidents récents</t>
        </is>
      </c>
      <c r="I4" s="29" t="inlineStr">
        <is>
          <t>Indice (0-100)</t>
        </is>
      </c>
      <c r="J4" s="29" t="inlineStr">
        <is>
          <t>Niveau</t>
        </is>
      </c>
      <c r="K4" s="29" t="inlineStr">
        <is>
          <t>Acteur dominant</t>
        </is>
      </c>
      <c r="L4" s="37" t="inlineStr">
        <is>
          <t>JNIM</t>
        </is>
      </c>
      <c r="M4" s="38" t="inlineStr">
        <is>
          <t>EI-Sahel</t>
        </is>
      </c>
      <c r="N4" s="39" t="inlineStr">
        <is>
          <t>FLA</t>
        </is>
      </c>
      <c r="O4" s="40" t="inlineStr">
        <is>
          <t>FAMa / Africa Corps</t>
        </is>
      </c>
      <c r="P4" s="41" t="inlineStr">
        <is>
          <t>Indéterminé / accident</t>
        </is>
      </c>
    </row>
    <row r="5">
      <c r="B5" s="42" t="inlineStr">
        <is>
          <t>Ségou</t>
        </is>
      </c>
      <c r="C5" s="43">
        <f>COUNTIFS(inc_region,$B5)</f>
        <v/>
      </c>
      <c r="D5" s="44">
        <f>IF(SUM($C$5:$C$12)=0,0,C5/SUM($C$5:$C$12))</f>
        <v/>
      </c>
      <c r="E5" s="43">
        <f>SUMIFS(inc_tues,inc_region,$B5)</f>
        <v/>
      </c>
      <c r="F5" s="43">
        <f>SUMIFS(inc_fama,inc_region,$B5)+SUMIFS(inc_ac,inc_region,$B5)</f>
        <v/>
      </c>
      <c r="G5" s="43">
        <f>SUMIFS(inc_civ_k,inc_region,$B5)+SUMIFS(inc_civ_w,inc_region,$B5)</f>
        <v/>
      </c>
      <c r="H5" s="43">
        <f>COUNTIFS(inc_region,$B5,inc_date,"&gt;="&amp;(P_FIN-FEN_RECENTE+1))</f>
        <v/>
      </c>
      <c r="I5" s="45">
        <f>IF(C5=0,0,ROUND(100*(W_FREQ*C5/MAX($C$5:$C$12)+W_LETAL*LN(1+E5)/LN(1+MAX(1,MAX($E$5:$E$12)))+W_CIVILS*IF(MAX($G$5:$G$12)=0,0,G5/MAX($G$5:$G$12))+W_RECENT*H5/C5),0))</f>
        <v/>
      </c>
      <c r="J5" s="46">
        <f>IF(I5&gt;=S_CRITIQUE,"Critique",IF(I5&gt;=S_ELEVE,"Élevé",IF(I5&gt;=S_MODERE,"Modéré","Faible")))</f>
        <v/>
      </c>
      <c r="K5" s="47">
        <f>IF(C5=0,"—",INDEX($L$4:$P$4,MATCH(MAX(L5:P5),L5:P5,0)))</f>
        <v/>
      </c>
      <c r="L5" s="48">
        <f>COUNTIFS(inc_region,$B5,inc_acteur,L$4)</f>
        <v/>
      </c>
      <c r="M5" s="48">
        <f>COUNTIFS(inc_region,$B5,inc_acteur,M$4)</f>
        <v/>
      </c>
      <c r="N5" s="48">
        <f>COUNTIFS(inc_region,$B5,inc_acteur,N$4)</f>
        <v/>
      </c>
      <c r="O5" s="48">
        <f>COUNTIFS(inc_region,$B5,inc_acteur,O$4)</f>
        <v/>
      </c>
      <c r="P5" s="48">
        <f>COUNTIFS(inc_region,$B5,inc_acteur,P$4)</f>
        <v/>
      </c>
    </row>
    <row r="6">
      <c r="B6" s="42" t="inlineStr">
        <is>
          <t>Mopti</t>
        </is>
      </c>
      <c r="C6" s="43">
        <f>COUNTIFS(inc_region,$B6)</f>
        <v/>
      </c>
      <c r="D6" s="44">
        <f>IF(SUM($C$5:$C$12)=0,0,C6/SUM($C$5:$C$12))</f>
        <v/>
      </c>
      <c r="E6" s="43">
        <f>SUMIFS(inc_tues,inc_region,$B6)</f>
        <v/>
      </c>
      <c r="F6" s="43">
        <f>SUMIFS(inc_fama,inc_region,$B6)+SUMIFS(inc_ac,inc_region,$B6)</f>
        <v/>
      </c>
      <c r="G6" s="43">
        <f>SUMIFS(inc_civ_k,inc_region,$B6)+SUMIFS(inc_civ_w,inc_region,$B6)</f>
        <v/>
      </c>
      <c r="H6" s="43">
        <f>COUNTIFS(inc_region,$B6,inc_date,"&gt;="&amp;(P_FIN-FEN_RECENTE+1))</f>
        <v/>
      </c>
      <c r="I6" s="45">
        <f>IF(C6=0,0,ROUND(100*(W_FREQ*C6/MAX($C$5:$C$12)+W_LETAL*LN(1+E6)/LN(1+MAX(1,MAX($E$5:$E$12)))+W_CIVILS*IF(MAX($G$5:$G$12)=0,0,G6/MAX($G$5:$G$12))+W_RECENT*H6/C6),0))</f>
        <v/>
      </c>
      <c r="J6" s="46">
        <f>IF(I6&gt;=S_CRITIQUE,"Critique",IF(I6&gt;=S_ELEVE,"Élevé",IF(I6&gt;=S_MODERE,"Modéré","Faible")))</f>
        <v/>
      </c>
      <c r="K6" s="47">
        <f>IF(C6=0,"—",INDEX($L$4:$P$4,MATCH(MAX(L6:P6),L6:P6,0)))</f>
        <v/>
      </c>
      <c r="L6" s="48">
        <f>COUNTIFS(inc_region,$B6,inc_acteur,L$4)</f>
        <v/>
      </c>
      <c r="M6" s="48">
        <f>COUNTIFS(inc_region,$B6,inc_acteur,M$4)</f>
        <v/>
      </c>
      <c r="N6" s="48">
        <f>COUNTIFS(inc_region,$B6,inc_acteur,N$4)</f>
        <v/>
      </c>
      <c r="O6" s="48">
        <f>COUNTIFS(inc_region,$B6,inc_acteur,O$4)</f>
        <v/>
      </c>
      <c r="P6" s="48">
        <f>COUNTIFS(inc_region,$B6,inc_acteur,P$4)</f>
        <v/>
      </c>
    </row>
    <row r="7">
      <c r="B7" s="42" t="inlineStr">
        <is>
          <t>Kidal</t>
        </is>
      </c>
      <c r="C7" s="43">
        <f>COUNTIFS(inc_region,$B7)</f>
        <v/>
      </c>
      <c r="D7" s="44">
        <f>IF(SUM($C$5:$C$12)=0,0,C7/SUM($C$5:$C$12))</f>
        <v/>
      </c>
      <c r="E7" s="43">
        <f>SUMIFS(inc_tues,inc_region,$B7)</f>
        <v/>
      </c>
      <c r="F7" s="43">
        <f>SUMIFS(inc_fama,inc_region,$B7)+SUMIFS(inc_ac,inc_region,$B7)</f>
        <v/>
      </c>
      <c r="G7" s="43">
        <f>SUMIFS(inc_civ_k,inc_region,$B7)+SUMIFS(inc_civ_w,inc_region,$B7)</f>
        <v/>
      </c>
      <c r="H7" s="43">
        <f>COUNTIFS(inc_region,$B7,inc_date,"&gt;="&amp;(P_FIN-FEN_RECENTE+1))</f>
        <v/>
      </c>
      <c r="I7" s="45">
        <f>IF(C7=0,0,ROUND(100*(W_FREQ*C7/MAX($C$5:$C$12)+W_LETAL*LN(1+E7)/LN(1+MAX(1,MAX($E$5:$E$12)))+W_CIVILS*IF(MAX($G$5:$G$12)=0,0,G7/MAX($G$5:$G$12))+W_RECENT*H7/C7),0))</f>
        <v/>
      </c>
      <c r="J7" s="46">
        <f>IF(I7&gt;=S_CRITIQUE,"Critique",IF(I7&gt;=S_ELEVE,"Élevé",IF(I7&gt;=S_MODERE,"Modéré","Faible")))</f>
        <v/>
      </c>
      <c r="K7" s="47">
        <f>IF(C7=0,"—",INDEX($L$4:$P$4,MATCH(MAX(L7:P7),L7:P7,0)))</f>
        <v/>
      </c>
      <c r="L7" s="48">
        <f>COUNTIFS(inc_region,$B7,inc_acteur,L$4)</f>
        <v/>
      </c>
      <c r="M7" s="48">
        <f>COUNTIFS(inc_region,$B7,inc_acteur,M$4)</f>
        <v/>
      </c>
      <c r="N7" s="48">
        <f>COUNTIFS(inc_region,$B7,inc_acteur,N$4)</f>
        <v/>
      </c>
      <c r="O7" s="48">
        <f>COUNTIFS(inc_region,$B7,inc_acteur,O$4)</f>
        <v/>
      </c>
      <c r="P7" s="48">
        <f>COUNTIFS(inc_region,$B7,inc_acteur,P$4)</f>
        <v/>
      </c>
    </row>
    <row r="8">
      <c r="B8" s="42" t="inlineStr">
        <is>
          <t>Tombouctou</t>
        </is>
      </c>
      <c r="C8" s="43">
        <f>COUNTIFS(inc_region,$B8)</f>
        <v/>
      </c>
      <c r="D8" s="44">
        <f>IF(SUM($C$5:$C$12)=0,0,C8/SUM($C$5:$C$12))</f>
        <v/>
      </c>
      <c r="E8" s="43">
        <f>SUMIFS(inc_tues,inc_region,$B8)</f>
        <v/>
      </c>
      <c r="F8" s="43">
        <f>SUMIFS(inc_fama,inc_region,$B8)+SUMIFS(inc_ac,inc_region,$B8)</f>
        <v/>
      </c>
      <c r="G8" s="43">
        <f>SUMIFS(inc_civ_k,inc_region,$B8)+SUMIFS(inc_civ_w,inc_region,$B8)</f>
        <v/>
      </c>
      <c r="H8" s="43">
        <f>COUNTIFS(inc_region,$B8,inc_date,"&gt;="&amp;(P_FIN-FEN_RECENTE+1))</f>
        <v/>
      </c>
      <c r="I8" s="45">
        <f>IF(C8=0,0,ROUND(100*(W_FREQ*C8/MAX($C$5:$C$12)+W_LETAL*LN(1+E8)/LN(1+MAX(1,MAX($E$5:$E$12)))+W_CIVILS*IF(MAX($G$5:$G$12)=0,0,G8/MAX($G$5:$G$12))+W_RECENT*H8/C8),0))</f>
        <v/>
      </c>
      <c r="J8" s="46">
        <f>IF(I8&gt;=S_CRITIQUE,"Critique",IF(I8&gt;=S_ELEVE,"Élevé",IF(I8&gt;=S_MODERE,"Modéré","Faible")))</f>
        <v/>
      </c>
      <c r="K8" s="47">
        <f>IF(C8=0,"—",INDEX($L$4:$P$4,MATCH(MAX(L8:P8),L8:P8,0)))</f>
        <v/>
      </c>
      <c r="L8" s="48">
        <f>COUNTIFS(inc_region,$B8,inc_acteur,L$4)</f>
        <v/>
      </c>
      <c r="M8" s="48">
        <f>COUNTIFS(inc_region,$B8,inc_acteur,M$4)</f>
        <v/>
      </c>
      <c r="N8" s="48">
        <f>COUNTIFS(inc_region,$B8,inc_acteur,N$4)</f>
        <v/>
      </c>
      <c r="O8" s="48">
        <f>COUNTIFS(inc_region,$B8,inc_acteur,O$4)</f>
        <v/>
      </c>
      <c r="P8" s="48">
        <f>COUNTIFS(inc_region,$B8,inc_acteur,P$4)</f>
        <v/>
      </c>
    </row>
    <row r="9">
      <c r="B9" s="42" t="inlineStr">
        <is>
          <t>Gao</t>
        </is>
      </c>
      <c r="C9" s="43">
        <f>COUNTIFS(inc_region,$B9)</f>
        <v/>
      </c>
      <c r="D9" s="44">
        <f>IF(SUM($C$5:$C$12)=0,0,C9/SUM($C$5:$C$12))</f>
        <v/>
      </c>
      <c r="E9" s="43">
        <f>SUMIFS(inc_tues,inc_region,$B9)</f>
        <v/>
      </c>
      <c r="F9" s="43">
        <f>SUMIFS(inc_fama,inc_region,$B9)+SUMIFS(inc_ac,inc_region,$B9)</f>
        <v/>
      </c>
      <c r="G9" s="43">
        <f>SUMIFS(inc_civ_k,inc_region,$B9)+SUMIFS(inc_civ_w,inc_region,$B9)</f>
        <v/>
      </c>
      <c r="H9" s="43">
        <f>COUNTIFS(inc_region,$B9,inc_date,"&gt;="&amp;(P_FIN-FEN_RECENTE+1))</f>
        <v/>
      </c>
      <c r="I9" s="45">
        <f>IF(C9=0,0,ROUND(100*(W_FREQ*C9/MAX($C$5:$C$12)+W_LETAL*LN(1+E9)/LN(1+MAX(1,MAX($E$5:$E$12)))+W_CIVILS*IF(MAX($G$5:$G$12)=0,0,G9/MAX($G$5:$G$12))+W_RECENT*H9/C9),0))</f>
        <v/>
      </c>
      <c r="J9" s="46">
        <f>IF(I9&gt;=S_CRITIQUE,"Critique",IF(I9&gt;=S_ELEVE,"Élevé",IF(I9&gt;=S_MODERE,"Modéré","Faible")))</f>
        <v/>
      </c>
      <c r="K9" s="47">
        <f>IF(C9=0,"—",INDEX($L$4:$P$4,MATCH(MAX(L9:P9),L9:P9,0)))</f>
        <v/>
      </c>
      <c r="L9" s="48">
        <f>COUNTIFS(inc_region,$B9,inc_acteur,L$4)</f>
        <v/>
      </c>
      <c r="M9" s="48">
        <f>COUNTIFS(inc_region,$B9,inc_acteur,M$4)</f>
        <v/>
      </c>
      <c r="N9" s="48">
        <f>COUNTIFS(inc_region,$B9,inc_acteur,N$4)</f>
        <v/>
      </c>
      <c r="O9" s="48">
        <f>COUNTIFS(inc_region,$B9,inc_acteur,O$4)</f>
        <v/>
      </c>
      <c r="P9" s="48">
        <f>COUNTIFS(inc_region,$B9,inc_acteur,P$4)</f>
        <v/>
      </c>
    </row>
    <row r="10">
      <c r="B10" s="42" t="inlineStr">
        <is>
          <t>Koulikoro</t>
        </is>
      </c>
      <c r="C10" s="43">
        <f>COUNTIFS(inc_region,$B10)</f>
        <v/>
      </c>
      <c r="D10" s="44">
        <f>IF(SUM($C$5:$C$12)=0,0,C10/SUM($C$5:$C$12))</f>
        <v/>
      </c>
      <c r="E10" s="43">
        <f>SUMIFS(inc_tues,inc_region,$B10)</f>
        <v/>
      </c>
      <c r="F10" s="43">
        <f>SUMIFS(inc_fama,inc_region,$B10)+SUMIFS(inc_ac,inc_region,$B10)</f>
        <v/>
      </c>
      <c r="G10" s="43">
        <f>SUMIFS(inc_civ_k,inc_region,$B10)+SUMIFS(inc_civ_w,inc_region,$B10)</f>
        <v/>
      </c>
      <c r="H10" s="43">
        <f>COUNTIFS(inc_region,$B10,inc_date,"&gt;="&amp;(P_FIN-FEN_RECENTE+1))</f>
        <v/>
      </c>
      <c r="I10" s="45">
        <f>IF(C10=0,0,ROUND(100*(W_FREQ*C10/MAX($C$5:$C$12)+W_LETAL*LN(1+E10)/LN(1+MAX(1,MAX($E$5:$E$12)))+W_CIVILS*IF(MAX($G$5:$G$12)=0,0,G10/MAX($G$5:$G$12))+W_RECENT*H10/C10),0))</f>
        <v/>
      </c>
      <c r="J10" s="46">
        <f>IF(I10&gt;=S_CRITIQUE,"Critique",IF(I10&gt;=S_ELEVE,"Élevé",IF(I10&gt;=S_MODERE,"Modéré","Faible")))</f>
        <v/>
      </c>
      <c r="K10" s="47">
        <f>IF(C10=0,"—",INDEX($L$4:$P$4,MATCH(MAX(L10:P10),L10:P10,0)))</f>
        <v/>
      </c>
      <c r="L10" s="48">
        <f>COUNTIFS(inc_region,$B10,inc_acteur,L$4)</f>
        <v/>
      </c>
      <c r="M10" s="48">
        <f>COUNTIFS(inc_region,$B10,inc_acteur,M$4)</f>
        <v/>
      </c>
      <c r="N10" s="48">
        <f>COUNTIFS(inc_region,$B10,inc_acteur,N$4)</f>
        <v/>
      </c>
      <c r="O10" s="48">
        <f>COUNTIFS(inc_region,$B10,inc_acteur,O$4)</f>
        <v/>
      </c>
      <c r="P10" s="48">
        <f>COUNTIFS(inc_region,$B10,inc_acteur,P$4)</f>
        <v/>
      </c>
    </row>
    <row r="11">
      <c r="B11" s="42" t="inlineStr">
        <is>
          <t>Sikasso</t>
        </is>
      </c>
      <c r="C11" s="43">
        <f>COUNTIFS(inc_region,$B11)</f>
        <v/>
      </c>
      <c r="D11" s="44">
        <f>IF(SUM($C$5:$C$12)=0,0,C11/SUM($C$5:$C$12))</f>
        <v/>
      </c>
      <c r="E11" s="43">
        <f>SUMIFS(inc_tues,inc_region,$B11)</f>
        <v/>
      </c>
      <c r="F11" s="43">
        <f>SUMIFS(inc_fama,inc_region,$B11)+SUMIFS(inc_ac,inc_region,$B11)</f>
        <v/>
      </c>
      <c r="G11" s="43">
        <f>SUMIFS(inc_civ_k,inc_region,$B11)+SUMIFS(inc_civ_w,inc_region,$B11)</f>
        <v/>
      </c>
      <c r="H11" s="43">
        <f>COUNTIFS(inc_region,$B11,inc_date,"&gt;="&amp;(P_FIN-FEN_RECENTE+1))</f>
        <v/>
      </c>
      <c r="I11" s="45">
        <f>IF(C11=0,0,ROUND(100*(W_FREQ*C11/MAX($C$5:$C$12)+W_LETAL*LN(1+E11)/LN(1+MAX(1,MAX($E$5:$E$12)))+W_CIVILS*IF(MAX($G$5:$G$12)=0,0,G11/MAX($G$5:$G$12))+W_RECENT*H11/C11),0))</f>
        <v/>
      </c>
      <c r="J11" s="46">
        <f>IF(I11&gt;=S_CRITIQUE,"Critique",IF(I11&gt;=S_ELEVE,"Élevé",IF(I11&gt;=S_MODERE,"Modéré","Faible")))</f>
        <v/>
      </c>
      <c r="K11" s="47">
        <f>IF(C11=0,"—",INDEX($L$4:$P$4,MATCH(MAX(L11:P11),L11:P11,0)))</f>
        <v/>
      </c>
      <c r="L11" s="48">
        <f>COUNTIFS(inc_region,$B11,inc_acteur,L$4)</f>
        <v/>
      </c>
      <c r="M11" s="48">
        <f>COUNTIFS(inc_region,$B11,inc_acteur,M$4)</f>
        <v/>
      </c>
      <c r="N11" s="48">
        <f>COUNTIFS(inc_region,$B11,inc_acteur,N$4)</f>
        <v/>
      </c>
      <c r="O11" s="48">
        <f>COUNTIFS(inc_region,$B11,inc_acteur,O$4)</f>
        <v/>
      </c>
      <c r="P11" s="48">
        <f>COUNTIFS(inc_region,$B11,inc_acteur,P$4)</f>
        <v/>
      </c>
    </row>
    <row r="12">
      <c r="B12" s="42" t="inlineStr">
        <is>
          <t>Hors Mali (Burkina Faso)</t>
        </is>
      </c>
      <c r="C12" s="43">
        <f>COUNTIFS(inc_region,$B12)</f>
        <v/>
      </c>
      <c r="D12" s="44">
        <f>IF(SUM($C$5:$C$12)=0,0,C12/SUM($C$5:$C$12))</f>
        <v/>
      </c>
      <c r="E12" s="43">
        <f>SUMIFS(inc_tues,inc_region,$B12)</f>
        <v/>
      </c>
      <c r="F12" s="43">
        <f>SUMIFS(inc_fama,inc_region,$B12)+SUMIFS(inc_ac,inc_region,$B12)</f>
        <v/>
      </c>
      <c r="G12" s="43">
        <f>SUMIFS(inc_civ_k,inc_region,$B12)+SUMIFS(inc_civ_w,inc_region,$B12)</f>
        <v/>
      </c>
      <c r="H12" s="43">
        <f>COUNTIFS(inc_region,$B12,inc_date,"&gt;="&amp;(P_FIN-FEN_RECENTE+1))</f>
        <v/>
      </c>
      <c r="I12" s="45">
        <f>IF(C12=0,0,ROUND(100*(W_FREQ*C12/MAX($C$5:$C$12)+W_LETAL*LN(1+E12)/LN(1+MAX(1,MAX($E$5:$E$12)))+W_CIVILS*IF(MAX($G$5:$G$12)=0,0,G12/MAX($G$5:$G$12))+W_RECENT*H12/C12),0))</f>
        <v/>
      </c>
      <c r="J12" s="46">
        <f>IF(I12&gt;=S_CRITIQUE,"Critique",IF(I12&gt;=S_ELEVE,"Élevé",IF(I12&gt;=S_MODERE,"Modéré","Faible")))</f>
        <v/>
      </c>
      <c r="K12" s="47">
        <f>IF(C12=0,"—",INDEX($L$4:$P$4,MATCH(MAX(L12:P12),L12:P12,0)))</f>
        <v/>
      </c>
      <c r="L12" s="48">
        <f>COUNTIFS(inc_region,$B12,inc_acteur,L$4)</f>
        <v/>
      </c>
      <c r="M12" s="48">
        <f>COUNTIFS(inc_region,$B12,inc_acteur,M$4)</f>
        <v/>
      </c>
      <c r="N12" s="48">
        <f>COUNTIFS(inc_region,$B12,inc_acteur,N$4)</f>
        <v/>
      </c>
      <c r="O12" s="48">
        <f>COUNTIFS(inc_region,$B12,inc_acteur,O$4)</f>
        <v/>
      </c>
      <c r="P12" s="48">
        <f>COUNTIFS(inc_region,$B12,inc_acteur,P$4)</f>
        <v/>
      </c>
    </row>
    <row r="13">
      <c r="B13" s="49" t="inlineStr">
        <is>
          <t>Total</t>
        </is>
      </c>
      <c r="C13" s="50">
        <f>SUM(C5:C12)</f>
        <v/>
      </c>
      <c r="D13" s="51">
        <f>SUM(D5:D12)</f>
        <v/>
      </c>
      <c r="E13" s="50">
        <f>SUM(E5:E12)</f>
        <v/>
      </c>
      <c r="F13" s="50">
        <f>SUM(F5:F12)</f>
        <v/>
      </c>
      <c r="G13" s="50">
        <f>SUM(G5:G12)</f>
        <v/>
      </c>
      <c r="H13" s="50">
        <f>SUM(H5:H12)</f>
        <v/>
      </c>
      <c r="I13" s="52" t="n"/>
      <c r="J13" s="52" t="n"/>
      <c r="K13" s="52" t="n"/>
      <c r="L13" s="50">
        <f>SUM(L5:L12)</f>
        <v/>
      </c>
      <c r="M13" s="50">
        <f>SUM(M5:M12)</f>
        <v/>
      </c>
      <c r="N13" s="50">
        <f>SUM(N5:N12)</f>
        <v/>
      </c>
      <c r="O13" s="50">
        <f>SUM(O5:O12)</f>
        <v/>
      </c>
      <c r="P13" s="50">
        <f>SUM(P5:P12)</f>
        <v/>
      </c>
    </row>
    <row r="15" ht="30" customHeight="1">
      <c r="B15" s="53" t="inlineStr">
        <is>
          <t>Méthode : indice = 100 × (W_FREQ × incidents / max + W_LETAL × ln(1+tués) / ln(1+max) + W_CIVILS × civils / max + W_RECENT × part d'incidents récents). Poids et seuils modifiables dans PARAMETRES. Les régions suivent le référentiel geoBoundaries (8 régions + Bamako, antérieur à la réforme de 2023).</t>
        </is>
      </c>
    </row>
  </sheetData>
  <mergeCells count="1">
    <mergeCell ref="B15:P15"/>
  </mergeCells>
  <conditionalFormatting sqref="I5:I12">
    <cfRule type="dataBar" priority="1">
      <dataBar showValue="1">
        <cfvo type="num" val="0"/>
        <cfvo type="num" val="100"/>
        <color rgb="00C8102E"/>
      </dataBar>
    </cfRule>
  </conditionalFormatting>
  <conditionalFormatting sqref="J5:J12">
    <cfRule type="cellIs" priority="2" operator="equal" dxfId="12">
      <formula>"Critique"</formula>
    </cfRule>
    <cfRule type="cellIs" priority="3" operator="equal" dxfId="13">
      <formula>"Élevé"</formula>
    </cfRule>
    <cfRule type="cellIs" priority="4" operator="equal" dxfId="14">
      <formula>"Modéré"</formula>
    </cfRule>
    <cfRule type="cellIs" priority="5" operator="equal" dxfId="15">
      <formula>"Faible"</formula>
    </cfRule>
  </conditionalFormatting>
  <conditionalFormatting sqref="L5:P12">
    <cfRule type="colorScale" priority="6">
      <colorScale>
        <cfvo type="num" val="0"/>
        <cfvo type="max"/>
        <color rgb="00FFFFFF"/>
        <color rgb="00F0A07A"/>
      </colorScale>
    </cfRule>
  </conditionalFormatting>
  <hyperlinks>
    <hyperlink xmlns:r="http://schemas.openxmlformats.org/officeDocument/2006/relationships" ref="P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566577"/>
    <outlinePr summaryBelow="1" summaryRight="1"/>
    <pageSetUpPr fitToPage="1"/>
  </sheetPr>
  <dimension ref="A1:P18"/>
  <sheetViews>
    <sheetView showGridLines="0" zoomScale="90" workbookViewId="0">
      <selection activeCell="A1" sqref="A1"/>
    </sheetView>
  </sheetViews>
  <sheetFormatPr baseColWidth="8" defaultRowHeight="15"/>
  <cols>
    <col width="2" customWidth="1" min="1" max="1"/>
    <col width="24" customWidth="1" min="2" max="2"/>
    <col width="11" customWidth="1" min="3" max="3"/>
    <col width="11" customWidth="1" min="4" max="4"/>
    <col width="14"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ht="30" customHeight="1">
      <c r="A1" s="1" t="inlineStr">
        <is>
          <t>Synthèse par acteur instigateur</t>
        </is>
      </c>
      <c r="B1" s="2" t="n"/>
      <c r="C1" s="2" t="n"/>
      <c r="D1" s="2" t="n"/>
      <c r="E1" s="2" t="n"/>
      <c r="F1" s="2" t="n"/>
      <c r="G1" s="2" t="n"/>
      <c r="H1" s="2" t="n"/>
      <c r="I1" s="2" t="n"/>
      <c r="J1" s="2" t="n"/>
      <c r="K1" s="2" t="n"/>
      <c r="L1" s="2" t="n"/>
      <c r="M1" s="2" t="n"/>
      <c r="N1" s="2" t="n"/>
      <c r="O1" s="26" t="inlineStr">
        <is>
          <t>◄ Accueil</t>
        </is>
      </c>
    </row>
    <row r="2" ht="18" customHeight="1">
      <c r="A2" s="3" t="inlineStr">
        <is>
          <t>« Tués lors de ses actions » inclut les pertes subies par l'acteur lui-même lors des incidents qu'il initie.</t>
        </is>
      </c>
      <c r="B2" s="2" t="n"/>
      <c r="C2" s="2" t="n"/>
      <c r="D2" s="2" t="n"/>
      <c r="E2" s="2" t="n"/>
      <c r="F2" s="2" t="n"/>
      <c r="G2" s="2" t="n"/>
      <c r="H2" s="2" t="n"/>
      <c r="I2" s="2" t="n"/>
      <c r="J2" s="2" t="n"/>
      <c r="K2" s="2" t="n"/>
      <c r="L2" s="2" t="n"/>
      <c r="M2" s="2" t="n"/>
      <c r="N2" s="2" t="n"/>
      <c r="O2" s="2" t="n"/>
    </row>
    <row r="4" ht="30" customHeight="1">
      <c r="B4" s="29" t="inlineStr">
        <is>
          <t>Acteur</t>
        </is>
      </c>
      <c r="C4" s="29" t="inlineStr">
        <is>
          <t>Incidents</t>
        </is>
      </c>
      <c r="D4" s="29" t="inlineStr">
        <is>
          <t>Part</t>
        </is>
      </c>
      <c r="E4" s="29" t="inlineStr">
        <is>
          <t>Tués lors de ses actions</t>
        </is>
      </c>
      <c r="F4" s="29" t="inlineStr">
        <is>
          <t>FDS (FAMa) tués</t>
        </is>
      </c>
      <c r="G4" s="29" t="inlineStr">
        <is>
          <t>Africa Corps tués</t>
        </is>
      </c>
      <c r="H4" s="29" t="inlineStr">
        <is>
          <t>Civils tués</t>
        </is>
      </c>
      <c r="I4" s="29" t="inlineStr">
        <is>
          <t>Civils blessés</t>
        </is>
      </c>
      <c r="J4" s="29" t="inlineStr">
        <is>
          <t>Combattants armés tués</t>
        </is>
      </c>
      <c r="K4" s="29" t="inlineStr">
        <is>
          <t>Capturés</t>
        </is>
      </c>
      <c r="L4" s="29" t="inlineStr">
        <is>
          <t>Véh. détruits</t>
        </is>
      </c>
      <c r="M4" s="29" t="inlineStr">
        <is>
          <t>Véh. saisis</t>
        </is>
      </c>
      <c r="N4" s="29" t="inlineStr">
        <is>
          <t>Incidents P1</t>
        </is>
      </c>
      <c r="O4" s="29" t="inlineStr">
        <is>
          <t>Incidents P2</t>
        </is>
      </c>
      <c r="P4" s="29" t="inlineStr">
        <is>
          <t>Évolution P1 → P2</t>
        </is>
      </c>
    </row>
    <row r="5">
      <c r="B5" s="54" t="inlineStr">
        <is>
          <t>JNIM</t>
        </is>
      </c>
      <c r="C5" s="43">
        <f>COUNTIFS(inc_acteur,$B5)</f>
        <v/>
      </c>
      <c r="D5" s="44">
        <f>IF(SUM($C$5:$C$9)=0,0,C5/SUM($C$5:$C$9))</f>
        <v/>
      </c>
      <c r="E5" s="48">
        <f>SUMIFS(inc_tues,inc_acteur,$B5)</f>
        <v/>
      </c>
      <c r="F5" s="48">
        <f>SUMIFS(inc_fama,inc_acteur,$B5)</f>
        <v/>
      </c>
      <c r="G5" s="48">
        <f>SUMIFS(inc_ac,inc_acteur,$B5)</f>
        <v/>
      </c>
      <c r="H5" s="48">
        <f>SUMIFS(inc_civ_k,inc_acteur,$B5)</f>
        <v/>
      </c>
      <c r="I5" s="48">
        <f>SUMIFS(inc_civ_w,inc_acteur,$B5)</f>
        <v/>
      </c>
      <c r="J5" s="48">
        <f>SUMIFS(inc_ga,inc_acteur,$B5)</f>
        <v/>
      </c>
      <c r="K5" s="48">
        <f>SUMIFS(inc_pow,inc_acteur,$B5)</f>
        <v/>
      </c>
      <c r="L5" s="48">
        <f>SUMIFS(inc_vehd,inc_acteur,$B5)</f>
        <v/>
      </c>
      <c r="M5" s="48">
        <f>SUMIFS(inc_vehs,inc_acteur,$B5)</f>
        <v/>
      </c>
      <c r="N5" s="43">
        <f>COUNTIFS(inc_acteur,$B5,inc_periode,"P1")</f>
        <v/>
      </c>
      <c r="O5" s="43">
        <f>COUNTIFS(inc_acteur,$B5,inc_periode,"P2")</f>
        <v/>
      </c>
      <c r="P5" s="55">
        <f>IF(N5=0,IF(O5=0,"—","nouveau"),(O5-N5)/N5)</f>
        <v/>
      </c>
    </row>
    <row r="6">
      <c r="B6" s="56" t="inlineStr">
        <is>
          <t>EI-Sahel</t>
        </is>
      </c>
      <c r="C6" s="43">
        <f>COUNTIFS(inc_acteur,$B6)</f>
        <v/>
      </c>
      <c r="D6" s="44">
        <f>IF(SUM($C$5:$C$9)=0,0,C6/SUM($C$5:$C$9))</f>
        <v/>
      </c>
      <c r="E6" s="48">
        <f>SUMIFS(inc_tues,inc_acteur,$B6)</f>
        <v/>
      </c>
      <c r="F6" s="48">
        <f>SUMIFS(inc_fama,inc_acteur,$B6)</f>
        <v/>
      </c>
      <c r="G6" s="48">
        <f>SUMIFS(inc_ac,inc_acteur,$B6)</f>
        <v/>
      </c>
      <c r="H6" s="48">
        <f>SUMIFS(inc_civ_k,inc_acteur,$B6)</f>
        <v/>
      </c>
      <c r="I6" s="48">
        <f>SUMIFS(inc_civ_w,inc_acteur,$B6)</f>
        <v/>
      </c>
      <c r="J6" s="48">
        <f>SUMIFS(inc_ga,inc_acteur,$B6)</f>
        <v/>
      </c>
      <c r="K6" s="48">
        <f>SUMIFS(inc_pow,inc_acteur,$B6)</f>
        <v/>
      </c>
      <c r="L6" s="48">
        <f>SUMIFS(inc_vehd,inc_acteur,$B6)</f>
        <v/>
      </c>
      <c r="M6" s="48">
        <f>SUMIFS(inc_vehs,inc_acteur,$B6)</f>
        <v/>
      </c>
      <c r="N6" s="43">
        <f>COUNTIFS(inc_acteur,$B6,inc_periode,"P1")</f>
        <v/>
      </c>
      <c r="O6" s="43">
        <f>COUNTIFS(inc_acteur,$B6,inc_periode,"P2")</f>
        <v/>
      </c>
      <c r="P6" s="55">
        <f>IF(N6=0,IF(O6=0,"—","nouveau"),(O6-N6)/N6)</f>
        <v/>
      </c>
    </row>
    <row r="7">
      <c r="B7" s="57" t="inlineStr">
        <is>
          <t>FLA</t>
        </is>
      </c>
      <c r="C7" s="43">
        <f>COUNTIFS(inc_acteur,$B7)</f>
        <v/>
      </c>
      <c r="D7" s="44">
        <f>IF(SUM($C$5:$C$9)=0,0,C7/SUM($C$5:$C$9))</f>
        <v/>
      </c>
      <c r="E7" s="48">
        <f>SUMIFS(inc_tues,inc_acteur,$B7)</f>
        <v/>
      </c>
      <c r="F7" s="48">
        <f>SUMIFS(inc_fama,inc_acteur,$B7)</f>
        <v/>
      </c>
      <c r="G7" s="48">
        <f>SUMIFS(inc_ac,inc_acteur,$B7)</f>
        <v/>
      </c>
      <c r="H7" s="48">
        <f>SUMIFS(inc_civ_k,inc_acteur,$B7)</f>
        <v/>
      </c>
      <c r="I7" s="48">
        <f>SUMIFS(inc_civ_w,inc_acteur,$B7)</f>
        <v/>
      </c>
      <c r="J7" s="48">
        <f>SUMIFS(inc_ga,inc_acteur,$B7)</f>
        <v/>
      </c>
      <c r="K7" s="48">
        <f>SUMIFS(inc_pow,inc_acteur,$B7)</f>
        <v/>
      </c>
      <c r="L7" s="48">
        <f>SUMIFS(inc_vehd,inc_acteur,$B7)</f>
        <v/>
      </c>
      <c r="M7" s="48">
        <f>SUMIFS(inc_vehs,inc_acteur,$B7)</f>
        <v/>
      </c>
      <c r="N7" s="43">
        <f>COUNTIFS(inc_acteur,$B7,inc_periode,"P1")</f>
        <v/>
      </c>
      <c r="O7" s="43">
        <f>COUNTIFS(inc_acteur,$B7,inc_periode,"P2")</f>
        <v/>
      </c>
      <c r="P7" s="55">
        <f>IF(N7=0,IF(O7=0,"—","nouveau"),(O7-N7)/N7)</f>
        <v/>
      </c>
    </row>
    <row r="8">
      <c r="B8" s="58" t="inlineStr">
        <is>
          <t>FAMa / Africa Corps</t>
        </is>
      </c>
      <c r="C8" s="43">
        <f>COUNTIFS(inc_acteur,$B8)</f>
        <v/>
      </c>
      <c r="D8" s="44">
        <f>IF(SUM($C$5:$C$9)=0,0,C8/SUM($C$5:$C$9))</f>
        <v/>
      </c>
      <c r="E8" s="48">
        <f>SUMIFS(inc_tues,inc_acteur,$B8)</f>
        <v/>
      </c>
      <c r="F8" s="48">
        <f>SUMIFS(inc_fama,inc_acteur,$B8)</f>
        <v/>
      </c>
      <c r="G8" s="48">
        <f>SUMIFS(inc_ac,inc_acteur,$B8)</f>
        <v/>
      </c>
      <c r="H8" s="48">
        <f>SUMIFS(inc_civ_k,inc_acteur,$B8)</f>
        <v/>
      </c>
      <c r="I8" s="48">
        <f>SUMIFS(inc_civ_w,inc_acteur,$B8)</f>
        <v/>
      </c>
      <c r="J8" s="48">
        <f>SUMIFS(inc_ga,inc_acteur,$B8)</f>
        <v/>
      </c>
      <c r="K8" s="48">
        <f>SUMIFS(inc_pow,inc_acteur,$B8)</f>
        <v/>
      </c>
      <c r="L8" s="48">
        <f>SUMIFS(inc_vehd,inc_acteur,$B8)</f>
        <v/>
      </c>
      <c r="M8" s="48">
        <f>SUMIFS(inc_vehs,inc_acteur,$B8)</f>
        <v/>
      </c>
      <c r="N8" s="43">
        <f>COUNTIFS(inc_acteur,$B8,inc_periode,"P1")</f>
        <v/>
      </c>
      <c r="O8" s="43">
        <f>COUNTIFS(inc_acteur,$B8,inc_periode,"P2")</f>
        <v/>
      </c>
      <c r="P8" s="55">
        <f>IF(N8=0,IF(O8=0,"—","nouveau"),(O8-N8)/N8)</f>
        <v/>
      </c>
    </row>
    <row r="9">
      <c r="B9" s="59" t="inlineStr">
        <is>
          <t>Indéterminé / accident</t>
        </is>
      </c>
      <c r="C9" s="43">
        <f>COUNTIFS(inc_acteur,$B9)</f>
        <v/>
      </c>
      <c r="D9" s="44">
        <f>IF(SUM($C$5:$C$9)=0,0,C9/SUM($C$5:$C$9))</f>
        <v/>
      </c>
      <c r="E9" s="48">
        <f>SUMIFS(inc_tues,inc_acteur,$B9)</f>
        <v/>
      </c>
      <c r="F9" s="48">
        <f>SUMIFS(inc_fama,inc_acteur,$B9)</f>
        <v/>
      </c>
      <c r="G9" s="48">
        <f>SUMIFS(inc_ac,inc_acteur,$B9)</f>
        <v/>
      </c>
      <c r="H9" s="48">
        <f>SUMIFS(inc_civ_k,inc_acteur,$B9)</f>
        <v/>
      </c>
      <c r="I9" s="48">
        <f>SUMIFS(inc_civ_w,inc_acteur,$B9)</f>
        <v/>
      </c>
      <c r="J9" s="48">
        <f>SUMIFS(inc_ga,inc_acteur,$B9)</f>
        <v/>
      </c>
      <c r="K9" s="48">
        <f>SUMIFS(inc_pow,inc_acteur,$B9)</f>
        <v/>
      </c>
      <c r="L9" s="48">
        <f>SUMIFS(inc_vehd,inc_acteur,$B9)</f>
        <v/>
      </c>
      <c r="M9" s="48">
        <f>SUMIFS(inc_vehs,inc_acteur,$B9)</f>
        <v/>
      </c>
      <c r="N9" s="43">
        <f>COUNTIFS(inc_acteur,$B9,inc_periode,"P1")</f>
        <v/>
      </c>
      <c r="O9" s="43">
        <f>COUNTIFS(inc_acteur,$B9,inc_periode,"P2")</f>
        <v/>
      </c>
      <c r="P9" s="55">
        <f>IF(N9=0,IF(O9=0,"—","nouveau"),(O9-N9)/N9)</f>
        <v/>
      </c>
    </row>
    <row r="10">
      <c r="B10" s="49" t="inlineStr">
        <is>
          <t>Total</t>
        </is>
      </c>
      <c r="C10" s="50">
        <f>SUM(C5:C9)</f>
        <v/>
      </c>
      <c r="D10" s="51">
        <f>SUM(D5:D9)</f>
        <v/>
      </c>
      <c r="E10" s="50">
        <f>SUM(E5:E9)</f>
        <v/>
      </c>
      <c r="F10" s="50">
        <f>SUM(F5:F9)</f>
        <v/>
      </c>
      <c r="G10" s="50">
        <f>SUM(G5:G9)</f>
        <v/>
      </c>
      <c r="H10" s="50">
        <f>SUM(H5:H9)</f>
        <v/>
      </c>
      <c r="I10" s="50">
        <f>SUM(I5:I9)</f>
        <v/>
      </c>
      <c r="J10" s="50">
        <f>SUM(J5:J9)</f>
        <v/>
      </c>
      <c r="K10" s="50">
        <f>SUM(K5:K9)</f>
        <v/>
      </c>
      <c r="L10" s="50">
        <f>SUM(L5:L9)</f>
        <v/>
      </c>
      <c r="M10" s="50">
        <f>SUM(M5:M9)</f>
        <v/>
      </c>
      <c r="N10" s="50">
        <f>SUM(N5:N9)</f>
        <v/>
      </c>
      <c r="O10" s="50">
        <f>SUM(O5:O9)</f>
        <v/>
      </c>
      <c r="P10" s="60">
        <f>IF(N10=0,"—",(O10-N10)/N10)</f>
        <v/>
      </c>
    </row>
    <row r="12" ht="22" customHeight="1">
      <c r="B12" s="4" t="inlineStr">
        <is>
          <t>Matrice acteur × mode opératoire (nombre d'incidents)</t>
        </is>
      </c>
      <c r="C12" s="5" t="n"/>
      <c r="D12" s="5" t="n"/>
      <c r="E12" s="5" t="n"/>
      <c r="F12" s="5" t="n"/>
      <c r="G12" s="5" t="n"/>
      <c r="H12" s="5" t="n"/>
      <c r="I12" s="5" t="n"/>
      <c r="J12" s="5" t="n"/>
      <c r="K12" s="5" t="n"/>
      <c r="L12" s="5" t="n"/>
      <c r="M12" s="5" t="n"/>
      <c r="N12" s="5" t="n"/>
      <c r="O12" s="5" t="n"/>
    </row>
    <row r="13" ht="54" customHeight="1">
      <c r="B13" s="61" t="inlineStr">
        <is>
          <t>Acteur</t>
        </is>
      </c>
      <c r="C13" s="61" t="inlineStr">
        <is>
          <t>Affrontement JNIM–EIS</t>
        </is>
      </c>
      <c r="D13" s="61" t="inlineStr">
        <is>
          <t>Attaque ciblée / VIP</t>
        </is>
      </c>
      <c r="E13" s="61" t="inlineStr">
        <is>
          <t>Attaque de poste / camp</t>
        </is>
      </c>
      <c r="F13" s="61" t="inlineStr">
        <is>
          <t>Drone armé (FPV)</t>
        </is>
      </c>
      <c r="G13" s="61" t="inlineStr">
        <is>
          <t>EEI</t>
        </is>
      </c>
      <c r="H13" s="61" t="inlineStr">
        <is>
          <t>Embuscade</t>
        </is>
      </c>
      <c r="I13" s="61" t="inlineStr">
        <is>
          <t>Frappe aérienne étatique</t>
        </is>
      </c>
      <c r="J13" s="61" t="inlineStr">
        <is>
          <t>Lutte anti-drone</t>
        </is>
      </c>
      <c r="K13" s="61" t="inlineStr">
        <is>
          <t>Offensive terrestre</t>
        </is>
      </c>
      <c r="L13" s="61" t="inlineStr">
        <is>
          <t>Perte d'aéronef (accident)</t>
        </is>
      </c>
      <c r="M13" s="61" t="inlineStr">
        <is>
          <t>Sabotage logistique</t>
        </is>
      </c>
      <c r="N13" s="61" t="inlineStr">
        <is>
          <t>Tirs indirects</t>
        </is>
      </c>
      <c r="O13" s="61" t="inlineStr">
        <is>
          <t>Total</t>
        </is>
      </c>
    </row>
    <row r="14">
      <c r="B14" s="62" t="inlineStr">
        <is>
          <t>JNIM</t>
        </is>
      </c>
      <c r="C14" s="48">
        <f>COUNTIFS(inc_acteur,$B14,inc_mode,C$13)</f>
        <v/>
      </c>
      <c r="D14" s="48">
        <f>COUNTIFS(inc_acteur,$B14,inc_mode,D$13)</f>
        <v/>
      </c>
      <c r="E14" s="48">
        <f>COUNTIFS(inc_acteur,$B14,inc_mode,E$13)</f>
        <v/>
      </c>
      <c r="F14" s="48">
        <f>COUNTIFS(inc_acteur,$B14,inc_mode,F$13)</f>
        <v/>
      </c>
      <c r="G14" s="48">
        <f>COUNTIFS(inc_acteur,$B14,inc_mode,G$13)</f>
        <v/>
      </c>
      <c r="H14" s="48">
        <f>COUNTIFS(inc_acteur,$B14,inc_mode,H$13)</f>
        <v/>
      </c>
      <c r="I14" s="48">
        <f>COUNTIFS(inc_acteur,$B14,inc_mode,I$13)</f>
        <v/>
      </c>
      <c r="J14" s="48">
        <f>COUNTIFS(inc_acteur,$B14,inc_mode,J$13)</f>
        <v/>
      </c>
      <c r="K14" s="48">
        <f>COUNTIFS(inc_acteur,$B14,inc_mode,K$13)</f>
        <v/>
      </c>
      <c r="L14" s="48">
        <f>COUNTIFS(inc_acteur,$B14,inc_mode,L$13)</f>
        <v/>
      </c>
      <c r="M14" s="48">
        <f>COUNTIFS(inc_acteur,$B14,inc_mode,M$13)</f>
        <v/>
      </c>
      <c r="N14" s="48">
        <f>COUNTIFS(inc_acteur,$B14,inc_mode,N$13)</f>
        <v/>
      </c>
      <c r="O14" s="46">
        <f>SUM(C14:N14)</f>
        <v/>
      </c>
    </row>
    <row r="15">
      <c r="B15" s="63" t="inlineStr">
        <is>
          <t>EI-Sahel</t>
        </is>
      </c>
      <c r="C15" s="48">
        <f>COUNTIFS(inc_acteur,$B15,inc_mode,C$13)</f>
        <v/>
      </c>
      <c r="D15" s="48">
        <f>COUNTIFS(inc_acteur,$B15,inc_mode,D$13)</f>
        <v/>
      </c>
      <c r="E15" s="48">
        <f>COUNTIFS(inc_acteur,$B15,inc_mode,E$13)</f>
        <v/>
      </c>
      <c r="F15" s="48">
        <f>COUNTIFS(inc_acteur,$B15,inc_mode,F$13)</f>
        <v/>
      </c>
      <c r="G15" s="48">
        <f>COUNTIFS(inc_acteur,$B15,inc_mode,G$13)</f>
        <v/>
      </c>
      <c r="H15" s="48">
        <f>COUNTIFS(inc_acteur,$B15,inc_mode,H$13)</f>
        <v/>
      </c>
      <c r="I15" s="48">
        <f>COUNTIFS(inc_acteur,$B15,inc_mode,I$13)</f>
        <v/>
      </c>
      <c r="J15" s="48">
        <f>COUNTIFS(inc_acteur,$B15,inc_mode,J$13)</f>
        <v/>
      </c>
      <c r="K15" s="48">
        <f>COUNTIFS(inc_acteur,$B15,inc_mode,K$13)</f>
        <v/>
      </c>
      <c r="L15" s="48">
        <f>COUNTIFS(inc_acteur,$B15,inc_mode,L$13)</f>
        <v/>
      </c>
      <c r="M15" s="48">
        <f>COUNTIFS(inc_acteur,$B15,inc_mode,M$13)</f>
        <v/>
      </c>
      <c r="N15" s="48">
        <f>COUNTIFS(inc_acteur,$B15,inc_mode,N$13)</f>
        <v/>
      </c>
      <c r="O15" s="46">
        <f>SUM(C15:N15)</f>
        <v/>
      </c>
    </row>
    <row r="16">
      <c r="B16" s="64" t="inlineStr">
        <is>
          <t>FLA</t>
        </is>
      </c>
      <c r="C16" s="48">
        <f>COUNTIFS(inc_acteur,$B16,inc_mode,C$13)</f>
        <v/>
      </c>
      <c r="D16" s="48">
        <f>COUNTIFS(inc_acteur,$B16,inc_mode,D$13)</f>
        <v/>
      </c>
      <c r="E16" s="48">
        <f>COUNTIFS(inc_acteur,$B16,inc_mode,E$13)</f>
        <v/>
      </c>
      <c r="F16" s="48">
        <f>COUNTIFS(inc_acteur,$B16,inc_mode,F$13)</f>
        <v/>
      </c>
      <c r="G16" s="48">
        <f>COUNTIFS(inc_acteur,$B16,inc_mode,G$13)</f>
        <v/>
      </c>
      <c r="H16" s="48">
        <f>COUNTIFS(inc_acteur,$B16,inc_mode,H$13)</f>
        <v/>
      </c>
      <c r="I16" s="48">
        <f>COUNTIFS(inc_acteur,$B16,inc_mode,I$13)</f>
        <v/>
      </c>
      <c r="J16" s="48">
        <f>COUNTIFS(inc_acteur,$B16,inc_mode,J$13)</f>
        <v/>
      </c>
      <c r="K16" s="48">
        <f>COUNTIFS(inc_acteur,$B16,inc_mode,K$13)</f>
        <v/>
      </c>
      <c r="L16" s="48">
        <f>COUNTIFS(inc_acteur,$B16,inc_mode,L$13)</f>
        <v/>
      </c>
      <c r="M16" s="48">
        <f>COUNTIFS(inc_acteur,$B16,inc_mode,M$13)</f>
        <v/>
      </c>
      <c r="N16" s="48">
        <f>COUNTIFS(inc_acteur,$B16,inc_mode,N$13)</f>
        <v/>
      </c>
      <c r="O16" s="46">
        <f>SUM(C16:N16)</f>
        <v/>
      </c>
    </row>
    <row r="17">
      <c r="B17" s="65" t="inlineStr">
        <is>
          <t>FAMa / Africa Corps</t>
        </is>
      </c>
      <c r="C17" s="48">
        <f>COUNTIFS(inc_acteur,$B17,inc_mode,C$13)</f>
        <v/>
      </c>
      <c r="D17" s="48">
        <f>COUNTIFS(inc_acteur,$B17,inc_mode,D$13)</f>
        <v/>
      </c>
      <c r="E17" s="48">
        <f>COUNTIFS(inc_acteur,$B17,inc_mode,E$13)</f>
        <v/>
      </c>
      <c r="F17" s="48">
        <f>COUNTIFS(inc_acteur,$B17,inc_mode,F$13)</f>
        <v/>
      </c>
      <c r="G17" s="48">
        <f>COUNTIFS(inc_acteur,$B17,inc_mode,G$13)</f>
        <v/>
      </c>
      <c r="H17" s="48">
        <f>COUNTIFS(inc_acteur,$B17,inc_mode,H$13)</f>
        <v/>
      </c>
      <c r="I17" s="48">
        <f>COUNTIFS(inc_acteur,$B17,inc_mode,I$13)</f>
        <v/>
      </c>
      <c r="J17" s="48">
        <f>COUNTIFS(inc_acteur,$B17,inc_mode,J$13)</f>
        <v/>
      </c>
      <c r="K17" s="48">
        <f>COUNTIFS(inc_acteur,$B17,inc_mode,K$13)</f>
        <v/>
      </c>
      <c r="L17" s="48">
        <f>COUNTIFS(inc_acteur,$B17,inc_mode,L$13)</f>
        <v/>
      </c>
      <c r="M17" s="48">
        <f>COUNTIFS(inc_acteur,$B17,inc_mode,M$13)</f>
        <v/>
      </c>
      <c r="N17" s="48">
        <f>COUNTIFS(inc_acteur,$B17,inc_mode,N$13)</f>
        <v/>
      </c>
      <c r="O17" s="46">
        <f>SUM(C17:N17)</f>
        <v/>
      </c>
    </row>
    <row r="18">
      <c r="B18" s="66" t="inlineStr">
        <is>
          <t>Indéterminé / accident</t>
        </is>
      </c>
      <c r="C18" s="48">
        <f>COUNTIFS(inc_acteur,$B18,inc_mode,C$13)</f>
        <v/>
      </c>
      <c r="D18" s="48">
        <f>COUNTIFS(inc_acteur,$B18,inc_mode,D$13)</f>
        <v/>
      </c>
      <c r="E18" s="48">
        <f>COUNTIFS(inc_acteur,$B18,inc_mode,E$13)</f>
        <v/>
      </c>
      <c r="F18" s="48">
        <f>COUNTIFS(inc_acteur,$B18,inc_mode,F$13)</f>
        <v/>
      </c>
      <c r="G18" s="48">
        <f>COUNTIFS(inc_acteur,$B18,inc_mode,G$13)</f>
        <v/>
      </c>
      <c r="H18" s="48">
        <f>COUNTIFS(inc_acteur,$B18,inc_mode,H$13)</f>
        <v/>
      </c>
      <c r="I18" s="48">
        <f>COUNTIFS(inc_acteur,$B18,inc_mode,I$13)</f>
        <v/>
      </c>
      <c r="J18" s="48">
        <f>COUNTIFS(inc_acteur,$B18,inc_mode,J$13)</f>
        <v/>
      </c>
      <c r="K18" s="48">
        <f>COUNTIFS(inc_acteur,$B18,inc_mode,K$13)</f>
        <v/>
      </c>
      <c r="L18" s="48">
        <f>COUNTIFS(inc_acteur,$B18,inc_mode,L$13)</f>
        <v/>
      </c>
      <c r="M18" s="48">
        <f>COUNTIFS(inc_acteur,$B18,inc_mode,M$13)</f>
        <v/>
      </c>
      <c r="N18" s="48">
        <f>COUNTIFS(inc_acteur,$B18,inc_mode,N$13)</f>
        <v/>
      </c>
      <c r="O18" s="46">
        <f>SUM(C18:N18)</f>
        <v/>
      </c>
    </row>
  </sheetData>
  <conditionalFormatting sqref="E5:E9">
    <cfRule type="dataBar" priority="1">
      <dataBar showValue="1">
        <cfvo type="num" val="0"/>
        <cfvo type="max"/>
        <color rgb="00E2701C"/>
      </dataBar>
    </cfRule>
  </conditionalFormatting>
  <conditionalFormatting sqref="H5:I9">
    <cfRule type="cellIs" priority="2" operator="greaterThan" dxfId="0">
      <formula>0</formula>
    </cfRule>
  </conditionalFormatting>
  <conditionalFormatting sqref="C14:N18">
    <cfRule type="colorScale" priority="3">
      <colorScale>
        <cfvo type="num" val="0"/>
        <cfvo type="num" val="2"/>
        <cfvo type="max"/>
        <color rgb="00FFFFFF"/>
        <color rgb="00F6C99B"/>
        <color rgb="00C8102E"/>
      </colorScale>
    </cfRule>
  </conditionalFormatting>
  <hyperlinks>
    <hyperlink xmlns:r="http://schemas.openxmlformats.org/officeDocument/2006/relationships" ref="O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2"/>
</worksheet>
</file>

<file path=xl/worksheets/sheet6.xml><?xml version="1.0" encoding="utf-8"?>
<worksheet xmlns="http://schemas.openxmlformats.org/spreadsheetml/2006/main">
  <sheetPr>
    <tabColor rgb="00566577"/>
    <outlinePr summaryBelow="1" summaryRight="1"/>
    <pageSetUpPr fitToPage="1"/>
  </sheetPr>
  <dimension ref="A1:U16"/>
  <sheetViews>
    <sheetView showGridLines="0" zoomScale="90" workbookViewId="0">
      <selection activeCell="A1" sqref="A1"/>
    </sheetView>
  </sheetViews>
  <sheetFormatPr baseColWidth="8" defaultRowHeight="15"/>
  <cols>
    <col width="2" customWidth="1" min="1" max="1"/>
    <col width="12" customWidth="1" min="2" max="2"/>
    <col width="12" customWidth="1" min="3" max="3"/>
    <col width="8"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 customWidth="1" min="16" max="16"/>
    <col width="30" customWidth="1" min="17" max="17"/>
    <col width="11" customWidth="1" min="18" max="18"/>
    <col width="11" customWidth="1" min="19" max="19"/>
    <col width="11" customWidth="1" min="20" max="20"/>
    <col width="11" customWidth="1" min="21" max="21"/>
  </cols>
  <sheetData>
    <row r="1" ht="30" customHeight="1">
      <c r="A1" s="1" t="inlineStr">
        <is>
          <t>Chronologie et comparaison des périodes</t>
        </is>
      </c>
      <c r="B1" s="2" t="n"/>
      <c r="C1" s="2" t="n"/>
      <c r="D1" s="2" t="n"/>
      <c r="E1" s="2" t="n"/>
      <c r="F1" s="2" t="n"/>
      <c r="G1" s="2" t="n"/>
      <c r="H1" s="2" t="n"/>
      <c r="I1" s="2" t="n"/>
      <c r="J1" s="2" t="n"/>
      <c r="K1" s="2" t="n"/>
      <c r="L1" s="2" t="n"/>
      <c r="M1" s="2" t="n"/>
      <c r="N1" s="2" t="n"/>
      <c r="O1" s="26" t="inlineStr">
        <is>
          <t>◄ Accueil</t>
        </is>
      </c>
    </row>
    <row r="2" ht="18" customHeight="1">
      <c r="A2" s="3" t="inlineStr">
        <is>
          <t>Semaines ISO (lundi → dimanche). P1 / P2 : deux périodes de durée égale (voir PARAMETRES).</t>
        </is>
      </c>
      <c r="B2" s="2" t="n"/>
      <c r="C2" s="2" t="n"/>
      <c r="D2" s="2" t="n"/>
      <c r="E2" s="2" t="n"/>
      <c r="F2" s="2" t="n"/>
      <c r="G2" s="2" t="n"/>
      <c r="H2" s="2" t="n"/>
      <c r="I2" s="2" t="n"/>
      <c r="J2" s="2" t="n"/>
      <c r="K2" s="2" t="n"/>
      <c r="L2" s="2" t="n"/>
      <c r="M2" s="2" t="n"/>
      <c r="N2" s="2" t="n"/>
      <c r="O2" s="2" t="n"/>
    </row>
    <row r="4" ht="22" customHeight="1">
      <c r="B4" s="29" t="inlineStr">
        <is>
          <t>Semaine du</t>
        </is>
      </c>
      <c r="C4" s="29" t="inlineStr">
        <is>
          <t>Au</t>
        </is>
      </c>
      <c r="D4" s="29" t="inlineStr">
        <is>
          <t>N° ISO</t>
        </is>
      </c>
      <c r="E4" s="37" t="inlineStr">
        <is>
          <t>JNIM</t>
        </is>
      </c>
      <c r="F4" s="38" t="inlineStr">
        <is>
          <t>EI-Sahel</t>
        </is>
      </c>
      <c r="G4" s="39" t="inlineStr">
        <is>
          <t>FLA</t>
        </is>
      </c>
      <c r="H4" s="40" t="inlineStr">
        <is>
          <t>FAMa / Africa Corps</t>
        </is>
      </c>
      <c r="I4" s="41" t="inlineStr">
        <is>
          <t>Indéterminé / accident</t>
        </is>
      </c>
      <c r="J4" s="29" t="inlineStr">
        <is>
          <t>Total incidents</t>
        </is>
      </c>
      <c r="K4" s="29" t="inlineStr">
        <is>
          <t>Tués</t>
        </is>
      </c>
      <c r="L4" s="29" t="inlineStr">
        <is>
          <t>FDS + AC tués</t>
        </is>
      </c>
      <c r="M4" s="29" t="inlineStr">
        <is>
          <t>Civils tués</t>
        </is>
      </c>
      <c r="N4" s="29" t="inlineStr">
        <is>
          <t>Cumul tués</t>
        </is>
      </c>
      <c r="Q4" s="4" t="inlineStr">
        <is>
          <t>Comparaison P1 / P2</t>
        </is>
      </c>
      <c r="R4" s="5" t="n"/>
      <c r="S4" s="5" t="n"/>
      <c r="T4" s="5" t="n"/>
      <c r="U4" s="5" t="n"/>
    </row>
    <row r="5" ht="30" customHeight="1">
      <c r="B5" s="67" t="n">
        <v>46265</v>
      </c>
      <c r="C5" s="67">
        <f>B5+6</f>
        <v/>
      </c>
      <c r="D5" s="47">
        <f>"S"&amp;WEEKNUM(B5,21)</f>
        <v/>
      </c>
      <c r="E5" s="48">
        <f>COUNTIFS(inc_acteur,E$4,inc_date,"&gt;="&amp;$B5,inc_date,"&lt;="&amp;$C5)</f>
        <v/>
      </c>
      <c r="F5" s="48">
        <f>COUNTIFS(inc_acteur,F$4,inc_date,"&gt;="&amp;$B5,inc_date,"&lt;="&amp;$C5)</f>
        <v/>
      </c>
      <c r="G5" s="48">
        <f>COUNTIFS(inc_acteur,G$4,inc_date,"&gt;="&amp;$B5,inc_date,"&lt;="&amp;$C5)</f>
        <v/>
      </c>
      <c r="H5" s="48">
        <f>COUNTIFS(inc_acteur,H$4,inc_date,"&gt;="&amp;$B5,inc_date,"&lt;="&amp;$C5)</f>
        <v/>
      </c>
      <c r="I5" s="48">
        <f>COUNTIFS(inc_acteur,I$4,inc_date,"&gt;="&amp;$B5,inc_date,"&lt;="&amp;$C5)</f>
        <v/>
      </c>
      <c r="J5" s="46">
        <f>SUM(E5:I5)</f>
        <v/>
      </c>
      <c r="K5" s="47">
        <f>SUMIFS(inc_tues,inc_date,"&gt;="&amp;$B5,inc_date,"&lt;="&amp;$C5)</f>
        <v/>
      </c>
      <c r="L5" s="47">
        <f>SUMIFS(inc_fama,inc_date,"&gt;="&amp;$B5,inc_date,"&lt;="&amp;$C5)+SUMIFS(inc_ac,inc_date,"&gt;="&amp;$B5,inc_date,"&lt;="&amp;$C5)</f>
        <v/>
      </c>
      <c r="M5" s="47">
        <f>SUMIFS(inc_civ_k,inc_date,"&gt;="&amp;$B5,inc_date,"&lt;="&amp;$C5)</f>
        <v/>
      </c>
      <c r="N5" s="47">
        <f>SUM($K$5:K5)</f>
        <v/>
      </c>
      <c r="Q5" s="61" t="inlineStr">
        <is>
          <t>Indicateur</t>
        </is>
      </c>
      <c r="R5" s="61" t="inlineStr">
        <is>
          <t>P1</t>
        </is>
      </c>
      <c r="S5" s="61" t="inlineStr">
        <is>
          <t>P2</t>
        </is>
      </c>
      <c r="T5" s="61" t="inlineStr">
        <is>
          <t>Écart</t>
        </is>
      </c>
      <c r="U5" s="61" t="inlineStr">
        <is>
          <t>Évolution</t>
        </is>
      </c>
    </row>
    <row r="6">
      <c r="B6" s="67" t="n">
        <v>46272</v>
      </c>
      <c r="C6" s="67">
        <f>B6+6</f>
        <v/>
      </c>
      <c r="D6" s="47">
        <f>"S"&amp;WEEKNUM(B6,21)</f>
        <v/>
      </c>
      <c r="E6" s="48">
        <f>COUNTIFS(inc_acteur,E$4,inc_date,"&gt;="&amp;$B6,inc_date,"&lt;="&amp;$C6)</f>
        <v/>
      </c>
      <c r="F6" s="48">
        <f>COUNTIFS(inc_acteur,F$4,inc_date,"&gt;="&amp;$B6,inc_date,"&lt;="&amp;$C6)</f>
        <v/>
      </c>
      <c r="G6" s="48">
        <f>COUNTIFS(inc_acteur,G$4,inc_date,"&gt;="&amp;$B6,inc_date,"&lt;="&amp;$C6)</f>
        <v/>
      </c>
      <c r="H6" s="48">
        <f>COUNTIFS(inc_acteur,H$4,inc_date,"&gt;="&amp;$B6,inc_date,"&lt;="&amp;$C6)</f>
        <v/>
      </c>
      <c r="I6" s="48">
        <f>COUNTIFS(inc_acteur,I$4,inc_date,"&gt;="&amp;$B6,inc_date,"&lt;="&amp;$C6)</f>
        <v/>
      </c>
      <c r="J6" s="46">
        <f>SUM(E6:I6)</f>
        <v/>
      </c>
      <c r="K6" s="47">
        <f>SUMIFS(inc_tues,inc_date,"&gt;="&amp;$B6,inc_date,"&lt;="&amp;$C6)</f>
        <v/>
      </c>
      <c r="L6" s="47">
        <f>SUMIFS(inc_fama,inc_date,"&gt;="&amp;$B6,inc_date,"&lt;="&amp;$C6)+SUMIFS(inc_ac,inc_date,"&gt;="&amp;$B6,inc_date,"&lt;="&amp;$C6)</f>
        <v/>
      </c>
      <c r="M6" s="47">
        <f>SUMIFS(inc_civ_k,inc_date,"&gt;="&amp;$B6,inc_date,"&lt;="&amp;$C6)</f>
        <v/>
      </c>
      <c r="N6" s="47">
        <f>SUM($K$5:K6)</f>
        <v/>
      </c>
      <c r="Q6" s="42" t="inlineStr">
        <is>
          <t>Incidents</t>
        </is>
      </c>
      <c r="R6" s="43">
        <f>COUNTIFS(inc_periode,"P1")</f>
        <v/>
      </c>
      <c r="S6" s="43">
        <f>COUNTIFS(inc_periode,"P2")</f>
        <v/>
      </c>
      <c r="T6" s="68">
        <f>S6-R6</f>
        <v/>
      </c>
      <c r="U6" s="69">
        <f>IF(R6=0,"—",(S6-R6)/R6)</f>
        <v/>
      </c>
    </row>
    <row r="7">
      <c r="B7" s="67" t="n">
        <v>46279</v>
      </c>
      <c r="C7" s="67">
        <f>B7+6</f>
        <v/>
      </c>
      <c r="D7" s="47">
        <f>"S"&amp;WEEKNUM(B7,21)</f>
        <v/>
      </c>
      <c r="E7" s="48">
        <f>COUNTIFS(inc_acteur,E$4,inc_date,"&gt;="&amp;$B7,inc_date,"&lt;="&amp;$C7)</f>
        <v/>
      </c>
      <c r="F7" s="48">
        <f>COUNTIFS(inc_acteur,F$4,inc_date,"&gt;="&amp;$B7,inc_date,"&lt;="&amp;$C7)</f>
        <v/>
      </c>
      <c r="G7" s="48">
        <f>COUNTIFS(inc_acteur,G$4,inc_date,"&gt;="&amp;$B7,inc_date,"&lt;="&amp;$C7)</f>
        <v/>
      </c>
      <c r="H7" s="48">
        <f>COUNTIFS(inc_acteur,H$4,inc_date,"&gt;="&amp;$B7,inc_date,"&lt;="&amp;$C7)</f>
        <v/>
      </c>
      <c r="I7" s="48">
        <f>COUNTIFS(inc_acteur,I$4,inc_date,"&gt;="&amp;$B7,inc_date,"&lt;="&amp;$C7)</f>
        <v/>
      </c>
      <c r="J7" s="46">
        <f>SUM(E7:I7)</f>
        <v/>
      </c>
      <c r="K7" s="47">
        <f>SUMIFS(inc_tues,inc_date,"&gt;="&amp;$B7,inc_date,"&lt;="&amp;$C7)</f>
        <v/>
      </c>
      <c r="L7" s="47">
        <f>SUMIFS(inc_fama,inc_date,"&gt;="&amp;$B7,inc_date,"&lt;="&amp;$C7)+SUMIFS(inc_ac,inc_date,"&gt;="&amp;$B7,inc_date,"&lt;="&amp;$C7)</f>
        <v/>
      </c>
      <c r="M7" s="47">
        <f>SUMIFS(inc_civ_k,inc_date,"&gt;="&amp;$B7,inc_date,"&lt;="&amp;$C7)</f>
        <v/>
      </c>
      <c r="N7" s="47">
        <f>SUM($K$5:K7)</f>
        <v/>
      </c>
      <c r="Q7" s="42" t="inlineStr">
        <is>
          <t>Tués (total)</t>
        </is>
      </c>
      <c r="R7" s="43">
        <f>SUMIFS(inc_tues,inc_periode,"P1")</f>
        <v/>
      </c>
      <c r="S7" s="43">
        <f>SUMIFS(inc_tues,inc_periode,"P2")</f>
        <v/>
      </c>
      <c r="T7" s="68">
        <f>S7-R7</f>
        <v/>
      </c>
      <c r="U7" s="69">
        <f>IF(R7=0,"—",(S7-R7)/R7)</f>
        <v/>
      </c>
    </row>
    <row r="8">
      <c r="B8" s="67" t="n">
        <v>46286</v>
      </c>
      <c r="C8" s="67">
        <f>B8+6</f>
        <v/>
      </c>
      <c r="D8" s="47">
        <f>"S"&amp;WEEKNUM(B8,21)</f>
        <v/>
      </c>
      <c r="E8" s="48">
        <f>COUNTIFS(inc_acteur,E$4,inc_date,"&gt;="&amp;$B8,inc_date,"&lt;="&amp;$C8)</f>
        <v/>
      </c>
      <c r="F8" s="48">
        <f>COUNTIFS(inc_acteur,F$4,inc_date,"&gt;="&amp;$B8,inc_date,"&lt;="&amp;$C8)</f>
        <v/>
      </c>
      <c r="G8" s="48">
        <f>COUNTIFS(inc_acteur,G$4,inc_date,"&gt;="&amp;$B8,inc_date,"&lt;="&amp;$C8)</f>
        <v/>
      </c>
      <c r="H8" s="48">
        <f>COUNTIFS(inc_acteur,H$4,inc_date,"&gt;="&amp;$B8,inc_date,"&lt;="&amp;$C8)</f>
        <v/>
      </c>
      <c r="I8" s="48">
        <f>COUNTIFS(inc_acteur,I$4,inc_date,"&gt;="&amp;$B8,inc_date,"&lt;="&amp;$C8)</f>
        <v/>
      </c>
      <c r="J8" s="46">
        <f>SUM(E8:I8)</f>
        <v/>
      </c>
      <c r="K8" s="47">
        <f>SUMIFS(inc_tues,inc_date,"&gt;="&amp;$B8,inc_date,"&lt;="&amp;$C8)</f>
        <v/>
      </c>
      <c r="L8" s="47">
        <f>SUMIFS(inc_fama,inc_date,"&gt;="&amp;$B8,inc_date,"&lt;="&amp;$C8)+SUMIFS(inc_ac,inc_date,"&gt;="&amp;$B8,inc_date,"&lt;="&amp;$C8)</f>
        <v/>
      </c>
      <c r="M8" s="47">
        <f>SUMIFS(inc_civ_k,inc_date,"&gt;="&amp;$B8,inc_date,"&lt;="&amp;$C8)</f>
        <v/>
      </c>
      <c r="N8" s="47">
        <f>SUM($K$5:K8)</f>
        <v/>
      </c>
      <c r="Q8" s="42" t="inlineStr">
        <is>
          <t>FDS (FAMa) tués</t>
        </is>
      </c>
      <c r="R8" s="43">
        <f>SUMIFS(inc_fama,inc_periode,"P1")</f>
        <v/>
      </c>
      <c r="S8" s="43">
        <f>SUMIFS(inc_fama,inc_periode,"P2")</f>
        <v/>
      </c>
      <c r="T8" s="68">
        <f>S8-R8</f>
        <v/>
      </c>
      <c r="U8" s="69">
        <f>IF(R8=0,"—",(S8-R8)/R8)</f>
        <v/>
      </c>
    </row>
    <row r="9">
      <c r="B9" s="67" t="n">
        <v>46293</v>
      </c>
      <c r="C9" s="67">
        <f>B9+6</f>
        <v/>
      </c>
      <c r="D9" s="47">
        <f>"S"&amp;WEEKNUM(B9,21)</f>
        <v/>
      </c>
      <c r="E9" s="48">
        <f>COUNTIFS(inc_acteur,E$4,inc_date,"&gt;="&amp;$B9,inc_date,"&lt;="&amp;$C9)</f>
        <v/>
      </c>
      <c r="F9" s="48">
        <f>COUNTIFS(inc_acteur,F$4,inc_date,"&gt;="&amp;$B9,inc_date,"&lt;="&amp;$C9)</f>
        <v/>
      </c>
      <c r="G9" s="48">
        <f>COUNTIFS(inc_acteur,G$4,inc_date,"&gt;="&amp;$B9,inc_date,"&lt;="&amp;$C9)</f>
        <v/>
      </c>
      <c r="H9" s="48">
        <f>COUNTIFS(inc_acteur,H$4,inc_date,"&gt;="&amp;$B9,inc_date,"&lt;="&amp;$C9)</f>
        <v/>
      </c>
      <c r="I9" s="48">
        <f>COUNTIFS(inc_acteur,I$4,inc_date,"&gt;="&amp;$B9,inc_date,"&lt;="&amp;$C9)</f>
        <v/>
      </c>
      <c r="J9" s="46">
        <f>SUM(E9:I9)</f>
        <v/>
      </c>
      <c r="K9" s="47">
        <f>SUMIFS(inc_tues,inc_date,"&gt;="&amp;$B9,inc_date,"&lt;="&amp;$C9)</f>
        <v/>
      </c>
      <c r="L9" s="47">
        <f>SUMIFS(inc_fama,inc_date,"&gt;="&amp;$B9,inc_date,"&lt;="&amp;$C9)+SUMIFS(inc_ac,inc_date,"&gt;="&amp;$B9,inc_date,"&lt;="&amp;$C9)</f>
        <v/>
      </c>
      <c r="M9" s="47">
        <f>SUMIFS(inc_civ_k,inc_date,"&gt;="&amp;$B9,inc_date,"&lt;="&amp;$C9)</f>
        <v/>
      </c>
      <c r="N9" s="47">
        <f>SUM($K$5:K9)</f>
        <v/>
      </c>
      <c r="Q9" s="42" t="inlineStr">
        <is>
          <t>Africa Corps tués</t>
        </is>
      </c>
      <c r="R9" s="43">
        <f>SUMIFS(inc_ac,inc_periode,"P1")</f>
        <v/>
      </c>
      <c r="S9" s="43">
        <f>SUMIFS(inc_ac,inc_periode,"P2")</f>
        <v/>
      </c>
      <c r="T9" s="68">
        <f>S9-R9</f>
        <v/>
      </c>
      <c r="U9" s="69">
        <f>IF(R9=0,"—",(S9-R9)/R9)</f>
        <v/>
      </c>
    </row>
    <row r="10">
      <c r="B10" s="67" t="n">
        <v>46300</v>
      </c>
      <c r="C10" s="67">
        <f>B10+6</f>
        <v/>
      </c>
      <c r="D10" s="47">
        <f>"S"&amp;WEEKNUM(B10,21)</f>
        <v/>
      </c>
      <c r="E10" s="48">
        <f>COUNTIFS(inc_acteur,E$4,inc_date,"&gt;="&amp;$B10,inc_date,"&lt;="&amp;$C10)</f>
        <v/>
      </c>
      <c r="F10" s="48">
        <f>COUNTIFS(inc_acteur,F$4,inc_date,"&gt;="&amp;$B10,inc_date,"&lt;="&amp;$C10)</f>
        <v/>
      </c>
      <c r="G10" s="48">
        <f>COUNTIFS(inc_acteur,G$4,inc_date,"&gt;="&amp;$B10,inc_date,"&lt;="&amp;$C10)</f>
        <v/>
      </c>
      <c r="H10" s="48">
        <f>COUNTIFS(inc_acteur,H$4,inc_date,"&gt;="&amp;$B10,inc_date,"&lt;="&amp;$C10)</f>
        <v/>
      </c>
      <c r="I10" s="48">
        <f>COUNTIFS(inc_acteur,I$4,inc_date,"&gt;="&amp;$B10,inc_date,"&lt;="&amp;$C10)</f>
        <v/>
      </c>
      <c r="J10" s="46">
        <f>SUM(E10:I10)</f>
        <v/>
      </c>
      <c r="K10" s="47">
        <f>SUMIFS(inc_tues,inc_date,"&gt;="&amp;$B10,inc_date,"&lt;="&amp;$C10)</f>
        <v/>
      </c>
      <c r="L10" s="47">
        <f>SUMIFS(inc_fama,inc_date,"&gt;="&amp;$B10,inc_date,"&lt;="&amp;$C10)+SUMIFS(inc_ac,inc_date,"&gt;="&amp;$B10,inc_date,"&lt;="&amp;$C10)</f>
        <v/>
      </c>
      <c r="M10" s="47">
        <f>SUMIFS(inc_civ_k,inc_date,"&gt;="&amp;$B10,inc_date,"&lt;="&amp;$C10)</f>
        <v/>
      </c>
      <c r="N10" s="47">
        <f>SUM($K$5:K10)</f>
        <v/>
      </c>
      <c r="Q10" s="42" t="inlineStr">
        <is>
          <t>Combattants armés tués</t>
        </is>
      </c>
      <c r="R10" s="43">
        <f>SUMIFS(inc_ga,inc_periode,"P1")</f>
        <v/>
      </c>
      <c r="S10" s="43">
        <f>SUMIFS(inc_ga,inc_periode,"P2")</f>
        <v/>
      </c>
      <c r="T10" s="68">
        <f>S10-R10</f>
        <v/>
      </c>
      <c r="U10" s="69">
        <f>IF(R10=0,"—",(S10-R10)/R10)</f>
        <v/>
      </c>
    </row>
    <row r="11">
      <c r="B11" s="67" t="n">
        <v>46307</v>
      </c>
      <c r="C11" s="67">
        <f>B11+6</f>
        <v/>
      </c>
      <c r="D11" s="47">
        <f>"S"&amp;WEEKNUM(B11,21)</f>
        <v/>
      </c>
      <c r="E11" s="48">
        <f>COUNTIFS(inc_acteur,E$4,inc_date,"&gt;="&amp;$B11,inc_date,"&lt;="&amp;$C11)</f>
        <v/>
      </c>
      <c r="F11" s="48">
        <f>COUNTIFS(inc_acteur,F$4,inc_date,"&gt;="&amp;$B11,inc_date,"&lt;="&amp;$C11)</f>
        <v/>
      </c>
      <c r="G11" s="48">
        <f>COUNTIFS(inc_acteur,G$4,inc_date,"&gt;="&amp;$B11,inc_date,"&lt;="&amp;$C11)</f>
        <v/>
      </c>
      <c r="H11" s="48">
        <f>COUNTIFS(inc_acteur,H$4,inc_date,"&gt;="&amp;$B11,inc_date,"&lt;="&amp;$C11)</f>
        <v/>
      </c>
      <c r="I11" s="48">
        <f>COUNTIFS(inc_acteur,I$4,inc_date,"&gt;="&amp;$B11,inc_date,"&lt;="&amp;$C11)</f>
        <v/>
      </c>
      <c r="J11" s="46">
        <f>SUM(E11:I11)</f>
        <v/>
      </c>
      <c r="K11" s="47">
        <f>SUMIFS(inc_tues,inc_date,"&gt;="&amp;$B11,inc_date,"&lt;="&amp;$C11)</f>
        <v/>
      </c>
      <c r="L11" s="47">
        <f>SUMIFS(inc_fama,inc_date,"&gt;="&amp;$B11,inc_date,"&lt;="&amp;$C11)+SUMIFS(inc_ac,inc_date,"&gt;="&amp;$B11,inc_date,"&lt;="&amp;$C11)</f>
        <v/>
      </c>
      <c r="M11" s="47">
        <f>SUMIFS(inc_civ_k,inc_date,"&gt;="&amp;$B11,inc_date,"&lt;="&amp;$C11)</f>
        <v/>
      </c>
      <c r="N11" s="47">
        <f>SUM($K$5:K11)</f>
        <v/>
      </c>
      <c r="Q11" s="42" t="inlineStr">
        <is>
          <t>Civils tués</t>
        </is>
      </c>
      <c r="R11" s="43">
        <f>SUMIFS(inc_civ_k,inc_periode,"P1")</f>
        <v/>
      </c>
      <c r="S11" s="43">
        <f>SUMIFS(inc_civ_k,inc_periode,"P2")</f>
        <v/>
      </c>
      <c r="T11" s="68">
        <f>S11-R11</f>
        <v/>
      </c>
      <c r="U11" s="69">
        <f>IF(R11=0,"—",(S11-R11)/R11)</f>
        <v/>
      </c>
    </row>
    <row r="12">
      <c r="B12" s="67" t="n">
        <v>46314</v>
      </c>
      <c r="C12" s="67">
        <f>B12+6</f>
        <v/>
      </c>
      <c r="D12" s="47">
        <f>"S"&amp;WEEKNUM(B12,21)</f>
        <v/>
      </c>
      <c r="E12" s="48">
        <f>COUNTIFS(inc_acteur,E$4,inc_date,"&gt;="&amp;$B12,inc_date,"&lt;="&amp;$C12)</f>
        <v/>
      </c>
      <c r="F12" s="48">
        <f>COUNTIFS(inc_acteur,F$4,inc_date,"&gt;="&amp;$B12,inc_date,"&lt;="&amp;$C12)</f>
        <v/>
      </c>
      <c r="G12" s="48">
        <f>COUNTIFS(inc_acteur,G$4,inc_date,"&gt;="&amp;$B12,inc_date,"&lt;="&amp;$C12)</f>
        <v/>
      </c>
      <c r="H12" s="48">
        <f>COUNTIFS(inc_acteur,H$4,inc_date,"&gt;="&amp;$B12,inc_date,"&lt;="&amp;$C12)</f>
        <v/>
      </c>
      <c r="I12" s="48">
        <f>COUNTIFS(inc_acteur,I$4,inc_date,"&gt;="&amp;$B12,inc_date,"&lt;="&amp;$C12)</f>
        <v/>
      </c>
      <c r="J12" s="46">
        <f>SUM(E12:I12)</f>
        <v/>
      </c>
      <c r="K12" s="47">
        <f>SUMIFS(inc_tues,inc_date,"&gt;="&amp;$B12,inc_date,"&lt;="&amp;$C12)</f>
        <v/>
      </c>
      <c r="L12" s="47">
        <f>SUMIFS(inc_fama,inc_date,"&gt;="&amp;$B12,inc_date,"&lt;="&amp;$C12)+SUMIFS(inc_ac,inc_date,"&gt;="&amp;$B12,inc_date,"&lt;="&amp;$C12)</f>
        <v/>
      </c>
      <c r="M12" s="47">
        <f>SUMIFS(inc_civ_k,inc_date,"&gt;="&amp;$B12,inc_date,"&lt;="&amp;$C12)</f>
        <v/>
      </c>
      <c r="N12" s="47">
        <f>SUM($K$5:K12)</f>
        <v/>
      </c>
      <c r="Q12" s="42" t="inlineStr">
        <is>
          <t>Civils blessés</t>
        </is>
      </c>
      <c r="R12" s="43">
        <f>SUMIFS(inc_civ_w,inc_periode,"P1")</f>
        <v/>
      </c>
      <c r="S12" s="43">
        <f>SUMIFS(inc_civ_w,inc_periode,"P2")</f>
        <v/>
      </c>
      <c r="T12" s="68">
        <f>S12-R12</f>
        <v/>
      </c>
      <c r="U12" s="69">
        <f>IF(R12=0,"—",(S12-R12)/R12)</f>
        <v/>
      </c>
    </row>
    <row r="13">
      <c r="B13" s="67" t="n">
        <v>46321</v>
      </c>
      <c r="C13" s="67">
        <f>B13+6</f>
        <v/>
      </c>
      <c r="D13" s="47">
        <f>"S"&amp;WEEKNUM(B13,21)</f>
        <v/>
      </c>
      <c r="E13" s="48">
        <f>COUNTIFS(inc_acteur,E$4,inc_date,"&gt;="&amp;$B13,inc_date,"&lt;="&amp;$C13)</f>
        <v/>
      </c>
      <c r="F13" s="48">
        <f>COUNTIFS(inc_acteur,F$4,inc_date,"&gt;="&amp;$B13,inc_date,"&lt;="&amp;$C13)</f>
        <v/>
      </c>
      <c r="G13" s="48">
        <f>COUNTIFS(inc_acteur,G$4,inc_date,"&gt;="&amp;$B13,inc_date,"&lt;="&amp;$C13)</f>
        <v/>
      </c>
      <c r="H13" s="48">
        <f>COUNTIFS(inc_acteur,H$4,inc_date,"&gt;="&amp;$B13,inc_date,"&lt;="&amp;$C13)</f>
        <v/>
      </c>
      <c r="I13" s="48">
        <f>COUNTIFS(inc_acteur,I$4,inc_date,"&gt;="&amp;$B13,inc_date,"&lt;="&amp;$C13)</f>
        <v/>
      </c>
      <c r="J13" s="46">
        <f>SUM(E13:I13)</f>
        <v/>
      </c>
      <c r="K13" s="47">
        <f>SUMIFS(inc_tues,inc_date,"&gt;="&amp;$B13,inc_date,"&lt;="&amp;$C13)</f>
        <v/>
      </c>
      <c r="L13" s="47">
        <f>SUMIFS(inc_fama,inc_date,"&gt;="&amp;$B13,inc_date,"&lt;="&amp;$C13)+SUMIFS(inc_ac,inc_date,"&gt;="&amp;$B13,inc_date,"&lt;="&amp;$C13)</f>
        <v/>
      </c>
      <c r="M13" s="47">
        <f>SUMIFS(inc_civ_k,inc_date,"&gt;="&amp;$B13,inc_date,"&lt;="&amp;$C13)</f>
        <v/>
      </c>
      <c r="N13" s="47">
        <f>SUM($K$5:K13)</f>
        <v/>
      </c>
      <c r="Q13" s="42" t="inlineStr">
        <is>
          <t>Capturés</t>
        </is>
      </c>
      <c r="R13" s="43">
        <f>SUMIFS(inc_pow,inc_periode,"P1")</f>
        <v/>
      </c>
      <c r="S13" s="43">
        <f>SUMIFS(inc_pow,inc_periode,"P2")</f>
        <v/>
      </c>
      <c r="T13" s="68">
        <f>S13-R13</f>
        <v/>
      </c>
      <c r="U13" s="69">
        <f>IF(R13=0,"—",(S13-R13)/R13)</f>
        <v/>
      </c>
    </row>
    <row r="14">
      <c r="Q14" s="42" t="inlineStr">
        <is>
          <t>Véhicules / aéronefs détruits</t>
        </is>
      </c>
      <c r="R14" s="43">
        <f>SUMIFS(inc_vehd,inc_periode,"P1")</f>
        <v/>
      </c>
      <c r="S14" s="43">
        <f>SUMIFS(inc_vehd,inc_periode,"P2")</f>
        <v/>
      </c>
      <c r="T14" s="68">
        <f>S14-R14</f>
        <v/>
      </c>
      <c r="U14" s="69">
        <f>IF(R14=0,"—",(S14-R14)/R14)</f>
        <v/>
      </c>
    </row>
    <row r="15">
      <c r="Q15" s="42" t="inlineStr">
        <is>
          <t>Incidents dans le rayon de Bamako</t>
        </is>
      </c>
      <c r="R15" s="43">
        <f>COUNTIFS(inc_periode,"P1",inc_rayon,"Oui")</f>
        <v/>
      </c>
      <c r="S15" s="43">
        <f>COUNTIFS(inc_periode,"P2",inc_rayon,"Oui")</f>
        <v/>
      </c>
      <c r="T15" s="68">
        <f>S15-R15</f>
        <v/>
      </c>
      <c r="U15" s="69">
        <f>IF(R15=0,"—",(S15-R15)/R15)</f>
        <v/>
      </c>
    </row>
    <row r="16">
      <c r="Q16" s="28" t="inlineStr">
        <is>
          <t>Rouge : hausse ; vert : baisse. La baisse des pertes FAMa en P2 tient surtout à l'effet Dioura (150 tués le 10/09).</t>
        </is>
      </c>
    </row>
  </sheetData>
  <conditionalFormatting sqref="J5:J13">
    <cfRule type="dataBar" priority="1">
      <dataBar showValue="1">
        <cfvo type="num" val="0"/>
        <cfvo type="max"/>
        <color rgb="000F7C86"/>
      </dataBar>
    </cfRule>
  </conditionalFormatting>
  <conditionalFormatting sqref="M5:M13">
    <cfRule type="cellIs" priority="2" operator="greaterThan" dxfId="0">
      <formula>0</formula>
    </cfRule>
  </conditionalFormatting>
  <conditionalFormatting sqref="U6:U15">
    <cfRule type="cellIs" priority="3" operator="greaterThan" dxfId="6">
      <formula>0</formula>
    </cfRule>
    <cfRule type="cellIs" priority="4" operator="lessThan" dxfId="4">
      <formula>0</formula>
    </cfRule>
  </conditionalFormatting>
  <hyperlinks>
    <hyperlink xmlns:r="http://schemas.openxmlformats.org/officeDocument/2006/relationships" ref="O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2"/>
</worksheet>
</file>

<file path=xl/worksheets/sheet7.xml><?xml version="1.0" encoding="utf-8"?>
<worksheet xmlns="http://schemas.openxmlformats.org/spreadsheetml/2006/main">
  <sheetPr>
    <tabColor rgb="00566577"/>
    <outlinePr summaryBelow="1" summaryRight="1"/>
    <pageSetUpPr fitToPage="1"/>
  </sheetPr>
  <dimension ref="A1:O16"/>
  <sheetViews>
    <sheetView showGridLines="0" zoomScale="90" workbookViewId="0">
      <selection activeCell="A1" sqref="A1"/>
    </sheetView>
  </sheetViews>
  <sheetFormatPr baseColWidth="8" defaultRowHeight="15"/>
  <cols>
    <col width="2" customWidth="1" min="1" max="1"/>
    <col width="28" customWidth="1" min="2" max="2"/>
    <col width="11" customWidth="1" min="3" max="3"/>
    <col width="9" customWidth="1" min="4" max="4"/>
    <col width="9" customWidth="1" min="5" max="5"/>
    <col width="12" customWidth="1" min="6" max="6"/>
    <col width="11" customWidth="1" min="7" max="7"/>
    <col width="12" customWidth="1" min="8" max="8"/>
    <col width="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s>
  <sheetData>
    <row r="1" ht="30" customHeight="1">
      <c r="A1" s="1" t="inlineStr">
        <is>
          <t>Modes opératoires et cibles</t>
        </is>
      </c>
      <c r="B1" s="2" t="n"/>
      <c r="C1" s="2" t="n"/>
      <c r="D1" s="2" t="n"/>
      <c r="E1" s="2" t="n"/>
      <c r="F1" s="2" t="n"/>
      <c r="G1" s="2" t="n"/>
      <c r="H1" s="2" t="n"/>
      <c r="I1" s="2" t="n"/>
      <c r="J1" s="2" t="n"/>
      <c r="K1" s="2" t="n"/>
      <c r="L1" s="26" t="inlineStr">
        <is>
          <t>◄ Accueil</t>
        </is>
      </c>
    </row>
    <row r="2" ht="18" customHeight="1">
      <c r="A2" s="3" t="inlineStr">
        <is>
          <t>Fréquence, létalité et matrice mode × cible.</t>
        </is>
      </c>
      <c r="B2" s="2" t="n"/>
      <c r="C2" s="2" t="n"/>
      <c r="D2" s="2" t="n"/>
      <c r="E2" s="2" t="n"/>
      <c r="F2" s="2" t="n"/>
      <c r="G2" s="2" t="n"/>
      <c r="H2" s="2" t="n"/>
      <c r="I2" s="2" t="n"/>
      <c r="J2" s="2" t="n"/>
      <c r="K2" s="2" t="n"/>
      <c r="L2" s="2" t="n"/>
    </row>
    <row r="4" ht="30" customHeight="1">
      <c r="B4" s="29" t="inlineStr">
        <is>
          <t>Mode opératoire</t>
        </is>
      </c>
      <c r="C4" s="29" t="inlineStr">
        <is>
          <t>Incidents</t>
        </is>
      </c>
      <c r="D4" s="29" t="inlineStr">
        <is>
          <t>Part</t>
        </is>
      </c>
      <c r="E4" s="29" t="inlineStr">
        <is>
          <t>Tués</t>
        </is>
      </c>
      <c r="F4" s="29" t="inlineStr">
        <is>
          <t>Tués par incident</t>
        </is>
      </c>
      <c r="G4" s="29" t="inlineStr">
        <is>
          <t>Civils tués</t>
        </is>
      </c>
      <c r="H4" s="29" t="inlineStr">
        <is>
          <t>Dans le rayon Bamako</t>
        </is>
      </c>
      <c r="J4" s="61" t="inlineStr">
        <is>
          <t>Mode × cible</t>
        </is>
      </c>
      <c r="K4" s="61" t="inlineStr">
        <is>
          <t>FAMa / Africa Corps</t>
        </is>
      </c>
      <c r="L4" s="61" t="inlineStr">
        <is>
          <t>Groupes armés</t>
        </is>
      </c>
      <c r="M4" s="61" t="inlineStr">
        <is>
          <t>Civils</t>
        </is>
      </c>
      <c r="N4" s="61" t="inlineStr">
        <is>
          <t>Milices pro-gouv.</t>
        </is>
      </c>
      <c r="O4" s="61" t="inlineStr">
        <is>
          <t>Logistique civile</t>
        </is>
      </c>
    </row>
    <row r="5">
      <c r="B5" s="42" t="inlineStr">
        <is>
          <t>Embuscade</t>
        </is>
      </c>
      <c r="C5" s="47">
        <f>COUNTIFS(inc_mode,$B5)</f>
        <v/>
      </c>
      <c r="D5" s="44">
        <f>IF(SUM($C$5:$C$16)=0,0,C5/SUM($C$5:$C$16))</f>
        <v/>
      </c>
      <c r="E5" s="47">
        <f>SUMIFS(inc_tues,inc_mode,$B5)</f>
        <v/>
      </c>
      <c r="F5" s="70">
        <f>IF(C5=0,0,E5/C5)</f>
        <v/>
      </c>
      <c r="G5" s="48">
        <f>SUMIFS(inc_civ_k,inc_mode,$B5)</f>
        <v/>
      </c>
      <c r="H5" s="48">
        <f>COUNTIFS(inc_mode,$B5,inc_rayon,"Oui")</f>
        <v/>
      </c>
      <c r="J5" s="42">
        <f>B5</f>
        <v/>
      </c>
      <c r="K5" s="48">
        <f>COUNTIFS(inc_mode,$J5,inc_cible,K$4)</f>
        <v/>
      </c>
      <c r="L5" s="48">
        <f>COUNTIFS(inc_mode,$J5,inc_cible,L$4)</f>
        <v/>
      </c>
      <c r="M5" s="48">
        <f>COUNTIFS(inc_mode,$J5,inc_cible,M$4)</f>
        <v/>
      </c>
      <c r="N5" s="48">
        <f>COUNTIFS(inc_mode,$J5,inc_cible,N$4)</f>
        <v/>
      </c>
      <c r="O5" s="48">
        <f>COUNTIFS(inc_mode,$J5,inc_cible,O$4)</f>
        <v/>
      </c>
    </row>
    <row r="6">
      <c r="B6" s="42" t="inlineStr">
        <is>
          <t>Attaque de poste / camp</t>
        </is>
      </c>
      <c r="C6" s="47">
        <f>COUNTIFS(inc_mode,$B6)</f>
        <v/>
      </c>
      <c r="D6" s="44">
        <f>IF(SUM($C$5:$C$16)=0,0,C6/SUM($C$5:$C$16))</f>
        <v/>
      </c>
      <c r="E6" s="47">
        <f>SUMIFS(inc_tues,inc_mode,$B6)</f>
        <v/>
      </c>
      <c r="F6" s="70">
        <f>IF(C6=0,0,E6/C6)</f>
        <v/>
      </c>
      <c r="G6" s="48">
        <f>SUMIFS(inc_civ_k,inc_mode,$B6)</f>
        <v/>
      </c>
      <c r="H6" s="48">
        <f>COUNTIFS(inc_mode,$B6,inc_rayon,"Oui")</f>
        <v/>
      </c>
      <c r="J6" s="42">
        <f>B6</f>
        <v/>
      </c>
      <c r="K6" s="48">
        <f>COUNTIFS(inc_mode,$J6,inc_cible,K$4)</f>
        <v/>
      </c>
      <c r="L6" s="48">
        <f>COUNTIFS(inc_mode,$J6,inc_cible,L$4)</f>
        <v/>
      </c>
      <c r="M6" s="48">
        <f>COUNTIFS(inc_mode,$J6,inc_cible,M$4)</f>
        <v/>
      </c>
      <c r="N6" s="48">
        <f>COUNTIFS(inc_mode,$J6,inc_cible,N$4)</f>
        <v/>
      </c>
      <c r="O6" s="48">
        <f>COUNTIFS(inc_mode,$J6,inc_cible,O$4)</f>
        <v/>
      </c>
    </row>
    <row r="7">
      <c r="B7" s="42" t="inlineStr">
        <is>
          <t>Frappe aérienne étatique</t>
        </is>
      </c>
      <c r="C7" s="47">
        <f>COUNTIFS(inc_mode,$B7)</f>
        <v/>
      </c>
      <c r="D7" s="44">
        <f>IF(SUM($C$5:$C$16)=0,0,C7/SUM($C$5:$C$16))</f>
        <v/>
      </c>
      <c r="E7" s="47">
        <f>SUMIFS(inc_tues,inc_mode,$B7)</f>
        <v/>
      </c>
      <c r="F7" s="70">
        <f>IF(C7=0,0,E7/C7)</f>
        <v/>
      </c>
      <c r="G7" s="48">
        <f>SUMIFS(inc_civ_k,inc_mode,$B7)</f>
        <v/>
      </c>
      <c r="H7" s="48">
        <f>COUNTIFS(inc_mode,$B7,inc_rayon,"Oui")</f>
        <v/>
      </c>
      <c r="J7" s="42">
        <f>B7</f>
        <v/>
      </c>
      <c r="K7" s="48">
        <f>COUNTIFS(inc_mode,$J7,inc_cible,K$4)</f>
        <v/>
      </c>
      <c r="L7" s="48">
        <f>COUNTIFS(inc_mode,$J7,inc_cible,L$4)</f>
        <v/>
      </c>
      <c r="M7" s="48">
        <f>COUNTIFS(inc_mode,$J7,inc_cible,M$4)</f>
        <v/>
      </c>
      <c r="N7" s="48">
        <f>COUNTIFS(inc_mode,$J7,inc_cible,N$4)</f>
        <v/>
      </c>
      <c r="O7" s="48">
        <f>COUNTIFS(inc_mode,$J7,inc_cible,O$4)</f>
        <v/>
      </c>
    </row>
    <row r="8">
      <c r="B8" s="42" t="inlineStr">
        <is>
          <t>EEI</t>
        </is>
      </c>
      <c r="C8" s="47">
        <f>COUNTIFS(inc_mode,$B8)</f>
        <v/>
      </c>
      <c r="D8" s="44">
        <f>IF(SUM($C$5:$C$16)=0,0,C8/SUM($C$5:$C$16))</f>
        <v/>
      </c>
      <c r="E8" s="47">
        <f>SUMIFS(inc_tues,inc_mode,$B8)</f>
        <v/>
      </c>
      <c r="F8" s="70">
        <f>IF(C8=0,0,E8/C8)</f>
        <v/>
      </c>
      <c r="G8" s="48">
        <f>SUMIFS(inc_civ_k,inc_mode,$B8)</f>
        <v/>
      </c>
      <c r="H8" s="48">
        <f>COUNTIFS(inc_mode,$B8,inc_rayon,"Oui")</f>
        <v/>
      </c>
      <c r="J8" s="42">
        <f>B8</f>
        <v/>
      </c>
      <c r="K8" s="48">
        <f>COUNTIFS(inc_mode,$J8,inc_cible,K$4)</f>
        <v/>
      </c>
      <c r="L8" s="48">
        <f>COUNTIFS(inc_mode,$J8,inc_cible,L$4)</f>
        <v/>
      </c>
      <c r="M8" s="48">
        <f>COUNTIFS(inc_mode,$J8,inc_cible,M$4)</f>
        <v/>
      </c>
      <c r="N8" s="48">
        <f>COUNTIFS(inc_mode,$J8,inc_cible,N$4)</f>
        <v/>
      </c>
      <c r="O8" s="48">
        <f>COUNTIFS(inc_mode,$J8,inc_cible,O$4)</f>
        <v/>
      </c>
    </row>
    <row r="9">
      <c r="B9" s="42" t="inlineStr">
        <is>
          <t>Drone armé (FPV)</t>
        </is>
      </c>
      <c r="C9" s="47">
        <f>COUNTIFS(inc_mode,$B9)</f>
        <v/>
      </c>
      <c r="D9" s="44">
        <f>IF(SUM($C$5:$C$16)=0,0,C9/SUM($C$5:$C$16))</f>
        <v/>
      </c>
      <c r="E9" s="47">
        <f>SUMIFS(inc_tues,inc_mode,$B9)</f>
        <v/>
      </c>
      <c r="F9" s="70">
        <f>IF(C9=0,0,E9/C9)</f>
        <v/>
      </c>
      <c r="G9" s="48">
        <f>SUMIFS(inc_civ_k,inc_mode,$B9)</f>
        <v/>
      </c>
      <c r="H9" s="48">
        <f>COUNTIFS(inc_mode,$B9,inc_rayon,"Oui")</f>
        <v/>
      </c>
      <c r="J9" s="42">
        <f>B9</f>
        <v/>
      </c>
      <c r="K9" s="48">
        <f>COUNTIFS(inc_mode,$J9,inc_cible,K$4)</f>
        <v/>
      </c>
      <c r="L9" s="48">
        <f>COUNTIFS(inc_mode,$J9,inc_cible,L$4)</f>
        <v/>
      </c>
      <c r="M9" s="48">
        <f>COUNTIFS(inc_mode,$J9,inc_cible,M$4)</f>
        <v/>
      </c>
      <c r="N9" s="48">
        <f>COUNTIFS(inc_mode,$J9,inc_cible,N$4)</f>
        <v/>
      </c>
      <c r="O9" s="48">
        <f>COUNTIFS(inc_mode,$J9,inc_cible,O$4)</f>
        <v/>
      </c>
    </row>
    <row r="10">
      <c r="B10" s="42" t="inlineStr">
        <is>
          <t>Attaque ciblée / VIP</t>
        </is>
      </c>
      <c r="C10" s="47">
        <f>COUNTIFS(inc_mode,$B10)</f>
        <v/>
      </c>
      <c r="D10" s="44">
        <f>IF(SUM($C$5:$C$16)=0,0,C10/SUM($C$5:$C$16))</f>
        <v/>
      </c>
      <c r="E10" s="47">
        <f>SUMIFS(inc_tues,inc_mode,$B10)</f>
        <v/>
      </c>
      <c r="F10" s="70">
        <f>IF(C10=0,0,E10/C10)</f>
        <v/>
      </c>
      <c r="G10" s="48">
        <f>SUMIFS(inc_civ_k,inc_mode,$B10)</f>
        <v/>
      </c>
      <c r="H10" s="48">
        <f>COUNTIFS(inc_mode,$B10,inc_rayon,"Oui")</f>
        <v/>
      </c>
      <c r="J10" s="42">
        <f>B10</f>
        <v/>
      </c>
      <c r="K10" s="48">
        <f>COUNTIFS(inc_mode,$J10,inc_cible,K$4)</f>
        <v/>
      </c>
      <c r="L10" s="48">
        <f>COUNTIFS(inc_mode,$J10,inc_cible,L$4)</f>
        <v/>
      </c>
      <c r="M10" s="48">
        <f>COUNTIFS(inc_mode,$J10,inc_cible,M$4)</f>
        <v/>
      </c>
      <c r="N10" s="48">
        <f>COUNTIFS(inc_mode,$J10,inc_cible,N$4)</f>
        <v/>
      </c>
      <c r="O10" s="48">
        <f>COUNTIFS(inc_mode,$J10,inc_cible,O$4)</f>
        <v/>
      </c>
    </row>
    <row r="11">
      <c r="B11" s="42" t="inlineStr">
        <is>
          <t>Perte d'aéronef (accident)</t>
        </is>
      </c>
      <c r="C11" s="47">
        <f>COUNTIFS(inc_mode,$B11)</f>
        <v/>
      </c>
      <c r="D11" s="44">
        <f>IF(SUM($C$5:$C$16)=0,0,C11/SUM($C$5:$C$16))</f>
        <v/>
      </c>
      <c r="E11" s="47">
        <f>SUMIFS(inc_tues,inc_mode,$B11)</f>
        <v/>
      </c>
      <c r="F11" s="70">
        <f>IF(C11=0,0,E11/C11)</f>
        <v/>
      </c>
      <c r="G11" s="48">
        <f>SUMIFS(inc_civ_k,inc_mode,$B11)</f>
        <v/>
      </c>
      <c r="H11" s="48">
        <f>COUNTIFS(inc_mode,$B11,inc_rayon,"Oui")</f>
        <v/>
      </c>
      <c r="J11" s="42">
        <f>B11</f>
        <v/>
      </c>
      <c r="K11" s="48">
        <f>COUNTIFS(inc_mode,$J11,inc_cible,K$4)</f>
        <v/>
      </c>
      <c r="L11" s="48">
        <f>COUNTIFS(inc_mode,$J11,inc_cible,L$4)</f>
        <v/>
      </c>
      <c r="M11" s="48">
        <f>COUNTIFS(inc_mode,$J11,inc_cible,M$4)</f>
        <v/>
      </c>
      <c r="N11" s="48">
        <f>COUNTIFS(inc_mode,$J11,inc_cible,N$4)</f>
        <v/>
      </c>
      <c r="O11" s="48">
        <f>COUNTIFS(inc_mode,$J11,inc_cible,O$4)</f>
        <v/>
      </c>
    </row>
    <row r="12">
      <c r="B12" s="42" t="inlineStr">
        <is>
          <t>Affrontement JNIM–EIS</t>
        </is>
      </c>
      <c r="C12" s="47">
        <f>COUNTIFS(inc_mode,$B12)</f>
        <v/>
      </c>
      <c r="D12" s="44">
        <f>IF(SUM($C$5:$C$16)=0,0,C12/SUM($C$5:$C$16))</f>
        <v/>
      </c>
      <c r="E12" s="47">
        <f>SUMIFS(inc_tues,inc_mode,$B12)</f>
        <v/>
      </c>
      <c r="F12" s="70">
        <f>IF(C12=0,0,E12/C12)</f>
        <v/>
      </c>
      <c r="G12" s="48">
        <f>SUMIFS(inc_civ_k,inc_mode,$B12)</f>
        <v/>
      </c>
      <c r="H12" s="48">
        <f>COUNTIFS(inc_mode,$B12,inc_rayon,"Oui")</f>
        <v/>
      </c>
      <c r="J12" s="42">
        <f>B12</f>
        <v/>
      </c>
      <c r="K12" s="48">
        <f>COUNTIFS(inc_mode,$J12,inc_cible,K$4)</f>
        <v/>
      </c>
      <c r="L12" s="48">
        <f>COUNTIFS(inc_mode,$J12,inc_cible,L$4)</f>
        <v/>
      </c>
      <c r="M12" s="48">
        <f>COUNTIFS(inc_mode,$J12,inc_cible,M$4)</f>
        <v/>
      </c>
      <c r="N12" s="48">
        <f>COUNTIFS(inc_mode,$J12,inc_cible,N$4)</f>
        <v/>
      </c>
      <c r="O12" s="48">
        <f>COUNTIFS(inc_mode,$J12,inc_cible,O$4)</f>
        <v/>
      </c>
    </row>
    <row r="13">
      <c r="B13" s="42" t="inlineStr">
        <is>
          <t>Offensive terrestre</t>
        </is>
      </c>
      <c r="C13" s="47">
        <f>COUNTIFS(inc_mode,$B13)</f>
        <v/>
      </c>
      <c r="D13" s="44">
        <f>IF(SUM($C$5:$C$16)=0,0,C13/SUM($C$5:$C$16))</f>
        <v/>
      </c>
      <c r="E13" s="47">
        <f>SUMIFS(inc_tues,inc_mode,$B13)</f>
        <v/>
      </c>
      <c r="F13" s="70">
        <f>IF(C13=0,0,E13/C13)</f>
        <v/>
      </c>
      <c r="G13" s="48">
        <f>SUMIFS(inc_civ_k,inc_mode,$B13)</f>
        <v/>
      </c>
      <c r="H13" s="48">
        <f>COUNTIFS(inc_mode,$B13,inc_rayon,"Oui")</f>
        <v/>
      </c>
      <c r="J13" s="42">
        <f>B13</f>
        <v/>
      </c>
      <c r="K13" s="48">
        <f>COUNTIFS(inc_mode,$J13,inc_cible,K$4)</f>
        <v/>
      </c>
      <c r="L13" s="48">
        <f>COUNTIFS(inc_mode,$J13,inc_cible,L$4)</f>
        <v/>
      </c>
      <c r="M13" s="48">
        <f>COUNTIFS(inc_mode,$J13,inc_cible,M$4)</f>
        <v/>
      </c>
      <c r="N13" s="48">
        <f>COUNTIFS(inc_mode,$J13,inc_cible,N$4)</f>
        <v/>
      </c>
      <c r="O13" s="48">
        <f>COUNTIFS(inc_mode,$J13,inc_cible,O$4)</f>
        <v/>
      </c>
    </row>
    <row r="14">
      <c r="B14" s="42" t="inlineStr">
        <is>
          <t>Sabotage logistique</t>
        </is>
      </c>
      <c r="C14" s="47">
        <f>COUNTIFS(inc_mode,$B14)</f>
        <v/>
      </c>
      <c r="D14" s="44">
        <f>IF(SUM($C$5:$C$16)=0,0,C14/SUM($C$5:$C$16))</f>
        <v/>
      </c>
      <c r="E14" s="47">
        <f>SUMIFS(inc_tues,inc_mode,$B14)</f>
        <v/>
      </c>
      <c r="F14" s="70">
        <f>IF(C14=0,0,E14/C14)</f>
        <v/>
      </c>
      <c r="G14" s="48">
        <f>SUMIFS(inc_civ_k,inc_mode,$B14)</f>
        <v/>
      </c>
      <c r="H14" s="48">
        <f>COUNTIFS(inc_mode,$B14,inc_rayon,"Oui")</f>
        <v/>
      </c>
      <c r="J14" s="42">
        <f>B14</f>
        <v/>
      </c>
      <c r="K14" s="48">
        <f>COUNTIFS(inc_mode,$J14,inc_cible,K$4)</f>
        <v/>
      </c>
      <c r="L14" s="48">
        <f>COUNTIFS(inc_mode,$J14,inc_cible,L$4)</f>
        <v/>
      </c>
      <c r="M14" s="48">
        <f>COUNTIFS(inc_mode,$J14,inc_cible,M$4)</f>
        <v/>
      </c>
      <c r="N14" s="48">
        <f>COUNTIFS(inc_mode,$J14,inc_cible,N$4)</f>
        <v/>
      </c>
      <c r="O14" s="48">
        <f>COUNTIFS(inc_mode,$J14,inc_cible,O$4)</f>
        <v/>
      </c>
    </row>
    <row r="15">
      <c r="B15" s="42" t="inlineStr">
        <is>
          <t>Tirs indirects</t>
        </is>
      </c>
      <c r="C15" s="47">
        <f>COUNTIFS(inc_mode,$B15)</f>
        <v/>
      </c>
      <c r="D15" s="44">
        <f>IF(SUM($C$5:$C$16)=0,0,C15/SUM($C$5:$C$16))</f>
        <v/>
      </c>
      <c r="E15" s="47">
        <f>SUMIFS(inc_tues,inc_mode,$B15)</f>
        <v/>
      </c>
      <c r="F15" s="70">
        <f>IF(C15=0,0,E15/C15)</f>
        <v/>
      </c>
      <c r="G15" s="48">
        <f>SUMIFS(inc_civ_k,inc_mode,$B15)</f>
        <v/>
      </c>
      <c r="H15" s="48">
        <f>COUNTIFS(inc_mode,$B15,inc_rayon,"Oui")</f>
        <v/>
      </c>
      <c r="J15" s="42">
        <f>B15</f>
        <v/>
      </c>
      <c r="K15" s="48">
        <f>COUNTIFS(inc_mode,$J15,inc_cible,K$4)</f>
        <v/>
      </c>
      <c r="L15" s="48">
        <f>COUNTIFS(inc_mode,$J15,inc_cible,L$4)</f>
        <v/>
      </c>
      <c r="M15" s="48">
        <f>COUNTIFS(inc_mode,$J15,inc_cible,M$4)</f>
        <v/>
      </c>
      <c r="N15" s="48">
        <f>COUNTIFS(inc_mode,$J15,inc_cible,N$4)</f>
        <v/>
      </c>
      <c r="O15" s="48">
        <f>COUNTIFS(inc_mode,$J15,inc_cible,O$4)</f>
        <v/>
      </c>
    </row>
    <row r="16">
      <c r="B16" s="42" t="inlineStr">
        <is>
          <t>Lutte anti-drone</t>
        </is>
      </c>
      <c r="C16" s="47">
        <f>COUNTIFS(inc_mode,$B16)</f>
        <v/>
      </c>
      <c r="D16" s="44">
        <f>IF(SUM($C$5:$C$16)=0,0,C16/SUM($C$5:$C$16))</f>
        <v/>
      </c>
      <c r="E16" s="47">
        <f>SUMIFS(inc_tues,inc_mode,$B16)</f>
        <v/>
      </c>
      <c r="F16" s="70">
        <f>IF(C16=0,0,E16/C16)</f>
        <v/>
      </c>
      <c r="G16" s="48">
        <f>SUMIFS(inc_civ_k,inc_mode,$B16)</f>
        <v/>
      </c>
      <c r="H16" s="48">
        <f>COUNTIFS(inc_mode,$B16,inc_rayon,"Oui")</f>
        <v/>
      </c>
      <c r="J16" s="42">
        <f>B16</f>
        <v/>
      </c>
      <c r="K16" s="48">
        <f>COUNTIFS(inc_mode,$J16,inc_cible,K$4)</f>
        <v/>
      </c>
      <c r="L16" s="48">
        <f>COUNTIFS(inc_mode,$J16,inc_cible,L$4)</f>
        <v/>
      </c>
      <c r="M16" s="48">
        <f>COUNTIFS(inc_mode,$J16,inc_cible,M$4)</f>
        <v/>
      </c>
      <c r="N16" s="48">
        <f>COUNTIFS(inc_mode,$J16,inc_cible,N$4)</f>
        <v/>
      </c>
      <c r="O16" s="48">
        <f>COUNTIFS(inc_mode,$J16,inc_cible,O$4)</f>
        <v/>
      </c>
    </row>
  </sheetData>
  <conditionalFormatting sqref="C5:C16">
    <cfRule type="dataBar" priority="1">
      <dataBar showValue="1">
        <cfvo type="num" val="0"/>
        <cfvo type="max"/>
        <color rgb="000F7C86"/>
      </dataBar>
    </cfRule>
  </conditionalFormatting>
  <conditionalFormatting sqref="F5:F16">
    <cfRule type="colorScale" priority="2">
      <colorScale>
        <cfvo type="min"/>
        <cfvo type="max"/>
        <color rgb="00FFFFFF"/>
        <color rgb="00E2701C"/>
      </colorScale>
    </cfRule>
  </conditionalFormatting>
  <conditionalFormatting sqref="K5:O16">
    <cfRule type="colorScale" priority="3">
      <colorScale>
        <cfvo type="num" val="0"/>
        <cfvo type="num" val="2"/>
        <cfvo type="max"/>
        <color rgb="00FFFFFF"/>
        <color rgb="00F6C99B"/>
        <color rgb="00C8102E"/>
      </colorScale>
    </cfRule>
  </conditionalFormatting>
  <hyperlinks>
    <hyperlink xmlns:r="http://schemas.openxmlformats.org/officeDocument/2006/relationships" ref="L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2"/>
</worksheet>
</file>

<file path=xl/worksheets/sheet8.xml><?xml version="1.0" encoding="utf-8"?>
<worksheet xmlns="http://schemas.openxmlformats.org/spreadsheetml/2006/main">
  <sheetPr>
    <tabColor rgb="00566577"/>
    <outlinePr summaryBelow="1" summaryRight="1"/>
    <pageSetUpPr fitToPage="1"/>
  </sheetPr>
  <dimension ref="A1:J23"/>
  <sheetViews>
    <sheetView showGridLines="0" zoomScale="90" workbookViewId="0">
      <selection activeCell="A1" sqref="A1"/>
    </sheetView>
  </sheetViews>
  <sheetFormatPr baseColWidth="8" defaultRowHeight="15"/>
  <cols>
    <col width="2" customWidth="1" min="1" max="1"/>
    <col width="24" customWidth="1" min="2" max="2"/>
    <col width="10" customWidth="1" min="3" max="3"/>
    <col width="10" customWidth="1" min="4" max="4"/>
    <col width="11" customWidth="1" min="5" max="5"/>
    <col width="11" customWidth="1" min="6" max="6"/>
    <col width="10" customWidth="1" min="7" max="7"/>
    <col width="12" customWidth="1" min="8" max="8"/>
    <col width="3" customWidth="1" min="9" max="9"/>
    <col width="14" customWidth="1" min="10" max="10"/>
    <col width="12" customWidth="1" min="11" max="11"/>
    <col width="30" customWidth="1" min="12" max="12"/>
    <col width="18" customWidth="1" min="13" max="13"/>
    <col width="20" customWidth="1" min="14" max="14"/>
    <col width="10" customWidth="1" min="15" max="15"/>
    <col width="10" customWidth="1" min="16" max="16"/>
  </cols>
  <sheetData>
    <row r="1" ht="30" customHeight="1">
      <c r="A1" s="1" t="inlineStr">
        <is>
          <t>Pression sur Bamako</t>
        </is>
      </c>
      <c r="B1" s="2" t="n"/>
      <c r="C1" s="2" t="n"/>
      <c r="D1" s="2" t="n"/>
      <c r="E1" s="2" t="n"/>
      <c r="F1" s="2" t="n"/>
      <c r="G1" s="2" t="n"/>
      <c r="H1" s="2" t="n"/>
      <c r="I1" s="2" t="n"/>
      <c r="J1" s="26" t="inlineStr">
        <is>
          <t>◄ Accueil</t>
        </is>
      </c>
    </row>
    <row r="2" ht="18" customHeight="1">
      <c r="A2" s="3" t="inlineStr">
        <is>
          <t>Distance orthodromique de chaque incident au centre de Bamako (formule de haversine, voir INCIDENTS).</t>
        </is>
      </c>
      <c r="B2" s="2" t="n"/>
      <c r="C2" s="2" t="n"/>
      <c r="D2" s="2" t="n"/>
      <c r="E2" s="2" t="n"/>
      <c r="F2" s="2" t="n"/>
      <c r="G2" s="2" t="n"/>
      <c r="H2" s="2" t="n"/>
      <c r="I2" s="2" t="n"/>
      <c r="J2" s="2" t="n"/>
    </row>
    <row r="4" ht="30" customHeight="1">
      <c r="B4" s="29" t="inlineStr">
        <is>
          <t>Tranche de distance</t>
        </is>
      </c>
      <c r="C4" s="29" t="inlineStr">
        <is>
          <t>De (km)</t>
        </is>
      </c>
      <c r="D4" s="29" t="inlineStr">
        <is>
          <t>À (km)</t>
        </is>
      </c>
      <c r="E4" s="29" t="inlineStr">
        <is>
          <t>Incidents</t>
        </is>
      </c>
      <c r="F4" s="29" t="inlineStr">
        <is>
          <t>dont JNIM</t>
        </is>
      </c>
      <c r="G4" s="29" t="inlineStr">
        <is>
          <t>Tués</t>
        </is>
      </c>
      <c r="H4" s="29" t="inlineStr">
        <is>
          <t>Part des incidents</t>
        </is>
      </c>
    </row>
    <row r="5">
      <c r="B5" s="42">
        <f>C5&amp;" – "&amp;D5&amp;" km"</f>
        <v/>
      </c>
      <c r="C5" s="71" t="n">
        <v>0</v>
      </c>
      <c r="D5" s="71" t="n">
        <v>50</v>
      </c>
      <c r="E5" s="46">
        <f>COUNTIFS(inc_dist,"&gt;="&amp;C5,inc_dist,"&lt;"&amp;D5)</f>
        <v/>
      </c>
      <c r="F5" s="47">
        <f>COUNTIFS(inc_dist,"&gt;="&amp;C5,inc_dist,"&lt;"&amp;D5,inc_acteur,"JNIM")</f>
        <v/>
      </c>
      <c r="G5" s="47">
        <f>SUMIFS(inc_tues,inc_dist,"&gt;="&amp;C5,inc_dist,"&lt;"&amp;D5)</f>
        <v/>
      </c>
      <c r="H5" s="44">
        <f>IF(SUM($E$5:$E$10)=0,0,E5/SUM($E$5:$E$10))</f>
        <v/>
      </c>
    </row>
    <row r="6">
      <c r="B6" s="42">
        <f>C6&amp;" – "&amp;D6&amp;" km"</f>
        <v/>
      </c>
      <c r="C6" s="71" t="n">
        <v>50</v>
      </c>
      <c r="D6" s="71" t="n">
        <v>150</v>
      </c>
      <c r="E6" s="46">
        <f>COUNTIFS(inc_dist,"&gt;="&amp;C6,inc_dist,"&lt;"&amp;D6)</f>
        <v/>
      </c>
      <c r="F6" s="47">
        <f>COUNTIFS(inc_dist,"&gt;="&amp;C6,inc_dist,"&lt;"&amp;D6,inc_acteur,"JNIM")</f>
        <v/>
      </c>
      <c r="G6" s="47">
        <f>SUMIFS(inc_tues,inc_dist,"&gt;="&amp;C6,inc_dist,"&lt;"&amp;D6)</f>
        <v/>
      </c>
      <c r="H6" s="44">
        <f>IF(SUM($E$5:$E$10)=0,0,E6/SUM($E$5:$E$10))</f>
        <v/>
      </c>
    </row>
    <row r="7">
      <c r="B7" s="42">
        <f>C7&amp;" – "&amp;D7&amp;" km"</f>
        <v/>
      </c>
      <c r="C7" s="71" t="n">
        <v>150</v>
      </c>
      <c r="D7" s="71" t="n">
        <v>300</v>
      </c>
      <c r="E7" s="46">
        <f>COUNTIFS(inc_dist,"&gt;="&amp;C7,inc_dist,"&lt;"&amp;D7)</f>
        <v/>
      </c>
      <c r="F7" s="47">
        <f>COUNTIFS(inc_dist,"&gt;="&amp;C7,inc_dist,"&lt;"&amp;D7,inc_acteur,"JNIM")</f>
        <v/>
      </c>
      <c r="G7" s="47">
        <f>SUMIFS(inc_tues,inc_dist,"&gt;="&amp;C7,inc_dist,"&lt;"&amp;D7)</f>
        <v/>
      </c>
      <c r="H7" s="44">
        <f>IF(SUM($E$5:$E$10)=0,0,E7/SUM($E$5:$E$10))</f>
        <v/>
      </c>
    </row>
    <row r="8">
      <c r="B8" s="42">
        <f>C8&amp;" – "&amp;D8&amp;" km"</f>
        <v/>
      </c>
      <c r="C8" s="71" t="n">
        <v>300</v>
      </c>
      <c r="D8" s="71" t="n">
        <v>500</v>
      </c>
      <c r="E8" s="46">
        <f>COUNTIFS(inc_dist,"&gt;="&amp;C8,inc_dist,"&lt;"&amp;D8)</f>
        <v/>
      </c>
      <c r="F8" s="47">
        <f>COUNTIFS(inc_dist,"&gt;="&amp;C8,inc_dist,"&lt;"&amp;D8,inc_acteur,"JNIM")</f>
        <v/>
      </c>
      <c r="G8" s="47">
        <f>SUMIFS(inc_tues,inc_dist,"&gt;="&amp;C8,inc_dist,"&lt;"&amp;D8)</f>
        <v/>
      </c>
      <c r="H8" s="44">
        <f>IF(SUM($E$5:$E$10)=0,0,E8/SUM($E$5:$E$10))</f>
        <v/>
      </c>
    </row>
    <row r="9">
      <c r="B9" s="42">
        <f>C9&amp;" – "&amp;D9&amp;" km"</f>
        <v/>
      </c>
      <c r="C9" s="71" t="n">
        <v>500</v>
      </c>
      <c r="D9" s="71" t="n">
        <v>800</v>
      </c>
      <c r="E9" s="46">
        <f>COUNTIFS(inc_dist,"&gt;="&amp;C9,inc_dist,"&lt;"&amp;D9)</f>
        <v/>
      </c>
      <c r="F9" s="47">
        <f>COUNTIFS(inc_dist,"&gt;="&amp;C9,inc_dist,"&lt;"&amp;D9,inc_acteur,"JNIM")</f>
        <v/>
      </c>
      <c r="G9" s="47">
        <f>SUMIFS(inc_tues,inc_dist,"&gt;="&amp;C9,inc_dist,"&lt;"&amp;D9)</f>
        <v/>
      </c>
      <c r="H9" s="44">
        <f>IF(SUM($E$5:$E$10)=0,0,E9/SUM($E$5:$E$10))</f>
        <v/>
      </c>
    </row>
    <row r="10">
      <c r="B10" s="42">
        <f>"Plus de "&amp;C10&amp;" km"</f>
        <v/>
      </c>
      <c r="C10" s="71" t="n">
        <v>800</v>
      </c>
      <c r="D10" s="71" t="n">
        <v>2000</v>
      </c>
      <c r="E10" s="46">
        <f>COUNTIFS(inc_dist,"&gt;="&amp;C10,inc_dist,"&lt;"&amp;D10)</f>
        <v/>
      </c>
      <c r="F10" s="47">
        <f>COUNTIFS(inc_dist,"&gt;="&amp;C10,inc_dist,"&lt;"&amp;D10,inc_acteur,"JNIM")</f>
        <v/>
      </c>
      <c r="G10" s="47">
        <f>SUMIFS(inc_tues,inc_dist,"&gt;="&amp;C10,inc_dist,"&lt;"&amp;D10)</f>
        <v/>
      </c>
      <c r="H10" s="44">
        <f>IF(SUM($E$5:$E$10)=0,0,E10/SUM($E$5:$E$10))</f>
        <v/>
      </c>
    </row>
    <row r="11">
      <c r="B11" s="28" t="inlineStr">
        <is>
          <t>Bornes « De / À » modifiables (en bleu).</t>
        </is>
      </c>
    </row>
    <row r="13" ht="22" customHeight="1">
      <c r="B13" s="4" t="inlineStr">
        <is>
          <t>Incidents dans le rayon de Bamako (à la génération du classeur, triés par distance)</t>
        </is>
      </c>
      <c r="C13" s="5" t="n"/>
      <c r="D13" s="5" t="n"/>
      <c r="E13" s="5" t="n"/>
      <c r="F13" s="5" t="n"/>
      <c r="G13" s="5" t="n"/>
      <c r="H13" s="5" t="n"/>
      <c r="I13" s="5" t="n"/>
    </row>
    <row r="14" ht="30" customHeight="1">
      <c r="B14" s="61" t="inlineStr">
        <is>
          <t>ID</t>
        </is>
      </c>
      <c r="C14" s="61" t="inlineStr">
        <is>
          <t>Date</t>
        </is>
      </c>
      <c r="D14" s="61" t="inlineStr">
        <is>
          <t>Localité</t>
        </is>
      </c>
      <c r="E14" s="61" t="inlineStr">
        <is>
          <t>Cercle</t>
        </is>
      </c>
      <c r="F14" s="61" t="inlineStr">
        <is>
          <t>Instigateur</t>
        </is>
      </c>
      <c r="G14" s="61" t="inlineStr">
        <is>
          <t>Mode</t>
        </is>
      </c>
      <c r="H14" s="61" t="inlineStr">
        <is>
          <t>Distance (km)</t>
        </is>
      </c>
      <c r="I14" s="61" t="inlineStr">
        <is>
          <t>Tués</t>
        </is>
      </c>
    </row>
    <row r="15">
      <c r="B15" s="72">
        <f>INCIDENTS!A12</f>
        <v/>
      </c>
      <c r="C15" s="67">
        <f>INCIDENTS!B12</f>
        <v/>
      </c>
      <c r="D15" s="73">
        <f>INCIDENTS!I12</f>
        <v/>
      </c>
      <c r="E15" s="73">
        <f>INCIDENTS!G12</f>
        <v/>
      </c>
      <c r="F15" s="73">
        <f>INCIDENTS!O12</f>
        <v/>
      </c>
      <c r="G15" s="73">
        <f>INCIDENTS!N12</f>
        <v/>
      </c>
      <c r="H15" s="47">
        <f>INCIDENTS!AE12</f>
        <v/>
      </c>
      <c r="I15" s="47">
        <f>INCIDENTS!Y12</f>
        <v/>
      </c>
    </row>
    <row r="16">
      <c r="B16" s="72">
        <f>INCIDENTS!A5</f>
        <v/>
      </c>
      <c r="C16" s="67">
        <f>INCIDENTS!B5</f>
        <v/>
      </c>
      <c r="D16" s="73">
        <f>INCIDENTS!I5</f>
        <v/>
      </c>
      <c r="E16" s="73">
        <f>INCIDENTS!G5</f>
        <v/>
      </c>
      <c r="F16" s="73">
        <f>INCIDENTS!O5</f>
        <v/>
      </c>
      <c r="G16" s="73">
        <f>INCIDENTS!N5</f>
        <v/>
      </c>
      <c r="H16" s="47">
        <f>INCIDENTS!AE5</f>
        <v/>
      </c>
      <c r="I16" s="47">
        <f>INCIDENTS!Y5</f>
        <v/>
      </c>
    </row>
    <row r="17">
      <c r="B17" s="72">
        <f>INCIDENTS!A32</f>
        <v/>
      </c>
      <c r="C17" s="67">
        <f>INCIDENTS!B32</f>
        <v/>
      </c>
      <c r="D17" s="73">
        <f>INCIDENTS!I32</f>
        <v/>
      </c>
      <c r="E17" s="73">
        <f>INCIDENTS!G32</f>
        <v/>
      </c>
      <c r="F17" s="73">
        <f>INCIDENTS!O32</f>
        <v/>
      </c>
      <c r="G17" s="73">
        <f>INCIDENTS!N32</f>
        <v/>
      </c>
      <c r="H17" s="47">
        <f>INCIDENTS!AE32</f>
        <v/>
      </c>
      <c r="I17" s="47">
        <f>INCIDENTS!Y32</f>
        <v/>
      </c>
    </row>
    <row r="18">
      <c r="B18" s="72">
        <f>INCIDENTS!A9</f>
        <v/>
      </c>
      <c r="C18" s="67">
        <f>INCIDENTS!B9</f>
        <v/>
      </c>
      <c r="D18" s="73">
        <f>INCIDENTS!I9</f>
        <v/>
      </c>
      <c r="E18" s="73">
        <f>INCIDENTS!G9</f>
        <v/>
      </c>
      <c r="F18" s="73">
        <f>INCIDENTS!O9</f>
        <v/>
      </c>
      <c r="G18" s="73">
        <f>INCIDENTS!N9</f>
        <v/>
      </c>
      <c r="H18" s="47">
        <f>INCIDENTS!AE9</f>
        <v/>
      </c>
      <c r="I18" s="47">
        <f>INCIDENTS!Y9</f>
        <v/>
      </c>
    </row>
    <row r="19">
      <c r="B19" s="72">
        <f>INCIDENTS!A31</f>
        <v/>
      </c>
      <c r="C19" s="67">
        <f>INCIDENTS!B31</f>
        <v/>
      </c>
      <c r="D19" s="73">
        <f>INCIDENTS!I31</f>
        <v/>
      </c>
      <c r="E19" s="73">
        <f>INCIDENTS!G31</f>
        <v/>
      </c>
      <c r="F19" s="73">
        <f>INCIDENTS!O31</f>
        <v/>
      </c>
      <c r="G19" s="73">
        <f>INCIDENTS!N31</f>
        <v/>
      </c>
      <c r="H19" s="47">
        <f>INCIDENTS!AE31</f>
        <v/>
      </c>
      <c r="I19" s="47">
        <f>INCIDENTS!Y31</f>
        <v/>
      </c>
    </row>
    <row r="20">
      <c r="B20" s="72">
        <f>INCIDENTS!A13</f>
        <v/>
      </c>
      <c r="C20" s="67">
        <f>INCIDENTS!B13</f>
        <v/>
      </c>
      <c r="D20" s="73">
        <f>INCIDENTS!I13</f>
        <v/>
      </c>
      <c r="E20" s="73">
        <f>INCIDENTS!G13</f>
        <v/>
      </c>
      <c r="F20" s="73">
        <f>INCIDENTS!O13</f>
        <v/>
      </c>
      <c r="G20" s="73">
        <f>INCIDENTS!N13</f>
        <v/>
      </c>
      <c r="H20" s="47">
        <f>INCIDENTS!AE13</f>
        <v/>
      </c>
      <c r="I20" s="47">
        <f>INCIDENTS!Y13</f>
        <v/>
      </c>
    </row>
    <row r="21">
      <c r="B21" s="72">
        <f>INCIDENTS!A22</f>
        <v/>
      </c>
      <c r="C21" s="67">
        <f>INCIDENTS!B22</f>
        <v/>
      </c>
      <c r="D21" s="73">
        <f>INCIDENTS!I22</f>
        <v/>
      </c>
      <c r="E21" s="73">
        <f>INCIDENTS!G22</f>
        <v/>
      </c>
      <c r="F21" s="73">
        <f>INCIDENTS!O22</f>
        <v/>
      </c>
      <c r="G21" s="73">
        <f>INCIDENTS!N22</f>
        <v/>
      </c>
      <c r="H21" s="47">
        <f>INCIDENTS!AE22</f>
        <v/>
      </c>
      <c r="I21" s="47">
        <f>INCIDENTS!Y22</f>
        <v/>
      </c>
    </row>
    <row r="22">
      <c r="B22" s="72">
        <f>INCIDENTS!A24</f>
        <v/>
      </c>
      <c r="C22" s="67">
        <f>INCIDENTS!B24</f>
        <v/>
      </c>
      <c r="D22" s="73">
        <f>INCIDENTS!I24</f>
        <v/>
      </c>
      <c r="E22" s="73">
        <f>INCIDENTS!G24</f>
        <v/>
      </c>
      <c r="F22" s="73">
        <f>INCIDENTS!O24</f>
        <v/>
      </c>
      <c r="G22" s="73">
        <f>INCIDENTS!N24</f>
        <v/>
      </c>
      <c r="H22" s="47">
        <f>INCIDENTS!AE24</f>
        <v/>
      </c>
      <c r="I22" s="47">
        <f>INCIDENTS!Y24</f>
        <v/>
      </c>
    </row>
    <row r="23">
      <c r="B23" s="72">
        <f>INCIDENTS!A18</f>
        <v/>
      </c>
      <c r="C23" s="67">
        <f>INCIDENTS!B18</f>
        <v/>
      </c>
      <c r="D23" s="73">
        <f>INCIDENTS!I18</f>
        <v/>
      </c>
      <c r="E23" s="73">
        <f>INCIDENTS!G18</f>
        <v/>
      </c>
      <c r="F23" s="73">
        <f>INCIDENTS!O18</f>
        <v/>
      </c>
      <c r="G23" s="73">
        <f>INCIDENTS!N18</f>
        <v/>
      </c>
      <c r="H23" s="47">
        <f>INCIDENTS!AE18</f>
        <v/>
      </c>
      <c r="I23" s="47">
        <f>INCIDENTS!Y18</f>
        <v/>
      </c>
    </row>
  </sheetData>
  <conditionalFormatting sqref="E5:E10">
    <cfRule type="dataBar" priority="1">
      <dataBar showValue="1">
        <cfvo type="num" val="0"/>
        <cfvo type="max"/>
        <color rgb="00C8102E"/>
      </dataBar>
    </cfRule>
  </conditionalFormatting>
  <hyperlinks>
    <hyperlink xmlns:r="http://schemas.openxmlformats.org/officeDocument/2006/relationships" ref="J1" r:id="rId1"/>
    <hyperlink xmlns:r="http://schemas.openxmlformats.org/officeDocument/2006/relationships" ref="B15"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 xmlns:r="http://schemas.openxmlformats.org/officeDocument/2006/relationships" ref="B21" r:id="rId8"/>
    <hyperlink xmlns:r="http://schemas.openxmlformats.org/officeDocument/2006/relationships" ref="B22" r:id="rId9"/>
    <hyperlink xmlns:r="http://schemas.openxmlformats.org/officeDocument/2006/relationships" ref="B23" r:id="rId10"/>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11"/>
</worksheet>
</file>

<file path=xl/worksheets/sheet9.xml><?xml version="1.0" encoding="utf-8"?>
<worksheet xmlns="http://schemas.openxmlformats.org/spreadsheetml/2006/main">
  <sheetPr>
    <tabColor rgb="00C8102E"/>
    <outlinePr summaryBelow="1" summaryRight="1"/>
    <pageSetUpPr fitToPage="1"/>
  </sheetPr>
  <dimension ref="A1:H46"/>
  <sheetViews>
    <sheetView showGridLines="0" zoomScale="90" workbookViewId="0">
      <selection activeCell="A1" sqref="A1"/>
    </sheetView>
  </sheetViews>
  <sheetFormatPr baseColWidth="8" defaultRowHeight="15"/>
  <cols>
    <col width="2" customWidth="1" min="1" max="1"/>
    <col width="7" customWidth="1" min="2" max="2"/>
    <col width="34" customWidth="1" min="3" max="3"/>
    <col width="80" customWidth="1" min="4" max="4"/>
    <col width="26" customWidth="1" min="5" max="5"/>
    <col width="2" customWidth="1" min="6" max="6"/>
    <col width="2" customWidth="1" min="7" max="7"/>
    <col width="12" customWidth="1" min="8" max="8"/>
  </cols>
  <sheetData>
    <row r="1" ht="30" customHeight="1">
      <c r="A1" s="1" t="inlineStr">
        <is>
          <t>Évaluation stratégique</t>
        </is>
      </c>
      <c r="B1" s="2" t="n"/>
      <c r="C1" s="2" t="n"/>
      <c r="D1" s="2" t="n"/>
      <c r="E1" s="2" t="n"/>
      <c r="F1" s="2" t="n"/>
      <c r="G1" s="2" t="n"/>
      <c r="H1" s="26" t="inlineStr">
        <is>
          <t>◄ Accueil</t>
        </is>
      </c>
    </row>
    <row r="2" ht="18" customHeight="1">
      <c r="A2" s="3" t="inlineStr">
        <is>
          <t>Jugements établis sur l'ensemble de la base. « Probable » = 55–80 % ; « très probable » = plus de 80 %.</t>
        </is>
      </c>
      <c r="B2" s="2" t="n"/>
      <c r="C2" s="2" t="n"/>
      <c r="D2" s="2" t="n"/>
      <c r="E2" s="2" t="n"/>
      <c r="F2" s="2" t="n"/>
      <c r="G2" s="2" t="n"/>
      <c r="H2" s="2" t="n"/>
    </row>
    <row r="4" ht="22" customHeight="1">
      <c r="B4" s="4" t="inlineStr">
        <is>
          <t>Jugements clés</t>
        </is>
      </c>
      <c r="C4" s="5" t="n"/>
      <c r="D4" s="5" t="n"/>
      <c r="E4" s="5" t="n"/>
    </row>
    <row r="5" ht="30" customHeight="1">
      <c r="B5" s="61" t="inlineStr">
        <is>
          <t>Réf.</t>
        </is>
      </c>
      <c r="C5" s="61" t="inlineStr">
        <is>
          <t>Jugement</t>
        </is>
      </c>
      <c r="D5" s="61" t="inlineStr">
        <is>
          <t>Analyse</t>
        </is>
      </c>
      <c r="E5" s="61" t="inlineStr">
        <is>
          <t>Niveau de confiance</t>
        </is>
      </c>
    </row>
    <row r="6" ht="58" customHeight="1">
      <c r="B6" s="74" t="inlineStr">
        <is>
          <t>JC1</t>
        </is>
      </c>
      <c r="C6" s="42" t="inlineStr">
        <is>
          <t>Campagne d'usure méthodique du JNIM</t>
        </is>
      </c>
      <c r="D6" s="73" t="inlineStr">
        <is>
          <t>Le JNIM vise les emprises isolées et les axes du Mali central. La prise du camp de Dioura (10/09 : 150 FAMa tués, 93 capturés, 115 véhicules détruits) concentre à elle seule 72 % des pertes FAMa de la période.</t>
        </is>
      </c>
      <c r="E6" s="75" t="inlineStr">
        <is>
          <t>Modérée (bilan issu en partie d'AzZalaqa)</t>
        </is>
      </c>
    </row>
    <row r="7" ht="58" customHeight="1">
      <c r="B7" s="74" t="inlineStr">
        <is>
          <t>JC2</t>
        </is>
      </c>
      <c r="C7" s="42" t="inlineStr">
        <is>
          <t>Étau autour de Bamako</t>
        </is>
      </c>
      <c r="D7" s="73" t="inlineStr">
        <is>
          <t>Kassela (32 km), axe Mourdja–Kaloumba, Ségou–Fana, Dougabougou–Markala : l'incendie de citernes et les embuscades de convois relèvent très probablement d'une stratégie de blocus économique de la capitale.</t>
        </is>
      </c>
      <c r="E7" s="75" t="inlineStr">
        <is>
          <t>Élevée</t>
        </is>
      </c>
    </row>
    <row r="8" ht="58" customHeight="1">
      <c r="B8" s="74" t="inlineStr">
        <is>
          <t>JC3</t>
        </is>
      </c>
      <c r="C8" s="42" t="inlineStr">
        <is>
          <t>Ouverture d'un front sud</t>
        </is>
      </c>
      <c r="D8" s="73" t="inlineStr">
        <is>
          <t>La prise d'un poste à Kourouma (Sikasso, 07/10, ≈ 46 km de la frontière burkinabè) indique une capacité d'action dans le couloir Sikasso–Bobo-Dioulasso, à la porte des États côtiers.</t>
        </is>
      </c>
      <c r="E8" s="75" t="inlineStr">
        <is>
          <t>Modérée (un seul événement)</t>
        </is>
      </c>
    </row>
    <row r="9" ht="58" customHeight="1">
      <c r="B9" s="74" t="inlineStr">
        <is>
          <t>JC4</t>
        </is>
      </c>
      <c r="C9" s="42" t="inlineStr">
        <is>
          <t>Rivalité JNIM – EI-Sahel</t>
        </is>
      </c>
      <c r="D9" s="73" t="inlineStr">
        <is>
          <t>Dans le Liptako-Gourma, elle atteint une intensité inédite (200 puis 400 tués revendiqués). L'EI-Sahel s'en sert probablement pour consolider la bande frontalière Gourma–Oudalan–Ménaka.</t>
        </is>
      </c>
      <c r="E9" s="75" t="inlineStr">
        <is>
          <t>Faible sur les bilans</t>
        </is>
      </c>
    </row>
    <row r="10" ht="58" customHeight="1">
      <c r="B10" s="74" t="inlineStr">
        <is>
          <t>JC5</t>
        </is>
      </c>
      <c r="C10" s="42" t="inlineStr">
        <is>
          <t>Initiative au nord, attrition aérienne</t>
        </is>
      </c>
      <c r="D10" s="73" t="inlineStr">
        <is>
          <t>Les FAMa et Africa Corps ont repris Kidal (10/10), mais perdent des moyens aériens (hélicoptère, drone MALE Orion, drone Molniya-2 abattu, drones endommagés à Sévaré) et voient monter les victimes civiles de leurs frappes. Le FLA conserve, de façon très probable, une capacité de harcèlement par drones FPV.</t>
        </is>
      </c>
      <c r="E10" s="75" t="inlineStr">
        <is>
          <t>Modérée</t>
        </is>
      </c>
    </row>
    <row r="11" ht="58" customHeight="1">
      <c r="B11" s="74" t="inlineStr">
        <is>
          <t>JC6</t>
        </is>
      </c>
      <c r="C11" s="42" t="inlineStr">
        <is>
          <t>Dommages civils : risque stratégique majeur</t>
        </is>
      </c>
      <c r="D11" s="73" t="inlineStr">
        <is>
          <t>Les frappes de Guèllèdjè, Tieri, Nzanakoro et Tombouctou causent 100 % des civils tués recensés. Elles nourrissent le récit du JNIM auprès des communautés peules et nomades, et donc son recrutement.</t>
        </is>
      </c>
      <c r="E11" s="75" t="inlineStr">
        <is>
          <t>Élevée</t>
        </is>
      </c>
    </row>
    <row r="13" ht="22" customHeight="1">
      <c r="B13" s="4" t="inlineStr">
        <is>
          <t>Scénarios à 30–60 jours (horizon fin décembre 2026)</t>
        </is>
      </c>
      <c r="C13" s="5" t="n"/>
      <c r="D13" s="5" t="n"/>
      <c r="E13" s="5" t="n"/>
    </row>
    <row r="14" ht="30" customHeight="1">
      <c r="B14" s="61" t="inlineStr"/>
      <c r="C14" s="61" t="inlineStr">
        <is>
          <t>Scénario</t>
        </is>
      </c>
      <c r="D14" s="61" t="inlineStr">
        <is>
          <t>Description</t>
        </is>
      </c>
      <c r="E14" s="61" t="inlineStr">
        <is>
          <t>Probabilité</t>
        </is>
      </c>
    </row>
    <row r="15" ht="62" customHeight="1">
      <c r="B15" s="76" t="inlineStr"/>
      <c r="C15" s="77" t="inlineStr">
        <is>
          <t>Le plus probable
Usure prolongée au centre</t>
        </is>
      </c>
      <c r="D15" s="73" t="inlineStr">
        <is>
          <t>Le JNIM maintient 3 à 5 incidents par semaine à Ségou et Mopti (embuscades, EEI, postes isolés) et entrave les convois vers Bamako. Les FAMa et Africa Corps consolident Kidal et intensifient les frappes, avec des dommages civils récurrents.</t>
        </is>
      </c>
      <c r="E15" s="78" t="inlineStr">
        <is>
          <t>55–65 %</t>
        </is>
      </c>
    </row>
    <row r="16" ht="62" customHeight="1">
      <c r="B16" s="79" t="inlineStr"/>
      <c r="C16" s="80" t="inlineStr">
        <is>
          <t>Le plus dangereux
Coup d'éclat contre un centre névralgique</t>
        </is>
      </c>
      <c r="D16" s="73" t="inlineStr">
        <is>
          <t>Attaque complexe contre une emprise majeure (type Dioura / Sévaré) ou la périphérie de Bamako (cercle de Kati), avec tirs indirects ou drones. Elle s'accompagne d'un durcissement du blocus des axes et d'une montée du front sud (Sikasso, frontières BF et CI).</t>
        </is>
      </c>
      <c r="E16" s="81" t="inlineStr">
        <is>
          <t>15–25 %</t>
        </is>
      </c>
    </row>
    <row r="17" ht="62" customHeight="1">
      <c r="B17" s="82" t="inlineStr"/>
      <c r="C17" s="63" t="inlineStr">
        <is>
          <t>Alternatif
Poussée de l'EI-Sahel à l'est</t>
        </is>
      </c>
      <c r="D17" s="73" t="inlineStr">
        <is>
          <t>L'EI-Sahel exploite l'affaiblissement local du JNIM pour s'étendre vers Ménaka, Ansongo et Tessit et dans le Gourma. Il multiplie les embuscades contre les convois FAMa pendant que le FLA mène une guérilla par drones au nord.</t>
        </is>
      </c>
      <c r="E17" s="83" t="inlineStr">
        <is>
          <t>≈ 20 %</t>
        </is>
      </c>
    </row>
    <row r="19" ht="22" customHeight="1">
      <c r="B19" s="4" t="inlineStr">
        <is>
          <t>Indicateurs d'alerte à surveiller</t>
        </is>
      </c>
      <c r="C19" s="5" t="n"/>
      <c r="D19" s="5" t="n"/>
      <c r="E19" s="5" t="n"/>
    </row>
    <row r="20" ht="30" customHeight="1">
      <c r="B20" s="61" t="inlineStr"/>
      <c r="C20" s="61" t="inlineStr">
        <is>
          <t>Indicateur</t>
        </is>
      </c>
      <c r="D20" s="61" t="inlineStr">
        <is>
          <t>Ce qu'il signalerait</t>
        </is>
      </c>
      <c r="E20" s="61" t="inlineStr">
        <is>
          <t>Zone</t>
        </is>
      </c>
    </row>
    <row r="21" ht="32" customHeight="1">
      <c r="B21" s="74" t="inlineStr">
        <is>
          <t>IA1</t>
        </is>
      </c>
      <c r="C21" s="42" t="inlineStr">
        <is>
          <t>Nouvelles attaques de citernes ou de convois commerciaux</t>
        </is>
      </c>
      <c r="D21" s="73" t="inlineStr">
        <is>
          <t>Durcissement du blocus logistique de Bamako</t>
        </is>
      </c>
      <c r="E21" s="75" t="inlineStr">
        <is>
          <t>Ségou–Fana, Markala, axes d'entrée de Bamako</t>
        </is>
      </c>
    </row>
    <row r="22" ht="32" customHeight="1">
      <c r="B22" s="74" t="inlineStr">
        <is>
          <t>IA2</t>
        </is>
      </c>
      <c r="C22" s="42" t="inlineStr">
        <is>
          <t>Incidents dans les cercles de Kati, Kolokani ou Banamba</t>
        </is>
      </c>
      <c r="D22" s="73" t="inlineStr">
        <is>
          <t>Encerclement rapproché de la capitale</t>
        </is>
      </c>
      <c r="E22" s="75" t="inlineStr">
        <is>
          <t>Koulikoro</t>
        </is>
      </c>
    </row>
    <row r="23" ht="32" customHeight="1">
      <c r="B23" s="74" t="inlineStr">
        <is>
          <t>IA3</t>
        </is>
      </c>
      <c r="C23" s="42" t="inlineStr">
        <is>
          <t>Tirs indirects ou drones contre aéroports et bases</t>
        </is>
      </c>
      <c r="D23" s="73" t="inlineStr">
        <is>
          <t>Ciblage du capacitaire aérien et ISR</t>
        </is>
      </c>
      <c r="E23" s="75" t="inlineStr">
        <is>
          <t>Sévaré, Gao, Tombouctou, Kidal</t>
        </is>
      </c>
    </row>
    <row r="24" ht="32" customHeight="1">
      <c r="B24" s="74" t="inlineStr">
        <is>
          <t>IA4</t>
        </is>
      </c>
      <c r="C24" s="42" t="inlineStr">
        <is>
          <t>Usage de drones FPV par le JNIM</t>
        </is>
      </c>
      <c r="D24" s="73" t="inlineStr">
        <is>
          <t>Diffusion technologique depuis le FLA</t>
        </is>
      </c>
      <c r="E24" s="75" t="inlineStr">
        <is>
          <t>Centre et Nord</t>
        </is>
      </c>
    </row>
    <row r="25" ht="32" customHeight="1">
      <c r="B25" s="74" t="inlineStr">
        <is>
          <t>IA5</t>
        </is>
      </c>
      <c r="C25" s="42" t="inlineStr">
        <is>
          <t>Attaques de postes au sud de Sikasso</t>
        </is>
      </c>
      <c r="D25" s="73" t="inlineStr">
        <is>
          <t>Ouverture d'un couloir vers le Golfe de Guinée</t>
        </is>
      </c>
      <c r="E25" s="75" t="inlineStr">
        <is>
          <t>Kadiolo, Kourouma, frontières BF / CI</t>
        </is>
      </c>
    </row>
    <row r="26" ht="32" customHeight="1">
      <c r="B26" s="74" t="inlineStr">
        <is>
          <t>IA6</t>
        </is>
      </c>
      <c r="C26" s="42" t="inlineStr">
        <is>
          <t>Revendications de l'EI-Sahel à Ménaka ou Ansongo</t>
        </is>
      </c>
      <c r="D26" s="73" t="inlineStr">
        <is>
          <t>Expansion de l'EI-Sahel vers l'ouest</t>
        </is>
      </c>
      <c r="E26" s="75" t="inlineStr">
        <is>
          <t>Gao, Ménaka</t>
        </is>
      </c>
    </row>
    <row r="27" ht="32" customHeight="1">
      <c r="B27" s="74" t="inlineStr">
        <is>
          <t>IA7</t>
        </is>
      </c>
      <c r="C27" s="42" t="inlineStr">
        <is>
          <t>Nouvelles frappes aériennes avec victimes civiles</t>
        </is>
      </c>
      <c r="D27" s="73" t="inlineStr">
        <is>
          <t>Ralliements communautaires et représailles</t>
        </is>
      </c>
      <c r="E27" s="75" t="inlineStr">
        <is>
          <t>Ségou, Mopti, Tombouctou</t>
        </is>
      </c>
    </row>
    <row r="29" ht="22" customHeight="1">
      <c r="B29" s="4" t="inlineStr">
        <is>
          <t>Recommandations</t>
        </is>
      </c>
      <c r="C29" s="5" t="n"/>
      <c r="D29" s="5" t="n"/>
      <c r="E29" s="5" t="n"/>
    </row>
    <row r="30">
      <c r="B30" s="84" t="inlineStr">
        <is>
          <t>Autorités et forces de défense</t>
        </is>
      </c>
      <c r="C30" s="2" t="n"/>
      <c r="D30" s="2" t="n"/>
      <c r="E30" s="2" t="n"/>
    </row>
    <row r="31" ht="32" customHeight="1">
      <c r="B31" s="73" t="inlineStr"/>
      <c r="C31" s="80" t="inlineStr">
        <is>
          <t>Immédiat</t>
        </is>
      </c>
      <c r="D31" s="73" t="inlineStr">
        <is>
          <t>Sécuriser en priorité les axes Bamako–Ségou–Niono et Ségou–Markala : ouverture d'itinéraire, lutte contre les EEI, escortes à horaires et itinéraires variables.</t>
        </is>
      </c>
      <c r="E31" s="85" t="n"/>
    </row>
    <row r="32" ht="32" customHeight="1">
      <c r="B32" s="73" t="inlineStr"/>
      <c r="C32" s="80" t="inlineStr">
        <is>
          <t>Immédiat</t>
        </is>
      </c>
      <c r="D32" s="73" t="inlineStr">
        <is>
          <t>Durcir ou regrouper les postes isolés exposés à un coup de main (scénario Kassela / Kourouma) et pré-positionner une force de réaction rapide héliportée.</t>
        </is>
      </c>
      <c r="E32" s="85" t="n"/>
    </row>
    <row r="33" ht="32" customHeight="1">
      <c r="B33" s="73" t="inlineStr"/>
      <c r="C33" s="77" t="inlineStr">
        <is>
          <t>Court terme</t>
        </is>
      </c>
      <c r="D33" s="73" t="inlineStr">
        <is>
          <t>Déployer une défense anti-drones (brouillage, détection) sur Sévaré, Goundam, Aguelhoc et Kidal ; disperser ou abriter les aéronefs.</t>
        </is>
      </c>
      <c r="E33" s="85" t="n"/>
    </row>
    <row r="34" ht="32" customHeight="1">
      <c r="B34" s="73" t="inlineStr"/>
      <c r="C34" s="77" t="inlineStr">
        <is>
          <t>Court terme</t>
        </is>
      </c>
      <c r="D34" s="73" t="inlineStr">
        <is>
          <t>Renforcer l'identification positive des cibles avant frappe, avec un mécanisme d'enquête sur les bavures : condition d'efficacité de la contre-insurrection.</t>
        </is>
      </c>
      <c r="E34" s="85" t="n"/>
    </row>
    <row r="35" ht="32" customHeight="1">
      <c r="B35" s="73" t="inlineStr"/>
      <c r="C35" s="86" t="inlineStr">
        <is>
          <t>Moyen terme</t>
        </is>
      </c>
      <c r="D35" s="73" t="inlineStr">
        <is>
          <t>Exploiter la rivalité JNIM–EI-Sahel par le renseignement (ISR) sur le Liptako, sans provoquer de rapprochement tactique entre les deux groupes.</t>
        </is>
      </c>
      <c r="E35" s="85" t="n"/>
    </row>
    <row r="37">
      <c r="B37" s="84" t="inlineStr">
        <is>
          <t>Partenaires, ONG et entreprises</t>
        </is>
      </c>
      <c r="C37" s="2" t="n"/>
      <c r="D37" s="2" t="n"/>
      <c r="E37" s="2" t="n"/>
    </row>
    <row r="38" ht="32" customHeight="1">
      <c r="B38" s="73" t="inlineStr"/>
      <c r="C38" s="80" t="inlineStr">
        <is>
          <t>Immédiat</t>
        </is>
      </c>
      <c r="D38" s="73" t="inlineStr">
        <is>
          <t>Classer en rouge les axes Niono–Dioura, Ségou–Fana, Dougabougou–Markala, Bandiagara–Douentza et Ansongo–Ménaka : circulation de jour, en convoi, après évaluation de route la veille.</t>
        </is>
      </c>
      <c r="E38" s="85" t="n"/>
    </row>
    <row r="39" ht="32" customHeight="1">
      <c r="B39" s="73" t="inlineStr"/>
      <c r="C39" s="80" t="inlineStr">
        <is>
          <t>Immédiat</t>
        </is>
      </c>
      <c r="D39" s="73" t="inlineStr">
        <is>
          <t>Éloigner les implantations des emprises militaires et des aérodromes, cibles de tirs indirects et de drones.</t>
        </is>
      </c>
      <c r="E39" s="85" t="n"/>
    </row>
    <row r="40" ht="32" customHeight="1">
      <c r="B40" s="73" t="inlineStr"/>
      <c r="C40" s="77" t="inlineStr">
        <is>
          <t>Court terme</t>
        </is>
      </c>
      <c r="D40" s="73" t="inlineStr">
        <is>
          <t>Plans de continuité pour Bamako (carburant, eau, communications satellitaires) ; mise à jour des plans d'évacuation aérienne de Tombouctou, Gao et Kidal.</t>
        </is>
      </c>
      <c r="E40" s="85" t="n"/>
    </row>
    <row r="41" ht="32" customHeight="1">
      <c r="B41" s="73" t="inlineStr"/>
      <c r="C41" s="77" t="inlineStr">
        <is>
          <t>Court terme</t>
        </is>
      </c>
      <c r="D41" s="73" t="inlineStr">
        <is>
          <t>Éviter les points d'accès Starlink collectifs et les rassemblements en zone de frappes (la frappe de Guèllèdjè visait un point de connexion).</t>
        </is>
      </c>
      <c r="E41" s="85" t="n"/>
    </row>
    <row r="43">
      <c r="B43" s="84" t="inlineStr">
        <is>
          <t>États du Golfe de Guinée</t>
        </is>
      </c>
      <c r="C43" s="2" t="n"/>
      <c r="D43" s="2" t="n"/>
      <c r="E43" s="2" t="n"/>
    </row>
    <row r="44" ht="32" customHeight="1">
      <c r="B44" s="73" t="inlineStr"/>
      <c r="C44" s="80" t="inlineStr">
        <is>
          <t>Immédiat</t>
        </is>
      </c>
      <c r="D44" s="73" t="inlineStr">
        <is>
          <t>Renforcer la surveillance de la bande Sikasso – Hauts-Bassins – nord ivoirien et ghanéen : Kourouma signale une poussée du JNIM vers le sud.</t>
        </is>
      </c>
      <c r="E44" s="85" t="n"/>
    </row>
    <row r="45" ht="32" customHeight="1">
      <c r="B45" s="73" t="inlineStr"/>
      <c r="C45" s="77" t="inlineStr">
        <is>
          <t>Court terme</t>
        </is>
      </c>
      <c r="D45" s="73" t="inlineStr">
        <is>
          <t>Partage de renseignement sur les flux logistiques transfrontaliers (carburant, motos, intrants explosifs) qui alimentent les EEI.</t>
        </is>
      </c>
      <c r="E45" s="85" t="n"/>
    </row>
    <row r="46" ht="32" customHeight="1">
      <c r="B46" s="73" t="inlineStr"/>
      <c r="C46" s="86" t="inlineStr">
        <is>
          <t>Moyen terme</t>
        </is>
      </c>
      <c r="D46" s="73" t="inlineStr">
        <is>
          <t>Programmes de cohésion communautaire en zone frontalière pour couper le récit de victimisation exploité après les frappes.</t>
        </is>
      </c>
      <c r="E46" s="85" t="n"/>
    </row>
  </sheetData>
  <mergeCells count="12">
    <mergeCell ref="D33:E33"/>
    <mergeCell ref="D34:E34"/>
    <mergeCell ref="D38:E38"/>
    <mergeCell ref="D32:E32"/>
    <mergeCell ref="D46:E46"/>
    <mergeCell ref="D40:E40"/>
    <mergeCell ref="D41:E41"/>
    <mergeCell ref="D31:E31"/>
    <mergeCell ref="D44:E44"/>
    <mergeCell ref="D45:E45"/>
    <mergeCell ref="D35:E35"/>
    <mergeCell ref="D39:E39"/>
  </mergeCells>
  <hyperlinks>
    <hyperlink xmlns:r="http://schemas.openxmlformats.org/officeDocument/2006/relationships" ref="H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worksheet>
</file>

<file path=xl/worksheets/sheet10.xml><?xml version="1.0" encoding="utf-8"?>
<worksheet xmlns="http://schemas.openxmlformats.org/spreadsheetml/2006/main">
  <sheetPr>
    <tabColor rgb="00566577"/>
    <outlinePr summaryBelow="1" summaryRight="1"/>
    <pageSetUpPr fitToPage="1"/>
  </sheetPr>
  <dimension ref="A1:J34"/>
  <sheetViews>
    <sheetView showGridLines="0" zoomScale="90" workbookViewId="0">
      <selection activeCell="A1" sqref="A1"/>
    </sheetView>
  </sheetViews>
  <sheetFormatPr baseColWidth="8" defaultRowHeight="15"/>
  <cols>
    <col width="2" customWidth="1" min="1" max="1"/>
    <col width="28" customWidth="1" min="2" max="2"/>
    <col width="16" customWidth="1" min="3" max="3"/>
    <col width="40" customWidth="1" min="4" max="4"/>
    <col width="12" customWidth="1" min="5" max="5"/>
    <col width="3" customWidth="1" min="6" max="6"/>
    <col width="30" customWidth="1" min="7" max="7"/>
    <col width="12" customWidth="1" min="8" max="8"/>
    <col width="12" customWidth="1" min="9" max="9"/>
    <col width="10" customWidth="1" min="10" max="10"/>
  </cols>
  <sheetData>
    <row r="1" ht="30" customHeight="1">
      <c r="A1" s="1" t="inlineStr">
        <is>
          <t>Qualité des données et fiabilité des sources</t>
        </is>
      </c>
      <c r="B1" s="2" t="n"/>
      <c r="C1" s="2" t="n"/>
      <c r="D1" s="2" t="n"/>
      <c r="E1" s="2" t="n"/>
      <c r="F1" s="2" t="n"/>
      <c r="G1" s="2" t="n"/>
      <c r="H1" s="2" t="n"/>
      <c r="I1" s="26" t="inlineStr">
        <is>
          <t>◄ Accueil</t>
        </is>
      </c>
    </row>
    <row r="2" ht="18" customHeight="1">
      <c r="A2" s="3" t="inlineStr">
        <is>
          <t>Corroboration : « Corroboré » = au moins deux sources indépendantes (veille OSINT ou presse).</t>
        </is>
      </c>
      <c r="B2" s="2" t="n"/>
      <c r="C2" s="2" t="n"/>
      <c r="D2" s="2" t="n"/>
      <c r="E2" s="2" t="n"/>
      <c r="F2" s="2" t="n"/>
      <c r="G2" s="2" t="n"/>
      <c r="H2" s="2" t="n"/>
      <c r="I2" s="2" t="n"/>
    </row>
    <row r="4" ht="30" customHeight="1">
      <c r="B4" s="29" t="inlineStr">
        <is>
          <t>Source</t>
        </is>
      </c>
      <c r="C4" s="29" t="inlineStr">
        <is>
          <t>Type</t>
        </is>
      </c>
      <c r="D4" s="29" t="inlineStr">
        <is>
          <t>Nature</t>
        </is>
      </c>
      <c r="E4" s="29" t="inlineStr">
        <is>
          <t>Citations</t>
        </is>
      </c>
      <c r="G4" s="61" t="inlineStr">
        <is>
          <t>Niveau de fiabilité</t>
        </is>
      </c>
      <c r="H4" s="61" t="inlineStr">
        <is>
          <t>Incidents</t>
        </is>
      </c>
      <c r="I4" s="61" t="inlineStr">
        <is>
          <t>Tués associés</t>
        </is>
      </c>
      <c r="J4" s="61" t="inlineStr">
        <is>
          <t>Part</t>
        </is>
      </c>
    </row>
    <row r="5">
      <c r="B5" s="42" t="inlineStr">
        <is>
          <t>Sahel Alerte</t>
        </is>
      </c>
      <c r="C5" s="65" t="inlineStr">
        <is>
          <t>Veille OSINT</t>
        </is>
      </c>
      <c r="D5" s="75" t="inlineStr">
        <is>
          <t>Analyste / veille OSINT</t>
        </is>
      </c>
      <c r="E5" s="47">
        <f>COUNTIFS(inc_sources,"*"&amp;B5&amp;"*")</f>
        <v/>
      </c>
      <c r="G5" s="87" t="inlineStr">
        <is>
          <t>Corroboré</t>
        </is>
      </c>
      <c r="H5" s="47">
        <f>COUNTIFS(inc_fiab,$G5)</f>
        <v/>
      </c>
      <c r="I5" s="47">
        <f>SUMIFS(inc_tues,inc_fiab,$G5)</f>
        <v/>
      </c>
      <c r="J5" s="44">
        <f>IF(SUM($H$5:$H$8)=0,0,H5/SUM($H$5:$H$8))</f>
        <v/>
      </c>
    </row>
    <row r="6">
      <c r="B6" s="42" t="inlineStr">
        <is>
          <t>Hasret K.</t>
        </is>
      </c>
      <c r="C6" s="65" t="inlineStr">
        <is>
          <t>Veille OSINT</t>
        </is>
      </c>
      <c r="D6" s="75" t="inlineStr">
        <is>
          <t>Analyste / veille OSINT</t>
        </is>
      </c>
      <c r="E6" s="47">
        <f>COUNTIFS(inc_sources,"*"&amp;B6&amp;"*")</f>
        <v/>
      </c>
      <c r="G6" s="88" t="inlineStr">
        <is>
          <t>Partiellement corroboré</t>
        </is>
      </c>
      <c r="H6" s="47">
        <f>COUNTIFS(inc_fiab,$G6)</f>
        <v/>
      </c>
      <c r="I6" s="47">
        <f>SUMIFS(inc_tues,inc_fiab,$G6)</f>
        <v/>
      </c>
      <c r="J6" s="44">
        <f>IF(SUM($H$5:$H$8)=0,0,H6/SUM($H$5:$H$8))</f>
        <v/>
      </c>
    </row>
    <row r="7">
      <c r="B7" s="42" t="inlineStr">
        <is>
          <t>Sagnon</t>
        </is>
      </c>
      <c r="C7" s="65" t="inlineStr">
        <is>
          <t>Veille OSINT</t>
        </is>
      </c>
      <c r="D7" s="75" t="inlineStr">
        <is>
          <t>Analyste / veille OSINT</t>
        </is>
      </c>
      <c r="E7" s="47">
        <f>COUNTIFS(inc_sources,"*"&amp;B7&amp;"*")</f>
        <v/>
      </c>
      <c r="G7" s="77" t="inlineStr">
        <is>
          <t>Source partisane seule</t>
        </is>
      </c>
      <c r="H7" s="47">
        <f>COUNTIFS(inc_fiab,$G7)</f>
        <v/>
      </c>
      <c r="I7" s="47">
        <f>SUMIFS(inc_tues,inc_fiab,$G7)</f>
        <v/>
      </c>
      <c r="J7" s="44">
        <f>IF(SUM($H$5:$H$8)=0,0,H7/SUM($H$5:$H$8))</f>
        <v/>
      </c>
    </row>
    <row r="8">
      <c r="B8" s="42" t="inlineStr">
        <is>
          <t>Ghana C. Monitor</t>
        </is>
      </c>
      <c r="C8" s="65" t="inlineStr">
        <is>
          <t>Veille OSINT</t>
        </is>
      </c>
      <c r="D8" s="75" t="inlineStr">
        <is>
          <t>Analyste / veille OSINT</t>
        </is>
      </c>
      <c r="E8" s="47">
        <f>COUNTIFS(inc_sources,"*"&amp;B8&amp;"*")</f>
        <v/>
      </c>
      <c r="G8" s="80" t="inlineStr">
        <is>
          <t>Source unique</t>
        </is>
      </c>
      <c r="H8" s="47">
        <f>COUNTIFS(inc_fiab,$G8)</f>
        <v/>
      </c>
      <c r="I8" s="47">
        <f>SUMIFS(inc_tues,inc_fiab,$G8)</f>
        <v/>
      </c>
      <c r="J8" s="44">
        <f>IF(SUM($H$5:$H$8)=0,0,H8/SUM($H$5:$H$8))</f>
        <v/>
      </c>
    </row>
    <row r="9">
      <c r="B9" s="42" t="inlineStr">
        <is>
          <t>Brant P.</t>
        </is>
      </c>
      <c r="C9" s="65" t="inlineStr">
        <is>
          <t>Veille OSINT</t>
        </is>
      </c>
      <c r="D9" s="75" t="inlineStr">
        <is>
          <t>Analyste / veille OSINT</t>
        </is>
      </c>
      <c r="E9" s="47">
        <f>COUNTIFS(inc_sources,"*"&amp;B9&amp;"*")</f>
        <v/>
      </c>
    </row>
    <row r="10">
      <c r="B10" s="42" t="inlineStr">
        <is>
          <t>Outamashaq</t>
        </is>
      </c>
      <c r="C10" s="65" t="inlineStr">
        <is>
          <t>Veille OSINT</t>
        </is>
      </c>
      <c r="D10" s="75" t="inlineStr">
        <is>
          <t>Analyste / veille OSINT</t>
        </is>
      </c>
      <c r="E10" s="47">
        <f>COUNTIFS(inc_sources,"*"&amp;B10&amp;"*")</f>
        <v/>
      </c>
      <c r="G10" s="42" t="inlineStr">
        <is>
          <t>Incidents à bilan revendiqué seul</t>
        </is>
      </c>
      <c r="H10" s="47">
        <f>COUNTIFS(inc_revend,"Oui")</f>
        <v/>
      </c>
    </row>
    <row r="11">
      <c r="B11" s="42" t="inlineStr">
        <is>
          <t>Acled (Héni Nsaibia)</t>
        </is>
      </c>
      <c r="C11" s="65" t="inlineStr">
        <is>
          <t>Veille OSINT</t>
        </is>
      </c>
      <c r="D11" s="75" t="inlineStr">
        <is>
          <t>Analyste / veille OSINT</t>
        </is>
      </c>
      <c r="E11" s="47">
        <f>COUNTIFS(inc_sources,"*"&amp;B11&amp;"*")</f>
        <v/>
      </c>
      <c r="G11" s="42" t="inlineStr">
        <is>
          <t>Incidents géolocalisés à ± 10 km</t>
        </is>
      </c>
      <c r="H11" s="47">
        <f>COUNTIFS(inc_prec,"Zone*")</f>
        <v/>
      </c>
    </row>
    <row r="12">
      <c r="B12" s="42" t="inlineStr">
        <is>
          <t>Wamaps</t>
        </is>
      </c>
      <c r="C12" s="65" t="inlineStr">
        <is>
          <t>Veille OSINT</t>
        </is>
      </c>
      <c r="D12" s="75" t="inlineStr">
        <is>
          <t>Analyste / veille OSINT</t>
        </is>
      </c>
      <c r="E12" s="47">
        <f>COUNTIFS(inc_sources,"*"&amp;B12&amp;"*")</f>
        <v/>
      </c>
    </row>
    <row r="13">
      <c r="B13" s="42" t="inlineStr">
        <is>
          <t>F. Walett</t>
        </is>
      </c>
      <c r="C13" s="65" t="inlineStr">
        <is>
          <t>Veille OSINT</t>
        </is>
      </c>
      <c r="D13" s="75" t="inlineStr">
        <is>
          <t>Analyste / veille OSINT</t>
        </is>
      </c>
      <c r="E13" s="47">
        <f>COUNTIFS(inc_sources,"*"&amp;B13&amp;"*")</f>
        <v/>
      </c>
    </row>
    <row r="14">
      <c r="B14" s="42" t="inlineStr">
        <is>
          <t>Wassim Nasr</t>
        </is>
      </c>
      <c r="C14" s="65" t="inlineStr">
        <is>
          <t>Veille OSINT</t>
        </is>
      </c>
      <c r="D14" s="75" t="inlineStr">
        <is>
          <t>Analyste / veille OSINT</t>
        </is>
      </c>
      <c r="E14" s="47">
        <f>COUNTIFS(inc_sources,"*"&amp;B14&amp;"*")</f>
        <v/>
      </c>
    </row>
    <row r="15">
      <c r="B15" s="42" t="inlineStr">
        <is>
          <t>Serge Daniel</t>
        </is>
      </c>
      <c r="C15" s="65" t="inlineStr">
        <is>
          <t>Veille OSINT</t>
        </is>
      </c>
      <c r="D15" s="75" t="inlineStr">
        <is>
          <t>Analyste / veille OSINT</t>
        </is>
      </c>
      <c r="E15" s="47">
        <f>COUNTIFS(inc_sources,"*"&amp;B15&amp;"*")</f>
        <v/>
      </c>
    </row>
    <row r="16">
      <c r="B16" s="42" t="inlineStr">
        <is>
          <t>Abbasi</t>
        </is>
      </c>
      <c r="C16" s="65" t="inlineStr">
        <is>
          <t>Veille OSINT</t>
        </is>
      </c>
      <c r="D16" s="75" t="inlineStr">
        <is>
          <t>Analyste / veille OSINT</t>
        </is>
      </c>
      <c r="E16" s="47">
        <f>COUNTIFS(inc_sources,"*"&amp;B16&amp;"*")</f>
        <v/>
      </c>
    </row>
    <row r="17">
      <c r="B17" s="42" t="inlineStr">
        <is>
          <t>Jeune Afrique</t>
        </is>
      </c>
      <c r="C17" s="87" t="inlineStr">
        <is>
          <t>Presse</t>
        </is>
      </c>
      <c r="D17" s="75" t="inlineStr">
        <is>
          <t>Presse panafricaine</t>
        </is>
      </c>
      <c r="E17" s="47">
        <f>COUNTIFS(inc_sources,"*"&amp;B17&amp;"*")</f>
        <v/>
      </c>
    </row>
    <row r="18">
      <c r="B18" s="42" t="inlineStr">
        <is>
          <t>AzZalaqa</t>
        </is>
      </c>
      <c r="C18" s="62" t="inlineStr">
        <is>
          <t>Partisane</t>
        </is>
      </c>
      <c r="D18" s="75" t="inlineStr">
        <is>
          <t>Organe de propagande du JNIM</t>
        </is>
      </c>
      <c r="E18" s="47">
        <f>COUNTIFS(inc_sources,"*"&amp;B18&amp;"*")</f>
        <v/>
      </c>
    </row>
    <row r="19">
      <c r="B19" s="42" t="inlineStr">
        <is>
          <t>FLA</t>
        </is>
      </c>
      <c r="C19" s="62" t="inlineStr">
        <is>
          <t>Partisane</t>
        </is>
      </c>
      <c r="D19" s="75" t="inlineStr">
        <is>
          <t>Communication du FLA</t>
        </is>
      </c>
      <c r="E19" s="47">
        <f>COUNTIFS(inc_sources,"*"&amp;B19&amp;"*")</f>
        <v/>
      </c>
    </row>
    <row r="20">
      <c r="B20" s="42" t="inlineStr">
        <is>
          <t>JNIM</t>
        </is>
      </c>
      <c r="C20" s="62" t="inlineStr">
        <is>
          <t>Partisane</t>
        </is>
      </c>
      <c r="D20" s="75" t="inlineStr">
        <is>
          <t>Revendication JNIM</t>
        </is>
      </c>
      <c r="E20" s="47">
        <f>COUNTIFS(inc_sources,"*"&amp;B20&amp;"*")</f>
        <v/>
      </c>
    </row>
    <row r="21">
      <c r="B21" s="42" t="inlineStr">
        <is>
          <t>EIS</t>
        </is>
      </c>
      <c r="C21" s="62" t="inlineStr">
        <is>
          <t>Partisane</t>
        </is>
      </c>
      <c r="D21" s="75" t="inlineStr">
        <is>
          <t>Revendication EI-Sahel</t>
        </is>
      </c>
      <c r="E21" s="47">
        <f>COUNTIFS(inc_sources,"*"&amp;B21&amp;"*")</f>
        <v/>
      </c>
    </row>
    <row r="22">
      <c r="B22" s="42" t="inlineStr">
        <is>
          <t>Amaq</t>
        </is>
      </c>
      <c r="C22" s="62" t="inlineStr">
        <is>
          <t>Partisane</t>
        </is>
      </c>
      <c r="D22" s="75" t="inlineStr">
        <is>
          <t>Agence de propagande de l'État islamique</t>
        </is>
      </c>
      <c r="E22" s="47">
        <f>COUNTIFS(inc_sources,"*"&amp;B22&amp;"*")</f>
        <v/>
      </c>
    </row>
    <row r="23">
      <c r="B23" s="42" t="inlineStr">
        <is>
          <t>État-Major FAMa</t>
        </is>
      </c>
      <c r="C23" s="64" t="inlineStr">
        <is>
          <t>Officielle</t>
        </is>
      </c>
      <c r="D23" s="75" t="inlineStr">
        <is>
          <t>Communiqué officiel des FAMa</t>
        </is>
      </c>
      <c r="E23" s="47">
        <f>COUNTIFS(inc_sources,"*"&amp;B23&amp;"*")</f>
        <v/>
      </c>
    </row>
    <row r="24">
      <c r="B24" s="42" t="inlineStr">
        <is>
          <t>Naïm TOURÉ</t>
        </is>
      </c>
      <c r="C24" s="66" t="inlineStr">
        <is>
          <t>Compilateur</t>
        </is>
      </c>
      <c r="D24" s="75" t="inlineStr">
        <is>
          <t>Compilateur de la base</t>
        </is>
      </c>
      <c r="E24" s="47">
        <f>COUNTIFS(inc_sources,"*"&amp;B24&amp;"*")</f>
        <v/>
      </c>
    </row>
    <row r="25">
      <c r="B25" s="28" t="inlineStr">
        <is>
          <t>« Citations » compte les incidents où le nom apparaît dans la colonne Sources (recherche par texte).</t>
        </is>
      </c>
    </row>
    <row r="27" ht="22" customHeight="1">
      <c r="B27" s="4" t="inlineStr">
        <is>
          <t>Limites et points de vigilance</t>
        </is>
      </c>
      <c r="C27" s="5" t="n"/>
      <c r="D27" s="5" t="n"/>
      <c r="E27" s="5" t="n"/>
    </row>
    <row r="28" ht="44" customHeight="1">
      <c r="B28" s="42" t="inlineStr">
        <is>
          <t>Risque de double comptage</t>
        </is>
      </c>
      <c r="C28" s="73" t="inlineStr">
        <is>
          <t>INC-2026-003 (01/09, Gonadaouri / Ndaki, 200 tués) et INC-2026-025 (09/10, Ganadaouri, 400 tués) désignent des toponymes voisins. Ensemble, ils pèsent 64 % de la létalité : à recouper avant toute diffusion.</t>
        </is>
      </c>
      <c r="D28" s="89" t="n"/>
      <c r="E28" s="85" t="n"/>
    </row>
    <row r="29" ht="44" customHeight="1">
      <c r="B29" s="42" t="inlineStr">
        <is>
          <t>Bilans revendiqués</t>
        </is>
      </c>
      <c r="C29" s="73" t="inlineStr">
        <is>
          <t>Les pertes de Dioura (150) et de Sévaré (33) proviennent en partie d'AzZalaqa (JNIM) ; celles de l'EI-Sahel d'Amaq. Les lire comme des maximums.</t>
        </is>
      </c>
      <c r="D29" s="89" t="n"/>
      <c r="E29" s="85" t="n"/>
    </row>
    <row r="30" ht="44" customHeight="1">
      <c r="B30" s="42" t="inlineStr">
        <is>
          <t>Géolocalisation</t>
        </is>
      </c>
      <c r="C30" s="73" t="inlineStr">
        <is>
          <t>Plusieurs incidents sont positionnés au niveau d'une zone (une décimale, ± 10 km). INC-2026-022 (campagne de frappes sur quatre sites) est représenté par un seul point à Anéfif.</t>
        </is>
      </c>
      <c r="D30" s="89" t="n"/>
      <c r="E30" s="85" t="n"/>
    </row>
    <row r="31" ht="44" customHeight="1">
      <c r="B31" s="42" t="inlineStr">
        <is>
          <t>Catégories ambiguës</t>
        </is>
      </c>
      <c r="C31" s="73" t="inlineStr">
        <is>
          <t>INC-2026-017 : « 7 morts / blessés » russes enregistrés comme 7 morts. INC-2026-015 : attribution au JNIM présumée.</t>
        </is>
      </c>
      <c r="D31" s="89" t="n"/>
      <c r="E31" s="85" t="n"/>
    </row>
    <row r="32" ht="44" customHeight="1">
      <c r="B32" s="42" t="inlineStr">
        <is>
          <t>Contrôle spatial</t>
        </is>
      </c>
      <c r="C32" s="73" t="inlineStr">
        <is>
          <t>INC-2026-025, déclaré « Burkina Faso / Mali », se situe au Burkina Faso (Oudalan). INC-2026-003, déclaré frontalier, se situe dans le cercle de Gourma-Rharous (Tombouctou).</t>
        </is>
      </c>
      <c r="D32" s="89" t="n"/>
      <c r="E32" s="85" t="n"/>
    </row>
    <row r="33" ht="44" customHeight="1">
      <c r="B33" s="42" t="inlineStr">
        <is>
          <t>Couverture</t>
        </is>
      </c>
      <c r="C33" s="73" t="inlineStr">
        <is>
          <t>36 incidents en 57 jours : la base reflète la sélection du compilateur, non l'exhaustivité du conflit. Interpréter avec prudence les variations de faible effectif.</t>
        </is>
      </c>
      <c r="D33" s="89" t="n"/>
      <c r="E33" s="85" t="n"/>
    </row>
    <row r="34" ht="44" customHeight="1">
      <c r="B34" s="42" t="inlineStr">
        <is>
          <t>Référentiel administratif</t>
        </is>
      </c>
      <c r="C34" s="73" t="inlineStr">
        <is>
          <t>Régions et cercles geoBoundaries (8 régions + Bamako, antérieur à la réforme de 2023). La région déclarée par la source reste disponible dans INCIDENTS.</t>
        </is>
      </c>
      <c r="D34" s="89" t="n"/>
      <c r="E34" s="85" t="n"/>
    </row>
  </sheetData>
  <mergeCells count="7">
    <mergeCell ref="C33:E33"/>
    <mergeCell ref="C28:E28"/>
    <mergeCell ref="C31:E31"/>
    <mergeCell ref="C29:E29"/>
    <mergeCell ref="C30:E30"/>
    <mergeCell ref="C34:E34"/>
    <mergeCell ref="C32:E32"/>
  </mergeCells>
  <conditionalFormatting sqref="E5:E24">
    <cfRule type="dataBar" priority="1">
      <dataBar showValue="1">
        <cfvo type="num" val="0"/>
        <cfvo type="max"/>
        <color rgb="000F7C86"/>
      </dataBar>
    </cfRule>
  </conditionalFormatting>
  <hyperlinks>
    <hyperlink xmlns:r="http://schemas.openxmlformats.org/officeDocument/2006/relationships" ref="I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drawing xmlns:r="http://schemas.openxmlformats.org/officeDocument/2006/relationships" r:id="rId2"/>
</worksheet>
</file>

<file path=xl/worksheets/sheet11.xml><?xml version="1.0" encoding="utf-8"?>
<worksheet xmlns="http://schemas.openxmlformats.org/spreadsheetml/2006/main">
  <sheetPr>
    <tabColor rgb="000000FF"/>
    <outlinePr summaryBelow="1" summaryRight="1"/>
    <pageSetUpPr fitToPage="1"/>
  </sheetPr>
  <dimension ref="A1:F24"/>
  <sheetViews>
    <sheetView showGridLines="0" zoomScale="90" workbookViewId="0">
      <selection activeCell="A1" sqref="A1"/>
    </sheetView>
  </sheetViews>
  <sheetFormatPr baseColWidth="8" defaultRowHeight="15"/>
  <cols>
    <col width="3" customWidth="1" min="1" max="1"/>
    <col width="42" customWidth="1" min="2" max="2"/>
    <col width="30" customWidth="1" min="3" max="3"/>
    <col width="60" customWidth="1" min="4" max="4"/>
    <col width="3" customWidth="1" min="5" max="5"/>
    <col width="12" customWidth="1" min="6" max="6"/>
  </cols>
  <sheetData>
    <row r="1" ht="30" customHeight="1">
      <c r="A1" s="1" t="inlineStr">
        <is>
          <t>Paramètres du classeur</t>
        </is>
      </c>
      <c r="B1" s="2" t="n"/>
      <c r="C1" s="2" t="n"/>
      <c r="D1" s="2" t="n"/>
      <c r="E1" s="2" t="n"/>
      <c r="F1" s="26" t="inlineStr">
        <is>
          <t>◄ Accueil</t>
        </is>
      </c>
    </row>
    <row r="2" ht="18" customHeight="1">
      <c r="A2" s="3" t="inlineStr">
        <is>
          <t>Cellules en bleu : valeurs modifiables. Toutes les synthèses s'y réfèrent.</t>
        </is>
      </c>
      <c r="B2" s="2" t="n"/>
      <c r="C2" s="2" t="n"/>
      <c r="D2" s="2" t="n"/>
      <c r="E2" s="2" t="n"/>
      <c r="F2" s="2" t="n"/>
    </row>
    <row r="4" ht="22" customHeight="1">
      <c r="B4" s="4" t="inlineStr">
        <is>
          <t>Période d'analyse</t>
        </is>
      </c>
      <c r="C4" s="5" t="n"/>
      <c r="D4" s="5" t="n"/>
    </row>
    <row r="5">
      <c r="B5" s="73" t="inlineStr">
        <is>
          <t>Début de la période</t>
        </is>
      </c>
      <c r="C5" s="90" t="n">
        <v>46265</v>
      </c>
      <c r="D5" s="75" t="inlineStr">
        <is>
          <t>Premier incident de la base.</t>
        </is>
      </c>
    </row>
    <row r="6">
      <c r="B6" s="73" t="inlineStr">
        <is>
          <t>Fin de la période</t>
        </is>
      </c>
      <c r="C6" s="90" t="n">
        <v>46321</v>
      </c>
      <c r="D6" s="75" t="inlineStr">
        <is>
          <t>Dernier incident de la base. Sert aussi de référence pour l'activité récente.</t>
        </is>
      </c>
    </row>
    <row r="7">
      <c r="B7" s="73" t="inlineStr">
        <is>
          <t>Début de la période P2</t>
        </is>
      </c>
      <c r="C7" s="90" t="n">
        <v>46293</v>
      </c>
      <c r="D7" s="75" t="inlineStr">
        <is>
          <t>P1 = avant cette date, P2 = à partir de cette date (deux périodes de durée égale).</t>
        </is>
      </c>
    </row>
    <row r="8" ht="22" customHeight="1">
      <c r="B8" s="4" t="inlineStr">
        <is>
          <t>Pression sur Bamako</t>
        </is>
      </c>
      <c r="C8" s="5" t="n"/>
      <c r="D8" s="5" t="n"/>
    </row>
    <row r="9">
      <c r="B9" s="73" t="inlineStr">
        <is>
          <t>Latitude de Bamako</t>
        </is>
      </c>
      <c r="C9" s="91" t="n">
        <v>12.6392</v>
      </c>
      <c r="D9" s="75" t="inlineStr">
        <is>
          <t>Centre-ville, WGS84.</t>
        </is>
      </c>
    </row>
    <row r="10">
      <c r="B10" s="73" t="inlineStr">
        <is>
          <t>Longitude de Bamako</t>
        </is>
      </c>
      <c r="C10" s="91" t="n">
        <v>-8.0029</v>
      </c>
      <c r="D10" s="75" t="inlineStr">
        <is>
          <t>Centre-ville, WGS84.</t>
        </is>
      </c>
    </row>
    <row r="11">
      <c r="B11" s="73" t="inlineStr">
        <is>
          <t>Rayon de pression (km)</t>
        </is>
      </c>
      <c r="C11" s="91" t="n">
        <v>300</v>
      </c>
      <c r="D11" s="75" t="inlineStr">
        <is>
          <t>Incidents comptés « dans le rayon de Bamako ».</t>
        </is>
      </c>
    </row>
    <row r="12" ht="22" customHeight="1">
      <c r="B12" s="4" t="inlineStr">
        <is>
          <t>Accès à la cartographie</t>
        </is>
      </c>
      <c r="C12" s="5" t="n"/>
      <c r="D12" s="5" t="n"/>
    </row>
    <row r="13">
      <c r="B13" s="73" t="inlineStr">
        <is>
          <t>Tableau de bord en ligne (URL)</t>
        </is>
      </c>
      <c r="C13" s="91" t="inlineStr">
        <is>
          <t>https://claude.ai/artifact/LG5EyCJxmMRJWAq2DKEFbX</t>
        </is>
      </c>
      <c r="D13" s="75" t="inlineStr">
        <is>
          <t>Lien privé : partagez-le depuis le menu « Partager » de la page.</t>
        </is>
      </c>
    </row>
    <row r="14">
      <c r="B14" s="73" t="inlineStr">
        <is>
          <t>Fichier HTML local</t>
        </is>
      </c>
      <c r="C14" s="91" t="inlineStr">
        <is>
          <t>tableau_de_bord_mali.html</t>
        </is>
      </c>
      <c r="D14" s="75" t="inlineStr">
        <is>
          <t>Doit se trouver dans le même dossier que ce classeur.</t>
        </is>
      </c>
    </row>
    <row r="15" ht="22" customHeight="1">
      <c r="B15" s="4" t="inlineStr">
        <is>
          <t>Indice de menace régional</t>
        </is>
      </c>
      <c r="C15" s="5" t="n"/>
      <c r="D15" s="5" t="n"/>
    </row>
    <row r="16">
      <c r="B16" s="73" t="inlineStr">
        <is>
          <t>Fenêtre d'activité récente (jours)</t>
        </is>
      </c>
      <c r="C16" s="91" t="n">
        <v>21</v>
      </c>
      <c r="D16" s="75" t="inlineStr">
        <is>
          <t>Incidents des N derniers jours de la période.</t>
        </is>
      </c>
    </row>
    <row r="17">
      <c r="B17" s="73" t="inlineStr">
        <is>
          <t>Poids : fréquence des incidents</t>
        </is>
      </c>
      <c r="C17" s="92" t="n">
        <v>0.35</v>
      </c>
      <c r="D17" s="75" t="inlineStr">
        <is>
          <t>La somme des quatre poids doit faire 100 %.</t>
        </is>
      </c>
    </row>
    <row r="18">
      <c r="B18" s="73" t="inlineStr">
        <is>
          <t>Poids : létalité (échelle logarithmique)</t>
        </is>
      </c>
      <c r="C18" s="92" t="n">
        <v>0.35</v>
      </c>
      <c r="D18" s="75" t="inlineStr"/>
    </row>
    <row r="19">
      <c r="B19" s="73" t="inlineStr">
        <is>
          <t>Poids : victimes civiles (tués + blessés)</t>
        </is>
      </c>
      <c r="C19" s="92" t="n">
        <v>0.15</v>
      </c>
      <c r="D19" s="75" t="inlineStr"/>
    </row>
    <row r="20">
      <c r="B20" s="73" t="inlineStr">
        <is>
          <t>Poids : activité récente</t>
        </is>
      </c>
      <c r="C20" s="92" t="n">
        <v>0.15</v>
      </c>
      <c r="D20" s="75" t="inlineStr"/>
    </row>
    <row r="21">
      <c r="B21" s="73" t="inlineStr">
        <is>
          <t>Seuil niveau « Critique »</t>
        </is>
      </c>
      <c r="C21" s="91" t="n">
        <v>70</v>
      </c>
      <c r="D21" s="75" t="inlineStr">
        <is>
          <t>Indice ≥ seuil.</t>
        </is>
      </c>
    </row>
    <row r="22">
      <c r="B22" s="73" t="inlineStr">
        <is>
          <t>Seuil niveau « Élevé »</t>
        </is>
      </c>
      <c r="C22" s="91" t="n">
        <v>45</v>
      </c>
      <c r="D22" s="75" t="inlineStr"/>
    </row>
    <row r="23">
      <c r="B23" s="73" t="inlineStr">
        <is>
          <t>Seuil niveau « Modéré »</t>
        </is>
      </c>
      <c r="C23" s="91" t="n">
        <v>25</v>
      </c>
      <c r="D23" s="75" t="inlineStr">
        <is>
          <t>En dessous : « Faible ».</t>
        </is>
      </c>
    </row>
    <row r="24">
      <c r="B24" s="42" t="inlineStr">
        <is>
          <t>Contrôle : somme des poids</t>
        </is>
      </c>
      <c r="C24" s="93">
        <f>W_FREQ+W_LETAL+W_CIVILS+W_RECENT</f>
        <v/>
      </c>
      <c r="D24" s="75" t="inlineStr">
        <is>
          <t>Doit afficher 100 %. Fond rouge sinon.</t>
        </is>
      </c>
    </row>
  </sheetData>
  <conditionalFormatting sqref="C24">
    <cfRule type="cellIs" priority="1" operator="notEqual" dxfId="16">
      <formula>1</formula>
    </cfRule>
  </conditionalFormatting>
  <hyperlinks>
    <hyperlink xmlns:r="http://schemas.openxmlformats.org/officeDocument/2006/relationships" ref="F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worksheet>
</file>

<file path=xl/worksheets/sheet12.xml><?xml version="1.0" encoding="utf-8"?>
<worksheet xmlns="http://schemas.openxmlformats.org/spreadsheetml/2006/main">
  <sheetPr>
    <tabColor rgb="007D8A97"/>
    <outlinePr summaryBelow="1" summaryRight="1"/>
    <pageSetUpPr fitToPage="1"/>
  </sheetPr>
  <dimension ref="A1:F29"/>
  <sheetViews>
    <sheetView showGridLines="0" zoomScale="90" workbookViewId="0">
      <selection activeCell="A1" sqref="A1"/>
    </sheetView>
  </sheetViews>
  <sheetFormatPr baseColWidth="8" defaultRowHeight="15"/>
  <cols>
    <col width="2" customWidth="1" min="1" max="1"/>
    <col width="34" customWidth="1" min="2" max="2"/>
    <col width="100" customWidth="1" min="3" max="3"/>
    <col width="2" customWidth="1" min="4" max="4"/>
  </cols>
  <sheetData>
    <row r="1" ht="30" customHeight="1">
      <c r="A1" s="1" t="inlineStr">
        <is>
          <t>Mode d'emploi : ouvrir la carte depuis Excel</t>
        </is>
      </c>
      <c r="B1" s="2" t="n"/>
      <c r="C1" s="2" t="n"/>
      <c r="D1" s="2" t="n"/>
      <c r="E1" s="2" t="n"/>
      <c r="F1" s="26" t="inlineStr">
        <is>
          <t>◄ Accueil</t>
        </is>
      </c>
    </row>
    <row r="2" ht="18" customHeight="1">
      <c r="A2" s="3" t="inlineStr">
        <is>
          <t>Correctifs intégrés et résolution des problèmes courants.</t>
        </is>
      </c>
      <c r="B2" s="2" t="n"/>
      <c r="C2" s="2" t="n"/>
      <c r="D2" s="2" t="n"/>
      <c r="E2" s="2" t="n"/>
      <c r="F2" s="2" t="n"/>
    </row>
    <row r="4" ht="22" customHeight="1">
      <c r="B4" s="4" t="inlineStr">
        <is>
          <t>Ouvrir la carte</t>
        </is>
      </c>
      <c r="C4" s="5" t="n"/>
    </row>
    <row r="5" ht="34" customHeight="1">
      <c r="B5" s="42" t="inlineStr">
        <is>
          <t>Tableau de bord en ligne</t>
        </is>
      </c>
      <c r="C5" s="73" t="inlineStr">
        <is>
          <t>Onglet ACCUEIL → « Ouvrir le tableau de bord ». Le lien est privé : partagez-le depuis le menu « Partager » de la page web pour que vos destinataires puissent l'ouvrir.</t>
        </is>
      </c>
    </row>
    <row r="6" ht="34" customHeight="1">
      <c r="B6" s="42" t="inlineStr">
        <is>
          <t>Un incident précis</t>
        </is>
      </c>
      <c r="C6" s="73" t="inlineStr">
        <is>
          <t>INCIDENTS → colonne « Tableau de bord » (Dossier ↗) : la page s'ouvre directement sur la fiche de l'incident, centrée sur la carte.</t>
        </is>
      </c>
    </row>
    <row r="7" ht="34" customHeight="1">
      <c r="B7" s="42" t="inlineStr">
        <is>
          <t>OpenStreetMap / Google Maps</t>
        </is>
      </c>
      <c r="C7" s="73" t="inlineStr">
        <is>
          <t>INCIDENTS → colonnes « Carte OSM » et « Google Maps » : ouverture du point exact dans le navigateur, sans compte.</t>
        </is>
      </c>
    </row>
    <row r="8" ht="34" customHeight="1">
      <c r="B8" s="42" t="inlineStr">
        <is>
          <t>Version locale</t>
        </is>
      </c>
      <c r="C8" s="73" t="inlineStr">
        <is>
          <t>Placez « tableau_de_bord_mali.html » dans le même dossier que ce classeur, puis ACCUEIL → « Ouvrir la version locale ». Internet reste nécessaire pour le moteur cartographique.</t>
        </is>
      </c>
    </row>
    <row r="9" ht="34" customHeight="1">
      <c r="B9" s="42" t="inlineStr">
        <is>
          <t>Google Earth</t>
        </is>
      </c>
      <c r="C9" s="73" t="inlineStr">
        <is>
          <t>Double-cliquez « incidents_mali.kml » (fourni avec le classeur) : un dossier par acteur, fiche complète au clic, curseur temporel.</t>
        </is>
      </c>
    </row>
    <row r="10" ht="34" customHeight="1">
      <c r="B10" s="42" t="inlineStr">
        <is>
          <t>QGIS / uMap</t>
        </is>
      </c>
      <c r="C10" s="73" t="inlineStr">
        <is>
          <t>Glissez « incidents_mali.geojson » dans QGIS, ou importez-le dans uMap (umap.openstreetmap.fr). Système de coordonnées : WGS84 / EPSG:4326.</t>
        </is>
      </c>
    </row>
    <row r="12" ht="22" customHeight="1">
      <c r="B12" s="4" t="inlineStr">
        <is>
          <t>Correctifs intégrés</t>
        </is>
      </c>
      <c r="C12" s="5" t="n"/>
    </row>
    <row r="13" ht="34" customHeight="1">
      <c r="B13" s="42" t="inlineStr">
        <is>
          <t>Séparateur décimal</t>
        </is>
      </c>
      <c r="C13" s="73" t="inlineStr">
        <is>
          <t>Dans un Excel en français, 14,5333 devient « 14,5333 » dans une URL et casse le lien. Les formules convertissent les coordonnées en texte à point décimal (SUBSTITUTE) : les liens fonctionnent quelle que soit la langue d'Excel.</t>
        </is>
      </c>
    </row>
    <row r="14" ht="34" customHeight="1">
      <c r="B14" s="42" t="inlineStr">
        <is>
          <t>Liens en formule</t>
        </is>
      </c>
      <c r="C14" s="73" t="inlineStr">
        <is>
          <t>Les liens sont des formules LIEN_HYPERTEXTE / HYPERLINK : si vous corrigez une latitude ou une longitude, le lien se met à jour automatiquement.</t>
        </is>
      </c>
    </row>
    <row r="15" ht="34" customHeight="1">
      <c r="B15" s="42" t="inlineStr">
        <is>
          <t>Lien direct par incident</t>
        </is>
      </c>
      <c r="C15" s="73" t="inlineStr">
        <is>
          <t>Le tableau de bord lit l'identifiant placé après « # » dans l'adresse (ex. …#INC-2026-007) et ouvre la fiche correspondante.</t>
        </is>
      </c>
    </row>
    <row r="16" ht="34" customHeight="1">
      <c r="B16" s="42" t="inlineStr">
        <is>
          <t>Formules extensibles</t>
        </is>
      </c>
      <c r="C16" s="73" t="inlineStr">
        <is>
          <t>Toutes les synthèses portent sur les lignes 2 à 500 de INCIDENTS : ajoutez de nouveaux incidents à la suite, elles se recalculent.</t>
        </is>
      </c>
    </row>
    <row r="17" ht="34" customHeight="1">
      <c r="B17" s="42" t="inlineStr">
        <is>
          <t>Compatibilité</t>
        </is>
      </c>
      <c r="C17" s="73" t="inlineStr">
        <is>
          <t>Fonctions standard (NB.SI.ENS / COUNTIFS, SOMME.SI.ENS / SUMIFS, INDEX / EQUIV) : Excel 2010 et suivants, Excel en ligne, LibreOffice, WPS.</t>
        </is>
      </c>
    </row>
    <row r="19" ht="22" customHeight="1">
      <c r="B19" s="4" t="inlineStr">
        <is>
          <t>En cas de problème</t>
        </is>
      </c>
      <c r="C19" s="5" t="n"/>
    </row>
    <row r="20" ht="34" customHeight="1">
      <c r="B20" s="42" t="inlineStr">
        <is>
          <t>Les liens ne réagissent pas</t>
        </is>
      </c>
      <c r="C20" s="73" t="inlineStr">
        <is>
          <t>Le fichier s'est ouvert en « Mode protégé » (fichier reçu par courriel ou téléchargé). Cliquez « Activer la modification » dans le bandeau jaune, puis recliquez le lien.</t>
        </is>
      </c>
    </row>
    <row r="21" ht="34" customHeight="1">
      <c r="B21" s="42" t="inlineStr">
        <is>
          <t>Alerte de sécurité Microsoft</t>
        </is>
      </c>
      <c r="C21" s="73" t="inlineStr">
        <is>
          <t>« Les liens hypertextes peuvent être dangereux… » : cliquez « Oui ». Les liens pointent uniquement vers claude.ai, openstreetmap.org et google.com.</t>
        </is>
      </c>
    </row>
    <row r="22" ht="34" customHeight="1">
      <c r="B22" s="42" t="inlineStr">
        <is>
          <t>La version locale ne s'ouvre pas</t>
        </is>
      </c>
      <c r="C22" s="73" t="inlineStr">
        <is>
          <t>Vérifiez que le fichier HTML est dans le même dossier que le classeur, avec le nom exact « tableau_de_bord_mali.html ». À défaut, double-cliquez directement le fichier HTML.</t>
        </is>
      </c>
    </row>
    <row r="23" ht="34" customHeight="1">
      <c r="B23" s="42" t="inlineStr">
        <is>
          <t>Les chiffres affichent 0</t>
        </is>
      </c>
      <c r="C23" s="73" t="inlineStr">
        <is>
          <t>Le calcul est en mode manuel : Formules → Options de calcul → Automatique (ou touche F9).</t>
        </is>
      </c>
    </row>
    <row r="24" ht="34" customHeight="1">
      <c r="B24" s="42" t="inlineStr">
        <is>
          <t>Fichier bloqué par Windows</t>
        </is>
      </c>
      <c r="C24" s="73" t="inlineStr">
        <is>
          <t>Clic droit sur le fichier → Propriétés → cocher « Débloquer » → OK (fichiers téléchargés).</t>
        </is>
      </c>
    </row>
    <row r="25" ht="34" customHeight="1">
      <c r="B25" s="42" t="inlineStr">
        <is>
          <t>Carte vide dans le navigateur</t>
        </is>
      </c>
      <c r="C25" s="73" t="inlineStr">
        <is>
          <t>Le réseau bloque unpkg.com ou cdnjs.cloudflare.com (pare-feu d'entreprise). Utilisez une autre connexion ou les cartes intégrées (onglet CARTES).</t>
        </is>
      </c>
    </row>
    <row r="27" ht="22" customHeight="1">
      <c r="B27" s="4" t="inlineStr">
        <is>
          <t>Mettre à jour le classeur</t>
        </is>
      </c>
      <c r="C27" s="5" t="n"/>
    </row>
    <row r="28" ht="34" customHeight="1">
      <c r="B28" s="42" t="inlineStr">
        <is>
          <t>Nouvelle base</t>
        </is>
      </c>
      <c r="C28" s="73" t="inlineStr">
        <is>
          <t>Remplacez le fichier Excel source dans data/ puis lancez : python scripts/build_dashboard.py &amp;&amp; python scripts/build_excel.py (dépôt GitHub).</t>
        </is>
      </c>
    </row>
    <row r="29" ht="34" customHeight="1">
      <c r="B29" s="42" t="inlineStr">
        <is>
          <t>Saisie directe</t>
        </is>
      </c>
      <c r="C29" s="73" t="inlineStr">
        <is>
          <t>Vous pouvez aussi ajouter une ligne dans INCIDENTS : les colonnes calculées (semaine, période, total, distance, liens) se recopient en étendant les formules de la ligne précédente.</t>
        </is>
      </c>
    </row>
  </sheetData>
  <hyperlinks>
    <hyperlink xmlns:r="http://schemas.openxmlformats.org/officeDocument/2006/relationships" ref="F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worksheet>
</file>

<file path=xl/worksheets/sheet13.xml><?xml version="1.0" encoding="utf-8"?>
<worksheet xmlns="http://schemas.openxmlformats.org/spreadsheetml/2006/main">
  <sheetPr>
    <tabColor rgb="007D8A97"/>
    <outlinePr summaryBelow="1" summaryRight="1"/>
    <pageSetUpPr fitToPage="1"/>
  </sheetPr>
  <dimension ref="A1:E42"/>
  <sheetViews>
    <sheetView showGridLines="0" zoomScale="90" workbookViewId="0">
      <selection activeCell="A1" sqref="A1"/>
    </sheetView>
  </sheetViews>
  <sheetFormatPr baseColWidth="8" defaultRowHeight="15"/>
  <cols>
    <col width="2" customWidth="1" min="1" max="1"/>
    <col width="8" customWidth="1" min="2" max="2"/>
    <col width="28" customWidth="1" min="3" max="3"/>
    <col width="16" customWidth="1" min="4" max="4"/>
    <col width="90" customWidth="1" min="5" max="5"/>
  </cols>
  <sheetData>
    <row r="1" ht="30" customHeight="1">
      <c r="A1" s="1" t="inlineStr">
        <is>
          <t>Dictionnaire des données</t>
        </is>
      </c>
      <c r="B1" s="2" t="n"/>
      <c r="C1" s="2" t="n"/>
      <c r="D1" s="2" t="n"/>
      <c r="E1" s="26" t="inlineStr">
        <is>
          <t>◄ Accueil</t>
        </is>
      </c>
    </row>
    <row r="2" ht="18" customHeight="1">
      <c r="A2" s="3" t="inlineStr">
        <is>
          <t>Colonnes de la feuille INCIDENTS.</t>
        </is>
      </c>
      <c r="B2" s="2" t="n"/>
      <c r="C2" s="2" t="n"/>
      <c r="D2" s="2" t="n"/>
      <c r="E2" s="2" t="n"/>
    </row>
    <row r="4" ht="30" customHeight="1">
      <c r="B4" s="29" t="inlineStr">
        <is>
          <t>Col.</t>
        </is>
      </c>
      <c r="C4" s="29" t="inlineStr">
        <is>
          <t>Champ</t>
        </is>
      </c>
      <c r="D4" s="29" t="inlineStr">
        <is>
          <t>Type</t>
        </is>
      </c>
      <c r="E4" s="29" t="inlineStr">
        <is>
          <t>Définition</t>
        </is>
      </c>
    </row>
    <row r="5">
      <c r="B5" s="94" t="inlineStr">
        <is>
          <t>A</t>
        </is>
      </c>
      <c r="C5" s="42" t="inlineStr">
        <is>
          <t>ID</t>
        </is>
      </c>
      <c r="D5" s="73" t="inlineStr">
        <is>
          <t>Texte</t>
        </is>
      </c>
      <c r="E5" s="73" t="inlineStr">
        <is>
          <t>Identifiant unique de l'incident (jointure SIG, lien direct vers le tableau de bord).</t>
        </is>
      </c>
    </row>
    <row r="6">
      <c r="B6" s="94" t="inlineStr">
        <is>
          <t>B</t>
        </is>
      </c>
      <c r="C6" s="42" t="inlineStr">
        <is>
          <t>Date</t>
        </is>
      </c>
      <c r="D6" s="73" t="inlineStr">
        <is>
          <t>Date</t>
        </is>
      </c>
      <c r="E6" s="73" t="inlineStr">
        <is>
          <t>Date de l'incident.</t>
        </is>
      </c>
    </row>
    <row r="7">
      <c r="B7" s="94" t="inlineStr">
        <is>
          <t>C</t>
        </is>
      </c>
      <c r="C7" s="42" t="inlineStr">
        <is>
          <t>Semaine ISO</t>
        </is>
      </c>
      <c r="D7" s="95" t="inlineStr">
        <is>
          <t>Formule</t>
        </is>
      </c>
      <c r="E7" s="73" t="inlineStr">
        <is>
          <t>Numéro de semaine ISO 8601.</t>
        </is>
      </c>
    </row>
    <row r="8">
      <c r="B8" s="94" t="inlineStr">
        <is>
          <t>D</t>
        </is>
      </c>
      <c r="C8" s="42" t="inlineStr">
        <is>
          <t>Période</t>
        </is>
      </c>
      <c r="D8" s="95" t="inlineStr">
        <is>
          <t>Formule</t>
        </is>
      </c>
      <c r="E8" s="73" t="inlineStr">
        <is>
          <t>P1 ou P2 selon PARAMETRES.</t>
        </is>
      </c>
    </row>
    <row r="9">
      <c r="B9" s="94" t="inlineStr">
        <is>
          <t>E</t>
        </is>
      </c>
      <c r="C9" s="42" t="inlineStr">
        <is>
          <t>Pays (géocodé)</t>
        </is>
      </c>
      <c r="D9" s="73" t="inlineStr">
        <is>
          <t>Texte</t>
        </is>
      </c>
      <c r="E9" s="73" t="inlineStr">
        <is>
          <t>Pays contenant les coordonnées (jointure spatiale).</t>
        </is>
      </c>
    </row>
    <row r="10">
      <c r="B10" s="94" t="inlineStr">
        <is>
          <t>F</t>
        </is>
      </c>
      <c r="C10" s="42" t="inlineStr">
        <is>
          <t>Région (géocodée)</t>
        </is>
      </c>
      <c r="D10" s="73" t="inlineStr">
        <is>
          <t>Texte</t>
        </is>
      </c>
      <c r="E10" s="73" t="inlineStr">
        <is>
          <t>Région administrative contenant les coordonnées (geoBoundaries ADM1).</t>
        </is>
      </c>
    </row>
    <row r="11">
      <c r="B11" s="94" t="inlineStr">
        <is>
          <t>G</t>
        </is>
      </c>
      <c r="C11" s="42" t="inlineStr">
        <is>
          <t>Cercle (géocodé)</t>
        </is>
      </c>
      <c r="D11" s="73" t="inlineStr">
        <is>
          <t>Texte</t>
        </is>
      </c>
      <c r="E11" s="73" t="inlineStr">
        <is>
          <t>Cercle contenant les coordonnées (geoBoundaries ADM2).</t>
        </is>
      </c>
    </row>
    <row r="12">
      <c r="B12" s="94" t="inlineStr">
        <is>
          <t>H</t>
        </is>
      </c>
      <c r="C12" s="42" t="inlineStr">
        <is>
          <t>Région déclarée</t>
        </is>
      </c>
      <c r="D12" s="73" t="inlineStr">
        <is>
          <t>Texte</t>
        </is>
      </c>
      <c r="E12" s="73" t="inlineStr">
        <is>
          <t>Région ou secteur indiqué par la source.</t>
        </is>
      </c>
    </row>
    <row r="13">
      <c r="B13" s="94" t="inlineStr">
        <is>
          <t>I</t>
        </is>
      </c>
      <c r="C13" s="42" t="inlineStr">
        <is>
          <t>Localité</t>
        </is>
      </c>
      <c r="D13" s="73" t="inlineStr">
        <is>
          <t>Texte</t>
        </is>
      </c>
      <c r="E13" s="73" t="inlineStr">
        <is>
          <t>Lieu de l'incident.</t>
        </is>
      </c>
    </row>
    <row r="14">
      <c r="B14" s="94" t="inlineStr">
        <is>
          <t>J</t>
        </is>
      </c>
      <c r="C14" s="42" t="inlineStr">
        <is>
          <t>Latitude</t>
        </is>
      </c>
      <c r="D14" s="73" t="inlineStr">
        <is>
          <t>Nombre</t>
        </is>
      </c>
      <c r="E14" s="73" t="inlineStr">
        <is>
          <t>WGS84, degrés décimaux.</t>
        </is>
      </c>
    </row>
    <row r="15">
      <c r="B15" s="94" t="inlineStr">
        <is>
          <t>K</t>
        </is>
      </c>
      <c r="C15" s="42" t="inlineStr">
        <is>
          <t>Longitude</t>
        </is>
      </c>
      <c r="D15" s="73" t="inlineStr">
        <is>
          <t>Nombre</t>
        </is>
      </c>
      <c r="E15" s="73" t="inlineStr">
        <is>
          <t>WGS84, degrés décimaux.</t>
        </is>
      </c>
    </row>
    <row r="16">
      <c r="B16" s="94" t="inlineStr">
        <is>
          <t>L</t>
        </is>
      </c>
      <c r="C16" s="42" t="inlineStr">
        <is>
          <t>Précision géo.</t>
        </is>
      </c>
      <c r="D16" s="73" t="inlineStr">
        <is>
          <t>Texte</t>
        </is>
      </c>
      <c r="E16" s="73" t="inlineStr">
        <is>
          <t>« Zone (±10 km) » si les coordonnées n'ont qu'une décimale, sinon « Localité ».</t>
        </is>
      </c>
    </row>
    <row r="17">
      <c r="B17" s="94" t="inlineStr">
        <is>
          <t>M</t>
        </is>
      </c>
      <c r="C17" s="42" t="inlineStr">
        <is>
          <t>Typologie (source)</t>
        </is>
      </c>
      <c r="D17" s="73" t="inlineStr">
        <is>
          <t>Texte</t>
        </is>
      </c>
      <c r="E17" s="73" t="inlineStr">
        <is>
          <t>Typologie telle que saisie dans la base.</t>
        </is>
      </c>
    </row>
    <row r="18">
      <c r="B18" s="94" t="inlineStr">
        <is>
          <t>N</t>
        </is>
      </c>
      <c r="C18" s="42" t="inlineStr">
        <is>
          <t>Mode opératoire</t>
        </is>
      </c>
      <c r="D18" s="73" t="inlineStr">
        <is>
          <t>Texte</t>
        </is>
      </c>
      <c r="E18" s="73" t="inlineStr">
        <is>
          <t>Typologie normalisée en 12 modes.</t>
        </is>
      </c>
    </row>
    <row r="19">
      <c r="B19" s="94" t="inlineStr">
        <is>
          <t>O</t>
        </is>
      </c>
      <c r="C19" s="42" t="inlineStr">
        <is>
          <t>Instigateur</t>
        </is>
      </c>
      <c r="D19" s="73" t="inlineStr">
        <is>
          <t>Texte</t>
        </is>
      </c>
      <c r="E19" s="73" t="inlineStr">
        <is>
          <t>Famille d'acteur : JNIM, EI-Sahel, FLA, FAMa / Africa Corps, Indéterminé / accident.</t>
        </is>
      </c>
    </row>
    <row r="20">
      <c r="B20" s="94" t="inlineStr">
        <is>
          <t>P</t>
        </is>
      </c>
      <c r="C20" s="42" t="inlineStr">
        <is>
          <t>Instigateur (détail)</t>
        </is>
      </c>
      <c r="D20" s="73" t="inlineStr">
        <is>
          <t>Texte</t>
        </is>
      </c>
      <c r="E20" s="73" t="inlineStr">
        <is>
          <t>Acteur tel que saisi.</t>
        </is>
      </c>
    </row>
    <row r="21">
      <c r="B21" s="94" t="inlineStr">
        <is>
          <t>Q</t>
        </is>
      </c>
      <c r="C21" s="42" t="inlineStr">
        <is>
          <t>Cible</t>
        </is>
      </c>
      <c r="D21" s="73" t="inlineStr">
        <is>
          <t>Texte</t>
        </is>
      </c>
      <c r="E21" s="73" t="inlineStr">
        <is>
          <t>Famille de cible : FAMa / Africa Corps, Civils, Milices pro-gouv., Groupes armés, Logistique civile.</t>
        </is>
      </c>
    </row>
    <row r="22">
      <c r="B22" s="94" t="inlineStr">
        <is>
          <t>R</t>
        </is>
      </c>
      <c r="C22" s="42" t="inlineStr">
        <is>
          <t>Cible (détail)</t>
        </is>
      </c>
      <c r="D22" s="73" t="inlineStr">
        <is>
          <t>Texte</t>
        </is>
      </c>
      <c r="E22" s="73" t="inlineStr">
        <is>
          <t>Cible telle que saisie.</t>
        </is>
      </c>
    </row>
    <row r="23">
      <c r="B23" s="94" t="inlineStr">
        <is>
          <t>S</t>
        </is>
      </c>
      <c r="C23" s="42" t="inlineStr">
        <is>
          <t>Description</t>
        </is>
      </c>
      <c r="D23" s="73" t="inlineStr">
        <is>
          <t>Texte</t>
        </is>
      </c>
      <c r="E23" s="73" t="inlineStr">
        <is>
          <t>Récit de l'incident.</t>
        </is>
      </c>
    </row>
    <row r="24">
      <c r="B24" s="94" t="inlineStr">
        <is>
          <t>T</t>
        </is>
      </c>
      <c r="C24" s="42" t="inlineStr">
        <is>
          <t>Morts civils</t>
        </is>
      </c>
      <c r="D24" s="73" t="inlineStr">
        <is>
          <t>Nombre</t>
        </is>
      </c>
      <c r="E24" s="73" t="inlineStr"/>
    </row>
    <row r="25">
      <c r="B25" s="94" t="inlineStr">
        <is>
          <t>U</t>
        </is>
      </c>
      <c r="C25" s="42" t="inlineStr">
        <is>
          <t>Blessés civils</t>
        </is>
      </c>
      <c r="D25" s="73" t="inlineStr">
        <is>
          <t>Nombre</t>
        </is>
      </c>
      <c r="E25" s="73" t="inlineStr"/>
    </row>
    <row r="26">
      <c r="B26" s="94" t="inlineStr">
        <is>
          <t>V</t>
        </is>
      </c>
      <c r="C26" s="42" t="inlineStr">
        <is>
          <t>Morts FDS (FAMa)</t>
        </is>
      </c>
      <c r="D26" s="73" t="inlineStr">
        <is>
          <t>Nombre</t>
        </is>
      </c>
      <c r="E26" s="73" t="inlineStr">
        <is>
          <t>Forces de défense et de sécurité maliennes.</t>
        </is>
      </c>
    </row>
    <row r="27">
      <c r="B27" s="94" t="inlineStr">
        <is>
          <t>W</t>
        </is>
      </c>
      <c r="C27" s="42" t="inlineStr">
        <is>
          <t>Morts Africa Corps</t>
        </is>
      </c>
      <c r="D27" s="73" t="inlineStr">
        <is>
          <t>Nombre</t>
        </is>
      </c>
      <c r="E27" s="73" t="inlineStr">
        <is>
          <t>Forces russes alliées.</t>
        </is>
      </c>
    </row>
    <row r="28">
      <c r="B28" s="94" t="inlineStr">
        <is>
          <t>X</t>
        </is>
      </c>
      <c r="C28" s="42" t="inlineStr">
        <is>
          <t>Morts groupes armés</t>
        </is>
      </c>
      <c r="D28" s="73" t="inlineStr">
        <is>
          <t>Nombre</t>
        </is>
      </c>
      <c r="E28" s="73" t="inlineStr">
        <is>
          <t>Combattants non étatiques.</t>
        </is>
      </c>
    </row>
    <row r="29">
      <c r="B29" s="94" t="inlineStr">
        <is>
          <t>Y</t>
        </is>
      </c>
      <c r="C29" s="42" t="inlineStr">
        <is>
          <t>Total tués</t>
        </is>
      </c>
      <c r="D29" s="95" t="inlineStr">
        <is>
          <t>Formule</t>
        </is>
      </c>
      <c r="E29" s="73" t="inlineStr">
        <is>
          <t>Civils + FDS + Africa Corps + groupes armés.</t>
        </is>
      </c>
    </row>
    <row r="30">
      <c r="B30" s="94" t="inlineStr">
        <is>
          <t>Z</t>
        </is>
      </c>
      <c r="C30" s="42" t="inlineStr">
        <is>
          <t>Capturés</t>
        </is>
      </c>
      <c r="D30" s="73" t="inlineStr">
        <is>
          <t>Nombre</t>
        </is>
      </c>
      <c r="E30" s="73" t="inlineStr">
        <is>
          <t>Prisonniers / capturés.</t>
        </is>
      </c>
    </row>
    <row r="31">
      <c r="B31" s="94" t="inlineStr">
        <is>
          <t>AA</t>
        </is>
      </c>
      <c r="C31" s="42" t="inlineStr">
        <is>
          <t>Véh./aéronefs détruits</t>
        </is>
      </c>
      <c r="D31" s="73" t="inlineStr">
        <is>
          <t>Nombre</t>
        </is>
      </c>
      <c r="E31" s="73" t="inlineStr"/>
    </row>
    <row r="32">
      <c r="B32" s="94" t="inlineStr">
        <is>
          <t>AB</t>
        </is>
      </c>
      <c r="C32" s="42" t="inlineStr">
        <is>
          <t>Véh./aéronefs saisis</t>
        </is>
      </c>
      <c r="D32" s="73" t="inlineStr">
        <is>
          <t>Nombre</t>
        </is>
      </c>
      <c r="E32" s="73" t="inlineStr"/>
    </row>
    <row r="33">
      <c r="B33" s="94" t="inlineStr">
        <is>
          <t>AC</t>
        </is>
      </c>
      <c r="C33" s="42" t="inlineStr">
        <is>
          <t>Armement / équipement saisi</t>
        </is>
      </c>
      <c r="D33" s="73" t="inlineStr">
        <is>
          <t>Texte</t>
        </is>
      </c>
      <c r="E33" s="73" t="inlineStr"/>
    </row>
    <row r="34">
      <c r="B34" s="94" t="inlineStr">
        <is>
          <t>AD</t>
        </is>
      </c>
      <c r="C34" s="42" t="inlineStr">
        <is>
          <t>Impact</t>
        </is>
      </c>
      <c r="D34" s="73" t="inlineStr">
        <is>
          <t>Texte</t>
        </is>
      </c>
      <c r="E34" s="73" t="inlineStr">
        <is>
          <t>Impact sur les infrastructures ou le contrôle territorial.</t>
        </is>
      </c>
    </row>
    <row r="35">
      <c r="B35" s="94" t="inlineStr">
        <is>
          <t>AE</t>
        </is>
      </c>
      <c r="C35" s="42" t="inlineStr">
        <is>
          <t>Distance Bamako (km)</t>
        </is>
      </c>
      <c r="D35" s="95" t="inlineStr">
        <is>
          <t>Formule</t>
        </is>
      </c>
      <c r="E35" s="73" t="inlineStr">
        <is>
          <t>Distance orthodromique (haversine) au centre de Bamako.</t>
        </is>
      </c>
    </row>
    <row r="36">
      <c r="B36" s="94" t="inlineStr">
        <is>
          <t>AF</t>
        </is>
      </c>
      <c r="C36" s="42" t="inlineStr">
        <is>
          <t>Dans le rayon Bamako</t>
        </is>
      </c>
      <c r="D36" s="95" t="inlineStr">
        <is>
          <t>Formule</t>
        </is>
      </c>
      <c r="E36" s="73" t="inlineStr">
        <is>
          <t>Oui si distance ≤ rayon défini dans PARAMETRES.</t>
        </is>
      </c>
    </row>
    <row r="37">
      <c r="B37" s="94" t="inlineStr">
        <is>
          <t>AG</t>
        </is>
      </c>
      <c r="C37" s="42" t="inlineStr">
        <is>
          <t>Fiabilité</t>
        </is>
      </c>
      <c r="D37" s="73" t="inlineStr">
        <is>
          <t>Texte</t>
        </is>
      </c>
      <c r="E37" s="73" t="inlineStr">
        <is>
          <t>Corroboré (≥ 2 sources indépendantes), Partiellement corroboré (1), Source partisane seule, Source unique.</t>
        </is>
      </c>
    </row>
    <row r="38">
      <c r="B38" s="94" t="inlineStr">
        <is>
          <t>AH</t>
        </is>
      </c>
      <c r="C38" s="42" t="inlineStr">
        <is>
          <t>Bilan revendiqué seul</t>
        </is>
      </c>
      <c r="D38" s="73" t="inlineStr">
        <is>
          <t>Texte</t>
        </is>
      </c>
      <c r="E38" s="73" t="inlineStr">
        <is>
          <t>Oui si des pertes sont rapportées sans aucune source indépendante.</t>
        </is>
      </c>
    </row>
    <row r="39">
      <c r="B39" s="94" t="inlineStr">
        <is>
          <t>AI</t>
        </is>
      </c>
      <c r="C39" s="42" t="inlineStr">
        <is>
          <t>Sources</t>
        </is>
      </c>
      <c r="D39" s="73" t="inlineStr">
        <is>
          <t>Texte</t>
        </is>
      </c>
      <c r="E39" s="73" t="inlineStr">
        <is>
          <t>Sources citées, séparées par des virgules.</t>
        </is>
      </c>
    </row>
    <row r="40">
      <c r="B40" s="94" t="inlineStr">
        <is>
          <t>AJ</t>
        </is>
      </c>
      <c r="C40" s="42" t="inlineStr">
        <is>
          <t>Carte OSM</t>
        </is>
      </c>
      <c r="D40" s="73" t="inlineStr">
        <is>
          <t>Lien</t>
        </is>
      </c>
      <c r="E40" s="73" t="inlineStr">
        <is>
          <t>Ouvre le point dans OpenStreetMap.</t>
        </is>
      </c>
    </row>
    <row r="41">
      <c r="B41" s="94" t="inlineStr">
        <is>
          <t>AK</t>
        </is>
      </c>
      <c r="C41" s="42" t="inlineStr">
        <is>
          <t>Google Maps</t>
        </is>
      </c>
      <c r="D41" s="73" t="inlineStr">
        <is>
          <t>Lien</t>
        </is>
      </c>
      <c r="E41" s="73" t="inlineStr">
        <is>
          <t>Ouvre le point dans Google Maps.</t>
        </is>
      </c>
    </row>
    <row r="42">
      <c r="B42" s="94" t="inlineStr">
        <is>
          <t>AL</t>
        </is>
      </c>
      <c r="C42" s="42" t="inlineStr">
        <is>
          <t>Tableau de bord</t>
        </is>
      </c>
      <c r="D42" s="73" t="inlineStr">
        <is>
          <t>Lien</t>
        </is>
      </c>
      <c r="E42" s="73" t="inlineStr">
        <is>
          <t>Ouvre la fiche de l'incident dans le tableau de bord interactif.</t>
        </is>
      </c>
    </row>
  </sheetData>
  <hyperlinks>
    <hyperlink xmlns:r="http://schemas.openxmlformats.org/officeDocument/2006/relationships" ref="E1" r:id="rId1"/>
  </hyperlinks>
  <printOptions horizontalCentered="1"/>
  <pageMargins left="0.4" right="0.4" top="1" bottom="1" header="0.5" footer="0.5"/>
  <pageSetup orientation="landscape" paperSize="9" fitToHeight="0" fitToWidth="1"/>
  <headerFooter>
    <oddHeader/>
    <oddFooter>&amp;LObservatoire sécuritaire Mali · Sources ouvertes · Diffusion restreinte&amp;R&amp;A ·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Observatoire sécuritaire Mali</dc:creator>
  <dc:title xmlns:dc="http://purl.org/dc/elements/1.1/">Observatoire sécuritaire Mali — tableau de bord décisionnel</dc:title>
  <dcterms:created xmlns:dcterms="http://purl.org/dc/terms/" xmlns:xsi="http://www.w3.org/2001/XMLSchema-instance" xsi:type="dcterms:W3CDTF">2026-10-29T08:54:29Z</dcterms:created>
  <dcterms:modified xmlns:dcterms="http://purl.org/dc/terms/" xmlns:xsi="http://www.w3.org/2001/XMLSchema-instance" xsi:type="dcterms:W3CDTF">2026-10-29T08:54:30Z</dcterms:modified>
</cp:coreProperties>
</file>