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drawings/drawing6.xml" ContentType="application/vnd.openxmlformats-officedocument.drawing+xml"/>
  <Override PartName="/xl/worksheets/sheet8.xml" ContentType="application/vnd.openxmlformats-officedocument.spreadsheetml.worksheet+xml"/>
  <Override PartName="/xl/drawings/drawing7.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drawings/drawing8.xml" ContentType="application/vnd.openxmlformats-officedocument.drawing+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CUEIL" sheetId="1" state="visible" r:id="rId1"/>
    <sheet xmlns:r="http://schemas.openxmlformats.org/officeDocument/2006/relationships" name="CARTES" sheetId="2" state="visible" r:id="rId2"/>
    <sheet xmlns:r="http://schemas.openxmlformats.org/officeDocument/2006/relationships" name="INCIDENTS" sheetId="3" state="visible" r:id="rId3"/>
    <sheet xmlns:r="http://schemas.openxmlformats.org/officeDocument/2006/relationships" name="REGIONS" sheetId="4" state="visible" r:id="rId4"/>
    <sheet xmlns:r="http://schemas.openxmlformats.org/officeDocument/2006/relationships" name="ACTEURS" sheetId="5" state="visible" r:id="rId5"/>
    <sheet xmlns:r="http://schemas.openxmlformats.org/officeDocument/2006/relationships" name="CHRONOLOGIE" sheetId="6" state="visible" r:id="rId6"/>
    <sheet xmlns:r="http://schemas.openxmlformats.org/officeDocument/2006/relationships" name="MODES_CIBLES" sheetId="7" state="visible" r:id="rId7"/>
    <sheet xmlns:r="http://schemas.openxmlformats.org/officeDocument/2006/relationships" name="PRESSION_BAMAKO" sheetId="8" state="visible" r:id="rId8"/>
    <sheet xmlns:r="http://schemas.openxmlformats.org/officeDocument/2006/relationships" name="EVALUATION" sheetId="9" state="visible" r:id="rId9"/>
    <sheet xmlns:r="http://schemas.openxmlformats.org/officeDocument/2006/relationships" name="QUALITE_SOURCES" sheetId="10" state="visible" r:id="rId10"/>
    <sheet xmlns:r="http://schemas.openxmlformats.org/officeDocument/2006/relationships" name="PARAMETRES" sheetId="11" state="visible" r:id="rId11"/>
    <sheet xmlns:r="http://schemas.openxmlformats.org/officeDocument/2006/relationships" name="MODE_EMPLOI" sheetId="12" state="visible" r:id="rId12"/>
    <sheet xmlns:r="http://schemas.openxmlformats.org/officeDocument/2006/relationships" name="DICTIONNAIRE" sheetId="13" state="visible" r:id="rId13"/>
  </sheets>
  <definedNames>
    <definedName name="inc_id">INCIDENTS!$A$2:$A$500</definedName>
    <definedName name="inc_date">INCIDENTS!$B$2:$B$500</definedName>
    <definedName name="inc_periode">INCIDENTS!$D$2:$D$500</definedName>
    <definedName name="inc_region">INCIDENTS!$F$2:$F$500</definedName>
    <definedName name="inc_cercle">INCIDENTS!$G$2:$G$500</definedName>
    <definedName name="inc_mode">INCIDENTS!$N$2:$N$500</definedName>
    <definedName name="inc_acteur">INCIDENTS!$O$2:$O$500</definedName>
    <definedName name="inc_cible">INCIDENTS!$Q$2:$Q$500</definedName>
    <definedName name="inc_civ_k">INCIDENTS!$T$2:$T$500</definedName>
    <definedName name="inc_civ_w">INCIDENTS!$U$2:$U$500</definedName>
    <definedName name="inc_fama">INCIDENTS!$V$2:$V$500</definedName>
    <definedName name="inc_ac">INCIDENTS!$W$2:$W$500</definedName>
    <definedName name="inc_ga">INCIDENTS!$X$2:$X$500</definedName>
    <definedName name="inc_tues">INCIDENTS!$Y$2:$Y$500</definedName>
    <definedName name="inc_pow">INCIDENTS!$Z$2:$Z$500</definedName>
    <definedName name="inc_vehd">INCIDENTS!$AA$2:$AA$500</definedName>
    <definedName name="inc_vehs">INCIDENTS!$AB$2:$AB$500</definedName>
    <definedName name="inc_dist">INCIDENTS!$AE$2:$AE$500</definedName>
    <definedName name="inc_rayon">INCIDENTS!$AF$2:$AF$500</definedName>
    <definedName name="inc_fiab">INCIDENTS!$AG$2:$AG$500</definedName>
    <definedName name="inc_sources">INCIDENTS!$AI$2:$AI$500</definedName>
    <definedName name="inc_revend">INCIDENTS!$AH$2:$AH$500</definedName>
    <definedName name="inc_prec">INCIDENTS!$L$2:$L$500</definedName>
    <definedName name="P_DEBUT">PARAMETRES!$C$5</definedName>
    <definedName name="P_FIN">PARAMETRES!$C$6</definedName>
    <definedName name="P_DEBUT_P2">PARAMETRES!$C$7</definedName>
    <definedName name="LAT_BAMAKO">PARAMETRES!$C$9</definedName>
    <definedName name="LON_BAMAKO">PARAMETRES!$C$10</definedName>
    <definedName name="SEUIL_KM">PARAMETRES!$C$11</definedName>
    <definedName name="URL_TABLEAU">PARAMETRES!$C$13</definedName>
    <definedName name="FICHIER_HTML">PARAMETRES!$C$14</definedName>
    <definedName name="FEN_RECENTE">PARAMETRES!$C$16</definedName>
    <definedName name="W_FREQ">PARAMETRES!$C$17</definedName>
    <definedName name="W_LETAL">PARAMETRES!$C$18</definedName>
    <definedName name="W_CIVILS">PARAMETRES!$C$19</definedName>
    <definedName name="W_RECENT">PARAMETRES!$C$20</definedName>
    <definedName name="S_CRITIQUE">PARAMETRES!$C$21</definedName>
    <definedName name="S_ELEVE">PARAMETRES!$C$22</definedName>
    <definedName name="S_MODERE">PARAMETRES!$C$23</definedName>
    <definedName name="_xlnm.Print_Titles" localSheetId="2">'INCIDENTS'!$1:$1</definedName>
  </definedNames>
  <calcPr calcId="124519" fullCalcOnLoad="1"/>
</workbook>
</file>

<file path=xl/styles.xml><?xml version="1.0" encoding="utf-8"?>
<styleSheet xmlns="http://schemas.openxmlformats.org/spreadsheetml/2006/main">
  <numFmts count="7">
    <numFmt numFmtId="164" formatCode="yyyy-mm-dd"/>
    <numFmt numFmtId="165" formatCode="DD/MM/YYYY"/>
    <numFmt numFmtId="166" formatCode="0.0000"/>
    <numFmt numFmtId="167" formatCode="0;-0;&quot;·&quot;"/>
    <numFmt numFmtId="168" formatCode="+0%;-0%;0%"/>
    <numFmt numFmtId="169" formatCode="+0;-0;0"/>
    <numFmt numFmtId="170" formatCode="0.0"/>
  </numFmts>
  <fonts count="41">
    <font>
      <name val="Calibri"/>
      <family val="2"/>
      <color theme="1"/>
      <sz val="11"/>
      <scheme val="minor"/>
    </font>
    <font>
      <name val="Arial"/>
      <b val="1"/>
      <color rgb="00FFFFFF"/>
      <sz val="16"/>
    </font>
    <font>
      <name val="Arial"/>
      <color rgb="00C9D3DC"/>
      <sz val="9"/>
    </font>
    <font>
      <name val="Arial"/>
      <b val="1"/>
      <color rgb="000F7C86"/>
      <sz val="12"/>
    </font>
    <font>
      <name val="Arial"/>
      <b val="1"/>
      <color rgb="00566577"/>
      <sz val="8"/>
    </font>
    <font>
      <name val="Arial"/>
      <b val="1"/>
      <color rgb="0013202C"/>
      <sz val="22"/>
    </font>
    <font>
      <name val="Arial"/>
      <b val="1"/>
      <color rgb="002F6FB5"/>
      <sz val="22"/>
    </font>
    <font>
      <name val="Arial"/>
      <b val="1"/>
      <color rgb="00DC4A26"/>
      <sz val="22"/>
    </font>
    <font>
      <name val="Arial"/>
      <b val="1"/>
      <color rgb="00C8102E"/>
      <sz val="22"/>
    </font>
    <font>
      <name val="Arial"/>
      <b val="1"/>
      <color rgb="00E2701C"/>
      <sz val="22"/>
    </font>
    <font>
      <name val="Arial"/>
      <b val="1"/>
      <color rgb="000563C1"/>
      <sz val="11"/>
      <u val="single"/>
    </font>
    <font>
      <name val="Arial"/>
      <color rgb="00566577"/>
      <sz val="9"/>
    </font>
    <font>
      <name val="Arial"/>
      <b val="1"/>
      <color rgb="00C8102E"/>
      <sz val="10"/>
    </font>
    <font>
      <name val="Arial"/>
      <color rgb="0013202C"/>
      <sz val="10"/>
    </font>
    <font>
      <name val="Arial"/>
      <b val="1"/>
      <color rgb="00E2701C"/>
      <sz val="10"/>
    </font>
    <font>
      <name val="Arial"/>
      <b val="1"/>
      <color rgb="000563C1"/>
      <sz val="10"/>
      <u val="single"/>
    </font>
    <font>
      <name val="Arial"/>
      <b val="1"/>
      <color rgb="0013202C"/>
      <sz val="9"/>
    </font>
    <font>
      <name val="Arial"/>
      <color rgb="00FFFFFF"/>
      <sz val="9"/>
      <u val="single"/>
    </font>
    <font>
      <name val="Arial"/>
      <b val="1"/>
      <color rgb="0013202C"/>
      <sz val="10"/>
    </font>
    <font>
      <name val="Arial"/>
      <i val="1"/>
      <color rgb="00566577"/>
      <sz val="8"/>
    </font>
    <font>
      <name val="Arial"/>
      <b val="1"/>
      <color rgb="00FFFFFF"/>
      <sz val="9"/>
    </font>
    <font>
      <name val="Arial"/>
      <color rgb="0013202C"/>
      <sz val="9"/>
    </font>
    <font>
      <name val="Arial"/>
      <color rgb="000563C1"/>
      <sz val="9"/>
      <u val="single"/>
    </font>
    <font>
      <name val="Arial"/>
      <i val="1"/>
      <color rgb="00566577"/>
      <sz val="9"/>
    </font>
    <font>
      <name val="Arial"/>
      <b val="1"/>
      <color rgb="00FFFFFF"/>
      <sz val="10"/>
    </font>
    <font>
      <name val="Arial"/>
      <b val="1"/>
      <color rgb="00DC4A26"/>
      <sz val="10"/>
    </font>
    <font>
      <name val="Arial"/>
      <b val="1"/>
      <color rgb="008A4FD6"/>
      <sz val="10"/>
    </font>
    <font>
      <name val="Arial"/>
      <b val="1"/>
      <color rgb="00D69A12"/>
      <sz val="10"/>
    </font>
    <font>
      <name val="Arial"/>
      <b val="1"/>
      <color rgb="002F6FB5"/>
      <sz val="10"/>
    </font>
    <font>
      <name val="Arial"/>
      <b val="1"/>
      <color rgb="007D8A97"/>
      <sz val="10"/>
    </font>
    <font>
      <name val="Arial"/>
      <color rgb="000000FF"/>
      <sz val="10"/>
    </font>
    <font>
      <name val="Arial"/>
      <color rgb="000563C1"/>
      <sz val="10"/>
      <u val="single"/>
    </font>
    <font>
      <name val="Arial"/>
      <b val="1"/>
      <color rgb="000F7C86"/>
      <sz val="10"/>
    </font>
    <font>
      <name val="Arial"/>
      <b val="1"/>
      <color rgb="00E2701C"/>
      <sz val="14"/>
    </font>
    <font>
      <name val="Arial"/>
      <b val="1"/>
      <color rgb="00C8102E"/>
      <sz val="14"/>
    </font>
    <font>
      <name val="Arial"/>
      <b val="1"/>
      <color rgb="008A4FD6"/>
      <sz val="14"/>
    </font>
    <font>
      <name val="Arial"/>
      <b val="1"/>
      <color rgb="004F8A3C"/>
      <sz val="10"/>
    </font>
    <font>
      <name val="Arial"/>
      <b val="1"/>
      <color rgb="00D1A20F"/>
      <sz val="10"/>
    </font>
    <font>
      <name val="Arial"/>
      <b val="1"/>
      <color rgb="000000FF"/>
      <sz val="10"/>
    </font>
    <font>
      <name val="Arial"/>
      <color rgb="00566577"/>
      <sz val="10"/>
    </font>
    <font>
      <name val="Arial"/>
      <color rgb="000F7C86"/>
      <sz val="10"/>
    </font>
  </fonts>
  <fills count="13">
    <fill>
      <patternFill/>
    </fill>
    <fill>
      <patternFill patternType="gray125"/>
    </fill>
    <fill>
      <patternFill patternType="solid">
        <fgColor rgb="0013202C"/>
        <bgColor rgb="0013202C"/>
      </patternFill>
    </fill>
    <fill>
      <patternFill patternType="solid">
        <fgColor rgb="00F7F9FB"/>
        <bgColor rgb="00F7F9FB"/>
      </patternFill>
    </fill>
    <fill>
      <patternFill patternType="solid">
        <fgColor rgb="00DC4A26"/>
        <bgColor rgb="00DC4A26"/>
      </patternFill>
    </fill>
    <fill>
      <patternFill patternType="solid">
        <fgColor rgb="008A4FD6"/>
        <bgColor rgb="008A4FD6"/>
      </patternFill>
    </fill>
    <fill>
      <patternFill patternType="solid">
        <fgColor rgb="00D69A12"/>
        <bgColor rgb="00D69A12"/>
      </patternFill>
    </fill>
    <fill>
      <patternFill patternType="solid">
        <fgColor rgb="002F6FB5"/>
        <bgColor rgb="002F6FB5"/>
      </patternFill>
    </fill>
    <fill>
      <patternFill patternType="solid">
        <fgColor rgb="007D8A97"/>
        <bgColor rgb="007D8A97"/>
      </patternFill>
    </fill>
    <fill>
      <patternFill patternType="solid">
        <fgColor rgb="00EEF2F5"/>
        <bgColor rgb="00EEF2F5"/>
      </patternFill>
    </fill>
    <fill>
      <patternFill patternType="solid">
        <fgColor rgb="000F7C86"/>
        <bgColor rgb="000F7C86"/>
      </patternFill>
    </fill>
    <fill>
      <patternFill patternType="solid">
        <fgColor rgb="00E2701C"/>
        <bgColor rgb="00E2701C"/>
      </patternFill>
    </fill>
    <fill>
      <patternFill patternType="solid">
        <fgColor rgb="00C8102E"/>
        <bgColor rgb="00C8102E"/>
      </patternFill>
    </fill>
  </fills>
  <borders count="14">
    <border>
      <left/>
      <right/>
      <top/>
      <bottom/>
      <diagonal/>
    </border>
    <border>
      <bottom style="medium">
        <color rgb="000F7C86"/>
      </bottom>
    </border>
    <border>
      <left style="thick">
        <color rgb="0013202C"/>
      </left>
    </border>
    <border/>
    <border>
      <left style="thick">
        <color rgb="002F6FB5"/>
      </left>
    </border>
    <border>
      <left style="thick">
        <color rgb="00DC4A26"/>
      </left>
    </border>
    <border>
      <left style="thick">
        <color rgb="00C8102E"/>
      </left>
    </border>
    <border>
      <left style="thick">
        <color rgb="00E2701C"/>
      </left>
    </border>
    <border>
      <left style="thin">
        <color rgb="00D3DBE3"/>
      </left>
      <right style="thin">
        <color rgb="00D3DBE3"/>
      </right>
      <top style="thin">
        <color rgb="00D3DBE3"/>
      </top>
      <bottom style="thin">
        <color rgb="00D3DBE3"/>
      </bottom>
    </border>
    <border>
      <bottom style="thin">
        <color rgb="00D3DBE3"/>
      </bottom>
    </border>
    <border>
      <left/>
      <right/>
      <top style="thin">
        <color rgb="00D3DBE3"/>
      </top>
      <bottom/>
      <diagonal/>
    </border>
    <border>
      <left/>
      <right style="thin">
        <color rgb="00D3DBE3"/>
      </right>
      <top style="thin">
        <color rgb="00D3DBE3"/>
      </top>
      <bottom/>
      <diagonal/>
    </border>
    <border>
      <left/>
      <right style="thin">
        <color rgb="00D3DBE3"/>
      </right>
      <top style="thin">
        <color rgb="00D3DBE3"/>
      </top>
      <bottom style="thin">
        <color rgb="00D3DBE3"/>
      </bottom>
      <diagonal/>
    </border>
    <border>
      <left/>
      <right/>
      <top style="thin">
        <color rgb="00D3DBE3"/>
      </top>
      <bottom style="thin">
        <color rgb="00D3DBE3"/>
      </bottom>
      <diagonal/>
    </border>
  </borders>
  <cellStyleXfs count="1">
    <xf numFmtId="0" fontId="0" fillId="0" borderId="0"/>
  </cellStyleXfs>
  <cellXfs count="96">
    <xf numFmtId="0" fontId="0" fillId="0" borderId="0" pivotButton="0" quotePrefix="0" xfId="0"/>
    <xf numFmtId="0" fontId="1" fillId="2" borderId="0" applyAlignment="1" pivotButton="0" quotePrefix="0" xfId="0">
      <alignment vertical="center" indent="1"/>
    </xf>
    <xf numFmtId="0" fontId="0" fillId="2" borderId="0" pivotButton="0" quotePrefix="0" xfId="0"/>
    <xf numFmtId="0" fontId="2" fillId="2" borderId="0" applyAlignment="1" pivotButton="0" quotePrefix="0" xfId="0">
      <alignment vertical="center" indent="1"/>
    </xf>
    <xf numFmtId="0" fontId="3" fillId="0" borderId="1" pivotButton="0" quotePrefix="0" xfId="0"/>
    <xf numFmtId="0" fontId="0" fillId="0" borderId="1" pivotButton="0" quotePrefix="0" xfId="0"/>
    <xf numFmtId="0" fontId="4" fillId="3" borderId="2" applyAlignment="1" pivotButton="0" quotePrefix="0" xfId="0">
      <alignment horizontal="left" vertical="bottom" indent="1"/>
    </xf>
    <xf numFmtId="0" fontId="0" fillId="3" borderId="3" pivotButton="0" quotePrefix="0" xfId="0"/>
    <xf numFmtId="0" fontId="4" fillId="3" borderId="4" applyAlignment="1" pivotButton="0" quotePrefix="0" xfId="0">
      <alignment horizontal="left" vertical="bottom" indent="1"/>
    </xf>
    <xf numFmtId="0" fontId="4" fillId="3" borderId="5" applyAlignment="1" pivotButton="0" quotePrefix="0" xfId="0">
      <alignment horizontal="left" vertical="bottom" indent="1"/>
    </xf>
    <xf numFmtId="0" fontId="4" fillId="3" borderId="6" applyAlignment="1" pivotButton="0" quotePrefix="0" xfId="0">
      <alignment horizontal="left" vertical="bottom" indent="1"/>
    </xf>
    <xf numFmtId="3" fontId="5" fillId="3" borderId="2" applyAlignment="1" pivotButton="0" quotePrefix="0" xfId="0">
      <alignment horizontal="left" vertical="center" indent="1"/>
    </xf>
    <xf numFmtId="3" fontId="6" fillId="3" borderId="4" applyAlignment="1" pivotButton="0" quotePrefix="0" xfId="0">
      <alignment horizontal="left" vertical="center" indent="1"/>
    </xf>
    <xf numFmtId="3" fontId="7" fillId="3" borderId="5" applyAlignment="1" pivotButton="0" quotePrefix="0" xfId="0">
      <alignment horizontal="left" vertical="center" indent="1"/>
    </xf>
    <xf numFmtId="3" fontId="8" fillId="3" borderId="6" applyAlignment="1" pivotButton="0" quotePrefix="0" xfId="0">
      <alignment horizontal="left" vertical="center" indent="1"/>
    </xf>
    <xf numFmtId="0" fontId="4" fillId="3" borderId="7" applyAlignment="1" pivotButton="0" quotePrefix="0" xfId="0">
      <alignment horizontal="left" vertical="bottom" indent="1"/>
    </xf>
    <xf numFmtId="3" fontId="9" fillId="3" borderId="7" applyAlignment="1" pivotButton="0" quotePrefix="0" xfId="0">
      <alignment horizontal="left" vertical="center" indent="1"/>
    </xf>
    <xf numFmtId="9" fontId="7" fillId="3" borderId="5" applyAlignment="1" pivotButton="0" quotePrefix="0" xfId="0">
      <alignment horizontal="left" vertical="center" indent="1"/>
    </xf>
    <xf numFmtId="0" fontId="10" fillId="0" borderId="0" pivotButton="0" quotePrefix="0" xfId="0"/>
    <xf numFmtId="0" fontId="11" fillId="0" borderId="0" applyAlignment="1" pivotButton="0" quotePrefix="0" xfId="0">
      <alignment vertical="center" wrapText="1"/>
    </xf>
    <xf numFmtId="0" fontId="12" fillId="0" borderId="6" applyAlignment="1" pivotButton="0" quotePrefix="0" xfId="0">
      <alignment vertical="center" wrapText="1"/>
    </xf>
    <xf numFmtId="0" fontId="13" fillId="0" borderId="0" applyAlignment="1" pivotButton="0" quotePrefix="0" xfId="0">
      <alignment vertical="center" wrapText="1"/>
    </xf>
    <xf numFmtId="0" fontId="14" fillId="0" borderId="7" applyAlignment="1" pivotButton="0" quotePrefix="0" xfId="0">
      <alignment vertical="center" wrapText="1"/>
    </xf>
    <xf numFmtId="0" fontId="15" fillId="0" borderId="0" pivotButton="0" quotePrefix="0" xfId="0"/>
    <xf numFmtId="0" fontId="11" fillId="0" borderId="0" pivotButton="0" quotePrefix="0" xfId="0"/>
    <xf numFmtId="0" fontId="16" fillId="0" borderId="0" pivotButton="0" quotePrefix="0" xfId="0"/>
    <xf numFmtId="0" fontId="17" fillId="2" borderId="0" applyAlignment="1" pivotButton="0" quotePrefix="0" xfId="0">
      <alignment horizontal="right" vertical="center"/>
    </xf>
    <xf numFmtId="0" fontId="18" fillId="0" borderId="0" pivotButton="0" quotePrefix="0" xfId="0"/>
    <xf numFmtId="0" fontId="19" fillId="0" borderId="0" pivotButton="0" quotePrefix="0" xfId="0"/>
    <xf numFmtId="0" fontId="20" fillId="2" borderId="8" applyAlignment="1" pivotButton="0" quotePrefix="0" xfId="0">
      <alignment horizontal="center" vertical="center" wrapText="1"/>
    </xf>
    <xf numFmtId="0" fontId="21" fillId="0" borderId="9" applyAlignment="1" pivotButton="0" quotePrefix="0" xfId="0">
      <alignment vertical="top"/>
    </xf>
    <xf numFmtId="165" fontId="21" fillId="0" borderId="9" applyAlignment="1" pivotButton="0" quotePrefix="0" xfId="0">
      <alignment vertical="top"/>
    </xf>
    <xf numFmtId="0" fontId="21" fillId="0" borderId="9" applyAlignment="1" pivotButton="0" quotePrefix="0" xfId="0">
      <alignment horizontal="center" vertical="top"/>
    </xf>
    <xf numFmtId="0" fontId="21" fillId="0" borderId="9" applyAlignment="1" pivotButton="0" quotePrefix="0" xfId="0">
      <alignment vertical="top" wrapText="1"/>
    </xf>
    <xf numFmtId="166" fontId="21" fillId="0" borderId="9" applyAlignment="1" pivotButton="0" quotePrefix="0" xfId="0">
      <alignment vertical="top"/>
    </xf>
    <xf numFmtId="0" fontId="16" fillId="0" borderId="9" applyAlignment="1" pivotButton="0" quotePrefix="0" xfId="0">
      <alignment horizontal="center" vertical="top"/>
    </xf>
    <xf numFmtId="0" fontId="22" fillId="0" borderId="9" applyAlignment="1" pivotButton="0" quotePrefix="0" xfId="0">
      <alignment vertical="top"/>
    </xf>
    <xf numFmtId="0" fontId="20" fillId="4" borderId="8" applyAlignment="1" pivotButton="0" quotePrefix="0" xfId="0">
      <alignment horizontal="center" vertical="center" wrapText="1"/>
    </xf>
    <xf numFmtId="0" fontId="20" fillId="5" borderId="8" applyAlignment="1" pivotButton="0" quotePrefix="0" xfId="0">
      <alignment horizontal="center" vertical="center" wrapText="1"/>
    </xf>
    <xf numFmtId="0" fontId="20" fillId="6" borderId="8" applyAlignment="1" pivotButton="0" quotePrefix="0" xfId="0">
      <alignment horizontal="center" vertical="center" wrapText="1"/>
    </xf>
    <xf numFmtId="0" fontId="20" fillId="7" borderId="8" applyAlignment="1" pivotButton="0" quotePrefix="0" xfId="0">
      <alignment horizontal="center" vertical="center" wrapText="1"/>
    </xf>
    <xf numFmtId="0" fontId="20" fillId="8" borderId="8" applyAlignment="1" pivotButton="0" quotePrefix="0" xfId="0">
      <alignment horizontal="center" vertical="center" wrapText="1"/>
    </xf>
    <xf numFmtId="0" fontId="18" fillId="0" borderId="8" applyAlignment="1" pivotButton="0" quotePrefix="0" xfId="0">
      <alignment vertical="top" wrapText="1"/>
    </xf>
    <xf numFmtId="1" fontId="13" fillId="0" borderId="8" applyAlignment="1" pivotButton="0" quotePrefix="0" xfId="0">
      <alignment horizontal="center" vertical="center" wrapText="1"/>
    </xf>
    <xf numFmtId="9" fontId="13" fillId="0" borderId="8" applyAlignment="1" pivotButton="0" quotePrefix="0" xfId="0">
      <alignment horizontal="center" vertical="center" wrapText="1"/>
    </xf>
    <xf numFmtId="1" fontId="18" fillId="0" borderId="8" applyAlignment="1" pivotButton="0" quotePrefix="0" xfId="0">
      <alignment horizontal="center" vertical="center" wrapText="1"/>
    </xf>
    <xf numFmtId="0" fontId="18" fillId="0" borderId="8" applyAlignment="1" pivotButton="0" quotePrefix="0" xfId="0">
      <alignment horizontal="center" vertical="center" wrapText="1"/>
    </xf>
    <xf numFmtId="0" fontId="13" fillId="0" borderId="8" applyAlignment="1" pivotButton="0" quotePrefix="0" xfId="0">
      <alignment horizontal="center" vertical="center" wrapText="1"/>
    </xf>
    <xf numFmtId="167" fontId="13" fillId="0" borderId="8" applyAlignment="1" pivotButton="0" quotePrefix="0" xfId="0">
      <alignment horizontal="center" vertical="center" wrapText="1"/>
    </xf>
    <xf numFmtId="0" fontId="18" fillId="9" borderId="8" applyAlignment="1" pivotButton="0" quotePrefix="0" xfId="0">
      <alignment vertical="top" wrapText="1"/>
    </xf>
    <xf numFmtId="1" fontId="18" fillId="9" borderId="8" applyAlignment="1" pivotButton="0" quotePrefix="0" xfId="0">
      <alignment horizontal="center" vertical="center" wrapText="1"/>
    </xf>
    <xf numFmtId="9" fontId="18" fillId="9" borderId="8" applyAlignment="1" pivotButton="0" quotePrefix="0" xfId="0">
      <alignment horizontal="center" vertical="center" wrapText="1"/>
    </xf>
    <xf numFmtId="0" fontId="0" fillId="9" borderId="8" pivotButton="0" quotePrefix="0" xfId="0"/>
    <xf numFmtId="0" fontId="23" fillId="0" borderId="0" applyAlignment="1" pivotButton="0" quotePrefix="0" xfId="0">
      <alignment vertical="top" wrapText="1"/>
    </xf>
    <xf numFmtId="0" fontId="24" fillId="4" borderId="8" applyAlignment="1" pivotButton="0" quotePrefix="0" xfId="0">
      <alignment vertical="top" wrapText="1"/>
    </xf>
    <xf numFmtId="168" fontId="13" fillId="0" borderId="8" applyAlignment="1" pivotButton="0" quotePrefix="0" xfId="0">
      <alignment horizontal="center" vertical="center" wrapText="1"/>
    </xf>
    <xf numFmtId="0" fontId="24" fillId="5" borderId="8" applyAlignment="1" pivotButton="0" quotePrefix="0" xfId="0">
      <alignment vertical="top" wrapText="1"/>
    </xf>
    <xf numFmtId="0" fontId="24" fillId="6" borderId="8" applyAlignment="1" pivotButton="0" quotePrefix="0" xfId="0">
      <alignment vertical="top" wrapText="1"/>
    </xf>
    <xf numFmtId="0" fontId="24" fillId="7" borderId="8" applyAlignment="1" pivotButton="0" quotePrefix="0" xfId="0">
      <alignment vertical="top" wrapText="1"/>
    </xf>
    <xf numFmtId="0" fontId="24" fillId="8" borderId="8" applyAlignment="1" pivotButton="0" quotePrefix="0" xfId="0">
      <alignment vertical="top" wrapText="1"/>
    </xf>
    <xf numFmtId="168" fontId="18" fillId="9" borderId="8" applyAlignment="1" pivotButton="0" quotePrefix="0" xfId="0">
      <alignment horizontal="center" vertical="center" wrapText="1"/>
    </xf>
    <xf numFmtId="0" fontId="20" fillId="10" borderId="8" applyAlignment="1" pivotButton="0" quotePrefix="0" xfId="0">
      <alignment horizontal="center" vertical="center" wrapText="1"/>
    </xf>
    <xf numFmtId="0" fontId="25" fillId="0" borderId="8" applyAlignment="1" pivotButton="0" quotePrefix="0" xfId="0">
      <alignment vertical="top" wrapText="1"/>
    </xf>
    <xf numFmtId="0" fontId="26" fillId="0" borderId="8" applyAlignment="1" pivotButton="0" quotePrefix="0" xfId="0">
      <alignment vertical="top" wrapText="1"/>
    </xf>
    <xf numFmtId="0" fontId="27" fillId="0" borderId="8" applyAlignment="1" pivotButton="0" quotePrefix="0" xfId="0">
      <alignment vertical="top" wrapText="1"/>
    </xf>
    <xf numFmtId="0" fontId="28" fillId="0" borderId="8" applyAlignment="1" pivotButton="0" quotePrefix="0" xfId="0">
      <alignment vertical="top" wrapText="1"/>
    </xf>
    <xf numFmtId="0" fontId="29" fillId="0" borderId="8" applyAlignment="1" pivotButton="0" quotePrefix="0" xfId="0">
      <alignment vertical="top" wrapText="1"/>
    </xf>
    <xf numFmtId="165" fontId="13" fillId="0" borderId="8" applyAlignment="1" pivotButton="0" quotePrefix="0" xfId="0">
      <alignment horizontal="center" vertical="center" wrapText="1"/>
    </xf>
    <xf numFmtId="169" fontId="13" fillId="0" borderId="8" applyAlignment="1" pivotButton="0" quotePrefix="0" xfId="0">
      <alignment horizontal="center" vertical="center" wrapText="1"/>
    </xf>
    <xf numFmtId="168" fontId="18" fillId="0" borderId="8" applyAlignment="1" pivotButton="0" quotePrefix="0" xfId="0">
      <alignment horizontal="center" vertical="center" wrapText="1"/>
    </xf>
    <xf numFmtId="170" fontId="13" fillId="0" borderId="8" applyAlignment="1" pivotButton="0" quotePrefix="0" xfId="0">
      <alignment horizontal="center" vertical="center" wrapText="1"/>
    </xf>
    <xf numFmtId="0" fontId="30" fillId="0" borderId="8" applyAlignment="1" pivotButton="0" quotePrefix="0" xfId="0">
      <alignment horizontal="center" vertical="center" wrapText="1"/>
    </xf>
    <xf numFmtId="0" fontId="31" fillId="0" borderId="8" applyAlignment="1" pivotButton="0" quotePrefix="0" xfId="0">
      <alignment vertical="top" wrapText="1"/>
    </xf>
    <xf numFmtId="0" fontId="13" fillId="0" borderId="8" applyAlignment="1" pivotButton="0" quotePrefix="0" xfId="0">
      <alignment vertical="top" wrapText="1"/>
    </xf>
    <xf numFmtId="0" fontId="32" fillId="0" borderId="8" applyAlignment="1" pivotButton="0" quotePrefix="0" xfId="0">
      <alignment horizontal="center" vertical="center" wrapText="1"/>
    </xf>
    <xf numFmtId="0" fontId="11" fillId="0" borderId="8" applyAlignment="1" pivotButton="0" quotePrefix="0" xfId="0">
      <alignment vertical="top" wrapText="1"/>
    </xf>
    <xf numFmtId="0" fontId="13" fillId="11" borderId="8" applyAlignment="1" pivotButton="0" quotePrefix="0" xfId="0">
      <alignment vertical="top" wrapText="1"/>
    </xf>
    <xf numFmtId="0" fontId="14" fillId="0" borderId="8" applyAlignment="1" pivotButton="0" quotePrefix="0" xfId="0">
      <alignment vertical="top" wrapText="1"/>
    </xf>
    <xf numFmtId="0" fontId="33" fillId="0" borderId="8" applyAlignment="1" pivotButton="0" quotePrefix="0" xfId="0">
      <alignment horizontal="center" vertical="center" wrapText="1"/>
    </xf>
    <xf numFmtId="0" fontId="13" fillId="12" borderId="8" applyAlignment="1" pivotButton="0" quotePrefix="0" xfId="0">
      <alignment vertical="top" wrapText="1"/>
    </xf>
    <xf numFmtId="0" fontId="12" fillId="0" borderId="8" applyAlignment="1" pivotButton="0" quotePrefix="0" xfId="0">
      <alignment vertical="top" wrapText="1"/>
    </xf>
    <xf numFmtId="0" fontId="34" fillId="0" borderId="8" applyAlignment="1" pivotButton="0" quotePrefix="0" xfId="0">
      <alignment horizontal="center" vertical="center" wrapText="1"/>
    </xf>
    <xf numFmtId="0" fontId="13" fillId="5" borderId="8" applyAlignment="1" pivotButton="0" quotePrefix="0" xfId="0">
      <alignment vertical="top" wrapText="1"/>
    </xf>
    <xf numFmtId="0" fontId="35" fillId="0" borderId="8" applyAlignment="1" pivotButton="0" quotePrefix="0" xfId="0">
      <alignment horizontal="center" vertical="center" wrapText="1"/>
    </xf>
    <xf numFmtId="0" fontId="24" fillId="2" borderId="0" pivotButton="0" quotePrefix="0" xfId="0"/>
    <xf numFmtId="0" fontId="0" fillId="0" borderId="12" pivotButton="0" quotePrefix="0" xfId="0"/>
    <xf numFmtId="0" fontId="32" fillId="0" borderId="8" applyAlignment="1" pivotButton="0" quotePrefix="0" xfId="0">
      <alignment vertical="top" wrapText="1"/>
    </xf>
    <xf numFmtId="0" fontId="36" fillId="0" borderId="8" applyAlignment="1" pivotButton="0" quotePrefix="0" xfId="0">
      <alignment vertical="top" wrapText="1"/>
    </xf>
    <xf numFmtId="0" fontId="37" fillId="0" borderId="8" applyAlignment="1" pivotButton="0" quotePrefix="0" xfId="0">
      <alignment vertical="top" wrapText="1"/>
    </xf>
    <xf numFmtId="0" fontId="0" fillId="0" borderId="13" pivotButton="0" quotePrefix="0" xfId="0"/>
    <xf numFmtId="165" fontId="38" fillId="0" borderId="8" applyAlignment="1" pivotButton="0" quotePrefix="0" xfId="0">
      <alignment vertical="top" wrapText="1"/>
    </xf>
    <xf numFmtId="0" fontId="38" fillId="0" borderId="8" applyAlignment="1" pivotButton="0" quotePrefix="0" xfId="0">
      <alignment vertical="top" wrapText="1"/>
    </xf>
    <xf numFmtId="9" fontId="38" fillId="0" borderId="8" applyAlignment="1" pivotButton="0" quotePrefix="0" xfId="0">
      <alignment vertical="top" wrapText="1"/>
    </xf>
    <xf numFmtId="9" fontId="18" fillId="0" borderId="8" applyAlignment="1" pivotButton="0" quotePrefix="0" xfId="0">
      <alignment vertical="top" wrapText="1"/>
    </xf>
    <xf numFmtId="0" fontId="39" fillId="0" borderId="8" applyAlignment="1" pivotButton="0" quotePrefix="0" xfId="0">
      <alignment horizontal="center" vertical="center" wrapText="1"/>
    </xf>
    <xf numFmtId="0" fontId="40" fillId="0" borderId="8" applyAlignment="1" pivotButton="0" quotePrefix="0" xfId="0">
      <alignment vertical="top" wrapText="1"/>
    </xf>
  </cellXfs>
  <cellStyles count="1">
    <cellStyle name="Normal" xfId="0" builtinId="0" hidden="0"/>
  </cellStyles>
  <dxfs count="17">
    <dxf>
      <font>
        <name val="Arial"/>
        <b val="1"/>
        <color rgb="00C8102E"/>
      </font>
      <fill>
        <patternFill patternType="solid">
          <fgColor rgb="00F9D3D8"/>
          <bgColor rgb="00F9D3D8"/>
        </patternFill>
      </fill>
    </dxf>
    <dxf>
      <font>
        <name val="Arial"/>
        <color rgb="00C8102E"/>
      </font>
      <fill>
        <patternFill patternType="solid">
          <fgColor rgb="00F9D3D8"/>
          <bgColor rgb="00F9D3D8"/>
        </patternFill>
      </fill>
    </dxf>
    <dxf>
      <font>
        <name val="Arial"/>
        <b val="1"/>
        <color rgb="00B4501A"/>
      </font>
      <fill>
        <patternFill patternType="solid">
          <fgColor rgb="00FBE3D0"/>
          <bgColor rgb="00FBE3D0"/>
        </patternFill>
      </fill>
    </dxf>
    <dxf>
      <font>
        <name val="Arial"/>
        <b val="1"/>
        <color rgb="00E2701C"/>
      </font>
    </dxf>
    <dxf>
      <font>
        <name val="Arial"/>
        <b val="1"/>
        <color rgb="004F8A3C"/>
      </font>
    </dxf>
    <dxf>
      <font>
        <name val="Arial"/>
        <b val="1"/>
        <color rgb="00D1A20F"/>
      </font>
    </dxf>
    <dxf>
      <font>
        <name val="Arial"/>
        <b val="1"/>
        <color rgb="00C8102E"/>
      </font>
    </dxf>
    <dxf>
      <font>
        <name val="Arial"/>
        <b val="1"/>
        <color rgb="00DC4A26"/>
      </font>
    </dxf>
    <dxf>
      <font>
        <name val="Arial"/>
        <b val="1"/>
        <color rgb="008A4FD6"/>
      </font>
    </dxf>
    <dxf>
      <font>
        <name val="Arial"/>
        <b val="1"/>
        <color rgb="00D69A12"/>
      </font>
    </dxf>
    <dxf>
      <font>
        <name val="Arial"/>
        <b val="1"/>
        <color rgb="002F6FB5"/>
      </font>
    </dxf>
    <dxf>
      <font>
        <name val="Arial"/>
        <b val="1"/>
        <color rgb="007D8A97"/>
      </font>
    </dxf>
    <dxf>
      <font>
        <name val="Arial"/>
        <b val="1"/>
        <color rgb="00FFFFFF"/>
      </font>
      <fill>
        <patternFill patternType="solid">
          <fgColor rgb="00C8102E"/>
          <bgColor rgb="00C8102E"/>
        </patternFill>
      </fill>
    </dxf>
    <dxf>
      <font>
        <name val="Arial"/>
        <b val="1"/>
        <color rgb="00FFFFFF"/>
      </font>
      <fill>
        <patternFill patternType="solid">
          <fgColor rgb="00E2701C"/>
          <bgColor rgb="00E2701C"/>
        </patternFill>
      </fill>
    </dxf>
    <dxf>
      <font>
        <name val="Arial"/>
        <b val="1"/>
        <color rgb="00FFFFFF"/>
      </font>
      <fill>
        <patternFill patternType="solid">
          <fgColor rgb="00D1A20F"/>
          <bgColor rgb="00D1A20F"/>
        </patternFill>
      </fill>
    </dxf>
    <dxf>
      <font>
        <name val="Arial"/>
        <b val="1"/>
        <color rgb="00FFFFFF"/>
      </font>
      <fill>
        <patternFill patternType="solid">
          <fgColor rgb="004F8A3C"/>
          <bgColor rgb="004F8A3C"/>
        </patternFill>
      </fill>
    </dxf>
    <dxf>
      <fill>
        <patternFill patternType="solid">
          <fgColor rgb="00F9D3D8"/>
          <bgColor rgb="00F9D3D8"/>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Indice de menace par région</a:t>
            </a:r>
          </a:p>
        </rich>
      </tx>
    </title>
    <plotArea>
      <barChart>
        <barDir val="bar"/>
        <grouping val="clustered"/>
        <ser>
          <idx val="0"/>
          <order val="0"/>
          <tx>
            <strRef>
              <f>'REGIONS'!I4</f>
            </strRef>
          </tx>
          <spPr>
            <a:solidFill xmlns:a="http://schemas.openxmlformats.org/drawingml/2006/main">
              <a:srgbClr val="C8102E"/>
            </a:solidFill>
            <a:ln xmlns:a="http://schemas.openxmlformats.org/drawingml/2006/main">
              <a:prstDash val="solid"/>
            </a:ln>
          </spPr>
          <cat>
            <numRef>
              <f>'REGIONS'!$B$5:$B$12</f>
            </numRef>
          </cat>
          <val>
            <numRef>
              <f>'REGIONS'!$I$5:$I$12</f>
            </numRef>
          </val>
        </ser>
        <dLbls>
          <showLegendKey val="0"/>
          <showVal val="1"/>
          <showCatName val="0"/>
          <showSerName val="0"/>
          <showPercent val="0"/>
          <showLeaderLines val="0"/>
        </dLbls>
        <gapWidth val="150"/>
        <axId val="10"/>
        <axId val="100"/>
      </barChart>
      <catAx>
        <axId val="10"/>
        <scaling>
          <orientation val="maxMin"/>
        </scaling>
        <delete val="0"/>
        <axPos val="l"/>
        <majorTickMark val="none"/>
        <minorTickMark val="none"/>
        <crossAx val="100"/>
        <lblOffset val="100"/>
      </catAx>
      <valAx>
        <axId val="100"/>
        <scaling>
          <orientation val="minMax"/>
          <max val="100"/>
          <min val="0"/>
        </scaling>
        <delete val="0"/>
        <axPos val="l"/>
        <title>
          <tx>
            <rich>
              <a:bodyPr xmlns:a="http://schemas.openxmlformats.org/drawingml/2006/main"/>
              <a:p xmlns:a="http://schemas.openxmlformats.org/drawingml/2006/main">
                <a:pPr>
                  <a:defRPr/>
                </a:pPr>
                <a:r>
                  <a:t>Indice (0-100)</a:t>
                </a:r>
              </a:p>
            </rich>
          </tx>
        </title>
        <majorTickMark val="none"/>
        <minorTickMark val="none"/>
        <crossAx val="10"/>
      </valAx>
    </plotArea>
    <plotVisOnly val="1"/>
    <dispBlanksAs val="gap"/>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Incidents par région et par acteur</a:t>
            </a:r>
          </a:p>
        </rich>
      </tx>
    </title>
    <plotArea>
      <barChart>
        <barDir val="bar"/>
        <grouping val="stacked"/>
        <ser>
          <idx val="0"/>
          <order val="0"/>
          <tx>
            <strRef>
              <f>'REGIONS'!L4</f>
            </strRef>
          </tx>
          <spPr>
            <a:solidFill xmlns:a="http://schemas.openxmlformats.org/drawingml/2006/main">
              <a:srgbClr val="DC4A26"/>
            </a:solidFill>
            <a:ln xmlns:a="http://schemas.openxmlformats.org/drawingml/2006/main">
              <a:prstDash val="solid"/>
            </a:ln>
          </spPr>
          <cat>
            <numRef>
              <f>'REGIONS'!$B$5:$B$12</f>
            </numRef>
          </cat>
          <val>
            <numRef>
              <f>'REGIONS'!$L$5:$L$12</f>
            </numRef>
          </val>
        </ser>
        <ser>
          <idx val="1"/>
          <order val="1"/>
          <tx>
            <strRef>
              <f>'REGIONS'!M4</f>
            </strRef>
          </tx>
          <spPr>
            <a:solidFill xmlns:a="http://schemas.openxmlformats.org/drawingml/2006/main">
              <a:srgbClr val="8A4FD6"/>
            </a:solidFill>
            <a:ln xmlns:a="http://schemas.openxmlformats.org/drawingml/2006/main">
              <a:prstDash val="solid"/>
            </a:ln>
          </spPr>
          <cat>
            <numRef>
              <f>'REGIONS'!$B$5:$B$12</f>
            </numRef>
          </cat>
          <val>
            <numRef>
              <f>'REGIONS'!$M$5:$M$12</f>
            </numRef>
          </val>
        </ser>
        <ser>
          <idx val="2"/>
          <order val="2"/>
          <tx>
            <strRef>
              <f>'REGIONS'!N4</f>
            </strRef>
          </tx>
          <spPr>
            <a:solidFill xmlns:a="http://schemas.openxmlformats.org/drawingml/2006/main">
              <a:srgbClr val="D69A12"/>
            </a:solidFill>
            <a:ln xmlns:a="http://schemas.openxmlformats.org/drawingml/2006/main">
              <a:prstDash val="solid"/>
            </a:ln>
          </spPr>
          <cat>
            <numRef>
              <f>'REGIONS'!$B$5:$B$12</f>
            </numRef>
          </cat>
          <val>
            <numRef>
              <f>'REGIONS'!$N$5:$N$12</f>
            </numRef>
          </val>
        </ser>
        <ser>
          <idx val="3"/>
          <order val="3"/>
          <tx>
            <strRef>
              <f>'REGIONS'!O4</f>
            </strRef>
          </tx>
          <spPr>
            <a:solidFill xmlns:a="http://schemas.openxmlformats.org/drawingml/2006/main">
              <a:srgbClr val="2F6FB5"/>
            </a:solidFill>
            <a:ln xmlns:a="http://schemas.openxmlformats.org/drawingml/2006/main">
              <a:prstDash val="solid"/>
            </a:ln>
          </spPr>
          <cat>
            <numRef>
              <f>'REGIONS'!$B$5:$B$12</f>
            </numRef>
          </cat>
          <val>
            <numRef>
              <f>'REGIONS'!$O$5:$O$12</f>
            </numRef>
          </val>
        </ser>
        <ser>
          <idx val="4"/>
          <order val="4"/>
          <tx>
            <strRef>
              <f>'REGIONS'!P4</f>
            </strRef>
          </tx>
          <spPr>
            <a:solidFill xmlns:a="http://schemas.openxmlformats.org/drawingml/2006/main">
              <a:srgbClr val="7D8A97"/>
            </a:solidFill>
            <a:ln xmlns:a="http://schemas.openxmlformats.org/drawingml/2006/main">
              <a:prstDash val="solid"/>
            </a:ln>
          </spPr>
          <cat>
            <numRef>
              <f>'REGIONS'!$B$5:$B$12</f>
            </numRef>
          </cat>
          <val>
            <numRef>
              <f>'REGIONS'!$P$5:$P$12</f>
            </numRef>
          </val>
        </ser>
        <gapWidth val="150"/>
        <overlap val="100"/>
        <axId val="10"/>
        <axId val="100"/>
      </barChart>
      <catAx>
        <axId val="10"/>
        <scaling>
          <orientation val="maxMin"/>
        </scaling>
        <delete val="0"/>
        <axPos val="l"/>
        <majorTickMark val="none"/>
        <minorTickMark val="none"/>
        <crossAx val="100"/>
        <lblOffset val="100"/>
      </catAx>
      <valAx>
        <axId val="100"/>
        <scaling>
          <orientation val="minMax"/>
        </scaling>
        <delete val="0"/>
        <axPos val="l"/>
        <title>
          <tx>
            <rich>
              <a:bodyPr xmlns:a="http://schemas.openxmlformats.org/drawingml/2006/main"/>
              <a:p xmlns:a="http://schemas.openxmlformats.org/drawingml/2006/main">
                <a:pPr>
                  <a:defRPr/>
                </a:pPr>
                <a:r>
                  <a:t>Incidents</a:t>
                </a:r>
              </a:p>
            </rich>
          </tx>
        </title>
        <majorTickMark val="none"/>
        <minorTickMark val="none"/>
        <crossAx val="10"/>
      </valAx>
    </plotArea>
    <legend>
      <legendPos val="b"/>
    </legend>
    <plotVisOnly val="1"/>
    <dispBlanksAs val="gap"/>
  </chart>
</chartSpace>
</file>

<file path=xl/charts/chart3.xml><?xml version="1.0" encoding="utf-8"?>
<chartSpace xmlns="http://schemas.openxmlformats.org/drawingml/2006/chart">
  <chart>
    <title>
      <tx>
        <rich>
          <a:bodyPr xmlns:a="http://schemas.openxmlformats.org/drawingml/2006/main"/>
          <a:p xmlns:a="http://schemas.openxmlformats.org/drawingml/2006/main">
            <a:pPr>
              <a:defRPr/>
            </a:pPr>
            <a:r>
              <a:t>Part des incidents par acteur</a:t>
            </a:r>
          </a:p>
        </rich>
      </tx>
    </title>
    <plotArea>
      <pieChart>
        <varyColors val="1"/>
        <ser>
          <idx val="0"/>
          <order val="0"/>
          <tx>
            <strRef>
              <f>'ACTEURS'!C4</f>
            </strRef>
          </tx>
          <spPr>
            <a:ln xmlns:a="http://schemas.openxmlformats.org/drawingml/2006/main">
              <a:prstDash val="solid"/>
            </a:ln>
          </spPr>
          <dPt>
            <idx val="0"/>
            <spPr>
              <a:solidFill xmlns:a="http://schemas.openxmlformats.org/drawingml/2006/main">
                <a:srgbClr val="DC4A26"/>
              </a:solidFill>
              <a:ln xmlns:a="http://schemas.openxmlformats.org/drawingml/2006/main">
                <a:prstDash val="solid"/>
              </a:ln>
            </spPr>
          </dPt>
          <dPt>
            <idx val="1"/>
            <spPr>
              <a:solidFill xmlns:a="http://schemas.openxmlformats.org/drawingml/2006/main">
                <a:srgbClr val="8A4FD6"/>
              </a:solidFill>
              <a:ln xmlns:a="http://schemas.openxmlformats.org/drawingml/2006/main">
                <a:prstDash val="solid"/>
              </a:ln>
            </spPr>
          </dPt>
          <dPt>
            <idx val="2"/>
            <spPr>
              <a:solidFill xmlns:a="http://schemas.openxmlformats.org/drawingml/2006/main">
                <a:srgbClr val="D69A12"/>
              </a:solidFill>
              <a:ln xmlns:a="http://schemas.openxmlformats.org/drawingml/2006/main">
                <a:prstDash val="solid"/>
              </a:ln>
            </spPr>
          </dPt>
          <dPt>
            <idx val="3"/>
            <spPr>
              <a:solidFill xmlns:a="http://schemas.openxmlformats.org/drawingml/2006/main">
                <a:srgbClr val="2F6FB5"/>
              </a:solidFill>
              <a:ln xmlns:a="http://schemas.openxmlformats.org/drawingml/2006/main">
                <a:prstDash val="solid"/>
              </a:ln>
            </spPr>
          </dPt>
          <dPt>
            <idx val="4"/>
            <spPr>
              <a:solidFill xmlns:a="http://schemas.openxmlformats.org/drawingml/2006/main">
                <a:srgbClr val="7D8A97"/>
              </a:solidFill>
              <a:ln xmlns:a="http://schemas.openxmlformats.org/drawingml/2006/main">
                <a:prstDash val="solid"/>
              </a:ln>
            </spPr>
          </dPt>
          <cat>
            <numRef>
              <f>'ACTEURS'!$B$5:$B$9</f>
            </numRef>
          </cat>
          <val>
            <numRef>
              <f>'ACTEURS'!$C$5:$C$9</f>
            </numRef>
          </val>
        </ser>
        <dLbls>
          <showLegendKey val="0"/>
          <showVal val="0"/>
          <showCatName val="0"/>
          <showSerName val="0"/>
          <showPercent val="1"/>
          <showLeaderLines val="0"/>
        </dLbls>
        <firstSliceAng val="0"/>
      </pieChart>
    </plotArea>
    <legend>
      <legendPos val="r"/>
    </legend>
    <plotVisOnly val="1"/>
    <dispBlanksAs val="gap"/>
  </chart>
</chartSpace>
</file>

<file path=xl/charts/chart4.xml><?xml version="1.0" encoding="utf-8"?>
<chartSpace xmlns="http://schemas.openxmlformats.org/drawingml/2006/chart">
  <style val="2"/>
  <chart>
    <title>
      <tx>
        <rich>
          <a:bodyPr xmlns:a="http://schemas.openxmlformats.org/drawingml/2006/main"/>
          <a:p xmlns:a="http://schemas.openxmlformats.org/drawingml/2006/main">
            <a:pPr>
              <a:defRPr/>
            </a:pPr>
            <a:r>
              <a:t>Pertes infligées lors des actions de chaque acteur</a:t>
            </a:r>
          </a:p>
        </rich>
      </tx>
    </title>
    <plotArea>
      <barChart>
        <barDir val="col"/>
        <grouping val="stacked"/>
        <ser>
          <idx val="0"/>
          <order val="0"/>
          <tx>
            <strRef>
              <f>'ACTEURS'!F4</f>
            </strRef>
          </tx>
          <spPr>
            <a:solidFill xmlns:a="http://schemas.openxmlformats.org/drawingml/2006/main">
              <a:srgbClr val="2F6FB5"/>
            </a:solidFill>
            <a:ln xmlns:a="http://schemas.openxmlformats.org/drawingml/2006/main">
              <a:prstDash val="solid"/>
            </a:ln>
          </spPr>
          <cat>
            <numRef>
              <f>'ACTEURS'!$B$5:$B$9</f>
            </numRef>
          </cat>
          <val>
            <numRef>
              <f>'ACTEURS'!$F$5:$F$9</f>
            </numRef>
          </val>
        </ser>
        <ser>
          <idx val="1"/>
          <order val="1"/>
          <tx>
            <strRef>
              <f>'ACTEURS'!G4</f>
            </strRef>
          </tx>
          <spPr>
            <a:solidFill xmlns:a="http://schemas.openxmlformats.org/drawingml/2006/main">
              <a:srgbClr val="7D8A97"/>
            </a:solidFill>
            <a:ln xmlns:a="http://schemas.openxmlformats.org/drawingml/2006/main">
              <a:prstDash val="solid"/>
            </a:ln>
          </spPr>
          <cat>
            <numRef>
              <f>'ACTEURS'!$B$5:$B$9</f>
            </numRef>
          </cat>
          <val>
            <numRef>
              <f>'ACTEURS'!$G$5:$G$9</f>
            </numRef>
          </val>
        </ser>
        <ser>
          <idx val="2"/>
          <order val="2"/>
          <tx>
            <strRef>
              <f>'ACTEURS'!H4</f>
            </strRef>
          </tx>
          <spPr>
            <a:solidFill xmlns:a="http://schemas.openxmlformats.org/drawingml/2006/main">
              <a:srgbClr val="C8102E"/>
            </a:solidFill>
            <a:ln xmlns:a="http://schemas.openxmlformats.org/drawingml/2006/main">
              <a:prstDash val="solid"/>
            </a:ln>
          </spPr>
          <cat>
            <numRef>
              <f>'ACTEURS'!$B$5:$B$9</f>
            </numRef>
          </cat>
          <val>
            <numRef>
              <f>'ACTEURS'!$H$5:$H$9</f>
            </numRef>
          </val>
        </ser>
        <ser>
          <idx val="3"/>
          <order val="3"/>
          <tx>
            <strRef>
              <f>'ACTEURS'!J4</f>
            </strRef>
          </tx>
          <spPr>
            <a:solidFill xmlns:a="http://schemas.openxmlformats.org/drawingml/2006/main">
              <a:srgbClr val="DC4A26"/>
            </a:solidFill>
            <a:ln xmlns:a="http://schemas.openxmlformats.org/drawingml/2006/main">
              <a:prstDash val="solid"/>
            </a:ln>
          </spPr>
          <cat>
            <numRef>
              <f>'ACTEURS'!$B$5:$B$9</f>
            </numRef>
          </cat>
          <val>
            <numRef>
              <f>'ACTEURS'!$J$5:$J$9</f>
            </numRef>
          </val>
        </ser>
        <gapWidth val="150"/>
        <overlap val="100"/>
        <axId val="10"/>
        <axId val="100"/>
      </barChart>
      <catAx>
        <axId val="10"/>
        <scaling>
          <orientation val="minMax"/>
        </scaling>
        <delete val="0"/>
        <axPos val="l"/>
        <majorTickMark val="none"/>
        <minorTickMark val="none"/>
        <crossAx val="100"/>
        <lblOffset val="100"/>
      </catAx>
      <valAx>
        <axId val="100"/>
        <scaling>
          <orientation val="minMax"/>
        </scaling>
        <delete val="0"/>
        <axPos val="l"/>
        <title>
          <tx>
            <rich>
              <a:bodyPr xmlns:a="http://schemas.openxmlformats.org/drawingml/2006/main"/>
              <a:p xmlns:a="http://schemas.openxmlformats.org/drawingml/2006/main">
                <a:pPr>
                  <a:defRPr/>
                </a:pPr>
                <a:r>
                  <a:t>Tués</a:t>
                </a:r>
              </a:p>
            </rich>
          </tx>
        </title>
        <majorTickMark val="none"/>
        <minorTickMark val="none"/>
        <crossAx val="10"/>
      </valAx>
    </plotArea>
    <legend>
      <legendPos val="b"/>
    </legend>
    <plotVisOnly val="1"/>
    <dispBlanksAs val="gap"/>
  </chart>
</chartSpace>
</file>

<file path=xl/charts/chart5.xml><?xml version="1.0" encoding="utf-8"?>
<chartSpace xmlns="http://schemas.openxmlformats.org/drawingml/2006/chart">
  <style val="2"/>
  <chart>
    <title>
      <tx>
        <rich>
          <a:bodyPr xmlns:a="http://schemas.openxmlformats.org/drawingml/2006/main"/>
          <a:p xmlns:a="http://schemas.openxmlformats.org/drawingml/2006/main">
            <a:pPr>
              <a:defRPr/>
            </a:pPr>
            <a:r>
              <a:t>Rythme opérationnel hebdomadaire par acteur</a:t>
            </a:r>
          </a:p>
        </rich>
      </tx>
    </title>
    <plotArea>
      <barChart>
        <barDir val="col"/>
        <grouping val="stacked"/>
        <ser>
          <idx val="0"/>
          <order val="0"/>
          <tx>
            <strRef>
              <f>'CHRONOLOGIE'!E4</f>
            </strRef>
          </tx>
          <spPr>
            <a:solidFill xmlns:a="http://schemas.openxmlformats.org/drawingml/2006/main">
              <a:srgbClr val="DC4A26"/>
            </a:solidFill>
            <a:ln xmlns:a="http://schemas.openxmlformats.org/drawingml/2006/main">
              <a:prstDash val="solid"/>
            </a:ln>
          </spPr>
          <cat>
            <numRef>
              <f>'CHRONOLOGIE'!$D$5:$D$13</f>
            </numRef>
          </cat>
          <val>
            <numRef>
              <f>'CHRONOLOGIE'!$E$5:$E$13</f>
            </numRef>
          </val>
        </ser>
        <ser>
          <idx val="1"/>
          <order val="1"/>
          <tx>
            <strRef>
              <f>'CHRONOLOGIE'!F4</f>
            </strRef>
          </tx>
          <spPr>
            <a:solidFill xmlns:a="http://schemas.openxmlformats.org/drawingml/2006/main">
              <a:srgbClr val="8A4FD6"/>
            </a:solidFill>
            <a:ln xmlns:a="http://schemas.openxmlformats.org/drawingml/2006/main">
              <a:prstDash val="solid"/>
            </a:ln>
          </spPr>
          <cat>
            <numRef>
              <f>'CHRONOLOGIE'!$D$5:$D$13</f>
            </numRef>
          </cat>
          <val>
            <numRef>
              <f>'CHRONOLOGIE'!$F$5:$F$13</f>
            </numRef>
          </val>
        </ser>
        <ser>
          <idx val="2"/>
          <order val="2"/>
          <tx>
            <strRef>
              <f>'CHRONOLOGIE'!G4</f>
            </strRef>
          </tx>
          <spPr>
            <a:solidFill xmlns:a="http://schemas.openxmlformats.org/drawingml/2006/main">
              <a:srgbClr val="D69A12"/>
            </a:solidFill>
            <a:ln xmlns:a="http://schemas.openxmlformats.org/drawingml/2006/main">
              <a:prstDash val="solid"/>
            </a:ln>
          </spPr>
          <cat>
            <numRef>
              <f>'CHRONOLOGIE'!$D$5:$D$13</f>
            </numRef>
          </cat>
          <val>
            <numRef>
              <f>'CHRONOLOGIE'!$G$5:$G$13</f>
            </numRef>
          </val>
        </ser>
        <ser>
          <idx val="3"/>
          <order val="3"/>
          <tx>
            <strRef>
              <f>'CHRONOLOGIE'!H4</f>
            </strRef>
          </tx>
          <spPr>
            <a:solidFill xmlns:a="http://schemas.openxmlformats.org/drawingml/2006/main">
              <a:srgbClr val="2F6FB5"/>
            </a:solidFill>
            <a:ln xmlns:a="http://schemas.openxmlformats.org/drawingml/2006/main">
              <a:prstDash val="solid"/>
            </a:ln>
          </spPr>
          <cat>
            <numRef>
              <f>'CHRONOLOGIE'!$D$5:$D$13</f>
            </numRef>
          </cat>
          <val>
            <numRef>
              <f>'CHRONOLOGIE'!$H$5:$H$13</f>
            </numRef>
          </val>
        </ser>
        <ser>
          <idx val="4"/>
          <order val="4"/>
          <tx>
            <strRef>
              <f>'CHRONOLOGIE'!I4</f>
            </strRef>
          </tx>
          <spPr>
            <a:solidFill xmlns:a="http://schemas.openxmlformats.org/drawingml/2006/main">
              <a:srgbClr val="7D8A97"/>
            </a:solidFill>
            <a:ln xmlns:a="http://schemas.openxmlformats.org/drawingml/2006/main">
              <a:prstDash val="solid"/>
            </a:ln>
          </spPr>
          <cat>
            <numRef>
              <f>'CHRONOLOGIE'!$D$5:$D$13</f>
            </numRef>
          </cat>
          <val>
            <numRef>
              <f>'CHRONOLOGIE'!$I$5:$I$13</f>
            </numRef>
          </val>
        </ser>
        <gapWidth val="150"/>
        <overlap val="100"/>
        <axId val="10"/>
        <axId val="100"/>
      </barChart>
      <lineChart>
        <grouping val="standard"/>
        <ser>
          <idx val="5"/>
          <order val="5"/>
          <tx>
            <strRef>
              <f>'CHRONOLOGIE'!K4</f>
            </strRef>
          </tx>
          <spPr>
            <a:ln xmlns:a="http://schemas.openxmlformats.org/drawingml/2006/main" w="28000">
              <a:solidFill>
                <a:srgbClr val="13202C"/>
              </a:solidFill>
              <a:prstDash val="solid"/>
            </a:ln>
          </spPr>
          <marker>
            <symbol val="none"/>
            <spPr>
              <a:ln xmlns:a="http://schemas.openxmlformats.org/drawingml/2006/main">
                <a:prstDash val="solid"/>
              </a:ln>
            </spPr>
          </marker>
          <val>
            <numRef>
              <f>'CHRONOLOGIE'!$K$5:$K$13</f>
            </numRef>
          </val>
          <smooth val="1"/>
        </ser>
        <axId val="10"/>
        <axId val="200"/>
      </lineChart>
      <catAx>
        <axId val="10"/>
        <scaling>
          <orientation val="minMax"/>
        </scaling>
        <delete val="0"/>
        <axPos val="l"/>
        <majorTickMark val="none"/>
        <minorTickMark val="none"/>
        <crossAx val="100"/>
        <lblOffset val="100"/>
      </catAx>
      <valAx>
        <axId val="100"/>
        <scaling>
          <orientation val="minMax"/>
        </scaling>
        <delete val="0"/>
        <axPos val="l"/>
        <title>
          <tx>
            <rich>
              <a:bodyPr xmlns:a="http://schemas.openxmlformats.org/drawingml/2006/main"/>
              <a:p xmlns:a="http://schemas.openxmlformats.org/drawingml/2006/main">
                <a:pPr>
                  <a:defRPr/>
                </a:pPr>
                <a:r>
                  <a:t>Incidents</a:t>
                </a:r>
              </a:p>
            </rich>
          </tx>
        </title>
        <majorTickMark val="none"/>
        <minorTickMark val="none"/>
        <crossAx val="10"/>
      </valAx>
      <valAx>
        <axId val="200"/>
        <scaling>
          <orientation val="minMax"/>
        </scaling>
        <axPos val="l"/>
        <majorGridlines/>
        <title>
          <tx>
            <rich>
              <a:bodyPr xmlns:a="http://schemas.openxmlformats.org/drawingml/2006/main"/>
              <a:p xmlns:a="http://schemas.openxmlformats.org/drawingml/2006/main">
                <a:pPr>
                  <a:defRPr/>
                </a:pPr>
                <a:r>
                  <a:t>Tués</a:t>
                </a:r>
              </a:p>
            </rich>
          </tx>
        </title>
        <majorTickMark val="none"/>
        <minorTickMark val="none"/>
        <crossAx val="10"/>
        <crosses val="max"/>
      </valAx>
    </plotArea>
    <legend>
      <legendPos val="b"/>
    </legend>
    <plotVisOnly val="1"/>
    <dispBlanksAs val="gap"/>
  </chart>
</chartSpace>
</file>

<file path=xl/charts/chart6.xml><?xml version="1.0" encoding="utf-8"?>
<chartSpace xmlns="http://schemas.openxmlformats.org/drawingml/2006/chart">
  <style val="2"/>
  <chart>
    <title>
      <tx>
        <rich>
          <a:bodyPr xmlns:a="http://schemas.openxmlformats.org/drawingml/2006/main"/>
          <a:p xmlns:a="http://schemas.openxmlformats.org/drawingml/2006/main">
            <a:pPr>
              <a:defRPr/>
            </a:pPr>
            <a:r>
              <a:t>Bilan humain hebdomadaire</a:t>
            </a:r>
          </a:p>
        </rich>
      </tx>
    </title>
    <plotArea>
      <barChart>
        <barDir val="col"/>
        <grouping val="stacked"/>
        <ser>
          <idx val="0"/>
          <order val="0"/>
          <tx>
            <strRef>
              <f>'CHRONOLOGIE'!L4</f>
            </strRef>
          </tx>
          <spPr>
            <a:solidFill xmlns:a="http://schemas.openxmlformats.org/drawingml/2006/main">
              <a:srgbClr val="2F6FB5"/>
            </a:solidFill>
            <a:ln xmlns:a="http://schemas.openxmlformats.org/drawingml/2006/main">
              <a:prstDash val="solid"/>
            </a:ln>
          </spPr>
          <cat>
            <numRef>
              <f>'CHRONOLOGIE'!$D$5:$D$13</f>
            </numRef>
          </cat>
          <val>
            <numRef>
              <f>'CHRONOLOGIE'!$L$5:$L$13</f>
            </numRef>
          </val>
        </ser>
        <ser>
          <idx val="1"/>
          <order val="1"/>
          <tx>
            <strRef>
              <f>'CHRONOLOGIE'!M4</f>
            </strRef>
          </tx>
          <spPr>
            <a:solidFill xmlns:a="http://schemas.openxmlformats.org/drawingml/2006/main">
              <a:srgbClr val="C8102E"/>
            </a:solidFill>
            <a:ln xmlns:a="http://schemas.openxmlformats.org/drawingml/2006/main">
              <a:prstDash val="solid"/>
            </a:ln>
          </spPr>
          <cat>
            <numRef>
              <f>'CHRONOLOGIE'!$D$5:$D$13</f>
            </numRef>
          </cat>
          <val>
            <numRef>
              <f>'CHRONOLOGIE'!$M$5:$M$13</f>
            </numRef>
          </val>
        </ser>
        <gapWidth val="150"/>
        <overlap val="100"/>
        <axId val="10"/>
        <axId val="100"/>
      </barChart>
      <catAx>
        <axId val="10"/>
        <scaling>
          <orientation val="minMax"/>
        </scaling>
        <delete val="0"/>
        <axPos val="l"/>
        <majorTickMark val="none"/>
        <minorTickMark val="none"/>
        <crossAx val="100"/>
        <lblOffset val="100"/>
      </catAx>
      <valAx>
        <axId val="100"/>
        <scaling>
          <orientation val="minMax"/>
        </scaling>
        <delete val="0"/>
        <axPos val="l"/>
        <title>
          <tx>
            <rich>
              <a:bodyPr xmlns:a="http://schemas.openxmlformats.org/drawingml/2006/main"/>
              <a:p xmlns:a="http://schemas.openxmlformats.org/drawingml/2006/main">
                <a:pPr>
                  <a:defRPr/>
                </a:pPr>
                <a:r>
                  <a:t>Tués</a:t>
                </a:r>
              </a:p>
            </rich>
          </tx>
        </title>
        <majorTickMark val="none"/>
        <minorTickMark val="none"/>
        <crossAx val="10"/>
      </valAx>
    </plotArea>
    <legend>
      <legendPos val="b"/>
    </legend>
    <plotVisOnly val="1"/>
    <dispBlanksAs val="gap"/>
  </chart>
</chartSpace>
</file>

<file path=xl/charts/chart7.xml><?xml version="1.0" encoding="utf-8"?>
<chartSpace xmlns="http://schemas.openxmlformats.org/drawingml/2006/chart">
  <style val="2"/>
  <chart>
    <title>
      <tx>
        <rich>
          <a:bodyPr xmlns:a="http://schemas.openxmlformats.org/drawingml/2006/main"/>
          <a:p xmlns:a="http://schemas.openxmlformats.org/drawingml/2006/main">
            <a:pPr>
              <a:defRPr/>
            </a:pPr>
            <a:r>
              <a:t>Fréquence des modes opératoires</a:t>
            </a:r>
          </a:p>
        </rich>
      </tx>
    </title>
    <plotArea>
      <barChart>
        <barDir val="bar"/>
        <grouping val="clustered"/>
        <ser>
          <idx val="0"/>
          <order val="0"/>
          <tx>
            <strRef>
              <f>'MODES_CIBLES'!C4</f>
            </strRef>
          </tx>
          <spPr>
            <a:solidFill xmlns:a="http://schemas.openxmlformats.org/drawingml/2006/main">
              <a:srgbClr val="0F7C86"/>
            </a:solidFill>
            <a:ln xmlns:a="http://schemas.openxmlformats.org/drawingml/2006/main">
              <a:prstDash val="solid"/>
            </a:ln>
          </spPr>
          <cat>
            <numRef>
              <f>'MODES_CIBLES'!$B$5:$B$16</f>
            </numRef>
          </cat>
          <val>
            <numRef>
              <f>'MODES_CIBLES'!$C$5:$C$16</f>
            </numRef>
          </val>
        </ser>
        <gapWidth val="150"/>
        <axId val="10"/>
        <axId val="100"/>
      </barChart>
      <catAx>
        <axId val="10"/>
        <scaling>
          <orientation val="maxMin"/>
        </scaling>
        <delete val="0"/>
        <axPos val="l"/>
        <majorTickMark val="none"/>
        <minorTickMark val="none"/>
        <crossAx val="100"/>
        <lblOffset val="100"/>
      </catAx>
      <valAx>
        <axId val="100"/>
        <scaling>
          <orientation val="minMax"/>
        </scaling>
        <delete val="0"/>
        <axPos val="l"/>
        <title>
          <tx>
            <rich>
              <a:bodyPr xmlns:a="http://schemas.openxmlformats.org/drawingml/2006/main"/>
              <a:p xmlns:a="http://schemas.openxmlformats.org/drawingml/2006/main">
                <a:pPr>
                  <a:defRPr/>
                </a:pPr>
                <a:r>
                  <a:t>Incidents</a:t>
                </a:r>
              </a:p>
            </rich>
          </tx>
        </title>
        <majorTickMark val="none"/>
        <minorTickMark val="none"/>
        <crossAx val="10"/>
      </valAx>
    </plotArea>
    <plotVisOnly val="1"/>
    <dispBlanksAs val="gap"/>
  </chart>
</chartSpace>
</file>

<file path=xl/charts/chart8.xml><?xml version="1.0" encoding="utf-8"?>
<chartSpace xmlns="http://schemas.openxmlformats.org/drawingml/2006/chart">
  <style val="2"/>
  <chart>
    <title>
      <tx>
        <rich>
          <a:bodyPr xmlns:a="http://schemas.openxmlformats.org/drawingml/2006/main"/>
          <a:p xmlns:a="http://schemas.openxmlformats.org/drawingml/2006/main">
            <a:pPr>
              <a:defRPr/>
            </a:pPr>
            <a:r>
              <a:t>Létalité moyenne par mode (tués / incident)</a:t>
            </a:r>
          </a:p>
        </rich>
      </tx>
    </title>
    <plotArea>
      <barChart>
        <barDir val="bar"/>
        <grouping val="clustered"/>
        <ser>
          <idx val="0"/>
          <order val="0"/>
          <tx>
            <strRef>
              <f>'MODES_CIBLES'!F4</f>
            </strRef>
          </tx>
          <spPr>
            <a:solidFill xmlns:a="http://schemas.openxmlformats.org/drawingml/2006/main">
              <a:srgbClr val="C8102E"/>
            </a:solidFill>
            <a:ln xmlns:a="http://schemas.openxmlformats.org/drawingml/2006/main">
              <a:prstDash val="solid"/>
            </a:ln>
          </spPr>
          <cat>
            <numRef>
              <f>'MODES_CIBLES'!$B$5:$B$16</f>
            </numRef>
          </cat>
          <val>
            <numRef>
              <f>'MODES_CIBLES'!$F$5:$F$16</f>
            </numRef>
          </val>
        </ser>
        <gapWidth val="150"/>
        <axId val="10"/>
        <axId val="100"/>
      </barChart>
      <catAx>
        <axId val="10"/>
        <scaling>
          <orientation val="maxMin"/>
        </scaling>
        <delete val="0"/>
        <axPos val="l"/>
        <majorTickMark val="none"/>
        <minorTickMark val="none"/>
        <crossAx val="100"/>
        <lblOffset val="100"/>
      </catAx>
      <valAx>
        <axId val="100"/>
        <scaling>
          <orientation val="minMax"/>
        </scaling>
        <delete val="0"/>
        <axPos val="l"/>
        <title>
          <tx>
            <rich>
              <a:bodyPr xmlns:a="http://schemas.openxmlformats.org/drawingml/2006/main"/>
              <a:p xmlns:a="http://schemas.openxmlformats.org/drawingml/2006/main">
                <a:pPr>
                  <a:defRPr/>
                </a:pPr>
                <a:r>
                  <a:t>Tués par incident</a:t>
                </a:r>
              </a:p>
            </rich>
          </tx>
        </title>
        <majorTickMark val="none"/>
        <minorTickMark val="none"/>
        <crossAx val="10"/>
      </valAx>
    </plotArea>
    <plotVisOnly val="1"/>
    <dispBlanksAs val="gap"/>
  </chart>
</chartSpace>
</file>

<file path=xl/charts/chart9.xml><?xml version="1.0" encoding="utf-8"?>
<chartSpace xmlns="http://schemas.openxmlformats.org/drawingml/2006/chart">
  <style val="2"/>
  <chart>
    <title>
      <tx>
        <rich>
          <a:bodyPr xmlns:a="http://schemas.openxmlformats.org/drawingml/2006/main"/>
          <a:p xmlns:a="http://schemas.openxmlformats.org/drawingml/2006/main">
            <a:pPr>
              <a:defRPr/>
            </a:pPr>
            <a:r>
              <a:t>Incidents par tranche de distance à Bamako</a:t>
            </a:r>
          </a:p>
        </rich>
      </tx>
    </title>
    <plotArea>
      <barChart>
        <barDir val="col"/>
        <grouping val="clustered"/>
        <ser>
          <idx val="0"/>
          <order val="0"/>
          <tx>
            <strRef>
              <f>'PRESSION_BAMAKO'!E4</f>
            </strRef>
          </tx>
          <spPr>
            <a:solidFill xmlns:a="http://schemas.openxmlformats.org/drawingml/2006/main">
              <a:srgbClr val="13202C"/>
            </a:solidFill>
            <a:ln xmlns:a="http://schemas.openxmlformats.org/drawingml/2006/main">
              <a:prstDash val="solid"/>
            </a:ln>
          </spPr>
          <cat>
            <numRef>
              <f>'PRESSION_BAMAKO'!$B$5:$B$10</f>
            </numRef>
          </cat>
          <val>
            <numRef>
              <f>'PRESSION_BAMAKO'!$E$5:$E$10</f>
            </numRef>
          </val>
        </ser>
        <ser>
          <idx val="1"/>
          <order val="1"/>
          <tx>
            <strRef>
              <f>'PRESSION_BAMAKO'!F4</f>
            </strRef>
          </tx>
          <spPr>
            <a:solidFill xmlns:a="http://schemas.openxmlformats.org/drawingml/2006/main">
              <a:srgbClr val="DC4A26"/>
            </a:solidFill>
            <a:ln xmlns:a="http://schemas.openxmlformats.org/drawingml/2006/main">
              <a:prstDash val="solid"/>
            </a:ln>
          </spPr>
          <cat>
            <numRef>
              <f>'PRESSION_BAMAKO'!$B$5:$B$10</f>
            </numRef>
          </cat>
          <val>
            <numRef>
              <f>'PRESSION_BAMAKO'!$F$5:$F$10</f>
            </numRef>
          </val>
        </ser>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title>
          <tx>
            <rich>
              <a:bodyPr xmlns:a="http://schemas.openxmlformats.org/drawingml/2006/main"/>
              <a:p xmlns:a="http://schemas.openxmlformats.org/drawingml/2006/main">
                <a:pPr>
                  <a:defRPr/>
                </a:pPr>
                <a:r>
                  <a:t>Incidents</a:t>
                </a:r>
              </a:p>
            </rich>
          </tx>
        </title>
        <majorTickMark val="none"/>
        <minorTickMark val="none"/>
        <crossAx val="10"/>
      </valAx>
    </plotArea>
    <legend>
      <legendPos val="b"/>
    </legend>
    <plotVisOnly val="1"/>
    <dispBlanksAs val="gap"/>
  </chart>
</chartSpace>
</file>

<file path=xl/charts/chart10.xml><?xml version="1.0" encoding="utf-8"?>
<chartSpace xmlns="http://schemas.openxmlformats.org/drawingml/2006/chart">
  <chart>
    <title>
      <tx>
        <rich>
          <a:bodyPr xmlns:a="http://schemas.openxmlformats.org/drawingml/2006/main"/>
          <a:p xmlns:a="http://schemas.openxmlformats.org/drawingml/2006/main">
            <a:pPr>
              <a:defRPr/>
            </a:pPr>
            <a:r>
              <a:t>Corroboration des incidents</a:t>
            </a:r>
          </a:p>
        </rich>
      </tx>
    </title>
    <plotArea>
      <pieChart>
        <varyColors val="1"/>
        <ser>
          <idx val="0"/>
          <order val="0"/>
          <tx>
            <strRef>
              <f>'QUALITE_SOURCES'!H4</f>
            </strRef>
          </tx>
          <spPr>
            <a:ln xmlns:a="http://schemas.openxmlformats.org/drawingml/2006/main">
              <a:prstDash val="solid"/>
            </a:ln>
          </spPr>
          <dPt>
            <idx val="0"/>
            <spPr>
              <a:solidFill xmlns:a="http://schemas.openxmlformats.org/drawingml/2006/main">
                <a:srgbClr val="4F8A3C"/>
              </a:solidFill>
              <a:ln xmlns:a="http://schemas.openxmlformats.org/drawingml/2006/main">
                <a:prstDash val="solid"/>
              </a:ln>
            </spPr>
          </dPt>
          <dPt>
            <idx val="1"/>
            <spPr>
              <a:solidFill xmlns:a="http://schemas.openxmlformats.org/drawingml/2006/main">
                <a:srgbClr val="D1A20F"/>
              </a:solidFill>
              <a:ln xmlns:a="http://schemas.openxmlformats.org/drawingml/2006/main">
                <a:prstDash val="solid"/>
              </a:ln>
            </spPr>
          </dPt>
          <dPt>
            <idx val="2"/>
            <spPr>
              <a:solidFill xmlns:a="http://schemas.openxmlformats.org/drawingml/2006/main">
                <a:srgbClr val="E2701C"/>
              </a:solidFill>
              <a:ln xmlns:a="http://schemas.openxmlformats.org/drawingml/2006/main">
                <a:prstDash val="solid"/>
              </a:ln>
            </spPr>
          </dPt>
          <dPt>
            <idx val="3"/>
            <spPr>
              <a:solidFill xmlns:a="http://schemas.openxmlformats.org/drawingml/2006/main">
                <a:srgbClr val="C8102E"/>
              </a:solidFill>
              <a:ln xmlns:a="http://schemas.openxmlformats.org/drawingml/2006/main">
                <a:prstDash val="solid"/>
              </a:ln>
            </spPr>
          </dPt>
          <cat>
            <numRef>
              <f>'QUALITE_SOURCES'!$G$5:$G$8</f>
            </numRef>
          </cat>
          <val>
            <numRef>
              <f>'QUALITE_SOURCES'!$H$5:$H$8</f>
            </numRef>
          </val>
        </ser>
        <dLbls>
          <showLegendKey val="0"/>
          <showVal val="1"/>
          <showCatName val="0"/>
          <showSerName val="0"/>
          <showPercent val="0"/>
          <showLeaderLines val="0"/>
        </dLbls>
        <firstSliceAng val="0"/>
      </pieChart>
    </plotArea>
    <legend>
      <legendPos val="r"/>
    </legend>
    <plotVisOnly val="1"/>
    <dispBlanksAs val="gap"/>
  </chart>
</chartSpace>
</file>

<file path=xl/comments/comment1.xml><?xml version="1.0" encoding="utf-8"?>
<comments xmlns="http://schemas.openxmlformats.org/spreadsheetml/2006/main">
  <authors>
    <author>Observatoire</author>
  </authors>
  <commentList>
    <comment ref="A1" authorId="0" shapeId="0">
      <text>
        <t>Base source : DATA_CARTOGRAPHIE (compilations Naïm TOURÉ). Colonnes « géocodées » : jointure spatiale des coordonnées sur geoBoundaries. Les colonnes en formule (semaine, période, total, distance, liens) se recalculent automatiquement.</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 Type="http://schemas.openxmlformats.org/officeDocument/2006/relationships/image" Target="/xl/media/image3.png" Id="rId2"/><Relationship Type="http://schemas.openxmlformats.org/officeDocument/2006/relationships/image" Target="/xl/media/image4.png" Id="rId3"/></Relationships>
</file>

<file path=xl/drawings/_rels/drawing3.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4.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s>
</file>

<file path=xl/drawings/_rels/drawing5.xml.rels><Relationships xmlns="http://schemas.openxmlformats.org/package/2006/relationships"><Relationship Type="http://schemas.openxmlformats.org/officeDocument/2006/relationships/chart" Target="/xl/charts/chart5.xml" Id="rId1"/><Relationship Type="http://schemas.openxmlformats.org/officeDocument/2006/relationships/chart" Target="/xl/charts/chart6.xml" Id="rId2"/></Relationships>
</file>

<file path=xl/drawings/_rels/drawing6.xml.rels><Relationships xmlns="http://schemas.openxmlformats.org/package/2006/relationships"><Relationship Type="http://schemas.openxmlformats.org/officeDocument/2006/relationships/chart" Target="/xl/charts/chart7.xml" Id="rId1"/><Relationship Type="http://schemas.openxmlformats.org/officeDocument/2006/relationships/chart" Target="/xl/charts/chart8.xml" Id="rId2"/></Relationships>
</file>

<file path=xl/drawings/_rels/drawing7.xml.rels><Relationships xmlns="http://schemas.openxmlformats.org/package/2006/relationships"><Relationship Type="http://schemas.openxmlformats.org/officeDocument/2006/relationships/chart" Target="/xl/charts/chart9.xml" Id="rId1"/></Relationships>
</file>

<file path=xl/drawings/_rels/drawing8.xml.rels><Relationships xmlns="http://schemas.openxmlformats.org/package/2006/relationships"><Relationship Type="http://schemas.openxmlformats.org/officeDocument/2006/relationships/chart" Target="/xl/charts/chart10.xml" Id="rId1"/></Relationships>
</file>

<file path=xl/drawings/drawing1.xml><?xml version="1.0" encoding="utf-8"?>
<wsDr xmlns="http://schemas.openxmlformats.org/drawingml/2006/spreadsheetDrawing">
  <oneCellAnchor>
    <from>
      <col>1</col>
      <colOff>0</colOff>
      <row>31</row>
      <rowOff>0</rowOff>
    </from>
    <ext cx="6667500" cy="43624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1</col>
      <colOff>0</colOff>
      <row>6</row>
      <rowOff>0</rowOff>
    </from>
    <ext cx="10287000" cy="6734175"/>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1</col>
      <colOff>0</colOff>
      <row>44</row>
      <rowOff>0</rowOff>
    </from>
    <ext cx="10287000" cy="6734175"/>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82</row>
      <rowOff>0</rowOff>
    </from>
    <ext cx="10287000" cy="6734175"/>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1</col>
      <colOff>0</colOff>
      <row>16</row>
      <rowOff>0</rowOff>
    </from>
    <ext cx="6480000" cy="30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8</col>
      <colOff>0</colOff>
      <row>16</row>
      <rowOff>0</rowOff>
    </from>
    <ext cx="6480000" cy="306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4.xml><?xml version="1.0" encoding="utf-8"?>
<wsDr xmlns="http://schemas.openxmlformats.org/drawingml/2006/spreadsheetDrawing">
  <oneCellAnchor>
    <from>
      <col>1</col>
      <colOff>0</colOff>
      <row>20</row>
      <rowOff>0</rowOff>
    </from>
    <ext cx="4320000" cy="30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7</col>
      <colOff>0</colOff>
      <row>20</row>
      <rowOff>0</rowOff>
    </from>
    <ext cx="6480000" cy="306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5.xml><?xml version="1.0" encoding="utf-8"?>
<wsDr xmlns="http://schemas.openxmlformats.org/drawingml/2006/spreadsheetDrawing">
  <oneCellAnchor>
    <from>
      <col>1</col>
      <colOff>0</colOff>
      <row>17</row>
      <rowOff>0</rowOff>
    </from>
    <ext cx="7920000" cy="306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11</col>
      <colOff>0</colOff>
      <row>17</row>
      <rowOff>0</rowOff>
    </from>
    <ext cx="5760000" cy="306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6.xml><?xml version="1.0" encoding="utf-8"?>
<wsDr xmlns="http://schemas.openxmlformats.org/drawingml/2006/spreadsheetDrawing">
  <oneCellAnchor>
    <from>
      <col>1</col>
      <colOff>0</colOff>
      <row>18</row>
      <rowOff>0</rowOff>
    </from>
    <ext cx="5760000" cy="324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9</col>
      <colOff>0</colOff>
      <row>18</row>
      <rowOff>0</rowOff>
    </from>
    <ext cx="5760000" cy="32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drawings/drawing7.xml><?xml version="1.0" encoding="utf-8"?>
<wsDr xmlns="http://schemas.openxmlformats.org/drawingml/2006/spreadsheetDrawing">
  <oneCellAnchor>
    <from>
      <col>9</col>
      <colOff>0</colOff>
      <row>3</row>
      <rowOff>0</rowOff>
    </from>
    <ext cx="540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8.xml><?xml version="1.0" encoding="utf-8"?>
<wsDr xmlns="http://schemas.openxmlformats.org/drawingml/2006/spreadsheetDrawing">
  <oneCellAnchor>
    <from>
      <col>6</col>
      <colOff>0</colOff>
      <row>12</row>
      <rowOff>0</rowOff>
    </from>
    <ext cx="396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tblIncidents" displayName="tblIncidents" ref="A1:AL37" headerRowCount="1">
  <autoFilter ref="A1:AL37"/>
  <tableColumns count="38">
    <tableColumn id="1" name="ID"/>
    <tableColumn id="2" name="Date"/>
    <tableColumn id="3" name="Semaine ISO"/>
    <tableColumn id="4" name="Période"/>
    <tableColumn id="5" name="Pays (géocodé)"/>
    <tableColumn id="6" name="Région (géocodée)"/>
    <tableColumn id="7" name="Cercle (géocodé)"/>
    <tableColumn id="8" name="Région déclarée"/>
    <tableColumn id="9" name="Localité"/>
    <tableColumn id="10" name="Latitude"/>
    <tableColumn id="11" name="Longitude"/>
    <tableColumn id="12" name="Précision géo."/>
    <tableColumn id="13" name="Typologie (source)"/>
    <tableColumn id="14" name="Mode opératoire"/>
    <tableColumn id="15" name="Instigateur"/>
    <tableColumn id="16" name="Instigateur (détail)"/>
    <tableColumn id="17" name="Cible"/>
    <tableColumn id="18" name="Cible (détail)"/>
    <tableColumn id="19" name="Description"/>
    <tableColumn id="20" name="Morts civils"/>
    <tableColumn id="21" name="Blessés civils"/>
    <tableColumn id="22" name="Morts FDS (FAMa)"/>
    <tableColumn id="23" name="Morts Africa Corps"/>
    <tableColumn id="24" name="Morts groupes armés"/>
    <tableColumn id="25" name="Total tués"/>
    <tableColumn id="26" name="Capturés"/>
    <tableColumn id="27" name="Véh./aéronefs détruits"/>
    <tableColumn id="28" name="Véh./aéronefs saisis"/>
    <tableColumn id="29" name="Armement / équipement saisi"/>
    <tableColumn id="30" name="Impact"/>
    <tableColumn id="31" name="Distance Bamako (km)"/>
    <tableColumn id="32" name="Dans le rayon Bamako"/>
    <tableColumn id="33" name="Fiabilité"/>
    <tableColumn id="34" name="Bilan revendiqué seul"/>
    <tableColumn id="35" name="Sources"/>
    <tableColumn id="36" name="Carte OSM"/>
    <tableColumn id="37" name="Google Maps"/>
    <tableColumn id="38" name="Tableau de bord"/>
  </tableColumns>
  <tableStyleInfo name="TableStyleLight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CARTES!A1" TargetMode="External" Id="rId1"/><Relationship Type="http://schemas.openxmlformats.org/officeDocument/2006/relationships/hyperlink" Target="#INCIDENTS!AJ1" TargetMode="External" Id="rId2"/><Relationship Type="http://schemas.openxmlformats.org/officeDocument/2006/relationships/hyperlink" Target="#CARTES!A1" TargetMode="External" Id="rId3"/><Relationship Type="http://schemas.openxmlformats.org/officeDocument/2006/relationships/hyperlink" Target="#PRESSION_BAMAKO!A1" TargetMode="External" Id="rId4"/><Relationship Type="http://schemas.openxmlformats.org/officeDocument/2006/relationships/hyperlink" Target="#INCIDENTS!A1" TargetMode="External" Id="rId5"/><Relationship Type="http://schemas.openxmlformats.org/officeDocument/2006/relationships/hyperlink" Target="#EVALUATION!A1" TargetMode="External" Id="rId6"/><Relationship Type="http://schemas.openxmlformats.org/officeDocument/2006/relationships/hyperlink" Target="#REGIONS!A1" TargetMode="External" Id="rId7"/><Relationship Type="http://schemas.openxmlformats.org/officeDocument/2006/relationships/hyperlink" Target="#QUALITE_SOURCES!A1" TargetMode="External" Id="rId8"/><Relationship Type="http://schemas.openxmlformats.org/officeDocument/2006/relationships/hyperlink" Target="#ACTEURS!A1" TargetMode="External" Id="rId9"/><Relationship Type="http://schemas.openxmlformats.org/officeDocument/2006/relationships/hyperlink" Target="#PARAMETRES!A1" TargetMode="External" Id="rId10"/><Relationship Type="http://schemas.openxmlformats.org/officeDocument/2006/relationships/hyperlink" Target="#CHRONOLOGIE!A1" TargetMode="External" Id="rId11"/><Relationship Type="http://schemas.openxmlformats.org/officeDocument/2006/relationships/hyperlink" Target="#MODE_EMPLOI!A1" TargetMode="External" Id="rId12"/><Relationship Type="http://schemas.openxmlformats.org/officeDocument/2006/relationships/hyperlink" Target="#MODES_CIBLES!A1" TargetMode="External" Id="rId13"/><Relationship Type="http://schemas.openxmlformats.org/officeDocument/2006/relationships/hyperlink" Target="#DICTIONNAIRE!A1" TargetMode="External" Id="rId14"/><Relationship Type="http://schemas.openxmlformats.org/officeDocument/2006/relationships/drawing" Target="/xl/drawings/drawing1.xml" Id="rId15"/></Relationships>
</file>

<file path=xl/worksheets/_rels/sheet2.xml.rels><Relationships xmlns="http://schemas.openxmlformats.org/package/2006/relationships"><Relationship Type="http://schemas.openxmlformats.org/officeDocument/2006/relationships/hyperlink" Target="#ACCUEIL!A1" TargetMode="External" Id="rId1"/><Relationship Type="http://schemas.openxmlformats.org/officeDocument/2006/relationships/drawing" Target="/xl/drawings/drawing2.xml" Id="rId2"/></Relationships>
</file>

<file path=xl/worksheets/_rels/sheet3.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hyperlink" Target="#ACCUEIL!A1" TargetMode="External" Id="rId1"/><Relationship Type="http://schemas.openxmlformats.org/officeDocument/2006/relationships/drawing" Target="/xl/drawings/drawing3.xml" Id="rId2"/></Relationships>
</file>

<file path=xl/worksheets/_rels/sheet5.xml.rels><Relationships xmlns="http://schemas.openxmlformats.org/package/2006/relationships"><Relationship Type="http://schemas.openxmlformats.org/officeDocument/2006/relationships/hyperlink" Target="#ACCUEIL!A1" TargetMode="External" Id="rId1"/><Relationship Type="http://schemas.openxmlformats.org/officeDocument/2006/relationships/drawing" Target="/xl/drawings/drawing4.xml" Id="rId2"/></Relationships>
</file>

<file path=xl/worksheets/_rels/sheet6.xml.rels><Relationships xmlns="http://schemas.openxmlformats.org/package/2006/relationships"><Relationship Type="http://schemas.openxmlformats.org/officeDocument/2006/relationships/hyperlink" Target="#ACCUEIL!A1" TargetMode="External" Id="rId1"/><Relationship Type="http://schemas.openxmlformats.org/officeDocument/2006/relationships/drawing" Target="/xl/drawings/drawing5.xml" Id="rId2"/></Relationships>
</file>

<file path=xl/worksheets/_rels/sheet7.xml.rels><Relationships xmlns="http://schemas.openxmlformats.org/package/2006/relationships"><Relationship Type="http://schemas.openxmlformats.org/officeDocument/2006/relationships/hyperlink" Target="#ACCUEIL!A1" TargetMode="External" Id="rId1"/><Relationship Type="http://schemas.openxmlformats.org/officeDocument/2006/relationships/drawing" Target="/xl/drawings/drawing6.xml" Id="rId2"/></Relationships>
</file>

<file path=xl/worksheets/_rels/sheet8.xml.rels><Relationships xmlns="http://schemas.openxmlformats.org/package/2006/relationships"><Relationship Type="http://schemas.openxmlformats.org/officeDocument/2006/relationships/hyperlink" Target="#ACCUEIL!A1" TargetMode="External" Id="rId1"/><Relationship Type="http://schemas.openxmlformats.org/officeDocument/2006/relationships/hyperlink" Target="#INCIDENTS!A12" TargetMode="External" Id="rId2"/><Relationship Type="http://schemas.openxmlformats.org/officeDocument/2006/relationships/hyperlink" Target="#INCIDENTS!A5" TargetMode="External" Id="rId3"/><Relationship Type="http://schemas.openxmlformats.org/officeDocument/2006/relationships/hyperlink" Target="#INCIDENTS!A32" TargetMode="External" Id="rId4"/><Relationship Type="http://schemas.openxmlformats.org/officeDocument/2006/relationships/hyperlink" Target="#INCIDENTS!A9" TargetMode="External" Id="rId5"/><Relationship Type="http://schemas.openxmlformats.org/officeDocument/2006/relationships/hyperlink" Target="#INCIDENTS!A31" TargetMode="External" Id="rId6"/><Relationship Type="http://schemas.openxmlformats.org/officeDocument/2006/relationships/hyperlink" Target="#INCIDENTS!A13" TargetMode="External" Id="rId7"/><Relationship Type="http://schemas.openxmlformats.org/officeDocument/2006/relationships/hyperlink" Target="#INCIDENTS!A22" TargetMode="External" Id="rId8"/><Relationship Type="http://schemas.openxmlformats.org/officeDocument/2006/relationships/hyperlink" Target="#INCIDENTS!A24" TargetMode="External" Id="rId9"/><Relationship Type="http://schemas.openxmlformats.org/officeDocument/2006/relationships/hyperlink" Target="#INCIDENTS!A18" TargetMode="External" Id="rId10"/><Relationship Type="http://schemas.openxmlformats.org/officeDocument/2006/relationships/drawing" Target="/xl/drawings/drawing7.xml" Id="rId11"/></Relationships>
</file>

<file path=xl/worksheets/_rels/sheet9.xml.rels><Relationships xmlns="http://schemas.openxmlformats.org/package/2006/relationships"><Relationship Type="http://schemas.openxmlformats.org/officeDocument/2006/relationships/hyperlink" Target="#ACCUEIL!A1" TargetMode="External" Id="rId1"/></Relationships>
</file>

<file path=xl/worksheets/_rels/sheet10.xml.rels><Relationships xmlns="http://schemas.openxmlformats.org/package/2006/relationships"><Relationship Type="http://schemas.openxmlformats.org/officeDocument/2006/relationships/hyperlink" Target="#ACCUEIL!A1" TargetMode="External" Id="rId1"/><Relationship Type="http://schemas.openxmlformats.org/officeDocument/2006/relationships/drawing" Target="/xl/drawings/drawing8.xml" Id="rId2"/></Relationships>
</file>

<file path=xl/worksheets/_rels/sheet11.xml.rels><Relationships xmlns="http://schemas.openxmlformats.org/package/2006/relationships"><Relationship Type="http://schemas.openxmlformats.org/officeDocument/2006/relationships/hyperlink" Target="#ACCUEIL!A1" TargetMode="External" Id="rId1"/></Relationships>
</file>

<file path=xl/worksheets/_rels/sheet12.xml.rels><Relationships xmlns="http://schemas.openxmlformats.org/package/2006/relationships"><Relationship Type="http://schemas.openxmlformats.org/officeDocument/2006/relationships/hyperlink" Target="#ACCUEIL!A1" TargetMode="External" Id="rId1"/></Relationships>
</file>

<file path=xl/worksheets/_rels/sheet13.xml.rels><Relationships xmlns="http://schemas.openxmlformats.org/package/2006/relationships"><Relationship Type="http://schemas.openxmlformats.org/officeDocument/2006/relationships/hyperlink" Target="#ACCUEIL!A1" TargetMode="External" Id="rId1"/></Relationships>
</file>

<file path=xl/worksheets/sheet1.xml><?xml version="1.0" encoding="utf-8"?>
<worksheet xmlns="http://schemas.openxmlformats.org/spreadsheetml/2006/main">
  <sheetPr>
    <tabColor rgb="0013202C"/>
    <outlinePr summaryBelow="1" summaryRight="1"/>
    <pageSetUpPr fitToPage="1"/>
  </sheetPr>
  <dimension ref="A1:N31"/>
  <sheetViews>
    <sheetView showGridLines="0" zoomScale="90" workbookViewId="0">
      <selection activeCell="A1" sqref="A1"/>
    </sheetView>
  </sheetViews>
  <sheetFormatPr baseColWidth="8" defaultRowHeight="15"/>
  <cols>
    <col width="2"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2" customWidth="1" min="14" max="14"/>
  </cols>
  <sheetData>
    <row r="1" ht="30" customHeight="1">
      <c r="A1" s="1" t="inlineStr">
        <is>
          <t>OBSERVATOIRE SÉCURITAIRE · MALI — Tableau de bord décisionnel</t>
        </is>
      </c>
      <c r="B1" s="2" t="n"/>
      <c r="C1" s="2" t="n"/>
      <c r="D1" s="2" t="n"/>
      <c r="E1" s="2" t="n"/>
      <c r="F1" s="2" t="n"/>
      <c r="G1" s="2" t="n"/>
      <c r="H1" s="2" t="n"/>
      <c r="I1" s="2" t="n"/>
      <c r="J1" s="2" t="n"/>
      <c r="K1" s="2" t="n"/>
      <c r="L1" s="2" t="n"/>
      <c r="M1" s="2" t="n"/>
      <c r="N1" s="2" t="n"/>
    </row>
    <row r="2" ht="18" customHeight="1">
      <c r="A2" s="3" t="inlineStr">
        <is>
          <t>Période du 31/08/2026 au 26/10/2026 · Sources ouvertes · Diffusion restreinte · Généré le 29/10/2026</t>
        </is>
      </c>
      <c r="B2" s="2" t="n"/>
      <c r="C2" s="2" t="n"/>
      <c r="D2" s="2" t="n"/>
      <c r="E2" s="2" t="n"/>
      <c r="F2" s="2" t="n"/>
      <c r="G2" s="2" t="n"/>
      <c r="H2" s="2" t="n"/>
      <c r="I2" s="2" t="n"/>
      <c r="J2" s="2" t="n"/>
      <c r="K2" s="2" t="n"/>
      <c r="L2" s="2" t="n"/>
      <c r="M2" s="2" t="n"/>
      <c r="N2" s="2" t="n"/>
    </row>
    <row r="4" ht="22" customHeight="1">
      <c r="B4" s="4" t="inlineStr">
        <is>
          <t>Indicateurs clés (calculés depuis INCIDENTS)</t>
        </is>
      </c>
      <c r="C4" s="5" t="n"/>
      <c r="D4" s="5" t="n"/>
      <c r="E4" s="5" t="n"/>
      <c r="F4" s="5" t="n"/>
      <c r="G4" s="5" t="n"/>
      <c r="H4" s="5" t="n"/>
      <c r="I4" s="5" t="n"/>
      <c r="J4" s="5" t="n"/>
      <c r="K4" s="5" t="n"/>
      <c r="L4" s="5" t="n"/>
      <c r="M4" s="5" t="n"/>
    </row>
    <row r="5">
      <c r="B5" s="6" t="inlineStr">
        <is>
          <t>INCIDENTS</t>
        </is>
      </c>
      <c r="C5" s="7" t="n"/>
      <c r="D5" s="6" t="inlineStr">
        <is>
          <t>TUÉS (TOTAL)</t>
        </is>
      </c>
      <c r="E5" s="7" t="n"/>
      <c r="F5" s="8" t="inlineStr">
        <is>
          <t>FDS (FAMA) TUÉS</t>
        </is>
      </c>
      <c r="G5" s="7" t="n"/>
      <c r="H5" s="8" t="inlineStr">
        <is>
          <t>AFRICA CORPS TUÉS</t>
        </is>
      </c>
      <c r="I5" s="7" t="n"/>
      <c r="J5" s="9" t="inlineStr">
        <is>
          <t>COMBATTANTS ARMÉS TUÉS</t>
        </is>
      </c>
      <c r="K5" s="7" t="n"/>
      <c r="L5" s="10" t="inlineStr">
        <is>
          <t>CIVILS TUÉS</t>
        </is>
      </c>
      <c r="M5" s="7" t="n"/>
    </row>
    <row r="6" ht="34" customHeight="1">
      <c r="B6" s="11">
        <f>COUNTA(inc_id)</f>
        <v/>
      </c>
      <c r="C6" s="7" t="n"/>
      <c r="D6" s="11">
        <f>SUM(inc_tues)</f>
        <v/>
      </c>
      <c r="E6" s="7" t="n"/>
      <c r="F6" s="12">
        <f>SUM(inc_fama)</f>
        <v/>
      </c>
      <c r="G6" s="7" t="n"/>
      <c r="H6" s="12">
        <f>SUM(inc_ac)</f>
        <v/>
      </c>
      <c r="I6" s="7" t="n"/>
      <c r="J6" s="13">
        <f>SUM(inc_ga)</f>
        <v/>
      </c>
      <c r="K6" s="7" t="n"/>
      <c r="L6" s="14">
        <f>SUM(inc_civ_k)</f>
        <v/>
      </c>
      <c r="M6" s="7" t="n"/>
    </row>
    <row r="8">
      <c r="B8" s="10" t="inlineStr">
        <is>
          <t>CIVILS BLESSÉS</t>
        </is>
      </c>
      <c r="C8" s="7" t="n"/>
      <c r="D8" s="6" t="inlineStr">
        <is>
          <t>CAPTURÉS</t>
        </is>
      </c>
      <c r="E8" s="7" t="n"/>
      <c r="F8" s="6" t="inlineStr">
        <is>
          <t>VÉH. / AÉRONEFS DÉTRUITS</t>
        </is>
      </c>
      <c r="G8" s="7" t="n"/>
      <c r="H8" s="6" t="inlineStr">
        <is>
          <t>VÉH. / AÉRONEFS SAISIS</t>
        </is>
      </c>
      <c r="I8" s="7" t="n"/>
      <c r="J8" s="15" t="inlineStr">
        <is>
          <t>DANS LE RAYON DE BAMAKO</t>
        </is>
      </c>
      <c r="K8" s="7" t="n"/>
      <c r="L8" s="9" t="inlineStr">
        <is>
          <t>PART DU JNIM</t>
        </is>
      </c>
      <c r="M8" s="7" t="n"/>
    </row>
    <row r="9" ht="34" customHeight="1">
      <c r="B9" s="14">
        <f>SUM(inc_civ_w)</f>
        <v/>
      </c>
      <c r="C9" s="7" t="n"/>
      <c r="D9" s="11">
        <f>SUM(inc_pow)</f>
        <v/>
      </c>
      <c r="E9" s="7" t="n"/>
      <c r="F9" s="11">
        <f>SUM(inc_vehd)</f>
        <v/>
      </c>
      <c r="G9" s="7" t="n"/>
      <c r="H9" s="11">
        <f>SUM(inc_vehs)</f>
        <v/>
      </c>
      <c r="I9" s="7" t="n"/>
      <c r="J9" s="16">
        <f>COUNTIFS(inc_rayon,"Oui")</f>
        <v/>
      </c>
      <c r="K9" s="7" t="n"/>
      <c r="L9" s="17">
        <f>IF(COUNTA(inc_id)=0,0,COUNTIFS(inc_acteur,"JNIM")/COUNTA(inc_id))</f>
        <v/>
      </c>
      <c r="M9" s="7" t="n"/>
    </row>
    <row r="12" ht="22" customHeight="1">
      <c r="B12" s="4" t="inlineStr">
        <is>
          <t>Accès à la cartographie</t>
        </is>
      </c>
      <c r="C12" s="5" t="n"/>
      <c r="D12" s="5" t="n"/>
      <c r="E12" s="5" t="n"/>
      <c r="F12" s="5" t="n"/>
      <c r="G12" s="5" t="n"/>
      <c r="H12" s="5" t="n"/>
      <c r="I12" s="5" t="n"/>
      <c r="J12" s="5" t="n"/>
      <c r="K12" s="5" t="n"/>
      <c r="L12" s="5" t="n"/>
      <c r="M12" s="5" t="n"/>
    </row>
    <row r="13" ht="30" customHeight="1">
      <c r="B13" s="18">
        <f>HYPERLINK(URL_TABLEAU,"▶  Ouvrir le tableau de bord et la carte interactive (en ligne)")</f>
        <v/>
      </c>
      <c r="H13" s="19" t="inlineStr">
        <is>
          <t>Carte WebGL, filtres, animation chronologique, dossiers d'incidents. Nécessite Internet ; lien privé à partager depuis la page.</t>
        </is>
      </c>
    </row>
    <row r="14" ht="30" customHeight="1">
      <c r="B14" s="18">
        <f>HYPERLINK(FICHIER_HTML,"▶  Ouvrir la version locale (fichier HTML)")</f>
        <v/>
      </c>
      <c r="H14" s="19" t="inlineStr">
        <is>
          <t>Le fichier « tableau_de_bord_mali.html » doit être dans le même dossier que ce classeur. Internet requis pour charger le moteur cartographique.</t>
        </is>
      </c>
    </row>
    <row r="15" ht="30" customHeight="1">
      <c r="B15" s="18" t="inlineStr">
        <is>
          <t>▶  Cartes de situation (onglet CARTES)</t>
        </is>
      </c>
      <c r="H15" s="19" t="inlineStr">
        <is>
          <t>Voir les cartes de situation intégrées au classeur (consultables hors ligne et imprimables).</t>
        </is>
      </c>
    </row>
    <row r="16" ht="30" customHeight="1">
      <c r="B16" s="18" t="inlineStr">
        <is>
          <t>▶  Registre des incidents avec liens cartographiques</t>
        </is>
      </c>
      <c r="H16" s="19" t="inlineStr">
        <is>
          <t>Chaque incident possède des liens « OSM ↗ », « Google ↗ » et « Dossier ↗ » (colonnes AJ à AL de INCIDENTS).</t>
        </is>
      </c>
    </row>
    <row r="18" ht="22" customHeight="1">
      <c r="B18" s="4" t="inlineStr">
        <is>
          <t>L'essentiel</t>
        </is>
      </c>
      <c r="C18" s="5" t="n"/>
      <c r="D18" s="5" t="n"/>
      <c r="E18" s="5" t="n"/>
      <c r="F18" s="5" t="n"/>
      <c r="G18" s="5" t="n"/>
      <c r="H18" s="5" t="n"/>
      <c r="I18" s="5" t="n"/>
      <c r="J18" s="5" t="n"/>
      <c r="K18" s="5" t="n"/>
      <c r="L18" s="5" t="n"/>
      <c r="M18" s="5" t="n"/>
    </row>
    <row r="19" ht="32" customHeight="1">
      <c r="B19" s="20" t="inlineStr">
        <is>
          <t>Le JNIM mène l'initiative.</t>
        </is>
      </c>
      <c r="F19" s="21" t="inlineStr">
        <is>
          <t>21 des 36 incidents (58 %), dont 16 à Ségou et Mopti ; à l'origine de 92 % des FDS maliennes tuées (192 sur 208).</t>
        </is>
      </c>
    </row>
    <row r="20" ht="32" customHeight="1">
      <c r="B20" s="20" t="inlineStr">
        <is>
          <t>La pression se rapproche de Bamako.</t>
        </is>
      </c>
      <c r="F20" s="21" t="inlineStr">
        <is>
          <t>9 incidents à moins de 300 km, dont un poste pris à Kassela (32 km). Six attaques visent des axes routiers : asphyxie logistique.</t>
        </is>
      </c>
    </row>
    <row r="21" ht="32" customHeight="1">
      <c r="B21" s="22" t="inlineStr">
        <is>
          <t>Les frappes aériennes causent toutes les morts civiles recensées.</t>
        </is>
      </c>
      <c r="F21" s="21" t="inlineStr">
        <is>
          <t>28 civils tués sur 28 lors de quatre frappes FAMa / Africa Corps ; ×3 entre P1 et P2 (7 → 21).</t>
        </is>
      </c>
    </row>
    <row r="22" ht="32" customHeight="1">
      <c r="B22" s="22" t="inlineStr">
        <is>
          <t>La guerre JNIM – EI-Sahel saigne le Liptako.</t>
        </is>
      </c>
      <c r="F22" s="21" t="inlineStr">
        <is>
          <t>Deux batailles revendiquées : 600 tués, 64 % de la létalité de la base. Bilans à confirmer (double comptage possible).</t>
        </is>
      </c>
    </row>
    <row r="24" ht="22" customHeight="1">
      <c r="B24" s="4" t="inlineStr">
        <is>
          <t>Sommaire</t>
        </is>
      </c>
      <c r="C24" s="5" t="n"/>
      <c r="D24" s="5" t="n"/>
      <c r="E24" s="5" t="n"/>
      <c r="F24" s="5" t="n"/>
      <c r="G24" s="5" t="n"/>
      <c r="H24" s="5" t="n"/>
      <c r="I24" s="5" t="n"/>
      <c r="J24" s="5" t="n"/>
      <c r="K24" s="5" t="n"/>
      <c r="L24" s="5" t="n"/>
      <c r="M24" s="5" t="n"/>
    </row>
    <row r="25">
      <c r="B25" s="23" t="inlineStr">
        <is>
          <t>CARTES</t>
        </is>
      </c>
      <c r="D25" s="24" t="inlineStr">
        <is>
          <t>Cartes de situation (3 cartes)</t>
        </is>
      </c>
      <c r="H25" s="23" t="inlineStr">
        <is>
          <t>PRESSION_BAMAKO</t>
        </is>
      </c>
      <c r="J25" s="24" t="inlineStr">
        <is>
          <t>Distance à la capitale</t>
        </is>
      </c>
    </row>
    <row r="26">
      <c r="B26" s="23" t="inlineStr">
        <is>
          <t>INCIDENTS</t>
        </is>
      </c>
      <c r="D26" s="24" t="inlineStr">
        <is>
          <t>Registre enrichi des 36 incidents, liens cartographiques</t>
        </is>
      </c>
      <c r="H26" s="23" t="inlineStr">
        <is>
          <t>EVALUATION</t>
        </is>
      </c>
      <c r="J26" s="24" t="inlineStr">
        <is>
          <t>Jugements clés, scénarios, alertes, recommandations</t>
        </is>
      </c>
    </row>
    <row r="27">
      <c r="B27" s="23" t="inlineStr">
        <is>
          <t>REGIONS</t>
        </is>
      </c>
      <c r="D27" s="24" t="inlineStr">
        <is>
          <t>Synthèse régionale et indice de menace</t>
        </is>
      </c>
      <c r="H27" s="23" t="inlineStr">
        <is>
          <t>QUALITE_SOURCES</t>
        </is>
      </c>
      <c r="J27" s="24" t="inlineStr">
        <is>
          <t>Fiabilité, sources, limites</t>
        </is>
      </c>
    </row>
    <row r="28">
      <c r="B28" s="23" t="inlineStr">
        <is>
          <t>ACTEURS</t>
        </is>
      </c>
      <c r="D28" s="24" t="inlineStr">
        <is>
          <t>Synthèse par acteur, matrice acteur × mode</t>
        </is>
      </c>
      <c r="H28" s="23" t="inlineStr">
        <is>
          <t>PARAMETRES</t>
        </is>
      </c>
      <c r="J28" s="24" t="inlineStr">
        <is>
          <t>Hypothèses modifiables (période, rayon, poids de l'indice)</t>
        </is>
      </c>
    </row>
    <row r="29">
      <c r="B29" s="23" t="inlineStr">
        <is>
          <t>CHRONOLOGIE</t>
        </is>
      </c>
      <c r="D29" s="24" t="inlineStr">
        <is>
          <t>Rythme hebdomadaire, comparaison P1 / P2</t>
        </is>
      </c>
      <c r="H29" s="23" t="inlineStr">
        <is>
          <t>MODE_EMPLOI</t>
        </is>
      </c>
      <c r="J29" s="24" t="inlineStr">
        <is>
          <t>Ouvrir la carte depuis Excel, résolution des problèmes</t>
        </is>
      </c>
    </row>
    <row r="30">
      <c r="B30" s="23" t="inlineStr">
        <is>
          <t>MODES_CIBLES</t>
        </is>
      </c>
      <c r="D30" s="24" t="inlineStr">
        <is>
          <t>Modes opératoires et cibles</t>
        </is>
      </c>
      <c r="H30" s="23" t="inlineStr">
        <is>
          <t>DICTIONNAIRE</t>
        </is>
      </c>
      <c r="J30" s="24" t="inlineStr">
        <is>
          <t>Définition des colonnes</t>
        </is>
      </c>
    </row>
    <row r="31">
      <c r="B31" s="25" t="inlineStr">
        <is>
          <t>Carte de situation — cliquez « Ouvrir le tableau de bord » pour la version interactive</t>
        </is>
      </c>
    </row>
  </sheetData>
  <mergeCells count="64">
    <mergeCell ref="J5:K5"/>
    <mergeCell ref="B14:G14"/>
    <mergeCell ref="B25:C25"/>
    <mergeCell ref="D25:G25"/>
    <mergeCell ref="H29:I29"/>
    <mergeCell ref="F19:M19"/>
    <mergeCell ref="D30:G30"/>
    <mergeCell ref="F6:G6"/>
    <mergeCell ref="B13:G13"/>
    <mergeCell ref="B20:E20"/>
    <mergeCell ref="B27:C27"/>
    <mergeCell ref="D29:G29"/>
    <mergeCell ref="H9:I9"/>
    <mergeCell ref="H30:I30"/>
    <mergeCell ref="H16:M16"/>
    <mergeCell ref="J9:K9"/>
    <mergeCell ref="D6:E6"/>
    <mergeCell ref="H25:I25"/>
    <mergeCell ref="D26:G26"/>
    <mergeCell ref="H6:I6"/>
    <mergeCell ref="J6:K6"/>
    <mergeCell ref="F21:M21"/>
    <mergeCell ref="F5:G5"/>
    <mergeCell ref="F20:M20"/>
    <mergeCell ref="H13:M13"/>
    <mergeCell ref="L5:M5"/>
    <mergeCell ref="J29:M29"/>
    <mergeCell ref="L8:M8"/>
    <mergeCell ref="B8:C8"/>
    <mergeCell ref="B15:G15"/>
    <mergeCell ref="B22:E22"/>
    <mergeCell ref="F8:G8"/>
    <mergeCell ref="J28:M28"/>
    <mergeCell ref="H15:M15"/>
    <mergeCell ref="B29:C29"/>
    <mergeCell ref="H14:M14"/>
    <mergeCell ref="B21:E21"/>
    <mergeCell ref="B28:C28"/>
    <mergeCell ref="J25:M25"/>
    <mergeCell ref="F22:M22"/>
    <mergeCell ref="J30:M30"/>
    <mergeCell ref="H28:I28"/>
    <mergeCell ref="B9:C9"/>
    <mergeCell ref="D27:G27"/>
    <mergeCell ref="D9:E9"/>
    <mergeCell ref="F9:G9"/>
    <mergeCell ref="L9:M9"/>
    <mergeCell ref="H27:I27"/>
    <mergeCell ref="D8:E8"/>
    <mergeCell ref="B16:G16"/>
    <mergeCell ref="B6:C6"/>
    <mergeCell ref="B30:C30"/>
    <mergeCell ref="J27:M27"/>
    <mergeCell ref="B26:C26"/>
    <mergeCell ref="L6:M6"/>
    <mergeCell ref="J26:M26"/>
    <mergeCell ref="B5:C5"/>
    <mergeCell ref="D5:E5"/>
    <mergeCell ref="H5:I5"/>
    <mergeCell ref="B19:E19"/>
    <mergeCell ref="H8:I8"/>
    <mergeCell ref="J8:K8"/>
    <mergeCell ref="D28:G28"/>
    <mergeCell ref="H26:I26"/>
  </mergeCells>
  <hyperlinks>
    <hyperlink xmlns:r="http://schemas.openxmlformats.org/officeDocument/2006/relationships" ref="B15" r:id="rId1"/>
    <hyperlink xmlns:r="http://schemas.openxmlformats.org/officeDocument/2006/relationships" ref="B16" r:id="rId2"/>
    <hyperlink xmlns:r="http://schemas.openxmlformats.org/officeDocument/2006/relationships" ref="B25" r:id="rId3"/>
    <hyperlink xmlns:r="http://schemas.openxmlformats.org/officeDocument/2006/relationships" ref="H25" r:id="rId4"/>
    <hyperlink xmlns:r="http://schemas.openxmlformats.org/officeDocument/2006/relationships" ref="B26" r:id="rId5"/>
    <hyperlink xmlns:r="http://schemas.openxmlformats.org/officeDocument/2006/relationships" ref="H26" r:id="rId6"/>
    <hyperlink xmlns:r="http://schemas.openxmlformats.org/officeDocument/2006/relationships" ref="B27" r:id="rId7"/>
    <hyperlink xmlns:r="http://schemas.openxmlformats.org/officeDocument/2006/relationships" ref="H27" r:id="rId8"/>
    <hyperlink xmlns:r="http://schemas.openxmlformats.org/officeDocument/2006/relationships" ref="B28" r:id="rId9"/>
    <hyperlink xmlns:r="http://schemas.openxmlformats.org/officeDocument/2006/relationships" ref="H28" r:id="rId10"/>
    <hyperlink xmlns:r="http://schemas.openxmlformats.org/officeDocument/2006/relationships" ref="B29" r:id="rId11"/>
    <hyperlink xmlns:r="http://schemas.openxmlformats.org/officeDocument/2006/relationships" ref="H29" r:id="rId12"/>
    <hyperlink xmlns:r="http://schemas.openxmlformats.org/officeDocument/2006/relationships" ref="B30" r:id="rId13"/>
    <hyperlink xmlns:r="http://schemas.openxmlformats.org/officeDocument/2006/relationships" ref="H30" r:id="rId14"/>
  </hyperlinks>
  <printOptions horizontalCentered="1"/>
  <pageMargins left="0.4" right="0.4" top="1" bottom="1" header="0.5" footer="0.5"/>
  <pageSetup orientation="landscape" paperSize="9" fitToHeight="0" fitToWidth="1"/>
  <headerFooter>
    <oddHeader/>
    <oddFooter>&amp;LObservatoire sécuritaire Mali · Sources ouvertes · Diffusion restreinte&amp;R&amp;A · page &amp;P / &amp;N</oddFooter>
    <evenHeader/>
    <evenFooter/>
    <firstHeader/>
    <firstFooter/>
  </headerFooter>
  <drawing xmlns:r="http://schemas.openxmlformats.org/officeDocument/2006/relationships" r:id="rId15"/>
</worksheet>
</file>

<file path=xl/worksheets/sheet2.xml><?xml version="1.0" encoding="utf-8"?>
<worksheet xmlns="http://schemas.openxmlformats.org/spreadsheetml/2006/main">
  <sheetPr>
    <tabColor rgb="000F7C86"/>
    <outlinePr summaryBelow="1" summaryRight="1"/>
    <pageSetUpPr fitToPage="1"/>
  </sheetPr>
  <dimension ref="A1:R120"/>
  <sheetViews>
    <sheetView showGridLines="0" zoomScale="90" workbookViewId="0">
      <selection activeCell="A1" sqref="A1"/>
    </sheetView>
  </sheetViews>
  <sheetFormatPr baseColWidth="8" defaultRowHeight="15"/>
  <cols>
    <col width="9" customWidth="1" min="1" max="1"/>
    <col width="9" customWidth="1" min="2" max="2"/>
    <col width="9" customWidth="1" min="3" max="3"/>
    <col width="9" customWidth="1" min="4" max="4"/>
    <col width="9" customWidth="1" min="5" max="5"/>
    <col width="9" customWidth="1" min="6" max="6"/>
    <col width="9" customWidth="1" min="7" max="7"/>
    <col width="9"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 width="9" customWidth="1" min="17" max="17"/>
    <col width="9" customWidth="1" min="18" max="18"/>
  </cols>
  <sheetData>
    <row r="1" ht="30" customHeight="1">
      <c r="A1" s="1" t="inlineStr">
        <is>
          <t>Cartes de situation</t>
        </is>
      </c>
      <c r="B1" s="2" t="n"/>
      <c r="C1" s="2" t="n"/>
      <c r="D1" s="2" t="n"/>
      <c r="E1" s="2" t="n"/>
      <c r="F1" s="2" t="n"/>
      <c r="G1" s="2" t="n"/>
      <c r="H1" s="2" t="n"/>
      <c r="I1" s="2" t="n"/>
      <c r="J1" s="2" t="n"/>
      <c r="K1" s="2" t="n"/>
      <c r="L1" s="2" t="n"/>
      <c r="M1" s="2" t="n"/>
      <c r="N1" s="2" t="n"/>
      <c r="O1" s="2" t="n"/>
      <c r="P1" s="2" t="n"/>
      <c r="Q1" s="2" t="n"/>
      <c r="R1" s="26" t="inlineStr">
        <is>
          <t>◄ Accueil</t>
        </is>
      </c>
    </row>
    <row r="2" ht="18" customHeight="1">
      <c r="A2" s="3" t="inlineStr">
        <is>
          <t>Instantanés du tableau de bord interactif. Pour zoomer, filtrer et animer : liens ci-dessous.</t>
        </is>
      </c>
      <c r="B2" s="2" t="n"/>
      <c r="C2" s="2" t="n"/>
      <c r="D2" s="2" t="n"/>
      <c r="E2" s="2" t="n"/>
      <c r="F2" s="2" t="n"/>
      <c r="G2" s="2" t="n"/>
      <c r="H2" s="2" t="n"/>
      <c r="I2" s="2" t="n"/>
      <c r="J2" s="2" t="n"/>
      <c r="K2" s="2" t="n"/>
      <c r="L2" s="2" t="n"/>
      <c r="M2" s="2" t="n"/>
      <c r="N2" s="2" t="n"/>
      <c r="O2" s="2" t="n"/>
      <c r="P2" s="2" t="n"/>
      <c r="Q2" s="2" t="n"/>
      <c r="R2" s="2" t="n"/>
    </row>
    <row r="4">
      <c r="B4" s="23">
        <f>HYPERLINK(URL_TABLEAU,"▶ Ouvrir la carte interactive (en ligne)")</f>
        <v/>
      </c>
      <c r="G4" s="23">
        <f>HYPERLINK(FICHIER_HTML,"▶ Ouvrir le fichier HTML local (même dossier)")</f>
        <v/>
      </c>
      <c r="L4" s="23">
        <f>HYPERLINK("https://www.openstreetmap.org/#map=6/16.5/-3.5","▶ Fond OpenStreetMap du Mali")</f>
        <v/>
      </c>
    </row>
    <row r="6">
      <c r="B6" s="27" t="inlineStr">
        <is>
          <t>Carte 1 — Situation générale : incidents par acteur (taille ∝ √ tués), indice de menace régional, axes routiers, fleuve Niger, rayons de 50 / 150 / 300 km autour de Bamako.</t>
        </is>
      </c>
    </row>
    <row r="44">
      <c r="B44" s="27" t="inlineStr">
        <is>
          <t>Carte 2 — Zoom Mali central (Koulikoro – Ségou – Mopti) : guerre des axes et pression sur Bamako.</t>
        </is>
      </c>
    </row>
    <row r="82">
      <c r="B82" s="27" t="inlineStr">
        <is>
          <t>Carte 3 — Densité 3D : hexagones de 30 km, hauteur et couleur = Σ(1 + √tués).</t>
        </is>
      </c>
    </row>
    <row r="120">
      <c r="B120" s="28" t="inlineStr">
        <is>
          <t>Fonds : geoBoundaries (CC BY 4.0), Natural Earth. Données : compilations Naïm TOURÉ, 31/08 – 26/10/2026.</t>
        </is>
      </c>
    </row>
  </sheetData>
  <hyperlinks>
    <hyperlink xmlns:r="http://schemas.openxmlformats.org/officeDocument/2006/relationships" ref="R1" r:id="rId1"/>
  </hyperlinks>
  <printOptions horizontalCentered="1"/>
  <pageMargins left="0.4" right="0.4" top="1" bottom="1" header="0.5" footer="0.5"/>
  <pageSetup orientation="landscape" paperSize="9" fitToHeight="0" fitToWidth="1"/>
  <headerFooter>
    <oddHeader/>
    <oddFooter>&amp;LObservatoire sécuritaire Mali · Sources ouvertes · Diffusion restreinte&amp;R&amp;A · page &amp;P / &amp;N</oddFooter>
    <evenHeader/>
    <evenFooter/>
    <firstHeader/>
    <firstFooter/>
  </headerFooter>
  <drawing xmlns:r="http://schemas.openxmlformats.org/officeDocument/2006/relationships" r:id="rId2"/>
</worksheet>
</file>

<file path=xl/worksheets/sheet3.xml><?xml version="1.0" encoding="utf-8"?>
<worksheet xmlns="http://schemas.openxmlformats.org/spreadsheetml/2006/main">
  <sheetPr>
    <tabColor rgb="000F7C86"/>
    <outlinePr summaryBelow="1" summaryRight="1"/>
    <pageSetUpPr fitToPage="1"/>
  </sheetPr>
  <dimension ref="A1:AL37"/>
  <sheetViews>
    <sheetView zoomScale="90"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11" customWidth="1" min="2" max="2"/>
    <col width="9" customWidth="1" min="3" max="3"/>
    <col width="8" customWidth="1" min="4" max="4"/>
    <col width="12" customWidth="1" min="5" max="5"/>
    <col width="15" customWidth="1" min="6" max="6"/>
    <col width="14" customWidth="1" min="7" max="7"/>
    <col width="18" customWidth="1" min="8" max="8"/>
    <col width="24" customWidth="1" min="9" max="9"/>
    <col width="9" customWidth="1" min="10" max="10"/>
    <col width="9" customWidth="1" min="11" max="11"/>
    <col width="12" customWidth="1" min="12" max="12"/>
    <col width="24" customWidth="1" min="13" max="13"/>
    <col width="20" customWidth="1" min="14" max="14"/>
    <col width="16" customWidth="1" min="15" max="15"/>
    <col width="22" customWidth="1" min="16" max="16"/>
    <col width="16" customWidth="1" min="17" max="17"/>
    <col width="22" customWidth="1" min="18" max="18"/>
    <col width="60" customWidth="1" min="19" max="19"/>
    <col width="8" customWidth="1" min="20" max="20"/>
    <col width="8" customWidth="1" min="21" max="21"/>
    <col width="8" customWidth="1" min="22" max="22"/>
    <col width="8" customWidth="1" min="23" max="23"/>
    <col width="8" customWidth="1" min="24" max="24"/>
    <col width="8" customWidth="1" min="25" max="25"/>
    <col width="8" customWidth="1" min="26" max="26"/>
    <col width="9" customWidth="1" min="27" max="27"/>
    <col width="9" customWidth="1" min="28" max="28"/>
    <col width="26" customWidth="1" min="29" max="29"/>
    <col width="26" customWidth="1" min="30" max="30"/>
    <col width="10" customWidth="1" min="31" max="31"/>
    <col width="9" customWidth="1" min="32" max="32"/>
    <col width="16" customWidth="1" min="33" max="33"/>
    <col width="10" customWidth="1" min="34" max="34"/>
    <col width="30" customWidth="1" min="35" max="35"/>
    <col width="11" customWidth="1" min="36" max="36"/>
    <col width="11" customWidth="1" min="37" max="37"/>
    <col width="12" customWidth="1" min="38" max="38"/>
  </cols>
  <sheetData>
    <row r="1" ht="30" customHeight="1">
      <c r="A1" s="29" t="inlineStr">
        <is>
          <t>ID</t>
        </is>
      </c>
      <c r="B1" s="29" t="inlineStr">
        <is>
          <t>Date</t>
        </is>
      </c>
      <c r="C1" s="29" t="inlineStr">
        <is>
          <t>Semaine ISO</t>
        </is>
      </c>
      <c r="D1" s="29" t="inlineStr">
        <is>
          <t>Période</t>
        </is>
      </c>
      <c r="E1" s="29" t="inlineStr">
        <is>
          <t>Pays (géocodé)</t>
        </is>
      </c>
      <c r="F1" s="29" t="inlineStr">
        <is>
          <t>Région (géocodée)</t>
        </is>
      </c>
      <c r="G1" s="29" t="inlineStr">
        <is>
          <t>Cercle (géocodé)</t>
        </is>
      </c>
      <c r="H1" s="29" t="inlineStr">
        <is>
          <t>Région déclarée</t>
        </is>
      </c>
      <c r="I1" s="29" t="inlineStr">
        <is>
          <t>Localité</t>
        </is>
      </c>
      <c r="J1" s="29" t="inlineStr">
        <is>
          <t>Latitude</t>
        </is>
      </c>
      <c r="K1" s="29" t="inlineStr">
        <is>
          <t>Longitude</t>
        </is>
      </c>
      <c r="L1" s="29" t="inlineStr">
        <is>
          <t>Précision géo.</t>
        </is>
      </c>
      <c r="M1" s="29" t="inlineStr">
        <is>
          <t>Typologie (source)</t>
        </is>
      </c>
      <c r="N1" s="29" t="inlineStr">
        <is>
          <t>Mode opératoire</t>
        </is>
      </c>
      <c r="O1" s="29" t="inlineStr">
        <is>
          <t>Instigateur</t>
        </is>
      </c>
      <c r="P1" s="29" t="inlineStr">
        <is>
          <t>Instigateur (détail)</t>
        </is>
      </c>
      <c r="Q1" s="29" t="inlineStr">
        <is>
          <t>Cible</t>
        </is>
      </c>
      <c r="R1" s="29" t="inlineStr">
        <is>
          <t>Cible (détail)</t>
        </is>
      </c>
      <c r="S1" s="29" t="inlineStr">
        <is>
          <t>Description</t>
        </is>
      </c>
      <c r="T1" s="29" t="inlineStr">
        <is>
          <t>Morts civils</t>
        </is>
      </c>
      <c r="U1" s="29" t="inlineStr">
        <is>
          <t>Blessés civils</t>
        </is>
      </c>
      <c r="V1" s="29" t="inlineStr">
        <is>
          <t>Morts FDS (FAMa)</t>
        </is>
      </c>
      <c r="W1" s="29" t="inlineStr">
        <is>
          <t>Morts Africa Corps</t>
        </is>
      </c>
      <c r="X1" s="29" t="inlineStr">
        <is>
          <t>Morts groupes armés</t>
        </is>
      </c>
      <c r="Y1" s="29" t="inlineStr">
        <is>
          <t>Total tués</t>
        </is>
      </c>
      <c r="Z1" s="29" t="inlineStr">
        <is>
          <t>Capturés</t>
        </is>
      </c>
      <c r="AA1" s="29" t="inlineStr">
        <is>
          <t>Véh./aéronefs détruits</t>
        </is>
      </c>
      <c r="AB1" s="29" t="inlineStr">
        <is>
          <t>Véh./aéronefs saisis</t>
        </is>
      </c>
      <c r="AC1" s="29" t="inlineStr">
        <is>
          <t>Armement / équipement saisi</t>
        </is>
      </c>
      <c r="AD1" s="29" t="inlineStr">
        <is>
          <t>Impact</t>
        </is>
      </c>
      <c r="AE1" s="29" t="inlineStr">
        <is>
          <t>Distance Bamako (km)</t>
        </is>
      </c>
      <c r="AF1" s="29" t="inlineStr">
        <is>
          <t>Dans le rayon Bamako</t>
        </is>
      </c>
      <c r="AG1" s="29" t="inlineStr">
        <is>
          <t>Fiabilité</t>
        </is>
      </c>
      <c r="AH1" s="29" t="inlineStr">
        <is>
          <t>Bilan revendiqué seul</t>
        </is>
      </c>
      <c r="AI1" s="29" t="inlineStr">
        <is>
          <t>Sources</t>
        </is>
      </c>
      <c r="AJ1" s="29" t="inlineStr">
        <is>
          <t>Carte OSM</t>
        </is>
      </c>
      <c r="AK1" s="29" t="inlineStr">
        <is>
          <t>Google Maps</t>
        </is>
      </c>
      <c r="AL1" s="29" t="inlineStr">
        <is>
          <t>Tableau de bord</t>
        </is>
      </c>
    </row>
    <row r="2" ht="48" customHeight="1">
      <c r="A2" s="30" t="inlineStr">
        <is>
          <t>INC-2026-001</t>
        </is>
      </c>
      <c r="B2" s="31" t="n">
        <v>46265</v>
      </c>
      <c r="C2" s="32">
        <f>WEEKNUM(B2,21)</f>
        <v/>
      </c>
      <c r="D2" s="32">
        <f>IF(B2&lt;P_DEBUT_P2,"P1","P2")</f>
        <v/>
      </c>
      <c r="E2" s="30" t="inlineStr">
        <is>
          <t>Mali</t>
        </is>
      </c>
      <c r="F2" s="30" t="inlineStr">
        <is>
          <t>Mopti</t>
        </is>
      </c>
      <c r="G2" s="30" t="inlineStr">
        <is>
          <t>Bandiagara</t>
        </is>
      </c>
      <c r="H2" s="33" t="inlineStr">
        <is>
          <t>Mopti / Bandiagara</t>
        </is>
      </c>
      <c r="I2" s="33" t="inlineStr">
        <is>
          <t>NINNGARI</t>
        </is>
      </c>
      <c r="J2" s="34" t="n">
        <v>14.35</v>
      </c>
      <c r="K2" s="34" t="n">
        <v>-3.6167</v>
      </c>
      <c r="L2" s="30" t="inlineStr">
        <is>
          <t>Localité</t>
        </is>
      </c>
      <c r="M2" s="33" t="inlineStr">
        <is>
          <t>Attaque de Poste / Localité</t>
        </is>
      </c>
      <c r="N2" s="30" t="inlineStr">
        <is>
          <t>Attaque de poste / camp</t>
        </is>
      </c>
      <c r="O2" s="30" t="inlineStr">
        <is>
          <t>JNIM</t>
        </is>
      </c>
      <c r="P2" s="33" t="inlineStr">
        <is>
          <t>JNIM</t>
        </is>
      </c>
      <c r="Q2" s="30" t="inlineStr">
        <is>
          <t>Milices pro-gouv.</t>
        </is>
      </c>
      <c r="R2" s="33" t="inlineStr">
        <is>
          <t>Milices Dozos</t>
        </is>
      </c>
      <c r="S2" s="33" t="inlineStr">
        <is>
          <t>Le JNIM a attaqué la localité stratégique de NINNGARI à Bandiagara et en a pris le contrôle total.</t>
        </is>
      </c>
      <c r="T2" s="30" t="n">
        <v>0</v>
      </c>
      <c r="U2" s="30" t="n">
        <v>0</v>
      </c>
      <c r="V2" s="30" t="n">
        <v>0</v>
      </c>
      <c r="W2" s="30" t="n">
        <v>0</v>
      </c>
      <c r="X2" s="30" t="n">
        <v>0</v>
      </c>
      <c r="Y2" s="35">
        <f>T2+V2+W2+X2</f>
        <v/>
      </c>
      <c r="Z2" s="30" t="n">
        <v>0</v>
      </c>
      <c r="AA2" s="30" t="n">
        <v>0</v>
      </c>
      <c r="AB2" s="30" t="n">
        <v>0</v>
      </c>
      <c r="AC2" s="33" t="inlineStr">
        <is>
          <t>Non spécifié</t>
        </is>
      </c>
      <c r="AD2" s="33" t="inlineStr">
        <is>
          <t>Prise de contrôle de la localité</t>
        </is>
      </c>
      <c r="AE2" s="32">
        <f>ROUND(2*6371*ASIN(SQRT(SIN(RADIANS(J2-LAT_BAMAKO)/2)^2+COS(RADIANS(LAT_BAMAKO))*COS(RADIANS(J2))*SIN(RADIANS(K2-LON_BAMAKO)/2)^2)),0)</f>
        <v/>
      </c>
      <c r="AF2" s="32">
        <f>IF(AE2&lt;=SEUIL_KM,"Oui","Non")</f>
        <v/>
      </c>
      <c r="AG2" s="30" t="inlineStr">
        <is>
          <t>Partiellement corroboré</t>
        </is>
      </c>
      <c r="AH2" s="32" t="inlineStr">
        <is>
          <t>Non</t>
        </is>
      </c>
      <c r="AI2" s="33" t="inlineStr">
        <is>
          <t>AzZalaqa, Hasret K., Naïm TOURÉ</t>
        </is>
      </c>
      <c r="AJ2" s="36">
        <f>HYPERLINK("https://www.openstreetmap.org/?mlat="&amp;SUBSTITUTE(J2&amp;"",",",".")&amp;"&amp;mlon="&amp;SUBSTITUTE(K2&amp;"",",",".")&amp;"#map=11/"&amp;SUBSTITUTE(J2&amp;"",",",".")&amp;"/"&amp;SUBSTITUTE(K2&amp;"",",","."),"OSM ↗")</f>
        <v/>
      </c>
      <c r="AK2" s="36">
        <f>HYPERLINK("https://www.google.com/maps/search/?api=1&amp;query="&amp;SUBSTITUTE(J2&amp;"",",",".")&amp;"%2C"&amp;SUBSTITUTE(K2&amp;"",",","."),"Google ↗")</f>
        <v/>
      </c>
      <c r="AL2" s="36">
        <f>HYPERLINK(URL_TABLEAU&amp;"#"&amp;A2,"Dossier ↗")</f>
        <v/>
      </c>
    </row>
    <row r="3" ht="48" customHeight="1">
      <c r="A3" s="30" t="inlineStr">
        <is>
          <t>INC-2026-002</t>
        </is>
      </c>
      <c r="B3" s="31" t="n">
        <v>46265</v>
      </c>
      <c r="C3" s="32">
        <f>WEEKNUM(B3,21)</f>
        <v/>
      </c>
      <c r="D3" s="32">
        <f>IF(B3&lt;P_DEBUT_P2,"P1","P2")</f>
        <v/>
      </c>
      <c r="E3" s="30" t="inlineStr">
        <is>
          <t>Mali</t>
        </is>
      </c>
      <c r="F3" s="30" t="inlineStr">
        <is>
          <t>Kidal</t>
        </is>
      </c>
      <c r="G3" s="30" t="inlineStr">
        <is>
          <t>Tessalit</t>
        </is>
      </c>
      <c r="H3" s="33" t="inlineStr">
        <is>
          <t>Kidal</t>
        </is>
      </c>
      <c r="I3" s="33" t="inlineStr">
        <is>
          <t>Aguelhoc / Kidal</t>
        </is>
      </c>
      <c r="J3" s="34" t="n">
        <v>19.4633</v>
      </c>
      <c r="K3" s="34" t="n">
        <v>0.8552</v>
      </c>
      <c r="L3" s="30" t="inlineStr">
        <is>
          <t>Localité</t>
        </is>
      </c>
      <c r="M3" s="33" t="inlineStr">
        <is>
          <t>Frappe Drone / Air</t>
        </is>
      </c>
      <c r="N3" s="30" t="inlineStr">
        <is>
          <t>Drone armé (FPV)</t>
        </is>
      </c>
      <c r="O3" s="30" t="inlineStr">
        <is>
          <t>FLA</t>
        </is>
      </c>
      <c r="P3" s="33" t="inlineStr">
        <is>
          <t>FLA / Armée de l'Azawad</t>
        </is>
      </c>
      <c r="Q3" s="30" t="inlineStr">
        <is>
          <t>FAMa / Africa Corps</t>
        </is>
      </c>
      <c r="R3" s="33" t="inlineStr">
        <is>
          <t>FAMa / Africa Corps</t>
        </is>
      </c>
      <c r="S3" s="33" t="inlineStr">
        <is>
          <t>L’Armée de l’Azawad a mené plusieurs frappes de drones FPV contre le camp conjoint Africa Corps et FAMa.</t>
        </is>
      </c>
      <c r="T3" s="30" t="n">
        <v>0</v>
      </c>
      <c r="U3" s="30" t="n">
        <v>0</v>
      </c>
      <c r="V3" s="30" t="n">
        <v>0</v>
      </c>
      <c r="W3" s="30" t="n">
        <v>0</v>
      </c>
      <c r="X3" s="30" t="n">
        <v>0</v>
      </c>
      <c r="Y3" s="35">
        <f>T3+V3+W3+X3</f>
        <v/>
      </c>
      <c r="Z3" s="30" t="n">
        <v>0</v>
      </c>
      <c r="AA3" s="30" t="n">
        <v>0</v>
      </c>
      <c r="AB3" s="30" t="n">
        <v>0</v>
      </c>
      <c r="AC3" s="33" t="inlineStr">
        <is>
          <t>Non spécifié</t>
        </is>
      </c>
      <c r="AD3" s="33" t="inlineStr">
        <is>
          <t>Camp militaire ciblé par drones FPV</t>
        </is>
      </c>
      <c r="AE3" s="32">
        <f>ROUND(2*6371*ASIN(SQRT(SIN(RADIANS(J3-LAT_BAMAKO)/2)^2+COS(RADIANS(LAT_BAMAKO))*COS(RADIANS(J3))*SIN(RADIANS(K3-LON_BAMAKO)/2)^2)),0)</f>
        <v/>
      </c>
      <c r="AF3" s="32">
        <f>IF(AE3&lt;=SEUIL_KM,"Oui","Non")</f>
        <v/>
      </c>
      <c r="AG3" s="30" t="inlineStr">
        <is>
          <t>Source partisane seule</t>
        </is>
      </c>
      <c r="AH3" s="32" t="inlineStr">
        <is>
          <t>Non</t>
        </is>
      </c>
      <c r="AI3" s="33" t="inlineStr">
        <is>
          <t>FLA, Naïm TOURÉ</t>
        </is>
      </c>
      <c r="AJ3" s="36">
        <f>HYPERLINK("https://www.openstreetmap.org/?mlat="&amp;SUBSTITUTE(J3&amp;"",",",".")&amp;"&amp;mlon="&amp;SUBSTITUTE(K3&amp;"",",",".")&amp;"#map=11/"&amp;SUBSTITUTE(J3&amp;"",",",".")&amp;"/"&amp;SUBSTITUTE(K3&amp;"",",","."),"OSM ↗")</f>
        <v/>
      </c>
      <c r="AK3" s="36">
        <f>HYPERLINK("https://www.google.com/maps/search/?api=1&amp;query="&amp;SUBSTITUTE(J3&amp;"",",",".")&amp;"%2C"&amp;SUBSTITUTE(K3&amp;"",",","."),"Google ↗")</f>
        <v/>
      </c>
      <c r="AL3" s="36">
        <f>HYPERLINK(URL_TABLEAU&amp;"#"&amp;A3,"Dossier ↗")</f>
        <v/>
      </c>
    </row>
    <row r="4" ht="48" customHeight="1">
      <c r="A4" s="30" t="inlineStr">
        <is>
          <t>INC-2026-003</t>
        </is>
      </c>
      <c r="B4" s="31" t="n">
        <v>46266</v>
      </c>
      <c r="C4" s="32">
        <f>WEEKNUM(B4,21)</f>
        <v/>
      </c>
      <c r="D4" s="32">
        <f>IF(B4&lt;P_DEBUT_P2,"P1","P2")</f>
        <v/>
      </c>
      <c r="E4" s="30" t="inlineStr">
        <is>
          <t>Mali</t>
        </is>
      </c>
      <c r="F4" s="30" t="inlineStr">
        <is>
          <t>Tombouctou</t>
        </is>
      </c>
      <c r="G4" s="30" t="inlineStr">
        <is>
          <t>Gourma-Rharous</t>
        </is>
      </c>
      <c r="H4" s="33" t="inlineStr">
        <is>
          <t>Frontière Mali-Burkina (Oudalan / Ndaki)</t>
        </is>
      </c>
      <c r="I4" s="33" t="inlineStr">
        <is>
          <t>Gonadaouri / Ndaki</t>
        </is>
      </c>
      <c r="J4" s="34" t="n">
        <v>15.2833</v>
      </c>
      <c r="K4" s="34" t="n">
        <v>-1.1833</v>
      </c>
      <c r="L4" s="30" t="inlineStr">
        <is>
          <t>Localité</t>
        </is>
      </c>
      <c r="M4" s="33" t="inlineStr">
        <is>
          <t>Affrontement Inter-JNIM-EIS</t>
        </is>
      </c>
      <c r="N4" s="30" t="inlineStr">
        <is>
          <t>Affrontement JNIM–EIS</t>
        </is>
      </c>
      <c r="O4" s="30" t="inlineStr">
        <is>
          <t>EI-Sahel</t>
        </is>
      </c>
      <c r="P4" s="33" t="inlineStr">
        <is>
          <t>EI-Sahel (EIS)</t>
        </is>
      </c>
      <c r="Q4" s="30" t="inlineStr">
        <is>
          <t>Groupes armés</t>
        </is>
      </c>
      <c r="R4" s="33" t="inlineStr">
        <is>
          <t>JNIM</t>
        </is>
      </c>
      <c r="S4" s="33" t="inlineStr">
        <is>
          <t>Violents affrontements entre l'EI-Sahel et le JNIM. L'EI-Sahel affirme avoir tué plus de 200 à 400 combattants du JNIM et capturé un vaste territoire frontalier.</t>
        </is>
      </c>
      <c r="T4" s="30" t="n">
        <v>0</v>
      </c>
      <c r="U4" s="30" t="n">
        <v>0</v>
      </c>
      <c r="V4" s="30" t="n">
        <v>0</v>
      </c>
      <c r="W4" s="30" t="n">
        <v>0</v>
      </c>
      <c r="X4" s="30" t="n">
        <v>200</v>
      </c>
      <c r="Y4" s="35">
        <f>T4+V4+W4+X4</f>
        <v/>
      </c>
      <c r="Z4" s="30" t="n">
        <v>30</v>
      </c>
      <c r="AA4" s="30" t="n">
        <v>100</v>
      </c>
      <c r="AB4" s="30" t="n">
        <v>204</v>
      </c>
      <c r="AC4" s="33" t="inlineStr">
        <is>
          <t>242 fusils, importantes munitions</t>
        </is>
      </c>
      <c r="AD4" s="33" t="inlineStr">
        <is>
          <t>Contrôle territorial modifié le long de la frontière</t>
        </is>
      </c>
      <c r="AE4" s="32">
        <f>ROUND(2*6371*ASIN(SQRT(SIN(RADIANS(J4-LAT_BAMAKO)/2)^2+COS(RADIANS(LAT_BAMAKO))*COS(RADIANS(J4))*SIN(RADIANS(K4-LON_BAMAKO)/2)^2)),0)</f>
        <v/>
      </c>
      <c r="AF4" s="32">
        <f>IF(AE4&lt;=SEUIL_KM,"Oui","Non")</f>
        <v/>
      </c>
      <c r="AG4" s="30" t="inlineStr">
        <is>
          <t>Partiellement corroboré</t>
        </is>
      </c>
      <c r="AH4" s="32" t="inlineStr">
        <is>
          <t>Non</t>
        </is>
      </c>
      <c r="AI4" s="33" t="inlineStr">
        <is>
          <t>EIS, Brant P., JNIM, Naïm TOURÉ</t>
        </is>
      </c>
      <c r="AJ4" s="36">
        <f>HYPERLINK("https://www.openstreetmap.org/?mlat="&amp;SUBSTITUTE(J4&amp;"",",",".")&amp;"&amp;mlon="&amp;SUBSTITUTE(K4&amp;"",",",".")&amp;"#map=11/"&amp;SUBSTITUTE(J4&amp;"",",",".")&amp;"/"&amp;SUBSTITUTE(K4&amp;"",",","."),"OSM ↗")</f>
        <v/>
      </c>
      <c r="AK4" s="36">
        <f>HYPERLINK("https://www.google.com/maps/search/?api=1&amp;query="&amp;SUBSTITUTE(J4&amp;"",",",".")&amp;"%2C"&amp;SUBSTITUTE(K4&amp;"",",","."),"Google ↗")</f>
        <v/>
      </c>
      <c r="AL4" s="36">
        <f>HYPERLINK(URL_TABLEAU&amp;"#"&amp;A4,"Dossier ↗")</f>
        <v/>
      </c>
    </row>
    <row r="5" ht="48" customHeight="1">
      <c r="A5" s="30" t="inlineStr">
        <is>
          <t>INC-2026-004</t>
        </is>
      </c>
      <c r="B5" s="31" t="n">
        <v>46267</v>
      </c>
      <c r="C5" s="32">
        <f>WEEKNUM(B5,21)</f>
        <v/>
      </c>
      <c r="D5" s="32">
        <f>IF(B5&lt;P_DEBUT_P2,"P1","P2")</f>
        <v/>
      </c>
      <c r="E5" s="30" t="inlineStr">
        <is>
          <t>Mali</t>
        </is>
      </c>
      <c r="F5" s="30" t="inlineStr">
        <is>
          <t>Ségou</t>
        </is>
      </c>
      <c r="G5" s="30" t="inlineStr">
        <is>
          <t>Ségou</t>
        </is>
      </c>
      <c r="H5" s="33" t="inlineStr">
        <is>
          <t>Ségou</t>
        </is>
      </c>
      <c r="I5" s="33" t="inlineStr">
        <is>
          <t>Axe Ségou - Fana</t>
        </is>
      </c>
      <c r="J5" s="34" t="n">
        <v>13.35</v>
      </c>
      <c r="K5" s="34" t="n">
        <v>-6.3</v>
      </c>
      <c r="L5" s="30" t="inlineStr">
        <is>
          <t>Zone (±10 km)</t>
        </is>
      </c>
      <c r="M5" s="33" t="inlineStr">
        <is>
          <t>Sabotage / Incendie de Convoi</t>
        </is>
      </c>
      <c r="N5" s="30" t="inlineStr">
        <is>
          <t>Sabotage logistique</t>
        </is>
      </c>
      <c r="O5" s="30" t="inlineStr">
        <is>
          <t>JNIM</t>
        </is>
      </c>
      <c r="P5" s="33" t="inlineStr">
        <is>
          <t>JNIM</t>
        </is>
      </c>
      <c r="Q5" s="30" t="inlineStr">
        <is>
          <t>Logistique civile</t>
        </is>
      </c>
      <c r="R5" s="33" t="inlineStr">
        <is>
          <t>Transport commercial / Citernes</t>
        </is>
      </c>
      <c r="S5" s="33" t="inlineStr">
        <is>
          <t>Des combattants du JNIM ont incendié plusieurs citernes de carburant sur l'axe Ségou-Fana.</t>
        </is>
      </c>
      <c r="T5" s="30" t="n">
        <v>0</v>
      </c>
      <c r="U5" s="30" t="n">
        <v>0</v>
      </c>
      <c r="V5" s="30" t="n">
        <v>0</v>
      </c>
      <c r="W5" s="30" t="n">
        <v>0</v>
      </c>
      <c r="X5" s="30" t="n">
        <v>0</v>
      </c>
      <c r="Y5" s="35">
        <f>T5+V5+W5+X5</f>
        <v/>
      </c>
      <c r="Z5" s="30" t="n">
        <v>0</v>
      </c>
      <c r="AA5" s="30" t="n">
        <v>3</v>
      </c>
      <c r="AB5" s="30" t="n">
        <v>0</v>
      </c>
      <c r="AC5" s="33" t="inlineStr">
        <is>
          <t>Aucun</t>
        </is>
      </c>
      <c r="AD5" s="33" t="inlineStr">
        <is>
          <t>Axe routier Ségou-Fana perturbé, citernes détruites</t>
        </is>
      </c>
      <c r="AE5" s="32">
        <f>ROUND(2*6371*ASIN(SQRT(SIN(RADIANS(J5-LAT_BAMAKO)/2)^2+COS(RADIANS(LAT_BAMAKO))*COS(RADIANS(J5))*SIN(RADIANS(K5-LON_BAMAKO)/2)^2)),0)</f>
        <v/>
      </c>
      <c r="AF5" s="32">
        <f>IF(AE5&lt;=SEUIL_KM,"Oui","Non")</f>
        <v/>
      </c>
      <c r="AG5" s="30" t="inlineStr">
        <is>
          <t>Partiellement corroboré</t>
        </is>
      </c>
      <c r="AH5" s="32" t="inlineStr">
        <is>
          <t>Non</t>
        </is>
      </c>
      <c r="AI5" s="33" t="inlineStr">
        <is>
          <t>Sagnon, Naïm TOURÉ</t>
        </is>
      </c>
      <c r="AJ5" s="36">
        <f>HYPERLINK("https://www.openstreetmap.org/?mlat="&amp;SUBSTITUTE(J5&amp;"",",",".")&amp;"&amp;mlon="&amp;SUBSTITUTE(K5&amp;"",",",".")&amp;"#map=11/"&amp;SUBSTITUTE(J5&amp;"",",",".")&amp;"/"&amp;SUBSTITUTE(K5&amp;"",",","."),"OSM ↗")</f>
        <v/>
      </c>
      <c r="AK5" s="36">
        <f>HYPERLINK("https://www.google.com/maps/search/?api=1&amp;query="&amp;SUBSTITUTE(J5&amp;"",",",".")&amp;"%2C"&amp;SUBSTITUTE(K5&amp;"",",","."),"Google ↗")</f>
        <v/>
      </c>
      <c r="AL5" s="36">
        <f>HYPERLINK(URL_TABLEAU&amp;"#"&amp;A5,"Dossier ↗")</f>
        <v/>
      </c>
    </row>
    <row r="6" ht="48" customHeight="1">
      <c r="A6" s="30" t="inlineStr">
        <is>
          <t>INC-2026-005</t>
        </is>
      </c>
      <c r="B6" s="31" t="n">
        <v>46269</v>
      </c>
      <c r="C6" s="32">
        <f>WEEKNUM(B6,21)</f>
        <v/>
      </c>
      <c r="D6" s="32">
        <f>IF(B6&lt;P_DEBUT_P2,"P1","P2")</f>
        <v/>
      </c>
      <c r="E6" s="30" t="inlineStr">
        <is>
          <t>Mali</t>
        </is>
      </c>
      <c r="F6" s="30" t="inlineStr">
        <is>
          <t>Kidal</t>
        </is>
      </c>
      <c r="G6" s="30" t="inlineStr">
        <is>
          <t>Kidal</t>
        </is>
      </c>
      <c r="H6" s="33" t="inlineStr">
        <is>
          <t>Kidal</t>
        </is>
      </c>
      <c r="I6" s="33" t="inlineStr">
        <is>
          <t>Kidal Ville</t>
        </is>
      </c>
      <c r="J6" s="34" t="n">
        <v>18.4411</v>
      </c>
      <c r="K6" s="34" t="n">
        <v>1.4078</v>
      </c>
      <c r="L6" s="30" t="inlineStr">
        <is>
          <t>Localité</t>
        </is>
      </c>
      <c r="M6" s="33" t="inlineStr">
        <is>
          <t>Bombardement Aérien</t>
        </is>
      </c>
      <c r="N6" s="30" t="inlineStr">
        <is>
          <t>Frappe aérienne étatique</t>
        </is>
      </c>
      <c r="O6" s="30" t="inlineStr">
        <is>
          <t>FAMa / Africa Corps</t>
        </is>
      </c>
      <c r="P6" s="33" t="inlineStr">
        <is>
          <t>Africa Corps / FAMa</t>
        </is>
      </c>
      <c r="Q6" s="30" t="inlineStr">
        <is>
          <t>Civils</t>
        </is>
      </c>
      <c r="R6" s="33" t="inlineStr">
        <is>
          <t>Résidence du Maire de Kidal</t>
        </is>
      </c>
      <c r="S6" s="33" t="inlineStr">
        <is>
          <t>Un avion de chasse Sukhoï 24 appartenant à Africa Corps a bombardé la résidence du maire de Kidal.</t>
        </is>
      </c>
      <c r="T6" s="30" t="n">
        <v>0</v>
      </c>
      <c r="U6" s="30" t="n">
        <v>0</v>
      </c>
      <c r="V6" s="30" t="n">
        <v>0</v>
      </c>
      <c r="W6" s="30" t="n">
        <v>0</v>
      </c>
      <c r="X6" s="30" t="n">
        <v>0</v>
      </c>
      <c r="Y6" s="35">
        <f>T6+V6+W6+X6</f>
        <v/>
      </c>
      <c r="Z6" s="30" t="n">
        <v>0</v>
      </c>
      <c r="AA6" s="30" t="n">
        <v>0</v>
      </c>
      <c r="AB6" s="30" t="n">
        <v>0</v>
      </c>
      <c r="AC6" s="33" t="inlineStr">
        <is>
          <t>Aucun</t>
        </is>
      </c>
      <c r="AD6" s="33" t="inlineStr">
        <is>
          <t>Résidence du maire pilonnée</t>
        </is>
      </c>
      <c r="AE6" s="32">
        <f>ROUND(2*6371*ASIN(SQRT(SIN(RADIANS(J6-LAT_BAMAKO)/2)^2+COS(RADIANS(LAT_BAMAKO))*COS(RADIANS(J6))*SIN(RADIANS(K6-LON_BAMAKO)/2)^2)),0)</f>
        <v/>
      </c>
      <c r="AF6" s="32">
        <f>IF(AE6&lt;=SEUIL_KM,"Oui","Non")</f>
        <v/>
      </c>
      <c r="AG6" s="30" t="inlineStr">
        <is>
          <t>Partiellement corroboré</t>
        </is>
      </c>
      <c r="AH6" s="32" t="inlineStr">
        <is>
          <t>Non</t>
        </is>
      </c>
      <c r="AI6" s="33" t="inlineStr">
        <is>
          <t>Outamashaq, Naïm TOURÉ</t>
        </is>
      </c>
      <c r="AJ6" s="36">
        <f>HYPERLINK("https://www.openstreetmap.org/?mlat="&amp;SUBSTITUTE(J6&amp;"",",",".")&amp;"&amp;mlon="&amp;SUBSTITUTE(K6&amp;"",",",".")&amp;"#map=11/"&amp;SUBSTITUTE(J6&amp;"",",",".")&amp;"/"&amp;SUBSTITUTE(K6&amp;"",",","."),"OSM ↗")</f>
        <v/>
      </c>
      <c r="AK6" s="36">
        <f>HYPERLINK("https://www.google.com/maps/search/?api=1&amp;query="&amp;SUBSTITUTE(J6&amp;"",",",".")&amp;"%2C"&amp;SUBSTITUTE(K6&amp;"",",","."),"Google ↗")</f>
        <v/>
      </c>
      <c r="AL6" s="36">
        <f>HYPERLINK(URL_TABLEAU&amp;"#"&amp;A6,"Dossier ↗")</f>
        <v/>
      </c>
    </row>
    <row r="7" ht="48" customHeight="1">
      <c r="A7" s="30" t="inlineStr">
        <is>
          <t>INC-2026-006</t>
        </is>
      </c>
      <c r="B7" s="31" t="n">
        <v>46272</v>
      </c>
      <c r="C7" s="32">
        <f>WEEKNUM(B7,21)</f>
        <v/>
      </c>
      <c r="D7" s="32">
        <f>IF(B7&lt;P_DEBUT_P2,"P1","P2")</f>
        <v/>
      </c>
      <c r="E7" s="30" t="inlineStr">
        <is>
          <t>Mali</t>
        </is>
      </c>
      <c r="F7" s="30" t="inlineStr">
        <is>
          <t>Mopti</t>
        </is>
      </c>
      <c r="G7" s="30" t="inlineStr">
        <is>
          <t>Bandiagara</t>
        </is>
      </c>
      <c r="H7" s="33" t="inlineStr">
        <is>
          <t>Mopti</t>
        </is>
      </c>
      <c r="I7" s="33" t="inlineStr">
        <is>
          <t>Kaka</t>
        </is>
      </c>
      <c r="J7" s="34" t="n">
        <v>14.8</v>
      </c>
      <c r="K7" s="34" t="n">
        <v>-3.8</v>
      </c>
      <c r="L7" s="30" t="inlineStr">
        <is>
          <t>Zone (±10 km)</t>
        </is>
      </c>
      <c r="M7" s="33" t="inlineStr">
        <is>
          <t>Embuscade</t>
        </is>
      </c>
      <c r="N7" s="30" t="inlineStr">
        <is>
          <t>Embuscade</t>
        </is>
      </c>
      <c r="O7" s="30" t="inlineStr">
        <is>
          <t>JNIM</t>
        </is>
      </c>
      <c r="P7" s="33" t="inlineStr">
        <is>
          <t>JNIM</t>
        </is>
      </c>
      <c r="Q7" s="30" t="inlineStr">
        <is>
          <t>FAMa / Africa Corps</t>
        </is>
      </c>
      <c r="R7" s="33" t="inlineStr">
        <is>
          <t>FAMa / Africa Corps</t>
        </is>
      </c>
      <c r="S7" s="33" t="inlineStr">
        <is>
          <t>Embuscade du JNIM contre une patrouille conjointe FAMa et Africa Corps. Plusieurs mercenaires russes tués.</t>
        </is>
      </c>
      <c r="T7" s="30" t="n">
        <v>0</v>
      </c>
      <c r="U7" s="30" t="n">
        <v>0</v>
      </c>
      <c r="V7" s="30" t="n">
        <v>0</v>
      </c>
      <c r="W7" s="30" t="n">
        <v>4</v>
      </c>
      <c r="X7" s="30" t="n">
        <v>0</v>
      </c>
      <c r="Y7" s="35">
        <f>T7+V7+W7+X7</f>
        <v/>
      </c>
      <c r="Z7" s="30" t="n">
        <v>0</v>
      </c>
      <c r="AA7" s="30" t="n">
        <v>0</v>
      </c>
      <c r="AB7" s="30" t="n">
        <v>0</v>
      </c>
      <c r="AC7" s="33" t="inlineStr">
        <is>
          <t>Non spécifié</t>
        </is>
      </c>
      <c r="AD7" s="33" t="inlineStr">
        <is>
          <t>Convoi militaire stoppé</t>
        </is>
      </c>
      <c r="AE7" s="32">
        <f>ROUND(2*6371*ASIN(SQRT(SIN(RADIANS(J7-LAT_BAMAKO)/2)^2+COS(RADIANS(LAT_BAMAKO))*COS(RADIANS(J7))*SIN(RADIANS(K7-LON_BAMAKO)/2)^2)),0)</f>
        <v/>
      </c>
      <c r="AF7" s="32">
        <f>IF(AE7&lt;=SEUIL_KM,"Oui","Non")</f>
        <v/>
      </c>
      <c r="AG7" s="30" t="inlineStr">
        <is>
          <t>Partiellement corroboré</t>
        </is>
      </c>
      <c r="AH7" s="32" t="inlineStr">
        <is>
          <t>Non</t>
        </is>
      </c>
      <c r="AI7" s="33" t="inlineStr">
        <is>
          <t>Sahel Alerte, Naïm TOURÉ</t>
        </is>
      </c>
      <c r="AJ7" s="36">
        <f>HYPERLINK("https://www.openstreetmap.org/?mlat="&amp;SUBSTITUTE(J7&amp;"",",",".")&amp;"&amp;mlon="&amp;SUBSTITUTE(K7&amp;"",",",".")&amp;"#map=11/"&amp;SUBSTITUTE(J7&amp;"",",",".")&amp;"/"&amp;SUBSTITUTE(K7&amp;"",",","."),"OSM ↗")</f>
        <v/>
      </c>
      <c r="AK7" s="36">
        <f>HYPERLINK("https://www.google.com/maps/search/?api=1&amp;query="&amp;SUBSTITUTE(J7&amp;"",",",".")&amp;"%2C"&amp;SUBSTITUTE(K7&amp;"",",","."),"Google ↗")</f>
        <v/>
      </c>
      <c r="AL7" s="36">
        <f>HYPERLINK(URL_TABLEAU&amp;"#"&amp;A7,"Dossier ↗")</f>
        <v/>
      </c>
    </row>
    <row r="8" ht="48" customHeight="1">
      <c r="A8" s="30" t="inlineStr">
        <is>
          <t>INC-2026-007</t>
        </is>
      </c>
      <c r="B8" s="31" t="n">
        <v>46275</v>
      </c>
      <c r="C8" s="32">
        <f>WEEKNUM(B8,21)</f>
        <v/>
      </c>
      <c r="D8" s="32">
        <f>IF(B8&lt;P_DEBUT_P2,"P1","P2")</f>
        <v/>
      </c>
      <c r="E8" s="30" t="inlineStr">
        <is>
          <t>Mali</t>
        </is>
      </c>
      <c r="F8" s="30" t="inlineStr">
        <is>
          <t>Mopti</t>
        </is>
      </c>
      <c r="G8" s="30" t="inlineStr">
        <is>
          <t>Ténenkou</t>
        </is>
      </c>
      <c r="H8" s="33" t="inlineStr">
        <is>
          <t>Mopti</t>
        </is>
      </c>
      <c r="I8" s="33" t="inlineStr">
        <is>
          <t>Dioura</t>
        </is>
      </c>
      <c r="J8" s="34" t="n">
        <v>14.5333</v>
      </c>
      <c r="K8" s="34" t="n">
        <v>-5.2167</v>
      </c>
      <c r="L8" s="30" t="inlineStr">
        <is>
          <t>Localité</t>
        </is>
      </c>
      <c r="M8" s="33" t="inlineStr">
        <is>
          <t>Attaque Majeure de Camp / Base</t>
        </is>
      </c>
      <c r="N8" s="30" t="inlineStr">
        <is>
          <t>Attaque de poste / camp</t>
        </is>
      </c>
      <c r="O8" s="30" t="inlineStr">
        <is>
          <t>JNIM</t>
        </is>
      </c>
      <c r="P8" s="33" t="inlineStr">
        <is>
          <t>JNIM (Abou Mokhtar al-Ansari)</t>
        </is>
      </c>
      <c r="Q8" s="30" t="inlineStr">
        <is>
          <t>FAMa / Africa Corps</t>
        </is>
      </c>
      <c r="R8" s="33" t="inlineStr">
        <is>
          <t>FAMa (Camp militaire)</t>
        </is>
      </c>
      <c r="S8" s="33" t="inlineStr">
        <is>
          <t>Prise du camp de Dioura par le JNIM. Attaque dévastatrice avec plus de 150 soldats tués (dont 1 Colonel et 1 Capitaine) et 93 capturés.</t>
        </is>
      </c>
      <c r="T8" s="30" t="n">
        <v>0</v>
      </c>
      <c r="U8" s="30" t="n">
        <v>0</v>
      </c>
      <c r="V8" s="30" t="n">
        <v>150</v>
      </c>
      <c r="W8" s="30" t="n">
        <v>0</v>
      </c>
      <c r="X8" s="30" t="n">
        <v>0</v>
      </c>
      <c r="Y8" s="35">
        <f>T8+V8+W8+X8</f>
        <v/>
      </c>
      <c r="Z8" s="30" t="n">
        <v>93</v>
      </c>
      <c r="AA8" s="30" t="n">
        <v>115</v>
      </c>
      <c r="AB8" s="30" t="n">
        <v>16</v>
      </c>
      <c r="AC8" s="33" t="inlineStr">
        <is>
          <t>233 Kalachnikovs, 32 PKM, 17 Doushka, 10 RPG, 6 x 14mm, 3 mortiers/SPG, munitions</t>
        </is>
      </c>
      <c r="AD8" s="33" t="inlineStr">
        <is>
          <t>Camp militaire de Dioura détruit et pris</t>
        </is>
      </c>
      <c r="AE8" s="32">
        <f>ROUND(2*6371*ASIN(SQRT(SIN(RADIANS(J8-LAT_BAMAKO)/2)^2+COS(RADIANS(LAT_BAMAKO))*COS(RADIANS(J8))*SIN(RADIANS(K8-LON_BAMAKO)/2)^2)),0)</f>
        <v/>
      </c>
      <c r="AF8" s="32">
        <f>IF(AE8&lt;=SEUIL_KM,"Oui","Non")</f>
        <v/>
      </c>
      <c r="AG8" s="30" t="inlineStr">
        <is>
          <t>Corroboré</t>
        </is>
      </c>
      <c r="AH8" s="32" t="inlineStr">
        <is>
          <t>Non</t>
        </is>
      </c>
      <c r="AI8" s="33" t="inlineStr">
        <is>
          <t>AzZalaqa, Hasret K., Sahel Alerte, Naïm TOURÉ</t>
        </is>
      </c>
      <c r="AJ8" s="36">
        <f>HYPERLINK("https://www.openstreetmap.org/?mlat="&amp;SUBSTITUTE(J8&amp;"",",",".")&amp;"&amp;mlon="&amp;SUBSTITUTE(K8&amp;"",",",".")&amp;"#map=11/"&amp;SUBSTITUTE(J8&amp;"",",",".")&amp;"/"&amp;SUBSTITUTE(K8&amp;"",",","."),"OSM ↗")</f>
        <v/>
      </c>
      <c r="AK8" s="36">
        <f>HYPERLINK("https://www.google.com/maps/search/?api=1&amp;query="&amp;SUBSTITUTE(J8&amp;"",",",".")&amp;"%2C"&amp;SUBSTITUTE(K8&amp;"",",","."),"Google ↗")</f>
        <v/>
      </c>
      <c r="AL8" s="36">
        <f>HYPERLINK(URL_TABLEAU&amp;"#"&amp;A8,"Dossier ↗")</f>
        <v/>
      </c>
    </row>
    <row r="9" ht="48" customHeight="1">
      <c r="A9" s="30" t="inlineStr">
        <is>
          <t>INC-2026-008</t>
        </is>
      </c>
      <c r="B9" s="31" t="n">
        <v>46279</v>
      </c>
      <c r="C9" s="32">
        <f>WEEKNUM(B9,21)</f>
        <v/>
      </c>
      <c r="D9" s="32">
        <f>IF(B9&lt;P_DEBUT_P2,"P1","P2")</f>
        <v/>
      </c>
      <c r="E9" s="30" t="inlineStr">
        <is>
          <t>Mali</t>
        </is>
      </c>
      <c r="F9" s="30" t="inlineStr">
        <is>
          <t>Koulikoro</t>
        </is>
      </c>
      <c r="G9" s="30" t="inlineStr">
        <is>
          <t>Nara</t>
        </is>
      </c>
      <c r="H9" s="33" t="inlineStr">
        <is>
          <t>Koulikoro</t>
        </is>
      </c>
      <c r="I9" s="33" t="inlineStr">
        <is>
          <t>Axe Mourdja - Kaloumba</t>
        </is>
      </c>
      <c r="J9" s="34" t="n">
        <v>14.4833</v>
      </c>
      <c r="K9" s="34" t="n">
        <v>-7.4667</v>
      </c>
      <c r="L9" s="30" t="inlineStr">
        <is>
          <t>Localité</t>
        </is>
      </c>
      <c r="M9" s="33" t="inlineStr">
        <is>
          <t>Engin Explosif Improvisé (EEI)</t>
        </is>
      </c>
      <c r="N9" s="30" t="inlineStr">
        <is>
          <t>EEI</t>
        </is>
      </c>
      <c r="O9" s="30" t="inlineStr">
        <is>
          <t>JNIM</t>
        </is>
      </c>
      <c r="P9" s="33" t="inlineStr">
        <is>
          <t>JNIM</t>
        </is>
      </c>
      <c r="Q9" s="30" t="inlineStr">
        <is>
          <t>FAMa / Africa Corps</t>
        </is>
      </c>
      <c r="R9" s="33" t="inlineStr">
        <is>
          <t>FAMa / Africa Corps</t>
        </is>
      </c>
      <c r="S9" s="33" t="inlineStr">
        <is>
          <t>Attaque à l'EEI visant une patrouille mixte FAMa-Africa Corps sur l'axe Mourdja-Kaloumba.</t>
        </is>
      </c>
      <c r="T9" s="30" t="n">
        <v>0</v>
      </c>
      <c r="U9" s="30" t="n">
        <v>0</v>
      </c>
      <c r="V9" s="30" t="n">
        <v>2</v>
      </c>
      <c r="W9" s="30" t="n">
        <v>2</v>
      </c>
      <c r="X9" s="30" t="n">
        <v>0</v>
      </c>
      <c r="Y9" s="35">
        <f>T9+V9+W9+X9</f>
        <v/>
      </c>
      <c r="Z9" s="30" t="n">
        <v>0</v>
      </c>
      <c r="AA9" s="30" t="n">
        <v>1</v>
      </c>
      <c r="AB9" s="30" t="n">
        <v>0</v>
      </c>
      <c r="AC9" s="33" t="inlineStr">
        <is>
          <t>Aucun</t>
        </is>
      </c>
      <c r="AD9" s="33" t="inlineStr">
        <is>
          <t>Véhicule militaire touché par EEI</t>
        </is>
      </c>
      <c r="AE9" s="32">
        <f>ROUND(2*6371*ASIN(SQRT(SIN(RADIANS(J9-LAT_BAMAKO)/2)^2+COS(RADIANS(LAT_BAMAKO))*COS(RADIANS(J9))*SIN(RADIANS(K9-LON_BAMAKO)/2)^2)),0)</f>
        <v/>
      </c>
      <c r="AF9" s="32">
        <f>IF(AE9&lt;=SEUIL_KM,"Oui","Non")</f>
        <v/>
      </c>
      <c r="AG9" s="30" t="inlineStr">
        <is>
          <t>Partiellement corroboré</t>
        </is>
      </c>
      <c r="AH9" s="32" t="inlineStr">
        <is>
          <t>Non</t>
        </is>
      </c>
      <c r="AI9" s="33" t="inlineStr">
        <is>
          <t>Sahel Alerte, Naïm TOURÉ</t>
        </is>
      </c>
      <c r="AJ9" s="36">
        <f>HYPERLINK("https://www.openstreetmap.org/?mlat="&amp;SUBSTITUTE(J9&amp;"",",",".")&amp;"&amp;mlon="&amp;SUBSTITUTE(K9&amp;"",",",".")&amp;"#map=11/"&amp;SUBSTITUTE(J9&amp;"",",",".")&amp;"/"&amp;SUBSTITUTE(K9&amp;"",",","."),"OSM ↗")</f>
        <v/>
      </c>
      <c r="AK9" s="36">
        <f>HYPERLINK("https://www.google.com/maps/search/?api=1&amp;query="&amp;SUBSTITUTE(J9&amp;"",",",".")&amp;"%2C"&amp;SUBSTITUTE(K9&amp;"",",","."),"Google ↗")</f>
        <v/>
      </c>
      <c r="AL9" s="36">
        <f>HYPERLINK(URL_TABLEAU&amp;"#"&amp;A9,"Dossier ↗")</f>
        <v/>
      </c>
    </row>
    <row r="10" ht="48" customHeight="1">
      <c r="A10" s="30" t="inlineStr">
        <is>
          <t>INC-2026-009</t>
        </is>
      </c>
      <c r="B10" s="31" t="n">
        <v>46280</v>
      </c>
      <c r="C10" s="32">
        <f>WEEKNUM(B10,21)</f>
        <v/>
      </c>
      <c r="D10" s="32">
        <f>IF(B10&lt;P_DEBUT_P2,"P1","P2")</f>
        <v/>
      </c>
      <c r="E10" s="30" t="inlineStr">
        <is>
          <t>Mali</t>
        </is>
      </c>
      <c r="F10" s="30" t="inlineStr">
        <is>
          <t>Mopti</t>
        </is>
      </c>
      <c r="G10" s="30" t="inlineStr">
        <is>
          <t>Mopti</t>
        </is>
      </c>
      <c r="H10" s="33" t="inlineStr">
        <is>
          <t>Mopti</t>
        </is>
      </c>
      <c r="I10" s="33" t="inlineStr">
        <is>
          <t>Aéroport de Sévaré / Konna</t>
        </is>
      </c>
      <c r="J10" s="34" t="n">
        <v>14.5133</v>
      </c>
      <c r="K10" s="34" t="n">
        <v>-4.1033</v>
      </c>
      <c r="L10" s="30" t="inlineStr">
        <is>
          <t>Localité</t>
        </is>
      </c>
      <c r="M10" s="33" t="inlineStr">
        <is>
          <t>Tirs de Mortier / Artillerie</t>
        </is>
      </c>
      <c r="N10" s="30" t="inlineStr">
        <is>
          <t>Tirs indirects</t>
        </is>
      </c>
      <c r="O10" s="30" t="inlineStr">
        <is>
          <t>JNIM</t>
        </is>
      </c>
      <c r="P10" s="33" t="inlineStr">
        <is>
          <t>JNIM</t>
        </is>
      </c>
      <c r="Q10" s="30" t="inlineStr">
        <is>
          <t>FAMa / Africa Corps</t>
        </is>
      </c>
      <c r="R10" s="33" t="inlineStr">
        <is>
          <t>Base Aérienne FAMa / Africa Corps</t>
        </is>
      </c>
      <c r="S10" s="33" t="inlineStr">
        <is>
          <t>Tirs de mortiers et canons SPG-9 contre la base de Sévaré et Konna. 4 drones (Bayraktar TB2 / Akıncı) et plusieurs hélicoptères endommagés. Tour radar détruite.</t>
        </is>
      </c>
      <c r="T10" s="30" t="n">
        <v>0</v>
      </c>
      <c r="U10" s="30" t="n">
        <v>0</v>
      </c>
      <c r="V10" s="30" t="n">
        <v>15</v>
      </c>
      <c r="W10" s="30" t="n">
        <v>18</v>
      </c>
      <c r="X10" s="30" t="n">
        <v>0</v>
      </c>
      <c r="Y10" s="35">
        <f>T10+V10+W10+X10</f>
        <v/>
      </c>
      <c r="Z10" s="30" t="n">
        <v>0</v>
      </c>
      <c r="AA10" s="30" t="n">
        <v>6</v>
      </c>
      <c r="AB10" s="30" t="n">
        <v>0</v>
      </c>
      <c r="AC10" s="33" t="inlineStr">
        <is>
          <t>Aucun</t>
        </is>
      </c>
      <c r="AD10" s="33" t="inlineStr">
        <is>
          <t>Tour de contrôle réseau drone et radar détruits</t>
        </is>
      </c>
      <c r="AE10" s="32">
        <f>ROUND(2*6371*ASIN(SQRT(SIN(RADIANS(J10-LAT_BAMAKO)/2)^2+COS(RADIANS(LAT_BAMAKO))*COS(RADIANS(J10))*SIN(RADIANS(K10-LON_BAMAKO)/2)^2)),0)</f>
        <v/>
      </c>
      <c r="AF10" s="32">
        <f>IF(AE10&lt;=SEUIL_KM,"Oui","Non")</f>
        <v/>
      </c>
      <c r="AG10" s="30" t="inlineStr">
        <is>
          <t>Corroboré</t>
        </is>
      </c>
      <c r="AH10" s="32" t="inlineStr">
        <is>
          <t>Non</t>
        </is>
      </c>
      <c r="AI10" s="33" t="inlineStr">
        <is>
          <t>AzZalaqa, Hasret K., Sahel Alerte, Naïm TOURÉ</t>
        </is>
      </c>
      <c r="AJ10" s="36">
        <f>HYPERLINK("https://www.openstreetmap.org/?mlat="&amp;SUBSTITUTE(J10&amp;"",",",".")&amp;"&amp;mlon="&amp;SUBSTITUTE(K10&amp;"",",",".")&amp;"#map=11/"&amp;SUBSTITUTE(J10&amp;"",",",".")&amp;"/"&amp;SUBSTITUTE(K10&amp;"",",","."),"OSM ↗")</f>
        <v/>
      </c>
      <c r="AK10" s="36">
        <f>HYPERLINK("https://www.google.com/maps/search/?api=1&amp;query="&amp;SUBSTITUTE(J10&amp;"",",",".")&amp;"%2C"&amp;SUBSTITUTE(K10&amp;"",",","."),"Google ↗")</f>
        <v/>
      </c>
      <c r="AL10" s="36">
        <f>HYPERLINK(URL_TABLEAU&amp;"#"&amp;A10,"Dossier ↗")</f>
        <v/>
      </c>
    </row>
    <row r="11" ht="48" customHeight="1">
      <c r="A11" s="30" t="inlineStr">
        <is>
          <t>INC-2026-010</t>
        </is>
      </c>
      <c r="B11" s="31" t="n">
        <v>46281</v>
      </c>
      <c r="C11" s="32">
        <f>WEEKNUM(B11,21)</f>
        <v/>
      </c>
      <c r="D11" s="32">
        <f>IF(B11&lt;P_DEBUT_P2,"P1","P2")</f>
        <v/>
      </c>
      <c r="E11" s="30" t="inlineStr">
        <is>
          <t>Mali</t>
        </is>
      </c>
      <c r="F11" s="30" t="inlineStr">
        <is>
          <t>Mopti</t>
        </is>
      </c>
      <c r="G11" s="30" t="inlineStr">
        <is>
          <t>Ténenkou</t>
        </is>
      </c>
      <c r="H11" s="33" t="inlineStr">
        <is>
          <t>Mopti / Ténenkou</t>
        </is>
      </c>
      <c r="I11" s="33" t="inlineStr">
        <is>
          <t>Guèllèdjè</t>
        </is>
      </c>
      <c r="J11" s="34" t="n">
        <v>14.45</v>
      </c>
      <c r="K11" s="34" t="n">
        <v>-4.9167</v>
      </c>
      <c r="L11" s="30" t="inlineStr">
        <is>
          <t>Localité</t>
        </is>
      </c>
      <c r="M11" s="33" t="inlineStr">
        <is>
          <t>Frappe Drone / Bavure Civile</t>
        </is>
      </c>
      <c r="N11" s="30" t="inlineStr">
        <is>
          <t>Frappe aérienne étatique</t>
        </is>
      </c>
      <c r="O11" s="30" t="inlineStr">
        <is>
          <t>FAMa / Africa Corps</t>
        </is>
      </c>
      <c r="P11" s="33" t="inlineStr">
        <is>
          <t>FAMa / Africa Corps (Drone)</t>
        </is>
      </c>
      <c r="Q11" s="30" t="inlineStr">
        <is>
          <t>Civils</t>
        </is>
      </c>
      <c r="R11" s="33" t="inlineStr">
        <is>
          <t>Point de connexion Starlink (Civils)</t>
        </is>
      </c>
      <c r="S11" s="33" t="inlineStr">
        <is>
          <t>Bombardement par un drone militaire sur un point d'accès Starlink dans le village de Guèllèdjè.</t>
        </is>
      </c>
      <c r="T11" s="30" t="n">
        <v>7</v>
      </c>
      <c r="U11" s="30" t="n">
        <v>8</v>
      </c>
      <c r="V11" s="30" t="n">
        <v>0</v>
      </c>
      <c r="W11" s="30" t="n">
        <v>0</v>
      </c>
      <c r="X11" s="30" t="n">
        <v>0</v>
      </c>
      <c r="Y11" s="35">
        <f>T11+V11+W11+X11</f>
        <v/>
      </c>
      <c r="Z11" s="30" t="n">
        <v>0</v>
      </c>
      <c r="AA11" s="30" t="n">
        <v>0</v>
      </c>
      <c r="AB11" s="30" t="n">
        <v>0</v>
      </c>
      <c r="AC11" s="33" t="inlineStr">
        <is>
          <t>Aucun</t>
        </is>
      </c>
      <c r="AD11" s="33" t="inlineStr">
        <is>
          <t>Station Starlink civile détruite</t>
        </is>
      </c>
      <c r="AE11" s="32">
        <f>ROUND(2*6371*ASIN(SQRT(SIN(RADIANS(J11-LAT_BAMAKO)/2)^2+COS(RADIANS(LAT_BAMAKO))*COS(RADIANS(J11))*SIN(RADIANS(K11-LON_BAMAKO)/2)^2)),0)</f>
        <v/>
      </c>
      <c r="AF11" s="32">
        <f>IF(AE11&lt;=SEUIL_KM,"Oui","Non")</f>
        <v/>
      </c>
      <c r="AG11" s="30" t="inlineStr">
        <is>
          <t>Source unique</t>
        </is>
      </c>
      <c r="AH11" s="32" t="inlineStr">
        <is>
          <t>Oui</t>
        </is>
      </c>
      <c r="AI11" s="33" t="inlineStr">
        <is>
          <t>Naïm TOURÉ</t>
        </is>
      </c>
      <c r="AJ11" s="36">
        <f>HYPERLINK("https://www.openstreetmap.org/?mlat="&amp;SUBSTITUTE(J11&amp;"",",",".")&amp;"&amp;mlon="&amp;SUBSTITUTE(K11&amp;"",",",".")&amp;"#map=11/"&amp;SUBSTITUTE(J11&amp;"",",",".")&amp;"/"&amp;SUBSTITUTE(K11&amp;"",",","."),"OSM ↗")</f>
        <v/>
      </c>
      <c r="AK11" s="36">
        <f>HYPERLINK("https://www.google.com/maps/search/?api=1&amp;query="&amp;SUBSTITUTE(J11&amp;"",",",".")&amp;"%2C"&amp;SUBSTITUTE(K11&amp;"",",","."),"Google ↗")</f>
        <v/>
      </c>
      <c r="AL11" s="36">
        <f>HYPERLINK(URL_TABLEAU&amp;"#"&amp;A11,"Dossier ↗")</f>
        <v/>
      </c>
    </row>
    <row r="12" ht="48" customHeight="1">
      <c r="A12" s="30" t="inlineStr">
        <is>
          <t>INC-2026-011</t>
        </is>
      </c>
      <c r="B12" s="31" t="n">
        <v>46283</v>
      </c>
      <c r="C12" s="32">
        <f>WEEKNUM(B12,21)</f>
        <v/>
      </c>
      <c r="D12" s="32">
        <f>IF(B12&lt;P_DEBUT_P2,"P1","P2")</f>
        <v/>
      </c>
      <c r="E12" s="30" t="inlineStr">
        <is>
          <t>Mali</t>
        </is>
      </c>
      <c r="F12" s="30" t="inlineStr">
        <is>
          <t>Koulikoro</t>
        </is>
      </c>
      <c r="G12" s="30" t="inlineStr">
        <is>
          <t>Kati</t>
        </is>
      </c>
      <c r="H12" s="33" t="inlineStr">
        <is>
          <t>Koulikoro</t>
        </is>
      </c>
      <c r="I12" s="33" t="inlineStr">
        <is>
          <t>Kassela (~40km Bamako)</t>
        </is>
      </c>
      <c r="J12" s="34" t="n">
        <v>12.5833</v>
      </c>
      <c r="K12" s="34" t="n">
        <v>-7.7167</v>
      </c>
      <c r="L12" s="30" t="inlineStr">
        <is>
          <t>Localité</t>
        </is>
      </c>
      <c r="M12" s="33" t="inlineStr">
        <is>
          <t>Attaque de Poste / Infiltration</t>
        </is>
      </c>
      <c r="N12" s="30" t="inlineStr">
        <is>
          <t>Attaque de poste / camp</t>
        </is>
      </c>
      <c r="O12" s="30" t="inlineStr">
        <is>
          <t>JNIM</t>
        </is>
      </c>
      <c r="P12" s="33" t="inlineStr">
        <is>
          <t>JNIM</t>
        </is>
      </c>
      <c r="Q12" s="30" t="inlineStr">
        <is>
          <t>FAMa / Africa Corps</t>
        </is>
      </c>
      <c r="R12" s="33" t="inlineStr">
        <is>
          <t>Poste de contrôle FAMa</t>
        </is>
      </c>
      <c r="S12" s="33" t="inlineStr">
        <is>
          <t>Attaque nocturne (21h-22h) et prise de contrôle totale d'un poste de l'armée à seulement 40 km de Bamako.</t>
        </is>
      </c>
      <c r="T12" s="30" t="n">
        <v>0</v>
      </c>
      <c r="U12" s="30" t="n">
        <v>0</v>
      </c>
      <c r="V12" s="30" t="n">
        <v>3</v>
      </c>
      <c r="W12" s="30" t="n">
        <v>0</v>
      </c>
      <c r="X12" s="30" t="n">
        <v>0</v>
      </c>
      <c r="Y12" s="35">
        <f>T12+V12+W12+X12</f>
        <v/>
      </c>
      <c r="Z12" s="30" t="n">
        <v>0</v>
      </c>
      <c r="AA12" s="30" t="n">
        <v>1</v>
      </c>
      <c r="AB12" s="30" t="n">
        <v>0</v>
      </c>
      <c r="AC12" s="33" t="inlineStr">
        <is>
          <t>Armes légères et munitions</t>
        </is>
      </c>
      <c r="AD12" s="33" t="inlineStr">
        <is>
          <t>Poste de contrôle de Kassela incendié</t>
        </is>
      </c>
      <c r="AE12" s="32">
        <f>ROUND(2*6371*ASIN(SQRT(SIN(RADIANS(J12-LAT_BAMAKO)/2)^2+COS(RADIANS(LAT_BAMAKO))*COS(RADIANS(J12))*SIN(RADIANS(K12-LON_BAMAKO)/2)^2)),0)</f>
        <v/>
      </c>
      <c r="AF12" s="32">
        <f>IF(AE12&lt;=SEUIL_KM,"Oui","Non")</f>
        <v/>
      </c>
      <c r="AG12" s="30" t="inlineStr">
        <is>
          <t>Partiellement corroboré</t>
        </is>
      </c>
      <c r="AH12" s="32" t="inlineStr">
        <is>
          <t>Non</t>
        </is>
      </c>
      <c r="AI12" s="33" t="inlineStr">
        <is>
          <t>Sahel Alerte, AzZalaqa, Naïm TOURÉ</t>
        </is>
      </c>
      <c r="AJ12" s="36">
        <f>HYPERLINK("https://www.openstreetmap.org/?mlat="&amp;SUBSTITUTE(J12&amp;"",",",".")&amp;"&amp;mlon="&amp;SUBSTITUTE(K12&amp;"",",",".")&amp;"#map=11/"&amp;SUBSTITUTE(J12&amp;"",",",".")&amp;"/"&amp;SUBSTITUTE(K12&amp;"",",","."),"OSM ↗")</f>
        <v/>
      </c>
      <c r="AK12" s="36">
        <f>HYPERLINK("https://www.google.com/maps/search/?api=1&amp;query="&amp;SUBSTITUTE(J12&amp;"",",",".")&amp;"%2C"&amp;SUBSTITUTE(K12&amp;"",",","."),"Google ↗")</f>
        <v/>
      </c>
      <c r="AL12" s="36">
        <f>HYPERLINK(URL_TABLEAU&amp;"#"&amp;A12,"Dossier ↗")</f>
        <v/>
      </c>
    </row>
    <row r="13" ht="48" customHeight="1">
      <c r="A13" s="30" t="inlineStr">
        <is>
          <t>INC-2026-012</t>
        </is>
      </c>
      <c r="B13" s="31" t="n">
        <v>46284</v>
      </c>
      <c r="C13" s="32">
        <f>WEEKNUM(B13,21)</f>
        <v/>
      </c>
      <c r="D13" s="32">
        <f>IF(B13&lt;P_DEBUT_P2,"P1","P2")</f>
        <v/>
      </c>
      <c r="E13" s="30" t="inlineStr">
        <is>
          <t>Mali</t>
        </is>
      </c>
      <c r="F13" s="30" t="inlineStr">
        <is>
          <t>Ségou</t>
        </is>
      </c>
      <c r="G13" s="30" t="inlineStr">
        <is>
          <t>Bla</t>
        </is>
      </c>
      <c r="H13" s="33" t="inlineStr">
        <is>
          <t>Ségou</t>
        </is>
      </c>
      <c r="I13" s="33" t="inlineStr">
        <is>
          <t>Bla &amp; Noumouna</t>
        </is>
      </c>
      <c r="J13" s="34" t="n">
        <v>12.95</v>
      </c>
      <c r="K13" s="34" t="n">
        <v>-5.75</v>
      </c>
      <c r="L13" s="30" t="inlineStr">
        <is>
          <t>Localité</t>
        </is>
      </c>
      <c r="M13" s="33" t="inlineStr">
        <is>
          <t>Attaque / Menace Sécuritaire</t>
        </is>
      </c>
      <c r="N13" s="30" t="inlineStr">
        <is>
          <t>Attaque de poste / camp</t>
        </is>
      </c>
      <c r="O13" s="30" t="inlineStr">
        <is>
          <t>JNIM</t>
        </is>
      </c>
      <c r="P13" s="33" t="inlineStr">
        <is>
          <t>JNIM</t>
        </is>
      </c>
      <c r="Q13" s="30" t="inlineStr">
        <is>
          <t>FAMa / Africa Corps</t>
        </is>
      </c>
      <c r="R13" s="33" t="inlineStr">
        <is>
          <t>FAMa / Positions administratives</t>
        </is>
      </c>
      <c r="S13" s="33" t="inlineStr">
        <is>
          <t>Pression sécuritaire accrue et attaques ciblées sur Noumouna et Bla. Entraîne l'annulation des cérémonies de l'indépendance à Bla.</t>
        </is>
      </c>
      <c r="T13" s="30" t="n">
        <v>0</v>
      </c>
      <c r="U13" s="30" t="n">
        <v>0</v>
      </c>
      <c r="V13" s="30" t="n">
        <v>0</v>
      </c>
      <c r="W13" s="30" t="n">
        <v>0</v>
      </c>
      <c r="X13" s="30" t="n">
        <v>0</v>
      </c>
      <c r="Y13" s="35">
        <f>T13+V13+W13+X13</f>
        <v/>
      </c>
      <c r="Z13" s="30" t="n">
        <v>0</v>
      </c>
      <c r="AA13" s="30" t="n">
        <v>0</v>
      </c>
      <c r="AB13" s="30" t="n">
        <v>0</v>
      </c>
      <c r="AC13" s="33" t="inlineStr">
        <is>
          <t>Non spécifié</t>
        </is>
      </c>
      <c r="AD13" s="33" t="inlineStr">
        <is>
          <t>Festivités nationales du 22 septembre annulées</t>
        </is>
      </c>
      <c r="AE13" s="32">
        <f>ROUND(2*6371*ASIN(SQRT(SIN(RADIANS(J13-LAT_BAMAKO)/2)^2+COS(RADIANS(LAT_BAMAKO))*COS(RADIANS(J13))*SIN(RADIANS(K13-LON_BAMAKO)/2)^2)),0)</f>
        <v/>
      </c>
      <c r="AF13" s="32">
        <f>IF(AE13&lt;=SEUIL_KM,"Oui","Non")</f>
        <v/>
      </c>
      <c r="AG13" s="30" t="inlineStr">
        <is>
          <t>Partiellement corroboré</t>
        </is>
      </c>
      <c r="AH13" s="32" t="inlineStr">
        <is>
          <t>Non</t>
        </is>
      </c>
      <c r="AI13" s="33" t="inlineStr">
        <is>
          <t>Sahel Alerte, Naïm TOURÉ</t>
        </is>
      </c>
      <c r="AJ13" s="36">
        <f>HYPERLINK("https://www.openstreetmap.org/?mlat="&amp;SUBSTITUTE(J13&amp;"",",",".")&amp;"&amp;mlon="&amp;SUBSTITUTE(K13&amp;"",",",".")&amp;"#map=11/"&amp;SUBSTITUTE(J13&amp;"",",",".")&amp;"/"&amp;SUBSTITUTE(K13&amp;"",",","."),"OSM ↗")</f>
        <v/>
      </c>
      <c r="AK13" s="36">
        <f>HYPERLINK("https://www.google.com/maps/search/?api=1&amp;query="&amp;SUBSTITUTE(J13&amp;"",",",".")&amp;"%2C"&amp;SUBSTITUTE(K13&amp;"",",","."),"Google ↗")</f>
        <v/>
      </c>
      <c r="AL13" s="36">
        <f>HYPERLINK(URL_TABLEAU&amp;"#"&amp;A13,"Dossier ↗")</f>
        <v/>
      </c>
    </row>
    <row r="14" ht="48" customHeight="1">
      <c r="A14" s="30" t="inlineStr">
        <is>
          <t>INC-2026-013</t>
        </is>
      </c>
      <c r="B14" s="31" t="n">
        <v>46285</v>
      </c>
      <c r="C14" s="32">
        <f>WEEKNUM(B14,21)</f>
        <v/>
      </c>
      <c r="D14" s="32">
        <f>IF(B14&lt;P_DEBUT_P2,"P1","P2")</f>
        <v/>
      </c>
      <c r="E14" s="30" t="inlineStr">
        <is>
          <t>Mali</t>
        </is>
      </c>
      <c r="F14" s="30" t="inlineStr">
        <is>
          <t>Ségou</t>
        </is>
      </c>
      <c r="G14" s="30" t="inlineStr">
        <is>
          <t>Niono</t>
        </is>
      </c>
      <c r="H14" s="33" t="inlineStr">
        <is>
          <t>Ségou / Niono</t>
        </is>
      </c>
      <c r="I14" s="33" t="inlineStr">
        <is>
          <t>Diabali / Molodo</t>
        </is>
      </c>
      <c r="J14" s="34" t="n">
        <v>14.6833</v>
      </c>
      <c r="K14" s="34" t="n">
        <v>-6.0167</v>
      </c>
      <c r="L14" s="30" t="inlineStr">
        <is>
          <t>Localité</t>
        </is>
      </c>
      <c r="M14" s="33" t="inlineStr">
        <is>
          <t>Embuscade / Fuite de Convoi</t>
        </is>
      </c>
      <c r="N14" s="30" t="inlineStr">
        <is>
          <t>Embuscade</t>
        </is>
      </c>
      <c r="O14" s="30" t="inlineStr">
        <is>
          <t>JNIM</t>
        </is>
      </c>
      <c r="P14" s="33" t="inlineStr">
        <is>
          <t>JNIM</t>
        </is>
      </c>
      <c r="Q14" s="30" t="inlineStr">
        <is>
          <t>FAMa / Africa Corps</t>
        </is>
      </c>
      <c r="R14" s="33" t="inlineStr">
        <is>
          <t>FAMa / Africa Corps</t>
        </is>
      </c>
      <c r="S14" s="33" t="inlineStr">
        <is>
          <t>Patrouille mixte prise en embuscade. Les mercenaires russes fuient en abandonnant 3 véhicules blindés dont un GAZ-2330 et leurs équipements.</t>
        </is>
      </c>
      <c r="T14" s="30" t="n">
        <v>0</v>
      </c>
      <c r="U14" s="30" t="n">
        <v>0</v>
      </c>
      <c r="V14" s="30" t="n">
        <v>0</v>
      </c>
      <c r="W14" s="30" t="n">
        <v>2</v>
      </c>
      <c r="X14" s="30" t="n">
        <v>0</v>
      </c>
      <c r="Y14" s="35">
        <f>T14+V14+W14+X14</f>
        <v/>
      </c>
      <c r="Z14" s="30" t="n">
        <v>0</v>
      </c>
      <c r="AA14" s="30" t="n">
        <v>0</v>
      </c>
      <c r="AB14" s="30" t="n">
        <v>3</v>
      </c>
      <c r="AC14" s="33" t="inlineStr">
        <is>
          <t>Armes, munitions, drapeau Africa Corps</t>
        </is>
      </c>
      <c r="AD14" s="33" t="inlineStr">
        <is>
          <t>Abandon de matériel lourd militaire</t>
        </is>
      </c>
      <c r="AE14" s="32">
        <f>ROUND(2*6371*ASIN(SQRT(SIN(RADIANS(J14-LAT_BAMAKO)/2)^2+COS(RADIANS(LAT_BAMAKO))*COS(RADIANS(J14))*SIN(RADIANS(K14-LON_BAMAKO)/2)^2)),0)</f>
        <v/>
      </c>
      <c r="AF14" s="32">
        <f>IF(AE14&lt;=SEUIL_KM,"Oui","Non")</f>
        <v/>
      </c>
      <c r="AG14" s="30" t="inlineStr">
        <is>
          <t>Partiellement corroboré</t>
        </is>
      </c>
      <c r="AH14" s="32" t="inlineStr">
        <is>
          <t>Non</t>
        </is>
      </c>
      <c r="AI14" s="33" t="inlineStr">
        <is>
          <t>JNIM, Sahel Alerte, Naïm TOURÉ</t>
        </is>
      </c>
      <c r="AJ14" s="36">
        <f>HYPERLINK("https://www.openstreetmap.org/?mlat="&amp;SUBSTITUTE(J14&amp;"",",",".")&amp;"&amp;mlon="&amp;SUBSTITUTE(K14&amp;"",",",".")&amp;"#map=11/"&amp;SUBSTITUTE(J14&amp;"",",",".")&amp;"/"&amp;SUBSTITUTE(K14&amp;"",",","."),"OSM ↗")</f>
        <v/>
      </c>
      <c r="AK14" s="36">
        <f>HYPERLINK("https://www.google.com/maps/search/?api=1&amp;query="&amp;SUBSTITUTE(J14&amp;"",",",".")&amp;"%2C"&amp;SUBSTITUTE(K14&amp;"",",","."),"Google ↗")</f>
        <v/>
      </c>
      <c r="AL14" s="36">
        <f>HYPERLINK(URL_TABLEAU&amp;"#"&amp;A14,"Dossier ↗")</f>
        <v/>
      </c>
    </row>
    <row r="15" ht="48" customHeight="1">
      <c r="A15" s="30" t="inlineStr">
        <is>
          <t>INC-2026-014</t>
        </is>
      </c>
      <c r="B15" s="31" t="n">
        <v>46289</v>
      </c>
      <c r="C15" s="32">
        <f>WEEKNUM(B15,21)</f>
        <v/>
      </c>
      <c r="D15" s="32">
        <f>IF(B15&lt;P_DEBUT_P2,"P1","P2")</f>
        <v/>
      </c>
      <c r="E15" s="30" t="inlineStr">
        <is>
          <t>Mali</t>
        </is>
      </c>
      <c r="F15" s="30" t="inlineStr">
        <is>
          <t>Mopti</t>
        </is>
      </c>
      <c r="G15" s="30" t="inlineStr">
        <is>
          <t>Djenné</t>
        </is>
      </c>
      <c r="H15" s="33" t="inlineStr">
        <is>
          <t>Mopti</t>
        </is>
      </c>
      <c r="I15" s="33" t="inlineStr">
        <is>
          <t>Carrefour Djenné</t>
        </is>
      </c>
      <c r="J15" s="34" t="n">
        <v>13.9</v>
      </c>
      <c r="K15" s="34" t="n">
        <v>-4.55</v>
      </c>
      <c r="L15" s="30" t="inlineStr">
        <is>
          <t>Zone (±10 km)</t>
        </is>
      </c>
      <c r="M15" s="33" t="inlineStr">
        <is>
          <t>Attaque de Caserne</t>
        </is>
      </c>
      <c r="N15" s="30" t="inlineStr">
        <is>
          <t>Attaque de poste / camp</t>
        </is>
      </c>
      <c r="O15" s="30" t="inlineStr">
        <is>
          <t>JNIM</t>
        </is>
      </c>
      <c r="P15" s="33" t="inlineStr">
        <is>
          <t>JNIM</t>
        </is>
      </c>
      <c r="Q15" s="30" t="inlineStr">
        <is>
          <t>FAMa / Africa Corps</t>
        </is>
      </c>
      <c r="R15" s="33" t="inlineStr">
        <is>
          <t>Poste / Caserne FAMa</t>
        </is>
      </c>
      <c r="S15" s="33" t="inlineStr">
        <is>
          <t>Attaque contre la caserne du Carrefour Djenné. 2 soldats tués, 2 véhicules détruits et 5 véhicules saisis ainsi qu'un drone.</t>
        </is>
      </c>
      <c r="T15" s="30" t="n">
        <v>0</v>
      </c>
      <c r="U15" s="30" t="n">
        <v>0</v>
      </c>
      <c r="V15" s="30" t="n">
        <v>2</v>
      </c>
      <c r="W15" s="30" t="n">
        <v>0</v>
      </c>
      <c r="X15" s="30" t="n">
        <v>0</v>
      </c>
      <c r="Y15" s="35">
        <f>T15+V15+W15+X15</f>
        <v/>
      </c>
      <c r="Z15" s="30" t="n">
        <v>0</v>
      </c>
      <c r="AA15" s="30" t="n">
        <v>2</v>
      </c>
      <c r="AB15" s="30" t="n">
        <v>5</v>
      </c>
      <c r="AC15" s="33" t="inlineStr">
        <is>
          <t>1 drone, fusils et importantes munitions</t>
        </is>
      </c>
      <c r="AD15" s="33" t="inlineStr">
        <is>
          <t>Caserne militaire partiellement saccagée</t>
        </is>
      </c>
      <c r="AE15" s="32">
        <f>ROUND(2*6371*ASIN(SQRT(SIN(RADIANS(J15-LAT_BAMAKO)/2)^2+COS(RADIANS(LAT_BAMAKO))*COS(RADIANS(J15))*SIN(RADIANS(K15-LON_BAMAKO)/2)^2)),0)</f>
        <v/>
      </c>
      <c r="AF15" s="32">
        <f>IF(AE15&lt;=SEUIL_KM,"Oui","Non")</f>
        <v/>
      </c>
      <c r="AG15" s="30" t="inlineStr">
        <is>
          <t>Corroboré</t>
        </is>
      </c>
      <c r="AH15" s="32" t="inlineStr">
        <is>
          <t>Non</t>
        </is>
      </c>
      <c r="AI15" s="33" t="inlineStr">
        <is>
          <t>Sagnon, AzZalaqa, Hasret K., Naïm TOURÉ</t>
        </is>
      </c>
      <c r="AJ15" s="36">
        <f>HYPERLINK("https://www.openstreetmap.org/?mlat="&amp;SUBSTITUTE(J15&amp;"",",",".")&amp;"&amp;mlon="&amp;SUBSTITUTE(K15&amp;"",",",".")&amp;"#map=11/"&amp;SUBSTITUTE(J15&amp;"",",",".")&amp;"/"&amp;SUBSTITUTE(K15&amp;"",",","."),"OSM ↗")</f>
        <v/>
      </c>
      <c r="AK15" s="36">
        <f>HYPERLINK("https://www.google.com/maps/search/?api=1&amp;query="&amp;SUBSTITUTE(J15&amp;"",",",".")&amp;"%2C"&amp;SUBSTITUTE(K15&amp;"",",","."),"Google ↗")</f>
        <v/>
      </c>
      <c r="AL15" s="36">
        <f>HYPERLINK(URL_TABLEAU&amp;"#"&amp;A15,"Dossier ↗")</f>
        <v/>
      </c>
    </row>
    <row r="16" ht="48" customHeight="1">
      <c r="A16" s="30" t="inlineStr">
        <is>
          <t>INC-2026-015</t>
        </is>
      </c>
      <c r="B16" s="31" t="n">
        <v>46289</v>
      </c>
      <c r="C16" s="32">
        <f>WEEKNUM(B16,21)</f>
        <v/>
      </c>
      <c r="D16" s="32">
        <f>IF(B16&lt;P_DEBUT_P2,"P1","P2")</f>
        <v/>
      </c>
      <c r="E16" s="30" t="inlineStr">
        <is>
          <t>Mali</t>
        </is>
      </c>
      <c r="F16" s="30" t="inlineStr">
        <is>
          <t>Mopti</t>
        </is>
      </c>
      <c r="G16" s="30" t="inlineStr">
        <is>
          <t>Douentza</t>
        </is>
      </c>
      <c r="H16" s="33" t="inlineStr">
        <is>
          <t>Mopti</t>
        </is>
      </c>
      <c r="I16" s="33" t="inlineStr">
        <is>
          <t>Douentza (Quartier Fombori)</t>
        </is>
      </c>
      <c r="J16" s="34" t="n">
        <v>15</v>
      </c>
      <c r="K16" s="34" t="n">
        <v>-2.95</v>
      </c>
      <c r="L16" s="30" t="inlineStr">
        <is>
          <t>Zone (±10 km)</t>
        </is>
      </c>
      <c r="M16" s="33" t="inlineStr">
        <is>
          <t>Explosion / Attaque Ciblée</t>
        </is>
      </c>
      <c r="N16" s="30" t="inlineStr">
        <is>
          <t>Attaque ciblée / VIP</t>
        </is>
      </c>
      <c r="O16" s="30" t="inlineStr">
        <is>
          <t>JNIM</t>
        </is>
      </c>
      <c r="P16" s="33" t="inlineStr">
        <is>
          <t>Non identifié (Probablement JNIM)</t>
        </is>
      </c>
      <c r="Q16" s="30" t="inlineStr">
        <is>
          <t>Milices pro-gouv.</t>
        </is>
      </c>
      <c r="R16" s="33" t="inlineStr">
        <is>
          <t>Milices pro-gouvernementales</t>
        </is>
      </c>
      <c r="S16" s="33" t="inlineStr">
        <is>
          <t>Forte explosion à la sortie sud de Douentza visant une position des milices pro-gouvernementales.</t>
        </is>
      </c>
      <c r="T16" s="30" t="n">
        <v>0</v>
      </c>
      <c r="U16" s="30" t="n">
        <v>2</v>
      </c>
      <c r="V16" s="30" t="n">
        <v>0</v>
      </c>
      <c r="W16" s="30" t="n">
        <v>0</v>
      </c>
      <c r="X16" s="30" t="n">
        <v>1</v>
      </c>
      <c r="Y16" s="35">
        <f>T16+V16+W16+X16</f>
        <v/>
      </c>
      <c r="Z16" s="30" t="n">
        <v>0</v>
      </c>
      <c r="AA16" s="30" t="n">
        <v>0</v>
      </c>
      <c r="AB16" s="30" t="n">
        <v>0</v>
      </c>
      <c r="AC16" s="33" t="inlineStr">
        <is>
          <t>Aucun</t>
        </is>
      </c>
      <c r="AD16" s="33" t="inlineStr">
        <is>
          <t>Position de milice touchée par déflagration</t>
        </is>
      </c>
      <c r="AE16" s="32">
        <f>ROUND(2*6371*ASIN(SQRT(SIN(RADIANS(J16-LAT_BAMAKO)/2)^2+COS(RADIANS(LAT_BAMAKO))*COS(RADIANS(J16))*SIN(RADIANS(K16-LON_BAMAKO)/2)^2)),0)</f>
        <v/>
      </c>
      <c r="AF16" s="32">
        <f>IF(AE16&lt;=SEUIL_KM,"Oui","Non")</f>
        <v/>
      </c>
      <c r="AG16" s="30" t="inlineStr">
        <is>
          <t>Partiellement corroboré</t>
        </is>
      </c>
      <c r="AH16" s="32" t="inlineStr">
        <is>
          <t>Non</t>
        </is>
      </c>
      <c r="AI16" s="33" t="inlineStr">
        <is>
          <t>Sahel Alerte, Naïm TOURÉ</t>
        </is>
      </c>
      <c r="AJ16" s="36">
        <f>HYPERLINK("https://www.openstreetmap.org/?mlat="&amp;SUBSTITUTE(J16&amp;"",",",".")&amp;"&amp;mlon="&amp;SUBSTITUTE(K16&amp;"",",",".")&amp;"#map=11/"&amp;SUBSTITUTE(J16&amp;"",",",".")&amp;"/"&amp;SUBSTITUTE(K16&amp;"",",","."),"OSM ↗")</f>
        <v/>
      </c>
      <c r="AK16" s="36">
        <f>HYPERLINK("https://www.google.com/maps/search/?api=1&amp;query="&amp;SUBSTITUTE(J16&amp;"",",",".")&amp;"%2C"&amp;SUBSTITUTE(K16&amp;"",",","."),"Google ↗")</f>
        <v/>
      </c>
      <c r="AL16" s="36">
        <f>HYPERLINK(URL_TABLEAU&amp;"#"&amp;A16,"Dossier ↗")</f>
        <v/>
      </c>
    </row>
    <row r="17" ht="48" customHeight="1">
      <c r="A17" s="30" t="inlineStr">
        <is>
          <t>INC-2026-016</t>
        </is>
      </c>
      <c r="B17" s="31" t="n">
        <v>46290</v>
      </c>
      <c r="C17" s="32">
        <f>WEEKNUM(B17,21)</f>
        <v/>
      </c>
      <c r="D17" s="32">
        <f>IF(B17&lt;P_DEBUT_P2,"P1","P2")</f>
        <v/>
      </c>
      <c r="E17" s="30" t="inlineStr">
        <is>
          <t>Mali</t>
        </is>
      </c>
      <c r="F17" s="30" t="inlineStr">
        <is>
          <t>Kidal</t>
        </is>
      </c>
      <c r="G17" s="30" t="inlineStr">
        <is>
          <t>Tessalit</t>
        </is>
      </c>
      <c r="H17" s="33" t="inlineStr">
        <is>
          <t>Kidal</t>
        </is>
      </c>
      <c r="I17" s="33" t="inlineStr">
        <is>
          <t>Aguelhoc</t>
        </is>
      </c>
      <c r="J17" s="34" t="n">
        <v>19.4633</v>
      </c>
      <c r="K17" s="34" t="n">
        <v>0.8552</v>
      </c>
      <c r="L17" s="30" t="inlineStr">
        <is>
          <t>Localité</t>
        </is>
      </c>
      <c r="M17" s="33" t="inlineStr">
        <is>
          <t>Défense Antiaérienne / Drone Abattu</t>
        </is>
      </c>
      <c r="N17" s="30" t="inlineStr">
        <is>
          <t>Lutte anti-drone</t>
        </is>
      </c>
      <c r="O17" s="30" t="inlineStr">
        <is>
          <t>FLA</t>
        </is>
      </c>
      <c r="P17" s="33" t="inlineStr">
        <is>
          <t>Armée de l'Azawad (FLA)</t>
        </is>
      </c>
      <c r="Q17" s="30" t="inlineStr">
        <is>
          <t>FAMa / Africa Corps</t>
        </is>
      </c>
      <c r="R17" s="33" t="inlineStr">
        <is>
          <t>Drone Africa Corps (Molniya-2)</t>
        </is>
      </c>
      <c r="S17" s="33" t="inlineStr">
        <is>
          <t>L’armée de l’Azawad a abattu un drone russe Molniya-2 à Aguelhoc sans faire de victimes au sol.</t>
        </is>
      </c>
      <c r="T17" s="30" t="n">
        <v>0</v>
      </c>
      <c r="U17" s="30" t="n">
        <v>0</v>
      </c>
      <c r="V17" s="30" t="n">
        <v>0</v>
      </c>
      <c r="W17" s="30" t="n">
        <v>0</v>
      </c>
      <c r="X17" s="30" t="n">
        <v>0</v>
      </c>
      <c r="Y17" s="35">
        <f>T17+V17+W17+X17</f>
        <v/>
      </c>
      <c r="Z17" s="30" t="n">
        <v>0</v>
      </c>
      <c r="AA17" s="30" t="n">
        <v>1</v>
      </c>
      <c r="AB17" s="30" t="n">
        <v>0</v>
      </c>
      <c r="AC17" s="33" t="inlineStr">
        <is>
          <t>Débris de drone</t>
        </is>
      </c>
      <c r="AD17" s="33" t="inlineStr">
        <is>
          <t>Perte matérielle pour Africa Corps</t>
        </is>
      </c>
      <c r="AE17" s="32">
        <f>ROUND(2*6371*ASIN(SQRT(SIN(RADIANS(J17-LAT_BAMAKO)/2)^2+COS(RADIANS(LAT_BAMAKO))*COS(RADIANS(J17))*SIN(RADIANS(K17-LON_BAMAKO)/2)^2)),0)</f>
        <v/>
      </c>
      <c r="AF17" s="32">
        <f>IF(AE17&lt;=SEUIL_KM,"Oui","Non")</f>
        <v/>
      </c>
      <c r="AG17" s="30" t="inlineStr">
        <is>
          <t>Partiellement corroboré</t>
        </is>
      </c>
      <c r="AH17" s="32" t="inlineStr">
        <is>
          <t>Non</t>
        </is>
      </c>
      <c r="AI17" s="33" t="inlineStr">
        <is>
          <t>Sahel Alerte, Naïm TOURÉ</t>
        </is>
      </c>
      <c r="AJ17" s="36">
        <f>HYPERLINK("https://www.openstreetmap.org/?mlat="&amp;SUBSTITUTE(J17&amp;"",",",".")&amp;"&amp;mlon="&amp;SUBSTITUTE(K17&amp;"",",",".")&amp;"#map=11/"&amp;SUBSTITUTE(J17&amp;"",",",".")&amp;"/"&amp;SUBSTITUTE(K17&amp;"",",","."),"OSM ↗")</f>
        <v/>
      </c>
      <c r="AK17" s="36">
        <f>HYPERLINK("https://www.google.com/maps/search/?api=1&amp;query="&amp;SUBSTITUTE(J17&amp;"",",",".")&amp;"%2C"&amp;SUBSTITUTE(K17&amp;"",",","."),"Google ↗")</f>
        <v/>
      </c>
      <c r="AL17" s="36">
        <f>HYPERLINK(URL_TABLEAU&amp;"#"&amp;A17,"Dossier ↗")</f>
        <v/>
      </c>
    </row>
    <row r="18" ht="48" customHeight="1">
      <c r="A18" s="30" t="inlineStr">
        <is>
          <t>INC-2026-017</t>
        </is>
      </c>
      <c r="B18" s="31" t="n">
        <v>46292</v>
      </c>
      <c r="C18" s="32">
        <f>WEEKNUM(B18,21)</f>
        <v/>
      </c>
      <c r="D18" s="32">
        <f>IF(B18&lt;P_DEBUT_P2,"P1","P2")</f>
        <v/>
      </c>
      <c r="E18" s="30" t="inlineStr">
        <is>
          <t>Mali</t>
        </is>
      </c>
      <c r="F18" s="30" t="inlineStr">
        <is>
          <t>Ségou</t>
        </is>
      </c>
      <c r="G18" s="30" t="inlineStr">
        <is>
          <t>Niono</t>
        </is>
      </c>
      <c r="H18" s="33" t="inlineStr">
        <is>
          <t>Ségou</t>
        </is>
      </c>
      <c r="I18" s="33" t="inlineStr">
        <is>
          <t>Nord de Niono</t>
        </is>
      </c>
      <c r="J18" s="34" t="n">
        <v>14.25</v>
      </c>
      <c r="K18" s="34" t="n">
        <v>-5.9833</v>
      </c>
      <c r="L18" s="30" t="inlineStr">
        <is>
          <t>Localité</t>
        </is>
      </c>
      <c r="M18" s="33" t="inlineStr">
        <is>
          <t>Embuscade / Riposte</t>
        </is>
      </c>
      <c r="N18" s="30" t="inlineStr">
        <is>
          <t>Embuscade</t>
        </is>
      </c>
      <c r="O18" s="30" t="inlineStr">
        <is>
          <t>JNIM</t>
        </is>
      </c>
      <c r="P18" s="33" t="inlineStr">
        <is>
          <t>JNIM</t>
        </is>
      </c>
      <c r="Q18" s="30" t="inlineStr">
        <is>
          <t>FAMa / Africa Corps</t>
        </is>
      </c>
      <c r="R18" s="33" t="inlineStr">
        <is>
          <t>FAMa / Africa Corps</t>
        </is>
      </c>
      <c r="S18" s="33" t="inlineStr">
        <is>
          <t>Le JNIM repousse une offensive de patrouille russe et malienne au nord de Niono. 7 morts/blessés russes, 2 véhicules détruits.</t>
        </is>
      </c>
      <c r="T18" s="30" t="n">
        <v>0</v>
      </c>
      <c r="U18" s="30" t="n">
        <v>0</v>
      </c>
      <c r="V18" s="30" t="n">
        <v>0</v>
      </c>
      <c r="W18" s="30" t="n">
        <v>7</v>
      </c>
      <c r="X18" s="30" t="n">
        <v>0</v>
      </c>
      <c r="Y18" s="35">
        <f>T18+V18+W18+X18</f>
        <v/>
      </c>
      <c r="Z18" s="30" t="n">
        <v>0</v>
      </c>
      <c r="AA18" s="30" t="n">
        <v>2</v>
      </c>
      <c r="AB18" s="30" t="n">
        <v>1</v>
      </c>
      <c r="AC18" s="33" t="inlineStr">
        <is>
          <t>2 AK-47, 3 lance-grenades, 2 drones DJI, 2 radars, 17 grenades</t>
        </is>
      </c>
      <c r="AD18" s="33" t="inlineStr">
        <is>
          <t>Offensive militaire mise en échec</t>
        </is>
      </c>
      <c r="AE18" s="32">
        <f>ROUND(2*6371*ASIN(SQRT(SIN(RADIANS(J18-LAT_BAMAKO)/2)^2+COS(RADIANS(LAT_BAMAKO))*COS(RADIANS(J18))*SIN(RADIANS(K18-LON_BAMAKO)/2)^2)),0)</f>
        <v/>
      </c>
      <c r="AF18" s="32">
        <f>IF(AE18&lt;=SEUIL_KM,"Oui","Non")</f>
        <v/>
      </c>
      <c r="AG18" s="30" t="inlineStr">
        <is>
          <t>Corroboré</t>
        </is>
      </c>
      <c r="AH18" s="32" t="inlineStr">
        <is>
          <t>Non</t>
        </is>
      </c>
      <c r="AI18" s="33" t="inlineStr">
        <is>
          <t>AzZalaqa, Sahel Alerte, Ghana C. Monitor, Naïm TOURÉ</t>
        </is>
      </c>
      <c r="AJ18" s="36">
        <f>HYPERLINK("https://www.openstreetmap.org/?mlat="&amp;SUBSTITUTE(J18&amp;"",",",".")&amp;"&amp;mlon="&amp;SUBSTITUTE(K18&amp;"",",",".")&amp;"#map=11/"&amp;SUBSTITUTE(J18&amp;"",",",".")&amp;"/"&amp;SUBSTITUTE(K18&amp;"",",","."),"OSM ↗")</f>
        <v/>
      </c>
      <c r="AK18" s="36">
        <f>HYPERLINK("https://www.google.com/maps/search/?api=1&amp;query="&amp;SUBSTITUTE(J18&amp;"",",",".")&amp;"%2C"&amp;SUBSTITUTE(K18&amp;"",",","."),"Google ↗")</f>
        <v/>
      </c>
      <c r="AL18" s="36">
        <f>HYPERLINK(URL_TABLEAU&amp;"#"&amp;A18,"Dossier ↗")</f>
        <v/>
      </c>
    </row>
    <row r="19" ht="48" customHeight="1">
      <c r="A19" s="30" t="inlineStr">
        <is>
          <t>INC-2026-018</t>
        </is>
      </c>
      <c r="B19" s="31" t="n">
        <v>46293</v>
      </c>
      <c r="C19" s="32">
        <f>WEEKNUM(B19,21)</f>
        <v/>
      </c>
      <c r="D19" s="32">
        <f>IF(B19&lt;P_DEBUT_P2,"P1","P2")</f>
        <v/>
      </c>
      <c r="E19" s="30" t="inlineStr">
        <is>
          <t>Mali</t>
        </is>
      </c>
      <c r="F19" s="30" t="inlineStr">
        <is>
          <t>Ségou</t>
        </is>
      </c>
      <c r="G19" s="30" t="inlineStr">
        <is>
          <t>Macina</t>
        </is>
      </c>
      <c r="H19" s="33" t="inlineStr">
        <is>
          <t>Ségou / Mopti</t>
        </is>
      </c>
      <c r="I19" s="33" t="inlineStr">
        <is>
          <t>Axe Niono - Dioura</t>
        </is>
      </c>
      <c r="J19" s="34" t="n">
        <v>14.38</v>
      </c>
      <c r="K19" s="34" t="n">
        <v>-5.6</v>
      </c>
      <c r="L19" s="30" t="inlineStr">
        <is>
          <t>Zone (±10 km)</t>
        </is>
      </c>
      <c r="M19" s="33" t="inlineStr">
        <is>
          <t>Embuscade</t>
        </is>
      </c>
      <c r="N19" s="30" t="inlineStr">
        <is>
          <t>Embuscade</t>
        </is>
      </c>
      <c r="O19" s="30" t="inlineStr">
        <is>
          <t>JNIM</t>
        </is>
      </c>
      <c r="P19" s="33" t="inlineStr">
        <is>
          <t>JNIM</t>
        </is>
      </c>
      <c r="Q19" s="30" t="inlineStr">
        <is>
          <t>FAMa / Africa Corps</t>
        </is>
      </c>
      <c r="R19" s="33" t="inlineStr">
        <is>
          <t>FAMa / Africa Corps</t>
        </is>
      </c>
      <c r="S19" s="33" t="inlineStr">
        <is>
          <t>Nouvelle embuscade contre les forces conjointe FAMa-Russes sur l'axe Niono-Dioura.</t>
        </is>
      </c>
      <c r="T19" s="30" t="n">
        <v>0</v>
      </c>
      <c r="U19" s="30" t="n">
        <v>0</v>
      </c>
      <c r="V19" s="30" t="n">
        <v>3</v>
      </c>
      <c r="W19" s="30" t="n">
        <v>3</v>
      </c>
      <c r="X19" s="30" t="n">
        <v>0</v>
      </c>
      <c r="Y19" s="35">
        <f>T19+V19+W19+X19</f>
        <v/>
      </c>
      <c r="Z19" s="30" t="n">
        <v>0</v>
      </c>
      <c r="AA19" s="30" t="n">
        <v>1</v>
      </c>
      <c r="AB19" s="30" t="n">
        <v>0</v>
      </c>
      <c r="AC19" s="33" t="inlineStr">
        <is>
          <t>Munitions</t>
        </is>
      </c>
      <c r="AD19" s="33" t="inlineStr">
        <is>
          <t>Axe sous haute insécurité</t>
        </is>
      </c>
      <c r="AE19" s="32">
        <f>ROUND(2*6371*ASIN(SQRT(SIN(RADIANS(J19-LAT_BAMAKO)/2)^2+COS(RADIANS(LAT_BAMAKO))*COS(RADIANS(J19))*SIN(RADIANS(K19-LON_BAMAKO)/2)^2)),0)</f>
        <v/>
      </c>
      <c r="AF19" s="32">
        <f>IF(AE19&lt;=SEUIL_KM,"Oui","Non")</f>
        <v/>
      </c>
      <c r="AG19" s="30" t="inlineStr">
        <is>
          <t>Partiellement corroboré</t>
        </is>
      </c>
      <c r="AH19" s="32" t="inlineStr">
        <is>
          <t>Non</t>
        </is>
      </c>
      <c r="AI19" s="33" t="inlineStr">
        <is>
          <t>JNIM, Sagnon, Naïm TOURÉ</t>
        </is>
      </c>
      <c r="AJ19" s="36">
        <f>HYPERLINK("https://www.openstreetmap.org/?mlat="&amp;SUBSTITUTE(J19&amp;"",",",".")&amp;"&amp;mlon="&amp;SUBSTITUTE(K19&amp;"",",",".")&amp;"#map=11/"&amp;SUBSTITUTE(J19&amp;"",",",".")&amp;"/"&amp;SUBSTITUTE(K19&amp;"",",","."),"OSM ↗")</f>
        <v/>
      </c>
      <c r="AK19" s="36">
        <f>HYPERLINK("https://www.google.com/maps/search/?api=1&amp;query="&amp;SUBSTITUTE(J19&amp;"",",",".")&amp;"%2C"&amp;SUBSTITUTE(K19&amp;"",",","."),"Google ↗")</f>
        <v/>
      </c>
      <c r="AL19" s="36">
        <f>HYPERLINK(URL_TABLEAU&amp;"#"&amp;A19,"Dossier ↗")</f>
        <v/>
      </c>
    </row>
    <row r="20" ht="48" customHeight="1">
      <c r="A20" s="30" t="inlineStr">
        <is>
          <t>INC-2026-019</t>
        </is>
      </c>
      <c r="B20" s="31" t="n">
        <v>46293</v>
      </c>
      <c r="C20" s="32">
        <f>WEEKNUM(B20,21)</f>
        <v/>
      </c>
      <c r="D20" s="32">
        <f>IF(B20&lt;P_DEBUT_P2,"P1","P2")</f>
        <v/>
      </c>
      <c r="E20" s="30" t="inlineStr">
        <is>
          <t>Mali</t>
        </is>
      </c>
      <c r="F20" s="30" t="inlineStr">
        <is>
          <t>Gao</t>
        </is>
      </c>
      <c r="G20" s="30" t="inlineStr">
        <is>
          <t>Ansongo</t>
        </is>
      </c>
      <c r="H20" s="33" t="inlineStr">
        <is>
          <t>Gao / Ménaka</t>
        </is>
      </c>
      <c r="I20" s="33" t="inlineStr">
        <is>
          <t>Axe Ansongo - Ménaka / Tessit</t>
        </is>
      </c>
      <c r="J20" s="34" t="n">
        <v>15.65</v>
      </c>
      <c r="K20" s="34" t="n">
        <v>0.5</v>
      </c>
      <c r="L20" s="30" t="inlineStr">
        <is>
          <t>Zone (±10 km)</t>
        </is>
      </c>
      <c r="M20" s="33" t="inlineStr">
        <is>
          <t>Embuscade &amp; Affrontement Inter-groupe</t>
        </is>
      </c>
      <c r="N20" s="30" t="inlineStr">
        <is>
          <t>Embuscade</t>
        </is>
      </c>
      <c r="O20" s="30" t="inlineStr">
        <is>
          <t>EI-Sahel</t>
        </is>
      </c>
      <c r="P20" s="33" t="inlineStr">
        <is>
          <t>EI-Sahel (EIS)</t>
        </is>
      </c>
      <c r="Q20" s="30" t="inlineStr">
        <is>
          <t>FAMa / Africa Corps</t>
        </is>
      </c>
      <c r="R20" s="33" t="inlineStr">
        <is>
          <t>FAMa / JNIM</t>
        </is>
      </c>
      <c r="S20" s="33" t="inlineStr">
        <is>
          <t>Embuscade contre un convoi FAMa entre Ansongo et Ménaka, puis affrontements entre EIS et JNIM près de Tessit.</t>
        </is>
      </c>
      <c r="T20" s="30" t="n">
        <v>0</v>
      </c>
      <c r="U20" s="30" t="n">
        <v>0</v>
      </c>
      <c r="V20" s="30" t="n">
        <v>4</v>
      </c>
      <c r="W20" s="30" t="n">
        <v>0</v>
      </c>
      <c r="X20" s="30" t="n">
        <v>12</v>
      </c>
      <c r="Y20" s="35">
        <f>T20+V20+W20+X20</f>
        <v/>
      </c>
      <c r="Z20" s="30" t="n">
        <v>0</v>
      </c>
      <c r="AA20" s="30" t="n">
        <v>1</v>
      </c>
      <c r="AB20" s="30" t="n">
        <v>0</v>
      </c>
      <c r="AC20" s="33" t="inlineStr">
        <is>
          <t>Non spécifié</t>
        </is>
      </c>
      <c r="AD20" s="33" t="inlineStr">
        <is>
          <t>Zone des Trois Frontières sous tension extrême</t>
        </is>
      </c>
      <c r="AE20" s="32">
        <f>ROUND(2*6371*ASIN(SQRT(SIN(RADIANS(J20-LAT_BAMAKO)/2)^2+COS(RADIANS(LAT_BAMAKO))*COS(RADIANS(J20))*SIN(RADIANS(K20-LON_BAMAKO)/2)^2)),0)</f>
        <v/>
      </c>
      <c r="AF20" s="32">
        <f>IF(AE20&lt;=SEUIL_KM,"Oui","Non")</f>
        <v/>
      </c>
      <c r="AG20" s="30" t="inlineStr">
        <is>
          <t>Partiellement corroboré</t>
        </is>
      </c>
      <c r="AH20" s="32" t="inlineStr">
        <is>
          <t>Non</t>
        </is>
      </c>
      <c r="AI20" s="33" t="inlineStr">
        <is>
          <t>Brant P., Naïm TOURÉ</t>
        </is>
      </c>
      <c r="AJ20" s="36">
        <f>HYPERLINK("https://www.openstreetmap.org/?mlat="&amp;SUBSTITUTE(J20&amp;"",",",".")&amp;"&amp;mlon="&amp;SUBSTITUTE(K20&amp;"",",",".")&amp;"#map=11/"&amp;SUBSTITUTE(J20&amp;"",",",".")&amp;"/"&amp;SUBSTITUTE(K20&amp;"",",","."),"OSM ↗")</f>
        <v/>
      </c>
      <c r="AK20" s="36">
        <f>HYPERLINK("https://www.google.com/maps/search/?api=1&amp;query="&amp;SUBSTITUTE(J20&amp;"",",",".")&amp;"%2C"&amp;SUBSTITUTE(K20&amp;"",",","."),"Google ↗")</f>
        <v/>
      </c>
      <c r="AL20" s="36">
        <f>HYPERLINK(URL_TABLEAU&amp;"#"&amp;A20,"Dossier ↗")</f>
        <v/>
      </c>
    </row>
    <row r="21" ht="48" customHeight="1">
      <c r="A21" s="30" t="inlineStr">
        <is>
          <t>INC-2026-020</t>
        </is>
      </c>
      <c r="B21" s="31" t="n">
        <v>46294</v>
      </c>
      <c r="C21" s="32">
        <f>WEEKNUM(B21,21)</f>
        <v/>
      </c>
      <c r="D21" s="32">
        <f>IF(B21&lt;P_DEBUT_P2,"P1","P2")</f>
        <v/>
      </c>
      <c r="E21" s="30" t="inlineStr">
        <is>
          <t>Mali</t>
        </is>
      </c>
      <c r="F21" s="30" t="inlineStr">
        <is>
          <t>Tombouctou</t>
        </is>
      </c>
      <c r="G21" s="30" t="inlineStr">
        <is>
          <t>Goundam</t>
        </is>
      </c>
      <c r="H21" s="33" t="inlineStr">
        <is>
          <t>Tombouctou</t>
        </is>
      </c>
      <c r="I21" s="33" t="inlineStr">
        <is>
          <t>Goundam</t>
        </is>
      </c>
      <c r="J21" s="34" t="n">
        <v>16.4167</v>
      </c>
      <c r="K21" s="34" t="n">
        <v>-3.6667</v>
      </c>
      <c r="L21" s="30" t="inlineStr">
        <is>
          <t>Localité</t>
        </is>
      </c>
      <c r="M21" s="33" t="inlineStr">
        <is>
          <t>Frappe Drone Kamikaze</t>
        </is>
      </c>
      <c r="N21" s="30" t="inlineStr">
        <is>
          <t>Drone armé (FPV)</t>
        </is>
      </c>
      <c r="O21" s="30" t="inlineStr">
        <is>
          <t>FLA</t>
        </is>
      </c>
      <c r="P21" s="33" t="inlineStr">
        <is>
          <t>FLA / Armée de l'Azawad</t>
        </is>
      </c>
      <c r="Q21" s="30" t="inlineStr">
        <is>
          <t>FAMa / Africa Corps</t>
        </is>
      </c>
      <c r="R21" s="33" t="inlineStr">
        <is>
          <t>FAMa / Africa Corps</t>
        </is>
      </c>
      <c r="S21" s="33" t="inlineStr">
        <is>
          <t>Frappe de drones FPV kamikazes menée par le FLA contre le camp militaire mixte de Goundam.</t>
        </is>
      </c>
      <c r="T21" s="30" t="n">
        <v>0</v>
      </c>
      <c r="U21" s="30" t="n">
        <v>0</v>
      </c>
      <c r="V21" s="30" t="n">
        <v>2</v>
      </c>
      <c r="W21" s="30" t="n">
        <v>3</v>
      </c>
      <c r="X21" s="30" t="n">
        <v>0</v>
      </c>
      <c r="Y21" s="35">
        <f>T21+V21+W21+X21</f>
        <v/>
      </c>
      <c r="Z21" s="30" t="n">
        <v>0</v>
      </c>
      <c r="AA21" s="30" t="n">
        <v>1</v>
      </c>
      <c r="AB21" s="30" t="n">
        <v>0</v>
      </c>
      <c r="AC21" s="33" t="inlineStr">
        <is>
          <t>Aucun</t>
        </is>
      </c>
      <c r="AD21" s="33" t="inlineStr">
        <is>
          <t>Installations du camp touchées</t>
        </is>
      </c>
      <c r="AE21" s="32">
        <f>ROUND(2*6371*ASIN(SQRT(SIN(RADIANS(J21-LAT_BAMAKO)/2)^2+COS(RADIANS(LAT_BAMAKO))*COS(RADIANS(J21))*SIN(RADIANS(K21-LON_BAMAKO)/2)^2)),0)</f>
        <v/>
      </c>
      <c r="AF21" s="32">
        <f>IF(AE21&lt;=SEUIL_KM,"Oui","Non")</f>
        <v/>
      </c>
      <c r="AG21" s="30" t="inlineStr">
        <is>
          <t>Source partisane seule</t>
        </is>
      </c>
      <c r="AH21" s="32" t="inlineStr">
        <is>
          <t>Oui</t>
        </is>
      </c>
      <c r="AI21" s="33" t="inlineStr">
        <is>
          <t>FLA, Naïm TOURÉ</t>
        </is>
      </c>
      <c r="AJ21" s="36">
        <f>HYPERLINK("https://www.openstreetmap.org/?mlat="&amp;SUBSTITUTE(J21&amp;"",",",".")&amp;"&amp;mlon="&amp;SUBSTITUTE(K21&amp;"",",",".")&amp;"#map=11/"&amp;SUBSTITUTE(J21&amp;"",",",".")&amp;"/"&amp;SUBSTITUTE(K21&amp;"",",","."),"OSM ↗")</f>
        <v/>
      </c>
      <c r="AK21" s="36">
        <f>HYPERLINK("https://www.google.com/maps/search/?api=1&amp;query="&amp;SUBSTITUTE(J21&amp;"",",",".")&amp;"%2C"&amp;SUBSTITUTE(K21&amp;"",",","."),"Google ↗")</f>
        <v/>
      </c>
      <c r="AL21" s="36">
        <f>HYPERLINK(URL_TABLEAU&amp;"#"&amp;A21,"Dossier ↗")</f>
        <v/>
      </c>
    </row>
    <row r="22" ht="48" customHeight="1">
      <c r="A22" s="30" t="inlineStr">
        <is>
          <t>INC-2026-021</t>
        </is>
      </c>
      <c r="B22" s="31" t="n">
        <v>46299</v>
      </c>
      <c r="C22" s="32">
        <f>WEEKNUM(B22,21)</f>
        <v/>
      </c>
      <c r="D22" s="32">
        <f>IF(B22&lt;P_DEBUT_P2,"P1","P2")</f>
        <v/>
      </c>
      <c r="E22" s="30" t="inlineStr">
        <is>
          <t>Mali</t>
        </is>
      </c>
      <c r="F22" s="30" t="inlineStr">
        <is>
          <t>Sikasso</t>
        </is>
      </c>
      <c r="G22" s="30" t="inlineStr">
        <is>
          <t>Koutiala</t>
        </is>
      </c>
      <c r="H22" s="33" t="inlineStr">
        <is>
          <t>Sikasso / Koutiala</t>
        </is>
      </c>
      <c r="I22" s="33" t="inlineStr">
        <is>
          <t>Tieri / Tiéré</t>
        </is>
      </c>
      <c r="J22" s="34" t="n">
        <v>12.3833</v>
      </c>
      <c r="K22" s="34" t="n">
        <v>-5.4667</v>
      </c>
      <c r="L22" s="30" t="inlineStr">
        <is>
          <t>Localité</t>
        </is>
      </c>
      <c r="M22" s="33" t="inlineStr">
        <is>
          <t>Bombardement Aérien / Bavure Civile</t>
        </is>
      </c>
      <c r="N22" s="30" t="inlineStr">
        <is>
          <t>Frappe aérienne étatique</t>
        </is>
      </c>
      <c r="O22" s="30" t="inlineStr">
        <is>
          <t>FAMa / Africa Corps</t>
        </is>
      </c>
      <c r="P22" s="33" t="inlineStr">
        <is>
          <t>FAMa (Aviation)</t>
        </is>
      </c>
      <c r="Q22" s="30" t="inlineStr">
        <is>
          <t>Civils</t>
        </is>
      </c>
      <c r="R22" s="33" t="inlineStr">
        <is>
          <t>Base présumée terroriste (Village civil)</t>
        </is>
      </c>
      <c r="S22" s="33" t="inlineStr">
        <is>
          <t>Frappe aérienne de l'armée sur le village de Tieri au sud-est de Tiéré. Tue 2 enfants et 1 femme, 1 blessé.</t>
        </is>
      </c>
      <c r="T22" s="30" t="n">
        <v>3</v>
      </c>
      <c r="U22" s="30" t="n">
        <v>1</v>
      </c>
      <c r="V22" s="30" t="n">
        <v>0</v>
      </c>
      <c r="W22" s="30" t="n">
        <v>0</v>
      </c>
      <c r="X22" s="30" t="n">
        <v>0</v>
      </c>
      <c r="Y22" s="35">
        <f>T22+V22+W22+X22</f>
        <v/>
      </c>
      <c r="Z22" s="30" t="n">
        <v>0</v>
      </c>
      <c r="AA22" s="30" t="n">
        <v>0</v>
      </c>
      <c r="AB22" s="30" t="n">
        <v>0</v>
      </c>
      <c r="AC22" s="33" t="inlineStr">
        <is>
          <t>Aucun</t>
        </is>
      </c>
      <c r="AD22" s="33" t="inlineStr">
        <is>
          <t>Habitations civiles détruites</t>
        </is>
      </c>
      <c r="AE22" s="32">
        <f>ROUND(2*6371*ASIN(SQRT(SIN(RADIANS(J22-LAT_BAMAKO)/2)^2+COS(RADIANS(LAT_BAMAKO))*COS(RADIANS(J22))*SIN(RADIANS(K22-LON_BAMAKO)/2)^2)),0)</f>
        <v/>
      </c>
      <c r="AF22" s="32">
        <f>IF(AE22&lt;=SEUIL_KM,"Oui","Non")</f>
        <v/>
      </c>
      <c r="AG22" s="30" t="inlineStr">
        <is>
          <t>Partiellement corroboré</t>
        </is>
      </c>
      <c r="AH22" s="32" t="inlineStr">
        <is>
          <t>Non</t>
        </is>
      </c>
      <c r="AI22" s="33" t="inlineStr">
        <is>
          <t>AzZalaqa, État-Major FAMa, Ghana C. Monitor, Naïm TOURÉ</t>
        </is>
      </c>
      <c r="AJ22" s="36">
        <f>HYPERLINK("https://www.openstreetmap.org/?mlat="&amp;SUBSTITUTE(J22&amp;"",",",".")&amp;"&amp;mlon="&amp;SUBSTITUTE(K22&amp;"",",",".")&amp;"#map=11/"&amp;SUBSTITUTE(J22&amp;"",",",".")&amp;"/"&amp;SUBSTITUTE(K22&amp;"",",","."),"OSM ↗")</f>
        <v/>
      </c>
      <c r="AK22" s="36">
        <f>HYPERLINK("https://www.google.com/maps/search/?api=1&amp;query="&amp;SUBSTITUTE(J22&amp;"",",",".")&amp;"%2C"&amp;SUBSTITUTE(K22&amp;"",",","."),"Google ↗")</f>
        <v/>
      </c>
      <c r="AL22" s="36">
        <f>HYPERLINK(URL_TABLEAU&amp;"#"&amp;A22,"Dossier ↗")</f>
        <v/>
      </c>
    </row>
    <row r="23" ht="48" customHeight="1">
      <c r="A23" s="30" t="inlineStr">
        <is>
          <t>INC-2026-022</t>
        </is>
      </c>
      <c r="B23" s="31" t="n">
        <v>46300</v>
      </c>
      <c r="C23" s="32">
        <f>WEEKNUM(B23,21)</f>
        <v/>
      </c>
      <c r="D23" s="32">
        <f>IF(B23&lt;P_DEBUT_P2,"P1","P2")</f>
        <v/>
      </c>
      <c r="E23" s="30" t="inlineStr">
        <is>
          <t>Mali</t>
        </is>
      </c>
      <c r="F23" s="30" t="inlineStr">
        <is>
          <t>Kidal</t>
        </is>
      </c>
      <c r="G23" s="30" t="inlineStr">
        <is>
          <t>Tessalit</t>
        </is>
      </c>
      <c r="H23" s="33" t="inlineStr">
        <is>
          <t>Kidal / Mopti</t>
        </is>
      </c>
      <c r="I23" s="33" t="inlineStr">
        <is>
          <t>Anéfif, Djenné, Kidal, Tinzaouatène</t>
        </is>
      </c>
      <c r="J23" s="34" t="n">
        <v>19.9833</v>
      </c>
      <c r="K23" s="34" t="n">
        <v>0.5833</v>
      </c>
      <c r="L23" s="30" t="inlineStr">
        <is>
          <t>Localité</t>
        </is>
      </c>
      <c r="M23" s="33" t="inlineStr">
        <is>
          <t>Campagne de Frappes Aériennes</t>
        </is>
      </c>
      <c r="N23" s="30" t="inlineStr">
        <is>
          <t>Frappe aérienne étatique</t>
        </is>
      </c>
      <c r="O23" s="30" t="inlineStr">
        <is>
          <t>FAMa / Africa Corps</t>
        </is>
      </c>
      <c r="P23" s="33" t="inlineStr">
        <is>
          <t>FAMa (Drones &amp; Chasseurs)</t>
        </is>
      </c>
      <c r="Q23" s="30" t="inlineStr">
        <is>
          <t>Groupes armés</t>
        </is>
      </c>
      <c r="R23" s="33" t="inlineStr">
        <is>
          <t>Positions JNIM / FLA</t>
        </is>
      </c>
      <c r="S23" s="33" t="inlineStr">
        <is>
          <t>Vaste campagne de frappes aériennes sur plusieurs positions clés des groupes armés à Anéfif, Djenné, Kidal et Tinzaouatène.</t>
        </is>
      </c>
      <c r="T23" s="30" t="n">
        <v>0</v>
      </c>
      <c r="U23" s="30" t="n">
        <v>0</v>
      </c>
      <c r="V23" s="30" t="n">
        <v>0</v>
      </c>
      <c r="W23" s="30" t="n">
        <v>0</v>
      </c>
      <c r="X23" s="30" t="n">
        <v>15</v>
      </c>
      <c r="Y23" s="35">
        <f>T23+V23+W23+X23</f>
        <v/>
      </c>
      <c r="Z23" s="30" t="n">
        <v>0</v>
      </c>
      <c r="AA23" s="30" t="n">
        <v>3</v>
      </c>
      <c r="AB23" s="30" t="n">
        <v>0</v>
      </c>
      <c r="AC23" s="33" t="inlineStr">
        <is>
          <t>Aucun</t>
        </is>
      </c>
      <c r="AD23" s="33" t="inlineStr">
        <is>
          <t>Bases logistiques ennemies pilonnées</t>
        </is>
      </c>
      <c r="AE23" s="32">
        <f>ROUND(2*6371*ASIN(SQRT(SIN(RADIANS(J23-LAT_BAMAKO)/2)^2+COS(RADIANS(LAT_BAMAKO))*COS(RADIANS(J23))*SIN(RADIANS(K23-LON_BAMAKO)/2)^2)),0)</f>
        <v/>
      </c>
      <c r="AF23" s="32">
        <f>IF(AE23&lt;=SEUIL_KM,"Oui","Non")</f>
        <v/>
      </c>
      <c r="AG23" s="30" t="inlineStr">
        <is>
          <t>Partiellement corroboré</t>
        </is>
      </c>
      <c r="AH23" s="32" t="inlineStr">
        <is>
          <t>Non</t>
        </is>
      </c>
      <c r="AI23" s="33" t="inlineStr">
        <is>
          <t>État-Major FAMa, Hasret K., Naïm TOURÉ</t>
        </is>
      </c>
      <c r="AJ23" s="36">
        <f>HYPERLINK("https://www.openstreetmap.org/?mlat="&amp;SUBSTITUTE(J23&amp;"",",",".")&amp;"&amp;mlon="&amp;SUBSTITUTE(K23&amp;"",",",".")&amp;"#map=11/"&amp;SUBSTITUTE(J23&amp;"",",",".")&amp;"/"&amp;SUBSTITUTE(K23&amp;"",",","."),"OSM ↗")</f>
        <v/>
      </c>
      <c r="AK23" s="36">
        <f>HYPERLINK("https://www.google.com/maps/search/?api=1&amp;query="&amp;SUBSTITUTE(J23&amp;"",",",".")&amp;"%2C"&amp;SUBSTITUTE(K23&amp;"",",","."),"Google ↗")</f>
        <v/>
      </c>
      <c r="AL23" s="36">
        <f>HYPERLINK(URL_TABLEAU&amp;"#"&amp;A23,"Dossier ↗")</f>
        <v/>
      </c>
    </row>
    <row r="24" ht="48" customHeight="1">
      <c r="A24" s="30" t="inlineStr">
        <is>
          <t>INC-2026-023</t>
        </is>
      </c>
      <c r="B24" s="31" t="n">
        <v>46302</v>
      </c>
      <c r="C24" s="32">
        <f>WEEKNUM(B24,21)</f>
        <v/>
      </c>
      <c r="D24" s="32">
        <f>IF(B24&lt;P_DEBUT_P2,"P1","P2")</f>
        <v/>
      </c>
      <c r="E24" s="30" t="inlineStr">
        <is>
          <t>Mali</t>
        </is>
      </c>
      <c r="F24" s="30" t="inlineStr">
        <is>
          <t>Sikasso</t>
        </is>
      </c>
      <c r="G24" s="30" t="inlineStr">
        <is>
          <t>Sikasso</t>
        </is>
      </c>
      <c r="H24" s="33" t="inlineStr">
        <is>
          <t>Sikasso</t>
        </is>
      </c>
      <c r="I24" s="33" t="inlineStr">
        <is>
          <t>Kourouma</t>
        </is>
      </c>
      <c r="J24" s="34" t="n">
        <v>11.35</v>
      </c>
      <c r="K24" s="34" t="n">
        <v>-5.8167</v>
      </c>
      <c r="L24" s="30" t="inlineStr">
        <is>
          <t>Localité</t>
        </is>
      </c>
      <c r="M24" s="33" t="inlineStr">
        <is>
          <t>Attaque de Poste / Infiltration Sud</t>
        </is>
      </c>
      <c r="N24" s="30" t="inlineStr">
        <is>
          <t>Attaque de poste / camp</t>
        </is>
      </c>
      <c r="O24" s="30" t="inlineStr">
        <is>
          <t>JNIM</t>
        </is>
      </c>
      <c r="P24" s="33" t="inlineStr">
        <is>
          <t>JNIM</t>
        </is>
      </c>
      <c r="Q24" s="30" t="inlineStr">
        <is>
          <t>FAMa / Africa Corps</t>
        </is>
      </c>
      <c r="R24" s="33" t="inlineStr">
        <is>
          <t>Poste de l'armée malienne</t>
        </is>
      </c>
      <c r="S24" s="33" t="inlineStr">
        <is>
          <t>Le JNIM prend le contrôle total d'un poste militaire à Kourouma dans la région méridionale de Sikasso.</t>
        </is>
      </c>
      <c r="T24" s="30" t="n">
        <v>0</v>
      </c>
      <c r="U24" s="30" t="n">
        <v>0</v>
      </c>
      <c r="V24" s="30" t="n">
        <v>2</v>
      </c>
      <c r="W24" s="30" t="n">
        <v>0</v>
      </c>
      <c r="X24" s="30" t="n">
        <v>0</v>
      </c>
      <c r="Y24" s="35">
        <f>T24+V24+W24+X24</f>
        <v/>
      </c>
      <c r="Z24" s="30" t="n">
        <v>0</v>
      </c>
      <c r="AA24" s="30" t="n">
        <v>1</v>
      </c>
      <c r="AB24" s="30" t="n">
        <v>1</v>
      </c>
      <c r="AC24" s="33" t="inlineStr">
        <is>
          <t>Armes et munitions</t>
        </is>
      </c>
      <c r="AD24" s="33" t="inlineStr">
        <is>
          <t>Poste militaire saccagé</t>
        </is>
      </c>
      <c r="AE24" s="32">
        <f>ROUND(2*6371*ASIN(SQRT(SIN(RADIANS(J24-LAT_BAMAKO)/2)^2+COS(RADIANS(LAT_BAMAKO))*COS(RADIANS(J24))*SIN(RADIANS(K24-LON_BAMAKO)/2)^2)),0)</f>
        <v/>
      </c>
      <c r="AF24" s="32">
        <f>IF(AE24&lt;=SEUIL_KM,"Oui","Non")</f>
        <v/>
      </c>
      <c r="AG24" s="30" t="inlineStr">
        <is>
          <t>Partiellement corroboré</t>
        </is>
      </c>
      <c r="AH24" s="32" t="inlineStr">
        <is>
          <t>Non</t>
        </is>
      </c>
      <c r="AI24" s="33" t="inlineStr">
        <is>
          <t>AzZalaqa, Sahel Alerte, Naïm TOURÉ</t>
        </is>
      </c>
      <c r="AJ24" s="36">
        <f>HYPERLINK("https://www.openstreetmap.org/?mlat="&amp;SUBSTITUTE(J24&amp;"",",",".")&amp;"&amp;mlon="&amp;SUBSTITUTE(K24&amp;"",",",".")&amp;"#map=11/"&amp;SUBSTITUTE(J24&amp;"",",",".")&amp;"/"&amp;SUBSTITUTE(K24&amp;"",",","."),"OSM ↗")</f>
        <v/>
      </c>
      <c r="AK24" s="36">
        <f>HYPERLINK("https://www.google.com/maps/search/?api=1&amp;query="&amp;SUBSTITUTE(J24&amp;"",",",".")&amp;"%2C"&amp;SUBSTITUTE(K24&amp;"",",","."),"Google ↗")</f>
        <v/>
      </c>
      <c r="AL24" s="36">
        <f>HYPERLINK(URL_TABLEAU&amp;"#"&amp;A24,"Dossier ↗")</f>
        <v/>
      </c>
    </row>
    <row r="25" ht="48" customHeight="1">
      <c r="A25" s="30" t="inlineStr">
        <is>
          <t>INC-2026-024</t>
        </is>
      </c>
      <c r="B25" s="31" t="n">
        <v>46303</v>
      </c>
      <c r="C25" s="32">
        <f>WEEKNUM(B25,21)</f>
        <v/>
      </c>
      <c r="D25" s="32">
        <f>IF(B25&lt;P_DEBUT_P2,"P1","P2")</f>
        <v/>
      </c>
      <c r="E25" s="30" t="inlineStr">
        <is>
          <t>Mali</t>
        </is>
      </c>
      <c r="F25" s="30" t="inlineStr">
        <is>
          <t>Tombouctou</t>
        </is>
      </c>
      <c r="G25" s="30" t="inlineStr">
        <is>
          <t>Diré</t>
        </is>
      </c>
      <c r="H25" s="33" t="inlineStr">
        <is>
          <t>Tombouctou</t>
        </is>
      </c>
      <c r="I25" s="33" t="inlineStr">
        <is>
          <t>Koïgama</t>
        </is>
      </c>
      <c r="J25" s="34" t="n">
        <v>16.2</v>
      </c>
      <c r="K25" s="34" t="n">
        <v>-3.2</v>
      </c>
      <c r="L25" s="30" t="inlineStr">
        <is>
          <t>Zone (±10 km)</t>
        </is>
      </c>
      <c r="M25" s="33" t="inlineStr">
        <is>
          <t>Engin Explosif Improvisé (EEI)</t>
        </is>
      </c>
      <c r="N25" s="30" t="inlineStr">
        <is>
          <t>EEI</t>
        </is>
      </c>
      <c r="O25" s="30" t="inlineStr">
        <is>
          <t>JNIM</t>
        </is>
      </c>
      <c r="P25" s="33" t="inlineStr">
        <is>
          <t>JNIM</t>
        </is>
      </c>
      <c r="Q25" s="30" t="inlineStr">
        <is>
          <t>FAMa / Africa Corps</t>
        </is>
      </c>
      <c r="R25" s="33" t="inlineStr">
        <is>
          <t>FAMa / Africa Corps</t>
        </is>
      </c>
      <c r="S25" s="33" t="inlineStr">
        <is>
          <t>Attaque à l'EEI détruisant un véhicule blindé. Tous les occupants civils/militaires russes et maliens tués sur le coup.</t>
        </is>
      </c>
      <c r="T25" s="30" t="n">
        <v>0</v>
      </c>
      <c r="U25" s="30" t="n">
        <v>0</v>
      </c>
      <c r="V25" s="30" t="n">
        <v>3</v>
      </c>
      <c r="W25" s="30" t="n">
        <v>4</v>
      </c>
      <c r="X25" s="30" t="n">
        <v>0</v>
      </c>
      <c r="Y25" s="35">
        <f>T25+V25+W25+X25</f>
        <v/>
      </c>
      <c r="Z25" s="30" t="n">
        <v>0</v>
      </c>
      <c r="AA25" s="30" t="n">
        <v>1</v>
      </c>
      <c r="AB25" s="30" t="n">
        <v>0</v>
      </c>
      <c r="AC25" s="33" t="inlineStr">
        <is>
          <t>Aucun</t>
        </is>
      </c>
      <c r="AD25" s="33" t="inlineStr">
        <is>
          <t>Véhicule détruit par EEI</t>
        </is>
      </c>
      <c r="AE25" s="32">
        <f>ROUND(2*6371*ASIN(SQRT(SIN(RADIANS(J25-LAT_BAMAKO)/2)^2+COS(RADIANS(LAT_BAMAKO))*COS(RADIANS(J25))*SIN(RADIANS(K25-LON_BAMAKO)/2)^2)),0)</f>
        <v/>
      </c>
      <c r="AF25" s="32">
        <f>IF(AE25&lt;=SEUIL_KM,"Oui","Non")</f>
        <v/>
      </c>
      <c r="AG25" s="30" t="inlineStr">
        <is>
          <t>Partiellement corroboré</t>
        </is>
      </c>
      <c r="AH25" s="32" t="inlineStr">
        <is>
          <t>Non</t>
        </is>
      </c>
      <c r="AI25" s="33" t="inlineStr">
        <is>
          <t>AzZalaqa, Sahel Alerte, Naïm TOURÉ</t>
        </is>
      </c>
      <c r="AJ25" s="36">
        <f>HYPERLINK("https://www.openstreetmap.org/?mlat="&amp;SUBSTITUTE(J25&amp;"",",",".")&amp;"&amp;mlon="&amp;SUBSTITUTE(K25&amp;"",",",".")&amp;"#map=11/"&amp;SUBSTITUTE(J25&amp;"",",",".")&amp;"/"&amp;SUBSTITUTE(K25&amp;"",",","."),"OSM ↗")</f>
        <v/>
      </c>
      <c r="AK25" s="36">
        <f>HYPERLINK("https://www.google.com/maps/search/?api=1&amp;query="&amp;SUBSTITUTE(J25&amp;"",",",".")&amp;"%2C"&amp;SUBSTITUTE(K25&amp;"",",","."),"Google ↗")</f>
        <v/>
      </c>
      <c r="AL25" s="36">
        <f>HYPERLINK(URL_TABLEAU&amp;"#"&amp;A25,"Dossier ↗")</f>
        <v/>
      </c>
    </row>
    <row r="26" ht="48" customHeight="1">
      <c r="A26" s="30" t="inlineStr">
        <is>
          <t>INC-2026-025</t>
        </is>
      </c>
      <c r="B26" s="31" t="n">
        <v>46304</v>
      </c>
      <c r="C26" s="32">
        <f>WEEKNUM(B26,21)</f>
        <v/>
      </c>
      <c r="D26" s="32">
        <f>IF(B26&lt;P_DEBUT_P2,"P1","P2")</f>
        <v/>
      </c>
      <c r="E26" s="30" t="inlineStr">
        <is>
          <t>Burkina Faso</t>
        </is>
      </c>
      <c r="F26" s="30" t="inlineStr">
        <is>
          <t>Hors Mali (Burkina Faso)</t>
        </is>
      </c>
      <c r="G26" s="30" t="inlineStr">
        <is>
          <t>—</t>
        </is>
      </c>
      <c r="H26" s="33" t="inlineStr">
        <is>
          <t>Oudalan (Sahel)</t>
        </is>
      </c>
      <c r="I26" s="33" t="inlineStr">
        <is>
          <t>Ganadaouri / Arbinda / Tin-Akoff</t>
        </is>
      </c>
      <c r="J26" s="34" t="n">
        <v>14.8</v>
      </c>
      <c r="K26" s="34" t="n">
        <v>-0.25</v>
      </c>
      <c r="L26" s="30" t="inlineStr">
        <is>
          <t>Zone (±10 km)</t>
        </is>
      </c>
      <c r="M26" s="33" t="inlineStr">
        <is>
          <t>Bataille Majeure Inter-terroriste</t>
        </is>
      </c>
      <c r="N26" s="30" t="inlineStr">
        <is>
          <t>Affrontement JNIM–EIS</t>
        </is>
      </c>
      <c r="O26" s="30" t="inlineStr">
        <is>
          <t>JNIM</t>
        </is>
      </c>
      <c r="P26" s="33" t="inlineStr">
        <is>
          <t>JNIM vs EI-Sahel (EIS)</t>
        </is>
      </c>
      <c r="Q26" s="30" t="inlineStr">
        <is>
          <t>Groupes armés</t>
        </is>
      </c>
      <c r="R26" s="33" t="inlineStr">
        <is>
          <t>JNIM / EIS</t>
        </is>
      </c>
      <c r="S26" s="33" t="inlineStr">
        <is>
          <t>La bataille la plus meurtrière enregistrée au Sahel : environ 400 combattants du JNIM tués lors d'une offensive repoussée par l'EIS à Ganadaouri.</t>
        </is>
      </c>
      <c r="T26" s="30" t="n">
        <v>0</v>
      </c>
      <c r="U26" s="30" t="n">
        <v>0</v>
      </c>
      <c r="V26" s="30" t="n">
        <v>0</v>
      </c>
      <c r="W26" s="30" t="n">
        <v>0</v>
      </c>
      <c r="X26" s="30" t="n">
        <v>400</v>
      </c>
      <c r="Y26" s="35">
        <f>T26+V26+W26+X26</f>
        <v/>
      </c>
      <c r="Z26" s="30" t="n">
        <v>0</v>
      </c>
      <c r="AA26" s="30" t="n">
        <v>50</v>
      </c>
      <c r="AB26" s="30" t="n">
        <v>30</v>
      </c>
      <c r="AC26" s="33" t="inlineStr">
        <is>
          <t>Stock massif d'armes et motos</t>
        </is>
      </c>
      <c r="AD26" s="33" t="inlineStr">
        <is>
          <t>Repositionnement tactique majeur de l'EIS</t>
        </is>
      </c>
      <c r="AE26" s="32">
        <f>ROUND(2*6371*ASIN(SQRT(SIN(RADIANS(J26-LAT_BAMAKO)/2)^2+COS(RADIANS(LAT_BAMAKO))*COS(RADIANS(J26))*SIN(RADIANS(K26-LON_BAMAKO)/2)^2)),0)</f>
        <v/>
      </c>
      <c r="AF26" s="32">
        <f>IF(AE26&lt;=SEUIL_KM,"Oui","Non")</f>
        <v/>
      </c>
      <c r="AG26" s="30" t="inlineStr">
        <is>
          <t>Corroboré</t>
        </is>
      </c>
      <c r="AH26" s="32" t="inlineStr">
        <is>
          <t>Non</t>
        </is>
      </c>
      <c r="AI26" s="33" t="inlineStr">
        <is>
          <t>Amaq, Acled (Héni Nsaibia), Wamaps, Naïm TOURÉ</t>
        </is>
      </c>
      <c r="AJ26" s="36">
        <f>HYPERLINK("https://www.openstreetmap.org/?mlat="&amp;SUBSTITUTE(J26&amp;"",",",".")&amp;"&amp;mlon="&amp;SUBSTITUTE(K26&amp;"",",",".")&amp;"#map=11/"&amp;SUBSTITUTE(J26&amp;"",",",".")&amp;"/"&amp;SUBSTITUTE(K26&amp;"",",","."),"OSM ↗")</f>
        <v/>
      </c>
      <c r="AK26" s="36">
        <f>HYPERLINK("https://www.google.com/maps/search/?api=1&amp;query="&amp;SUBSTITUTE(J26&amp;"",",",".")&amp;"%2C"&amp;SUBSTITUTE(K26&amp;"",",","."),"Google ↗")</f>
        <v/>
      </c>
      <c r="AL26" s="36">
        <f>HYPERLINK(URL_TABLEAU&amp;"#"&amp;A26,"Dossier ↗")</f>
        <v/>
      </c>
    </row>
    <row r="27" ht="48" customHeight="1">
      <c r="A27" s="30" t="inlineStr">
        <is>
          <t>INC-2026-026</t>
        </is>
      </c>
      <c r="B27" s="31" t="n">
        <v>46305</v>
      </c>
      <c r="C27" s="32">
        <f>WEEKNUM(B27,21)</f>
        <v/>
      </c>
      <c r="D27" s="32">
        <f>IF(B27&lt;P_DEBUT_P2,"P1","P2")</f>
        <v/>
      </c>
      <c r="E27" s="30" t="inlineStr">
        <is>
          <t>Mali</t>
        </is>
      </c>
      <c r="F27" s="30" t="inlineStr">
        <is>
          <t>Tombouctou</t>
        </is>
      </c>
      <c r="G27" s="30" t="inlineStr">
        <is>
          <t>Niafunké</t>
        </is>
      </c>
      <c r="H27" s="33" t="inlineStr">
        <is>
          <t>Tombouctou</t>
        </is>
      </c>
      <c r="I27" s="33" t="inlineStr">
        <is>
          <t>Soumpi</t>
        </is>
      </c>
      <c r="J27" s="34" t="n">
        <v>15.8333</v>
      </c>
      <c r="K27" s="34" t="n">
        <v>-4.2167</v>
      </c>
      <c r="L27" s="30" t="inlineStr">
        <is>
          <t>Localité</t>
        </is>
      </c>
      <c r="M27" s="33" t="inlineStr">
        <is>
          <t>Frappe Drone FPV</t>
        </is>
      </c>
      <c r="N27" s="30" t="inlineStr">
        <is>
          <t>Drone armé (FPV)</t>
        </is>
      </c>
      <c r="O27" s="30" t="inlineStr">
        <is>
          <t>FLA</t>
        </is>
      </c>
      <c r="P27" s="33" t="inlineStr">
        <is>
          <t>Armée de l'Azawad (FLA)</t>
        </is>
      </c>
      <c r="Q27" s="30" t="inlineStr">
        <is>
          <t>FAMa / Africa Corps</t>
        </is>
      </c>
      <c r="R27" s="33" t="inlineStr">
        <is>
          <t>FAMa / Africa Corps</t>
        </is>
      </c>
      <c r="S27" s="33" t="inlineStr">
        <is>
          <t>Attaque par drones kamikazes FPV détruisant un véhicule de combat transportant une arme lourde.</t>
        </is>
      </c>
      <c r="T27" s="30" t="n">
        <v>0</v>
      </c>
      <c r="U27" s="30" t="n">
        <v>0</v>
      </c>
      <c r="V27" s="30" t="n">
        <v>1</v>
      </c>
      <c r="W27" s="30" t="n">
        <v>2</v>
      </c>
      <c r="X27" s="30" t="n">
        <v>0</v>
      </c>
      <c r="Y27" s="35">
        <f>T27+V27+W27+X27</f>
        <v/>
      </c>
      <c r="Z27" s="30" t="n">
        <v>0</v>
      </c>
      <c r="AA27" s="30" t="n">
        <v>1</v>
      </c>
      <c r="AB27" s="30" t="n">
        <v>0</v>
      </c>
      <c r="AC27" s="33" t="inlineStr">
        <is>
          <t>Aucun</t>
        </is>
      </c>
      <c r="AD27" s="33" t="inlineStr">
        <is>
          <t>Véhicule avec arme lourde détruit</t>
        </is>
      </c>
      <c r="AE27" s="32">
        <f>ROUND(2*6371*ASIN(SQRT(SIN(RADIANS(J27-LAT_BAMAKO)/2)^2+COS(RADIANS(LAT_BAMAKO))*COS(RADIANS(J27))*SIN(RADIANS(K27-LON_BAMAKO)/2)^2)),0)</f>
        <v/>
      </c>
      <c r="AF27" s="32">
        <f>IF(AE27&lt;=SEUIL_KM,"Oui","Non")</f>
        <v/>
      </c>
      <c r="AG27" s="30" t="inlineStr">
        <is>
          <t>Partiellement corroboré</t>
        </is>
      </c>
      <c r="AH27" s="32" t="inlineStr">
        <is>
          <t>Non</t>
        </is>
      </c>
      <c r="AI27" s="33" t="inlineStr">
        <is>
          <t>FLA, Sahel Alerte, Naïm TOURÉ</t>
        </is>
      </c>
      <c r="AJ27" s="36">
        <f>HYPERLINK("https://www.openstreetmap.org/?mlat="&amp;SUBSTITUTE(J27&amp;"",",",".")&amp;"&amp;mlon="&amp;SUBSTITUTE(K27&amp;"",",",".")&amp;"#map=11/"&amp;SUBSTITUTE(J27&amp;"",",",".")&amp;"/"&amp;SUBSTITUTE(K27&amp;"",",","."),"OSM ↗")</f>
        <v/>
      </c>
      <c r="AK27" s="36">
        <f>HYPERLINK("https://www.google.com/maps/search/?api=1&amp;query="&amp;SUBSTITUTE(J27&amp;"",",",".")&amp;"%2C"&amp;SUBSTITUTE(K27&amp;"",",","."),"Google ↗")</f>
        <v/>
      </c>
      <c r="AL27" s="36">
        <f>HYPERLINK(URL_TABLEAU&amp;"#"&amp;A27,"Dossier ↗")</f>
        <v/>
      </c>
    </row>
    <row r="28" ht="48" customHeight="1">
      <c r="A28" s="30" t="inlineStr">
        <is>
          <t>INC-2026-027</t>
        </is>
      </c>
      <c r="B28" s="31" t="n">
        <v>46305</v>
      </c>
      <c r="C28" s="32">
        <f>WEEKNUM(B28,21)</f>
        <v/>
      </c>
      <c r="D28" s="32">
        <f>IF(B28&lt;P_DEBUT_P2,"P1","P2")</f>
        <v/>
      </c>
      <c r="E28" s="30" t="inlineStr">
        <is>
          <t>Mali</t>
        </is>
      </c>
      <c r="F28" s="30" t="inlineStr">
        <is>
          <t>Kidal</t>
        </is>
      </c>
      <c r="G28" s="30" t="inlineStr">
        <is>
          <t>Kidal</t>
        </is>
      </c>
      <c r="H28" s="33" t="inlineStr">
        <is>
          <t>Kidal</t>
        </is>
      </c>
      <c r="I28" s="33" t="inlineStr">
        <is>
          <t>Kidal Ville</t>
        </is>
      </c>
      <c r="J28" s="34" t="n">
        <v>18.4411</v>
      </c>
      <c r="K28" s="34" t="n">
        <v>1.4078</v>
      </c>
      <c r="L28" s="30" t="inlineStr">
        <is>
          <t>Localité</t>
        </is>
      </c>
      <c r="M28" s="33" t="inlineStr">
        <is>
          <t>Reconquête Stratégique</t>
        </is>
      </c>
      <c r="N28" s="30" t="inlineStr">
        <is>
          <t>Offensive terrestre</t>
        </is>
      </c>
      <c r="O28" s="30" t="inlineStr">
        <is>
          <t>FAMa / Africa Corps</t>
        </is>
      </c>
      <c r="P28" s="33" t="inlineStr">
        <is>
          <t>FAMa / Africa Corps (~4000 hommes)</t>
        </is>
      </c>
      <c r="Q28" s="30" t="inlineStr">
        <is>
          <t>Groupes armés</t>
        </is>
      </c>
      <c r="R28" s="33" t="inlineStr">
        <is>
          <t>FLA (Cadres de l'Azawad)</t>
        </is>
      </c>
      <c r="S28" s="33" t="inlineStr">
        <is>
          <t>Victoire majeure pour les FAMa et l'AES : reprise officielle de la ville stratégique de Kidal qui était sous contrôle du FLA depuis avril 2026.</t>
        </is>
      </c>
      <c r="T28" s="30" t="n">
        <v>0</v>
      </c>
      <c r="U28" s="30" t="n">
        <v>0</v>
      </c>
      <c r="V28" s="30" t="n">
        <v>5</v>
      </c>
      <c r="W28" s="30" t="n">
        <v>3</v>
      </c>
      <c r="X28" s="30" t="n">
        <v>12</v>
      </c>
      <c r="Y28" s="35">
        <f>T28+V28+W28+X28</f>
        <v/>
      </c>
      <c r="Z28" s="30" t="n">
        <v>0</v>
      </c>
      <c r="AA28" s="30" t="n">
        <v>2</v>
      </c>
      <c r="AB28" s="30" t="n">
        <v>5</v>
      </c>
      <c r="AC28" s="33" t="inlineStr">
        <is>
          <t>Matériel militaire abandonné par le FLA</t>
        </is>
      </c>
      <c r="AD28" s="33" t="inlineStr">
        <is>
          <t>Reprise de la garnison et des bâtiments officiels de Kidal</t>
        </is>
      </c>
      <c r="AE28" s="32">
        <f>ROUND(2*6371*ASIN(SQRT(SIN(RADIANS(J28-LAT_BAMAKO)/2)^2+COS(RADIANS(LAT_BAMAKO))*COS(RADIANS(J28))*SIN(RADIANS(K28-LON_BAMAKO)/2)^2)),0)</f>
        <v/>
      </c>
      <c r="AF28" s="32">
        <f>IF(AE28&lt;=SEUIL_KM,"Oui","Non")</f>
        <v/>
      </c>
      <c r="AG28" s="30" t="inlineStr">
        <is>
          <t>Partiellement corroboré</t>
        </is>
      </c>
      <c r="AH28" s="32" t="inlineStr">
        <is>
          <t>Non</t>
        </is>
      </c>
      <c r="AI28" s="33" t="inlineStr">
        <is>
          <t>Jeune Afrique, Naïm TOURÉ</t>
        </is>
      </c>
      <c r="AJ28" s="36">
        <f>HYPERLINK("https://www.openstreetmap.org/?mlat="&amp;SUBSTITUTE(J28&amp;"",",",".")&amp;"&amp;mlon="&amp;SUBSTITUTE(K28&amp;"",",",".")&amp;"#map=11/"&amp;SUBSTITUTE(J28&amp;"",",",".")&amp;"/"&amp;SUBSTITUTE(K28&amp;"",",","."),"OSM ↗")</f>
        <v/>
      </c>
      <c r="AK28" s="36">
        <f>HYPERLINK("https://www.google.com/maps/search/?api=1&amp;query="&amp;SUBSTITUTE(J28&amp;"",",",".")&amp;"%2C"&amp;SUBSTITUTE(K28&amp;"",",","."),"Google ↗")</f>
        <v/>
      </c>
      <c r="AL28" s="36">
        <f>HYPERLINK(URL_TABLEAU&amp;"#"&amp;A28,"Dossier ↗")</f>
        <v/>
      </c>
    </row>
    <row r="29" ht="48" customHeight="1">
      <c r="A29" s="30" t="inlineStr">
        <is>
          <t>INC-2026-028</t>
        </is>
      </c>
      <c r="B29" s="31" t="n">
        <v>46306</v>
      </c>
      <c r="C29" s="32">
        <f>WEEKNUM(B29,21)</f>
        <v/>
      </c>
      <c r="D29" s="32">
        <f>IF(B29&lt;P_DEBUT_P2,"P1","P2")</f>
        <v/>
      </c>
      <c r="E29" s="30" t="inlineStr">
        <is>
          <t>Mali</t>
        </is>
      </c>
      <c r="F29" s="30" t="inlineStr">
        <is>
          <t>Gao</t>
        </is>
      </c>
      <c r="G29" s="30" t="inlineStr">
        <is>
          <t>Gao</t>
        </is>
      </c>
      <c r="H29" s="33" t="inlineStr">
        <is>
          <t>Gao</t>
        </is>
      </c>
      <c r="I29" s="33" t="inlineStr">
        <is>
          <t>Tagoudou</t>
        </is>
      </c>
      <c r="J29" s="34" t="n">
        <v>16.15</v>
      </c>
      <c r="K29" s="34" t="n">
        <v>-0.1</v>
      </c>
      <c r="L29" s="30" t="inlineStr">
        <is>
          <t>Zone (±10 km)</t>
        </is>
      </c>
      <c r="M29" s="33" t="inlineStr">
        <is>
          <t>Crash d'Aéronef / Hélicoptère</t>
        </is>
      </c>
      <c r="N29" s="30" t="inlineStr">
        <is>
          <t>Perte d'aéronef (accident)</t>
        </is>
      </c>
      <c r="O29" s="30" t="inlineStr">
        <is>
          <t>Indéterminé / accident</t>
        </is>
      </c>
      <c r="P29" s="33" t="inlineStr">
        <is>
          <t>Panne / Inconnu</t>
        </is>
      </c>
      <c r="Q29" s="30" t="inlineStr">
        <is>
          <t>FAMa / Africa Corps</t>
        </is>
      </c>
      <c r="R29" s="33" t="inlineStr">
        <is>
          <t>Africa Corps (Hélicoptère)</t>
        </is>
      </c>
      <c r="S29" s="33" t="inlineStr">
        <is>
          <t>Crash d'un hélicoptère militaire russe près de Tagoudou. Lourd bilan humain chez les mercenaires russes d'Africa Corps, évacuation d'urgence.</t>
        </is>
      </c>
      <c r="T29" s="30" t="n">
        <v>0</v>
      </c>
      <c r="U29" s="30" t="n">
        <v>0</v>
      </c>
      <c r="V29" s="30" t="n">
        <v>0</v>
      </c>
      <c r="W29" s="30" t="n">
        <v>6</v>
      </c>
      <c r="X29" s="30" t="n">
        <v>0</v>
      </c>
      <c r="Y29" s="35">
        <f>T29+V29+W29+X29</f>
        <v/>
      </c>
      <c r="Z29" s="30" t="n">
        <v>0</v>
      </c>
      <c r="AA29" s="30" t="n">
        <v>1</v>
      </c>
      <c r="AB29" s="30" t="n">
        <v>0</v>
      </c>
      <c r="AC29" s="33" t="inlineStr">
        <is>
          <t>Aucun</t>
        </is>
      </c>
      <c r="AD29" s="33" t="inlineStr">
        <is>
          <t>Aéronef pulvérisé</t>
        </is>
      </c>
      <c r="AE29" s="32">
        <f>ROUND(2*6371*ASIN(SQRT(SIN(RADIANS(J29-LAT_BAMAKO)/2)^2+COS(RADIANS(LAT_BAMAKO))*COS(RADIANS(J29))*SIN(RADIANS(K29-LON_BAMAKO)/2)^2)),0)</f>
        <v/>
      </c>
      <c r="AF29" s="32">
        <f>IF(AE29&lt;=SEUIL_KM,"Oui","Non")</f>
        <v/>
      </c>
      <c r="AG29" s="30" t="inlineStr">
        <is>
          <t>Partiellement corroboré</t>
        </is>
      </c>
      <c r="AH29" s="32" t="inlineStr">
        <is>
          <t>Non</t>
        </is>
      </c>
      <c r="AI29" s="33" t="inlineStr">
        <is>
          <t>Sahel Alerte, Naïm TOURÉ</t>
        </is>
      </c>
      <c r="AJ29" s="36">
        <f>HYPERLINK("https://www.openstreetmap.org/?mlat="&amp;SUBSTITUTE(J29&amp;"",",",".")&amp;"&amp;mlon="&amp;SUBSTITUTE(K29&amp;"",",",".")&amp;"#map=11/"&amp;SUBSTITUTE(J29&amp;"",",",".")&amp;"/"&amp;SUBSTITUTE(K29&amp;"",",","."),"OSM ↗")</f>
        <v/>
      </c>
      <c r="AK29" s="36">
        <f>HYPERLINK("https://www.google.com/maps/search/?api=1&amp;query="&amp;SUBSTITUTE(J29&amp;"",",",".")&amp;"%2C"&amp;SUBSTITUTE(K29&amp;"",",","."),"Google ↗")</f>
        <v/>
      </c>
      <c r="AL29" s="36">
        <f>HYPERLINK(URL_TABLEAU&amp;"#"&amp;A29,"Dossier ↗")</f>
        <v/>
      </c>
    </row>
    <row r="30" ht="48" customHeight="1">
      <c r="A30" s="30" t="inlineStr">
        <is>
          <t>INC-2026-029</t>
        </is>
      </c>
      <c r="B30" s="31" t="n">
        <v>46306</v>
      </c>
      <c r="C30" s="32">
        <f>WEEKNUM(B30,21)</f>
        <v/>
      </c>
      <c r="D30" s="32">
        <f>IF(B30&lt;P_DEBUT_P2,"P1","P2")</f>
        <v/>
      </c>
      <c r="E30" s="30" t="inlineStr">
        <is>
          <t>Mali</t>
        </is>
      </c>
      <c r="F30" s="30" t="inlineStr">
        <is>
          <t>Mopti</t>
        </is>
      </c>
      <c r="G30" s="30" t="inlineStr">
        <is>
          <t>Mopti</t>
        </is>
      </c>
      <c r="H30" s="33" t="inlineStr">
        <is>
          <t>Mopti</t>
        </is>
      </c>
      <c r="I30" s="33" t="inlineStr">
        <is>
          <t>Kona - Kounsa &amp; Somadougou</t>
        </is>
      </c>
      <c r="J30" s="34" t="n">
        <v>14.8</v>
      </c>
      <c r="K30" s="34" t="n">
        <v>-3.8833</v>
      </c>
      <c r="L30" s="30" t="inlineStr">
        <is>
          <t>Zone (±10 km)</t>
        </is>
      </c>
      <c r="M30" s="33" t="inlineStr">
        <is>
          <t>EEI &amp; Embuscade Dozo</t>
        </is>
      </c>
      <c r="N30" s="30" t="inlineStr">
        <is>
          <t>EEI</t>
        </is>
      </c>
      <c r="O30" s="30" t="inlineStr">
        <is>
          <t>JNIM</t>
        </is>
      </c>
      <c r="P30" s="33" t="inlineStr">
        <is>
          <t>JNIM</t>
        </is>
      </c>
      <c r="Q30" s="30" t="inlineStr">
        <is>
          <t>Milices pro-gouv.</t>
        </is>
      </c>
      <c r="R30" s="33" t="inlineStr">
        <is>
          <t>Africa Corps &amp; Milices Dozo</t>
        </is>
      </c>
      <c r="S30" s="33" t="inlineStr">
        <is>
          <t>Attaque EEI télécommandée contre Africa Corps entre Kona et Kounsa, doublée d'une embuscade contre une patrouille Dozo à Somadougou.</t>
        </is>
      </c>
      <c r="T30" s="30" t="n">
        <v>0</v>
      </c>
      <c r="U30" s="30" t="n">
        <v>0</v>
      </c>
      <c r="V30" s="30" t="n">
        <v>0</v>
      </c>
      <c r="W30" s="30" t="n">
        <v>3</v>
      </c>
      <c r="X30" s="30" t="n">
        <v>4</v>
      </c>
      <c r="Y30" s="35">
        <f>T30+V30+W30+X30</f>
        <v/>
      </c>
      <c r="Z30" s="30" t="n">
        <v>0</v>
      </c>
      <c r="AA30" s="30" t="n">
        <v>1</v>
      </c>
      <c r="AB30" s="30" t="n">
        <v>0</v>
      </c>
      <c r="AC30" s="33" t="inlineStr">
        <is>
          <t>Fusils traditionnels et munitions</t>
        </is>
      </c>
      <c r="AD30" s="33" t="inlineStr">
        <is>
          <t>Matériel militaire endommagé</t>
        </is>
      </c>
      <c r="AE30" s="32">
        <f>ROUND(2*6371*ASIN(SQRT(SIN(RADIANS(J30-LAT_BAMAKO)/2)^2+COS(RADIANS(LAT_BAMAKO))*COS(RADIANS(J30))*SIN(RADIANS(K30-LON_BAMAKO)/2)^2)),0)</f>
        <v/>
      </c>
      <c r="AF30" s="32">
        <f>IF(AE30&lt;=SEUIL_KM,"Oui","Non")</f>
        <v/>
      </c>
      <c r="AG30" s="30" t="inlineStr">
        <is>
          <t>Corroboré</t>
        </is>
      </c>
      <c r="AH30" s="32" t="inlineStr">
        <is>
          <t>Non</t>
        </is>
      </c>
      <c r="AI30" s="33" t="inlineStr">
        <is>
          <t>AzZalaqa, Sahel Alerte, Hasret K., Naïm TOURÉ</t>
        </is>
      </c>
      <c r="AJ30" s="36">
        <f>HYPERLINK("https://www.openstreetmap.org/?mlat="&amp;SUBSTITUTE(J30&amp;"",",",".")&amp;"&amp;mlon="&amp;SUBSTITUTE(K30&amp;"",",",".")&amp;"#map=11/"&amp;SUBSTITUTE(J30&amp;"",",",".")&amp;"/"&amp;SUBSTITUTE(K30&amp;"",",","."),"OSM ↗")</f>
        <v/>
      </c>
      <c r="AK30" s="36">
        <f>HYPERLINK("https://www.google.com/maps/search/?api=1&amp;query="&amp;SUBSTITUTE(J30&amp;"",",",".")&amp;"%2C"&amp;SUBSTITUTE(K30&amp;"",",","."),"Google ↗")</f>
        <v/>
      </c>
      <c r="AL30" s="36">
        <f>HYPERLINK(URL_TABLEAU&amp;"#"&amp;A30,"Dossier ↗")</f>
        <v/>
      </c>
    </row>
    <row r="31" ht="48" customHeight="1">
      <c r="A31" s="30" t="inlineStr">
        <is>
          <t>INC-2026-030</t>
        </is>
      </c>
      <c r="B31" s="31" t="n">
        <v>46306</v>
      </c>
      <c r="C31" s="32">
        <f>WEEKNUM(B31,21)</f>
        <v/>
      </c>
      <c r="D31" s="32">
        <f>IF(B31&lt;P_DEBUT_P2,"P1","P2")</f>
        <v/>
      </c>
      <c r="E31" s="30" t="inlineStr">
        <is>
          <t>Mali</t>
        </is>
      </c>
      <c r="F31" s="30" t="inlineStr">
        <is>
          <t>Ségou</t>
        </is>
      </c>
      <c r="G31" s="30" t="inlineStr">
        <is>
          <t>Ségou</t>
        </is>
      </c>
      <c r="H31" s="33" t="inlineStr">
        <is>
          <t>Ségou</t>
        </is>
      </c>
      <c r="I31" s="33" t="inlineStr">
        <is>
          <t>Axe Dougabougou - Markala</t>
        </is>
      </c>
      <c r="J31" s="34" t="n">
        <v>13.8</v>
      </c>
      <c r="K31" s="34" t="n">
        <v>-6.0833</v>
      </c>
      <c r="L31" s="30" t="inlineStr">
        <is>
          <t>Zone (±10 km)</t>
        </is>
      </c>
      <c r="M31" s="33" t="inlineStr">
        <is>
          <t>Embuscade Mortelle sur Convoi</t>
        </is>
      </c>
      <c r="N31" s="30" t="inlineStr">
        <is>
          <t>Embuscade</t>
        </is>
      </c>
      <c r="O31" s="30" t="inlineStr">
        <is>
          <t>JNIM</t>
        </is>
      </c>
      <c r="P31" s="33" t="inlineStr">
        <is>
          <t>JNIM</t>
        </is>
      </c>
      <c r="Q31" s="30" t="inlineStr">
        <is>
          <t>FAMa / Africa Corps</t>
        </is>
      </c>
      <c r="R31" s="33" t="inlineStr">
        <is>
          <t>FAMa / Africa Corps</t>
        </is>
      </c>
      <c r="S31" s="33" t="inlineStr">
        <is>
          <t>Embuscade contre un convoi. Nombreuses victimes chez les soldats maliens et mercenaires russes, diffusion de vidéos de corps.</t>
        </is>
      </c>
      <c r="T31" s="30" t="n">
        <v>0</v>
      </c>
      <c r="U31" s="30" t="n">
        <v>0</v>
      </c>
      <c r="V31" s="30" t="n">
        <v>8</v>
      </c>
      <c r="W31" s="30" t="n">
        <v>6</v>
      </c>
      <c r="X31" s="30" t="n">
        <v>0</v>
      </c>
      <c r="Y31" s="35">
        <f>T31+V31+W31+X31</f>
        <v/>
      </c>
      <c r="Z31" s="30" t="n">
        <v>0</v>
      </c>
      <c r="AA31" s="30" t="n">
        <v>2</v>
      </c>
      <c r="AB31" s="30" t="n">
        <v>1</v>
      </c>
      <c r="AC31" s="33" t="inlineStr">
        <is>
          <t>Armes lourdes et équipements individuels</t>
        </is>
      </c>
      <c r="AD31" s="33" t="inlineStr">
        <is>
          <t>Convoi complètement disloqué</t>
        </is>
      </c>
      <c r="AE31" s="32">
        <f>ROUND(2*6371*ASIN(SQRT(SIN(RADIANS(J31-LAT_BAMAKO)/2)^2+COS(RADIANS(LAT_BAMAKO))*COS(RADIANS(J31))*SIN(RADIANS(K31-LON_BAMAKO)/2)^2)),0)</f>
        <v/>
      </c>
      <c r="AF31" s="32">
        <f>IF(AE31&lt;=SEUIL_KM,"Oui","Non")</f>
        <v/>
      </c>
      <c r="AG31" s="30" t="inlineStr">
        <is>
          <t>Partiellement corroboré</t>
        </is>
      </c>
      <c r="AH31" s="32" t="inlineStr">
        <is>
          <t>Non</t>
        </is>
      </c>
      <c r="AI31" s="33" t="inlineStr">
        <is>
          <t>Sahel Alerte, Naïm TOURÉ</t>
        </is>
      </c>
      <c r="AJ31" s="36">
        <f>HYPERLINK("https://www.openstreetmap.org/?mlat="&amp;SUBSTITUTE(J31&amp;"",",",".")&amp;"&amp;mlon="&amp;SUBSTITUTE(K31&amp;"",",",".")&amp;"#map=11/"&amp;SUBSTITUTE(J31&amp;"",",",".")&amp;"/"&amp;SUBSTITUTE(K31&amp;"",",","."),"OSM ↗")</f>
        <v/>
      </c>
      <c r="AK31" s="36">
        <f>HYPERLINK("https://www.google.com/maps/search/?api=1&amp;query="&amp;SUBSTITUTE(J31&amp;"",",",".")&amp;"%2C"&amp;SUBSTITUTE(K31&amp;"",",","."),"Google ↗")</f>
        <v/>
      </c>
      <c r="AL31" s="36">
        <f>HYPERLINK(URL_TABLEAU&amp;"#"&amp;A31,"Dossier ↗")</f>
        <v/>
      </c>
    </row>
    <row r="32" ht="48" customHeight="1">
      <c r="A32" s="30" t="inlineStr">
        <is>
          <t>INC-2026-031</t>
        </is>
      </c>
      <c r="B32" s="31" t="n">
        <v>46308</v>
      </c>
      <c r="C32" s="32">
        <f>WEEKNUM(B32,21)</f>
        <v/>
      </c>
      <c r="D32" s="32">
        <f>IF(B32&lt;P_DEBUT_P2,"P1","P2")</f>
        <v/>
      </c>
      <c r="E32" s="30" t="inlineStr">
        <is>
          <t>Mali</t>
        </is>
      </c>
      <c r="F32" s="30" t="inlineStr">
        <is>
          <t>Ségou</t>
        </is>
      </c>
      <c r="G32" s="30" t="inlineStr">
        <is>
          <t>Ségou</t>
        </is>
      </c>
      <c r="H32" s="33" t="inlineStr">
        <is>
          <t>Ségou</t>
        </is>
      </c>
      <c r="I32" s="33" t="inlineStr">
        <is>
          <t>Région de Ségou</t>
        </is>
      </c>
      <c r="J32" s="34" t="n">
        <v>13.4333</v>
      </c>
      <c r="K32" s="34" t="n">
        <v>-6.2667</v>
      </c>
      <c r="L32" s="30" t="inlineStr">
        <is>
          <t>Localité</t>
        </is>
      </c>
      <c r="M32" s="33" t="inlineStr">
        <is>
          <t>Crash Drone de Combat MALE</t>
        </is>
      </c>
      <c r="N32" s="30" t="inlineStr">
        <is>
          <t>Perte d'aéronef (accident)</t>
        </is>
      </c>
      <c r="O32" s="30" t="inlineStr">
        <is>
          <t>Indéterminé / accident</t>
        </is>
      </c>
      <c r="P32" s="33" t="inlineStr">
        <is>
          <t>Panne Technique / Inconnu</t>
        </is>
      </c>
      <c r="Q32" s="30" t="inlineStr">
        <is>
          <t>FAMa / Africa Corps</t>
        </is>
      </c>
      <c r="R32" s="33" t="inlineStr">
        <is>
          <t>Drone Kronstadt Orion (Inokhodets)</t>
        </is>
      </c>
      <c r="S32" s="33" t="inlineStr">
        <is>
          <t>Crash d'un drone russe de combat et reconnaissance MALE Kronstadt Orion (Inokhodets) d'une envergure de 16m.</t>
        </is>
      </c>
      <c r="T32" s="30" t="n">
        <v>0</v>
      </c>
      <c r="U32" s="30" t="n">
        <v>0</v>
      </c>
      <c r="V32" s="30" t="n">
        <v>0</v>
      </c>
      <c r="W32" s="30" t="n">
        <v>0</v>
      </c>
      <c r="X32" s="30" t="n">
        <v>0</v>
      </c>
      <c r="Y32" s="35">
        <f>T32+V32+W32+X32</f>
        <v/>
      </c>
      <c r="Z32" s="30" t="n">
        <v>0</v>
      </c>
      <c r="AA32" s="30" t="n">
        <v>1</v>
      </c>
      <c r="AB32" s="30" t="n">
        <v>0</v>
      </c>
      <c r="AC32" s="33" t="inlineStr">
        <is>
          <t>Épave récupérée</t>
        </is>
      </c>
      <c r="AD32" s="33" t="inlineStr">
        <is>
          <t>Perte stratégique aérienne de pointe</t>
        </is>
      </c>
      <c r="AE32" s="32">
        <f>ROUND(2*6371*ASIN(SQRT(SIN(RADIANS(J32-LAT_BAMAKO)/2)^2+COS(RADIANS(LAT_BAMAKO))*COS(RADIANS(J32))*SIN(RADIANS(K32-LON_BAMAKO)/2)^2)),0)</f>
        <v/>
      </c>
      <c r="AF32" s="32">
        <f>IF(AE32&lt;=SEUIL_KM,"Oui","Non")</f>
        <v/>
      </c>
      <c r="AG32" s="30" t="inlineStr">
        <is>
          <t>Partiellement corroboré</t>
        </is>
      </c>
      <c r="AH32" s="32" t="inlineStr">
        <is>
          <t>Non</t>
        </is>
      </c>
      <c r="AI32" s="33" t="inlineStr">
        <is>
          <t>F. Walett, Naïm TOURÉ</t>
        </is>
      </c>
      <c r="AJ32" s="36">
        <f>HYPERLINK("https://www.openstreetmap.org/?mlat="&amp;SUBSTITUTE(J32&amp;"",",",".")&amp;"&amp;mlon="&amp;SUBSTITUTE(K32&amp;"",",",".")&amp;"#map=11/"&amp;SUBSTITUTE(J32&amp;"",",",".")&amp;"/"&amp;SUBSTITUTE(K32&amp;"",",","."),"OSM ↗")</f>
        <v/>
      </c>
      <c r="AK32" s="36">
        <f>HYPERLINK("https://www.google.com/maps/search/?api=1&amp;query="&amp;SUBSTITUTE(J32&amp;"",",",".")&amp;"%2C"&amp;SUBSTITUTE(K32&amp;"",",","."),"Google ↗")</f>
        <v/>
      </c>
      <c r="AL32" s="36">
        <f>HYPERLINK(URL_TABLEAU&amp;"#"&amp;A32,"Dossier ↗")</f>
        <v/>
      </c>
    </row>
    <row r="33" ht="48" customHeight="1">
      <c r="A33" s="30" t="inlineStr">
        <is>
          <t>INC-2026-032</t>
        </is>
      </c>
      <c r="B33" s="31" t="n">
        <v>46310</v>
      </c>
      <c r="C33" s="32">
        <f>WEEKNUM(B33,21)</f>
        <v/>
      </c>
      <c r="D33" s="32">
        <f>IF(B33&lt;P_DEBUT_P2,"P1","P2")</f>
        <v/>
      </c>
      <c r="E33" s="30" t="inlineStr">
        <is>
          <t>Mali</t>
        </is>
      </c>
      <c r="F33" s="30" t="inlineStr">
        <is>
          <t>Ségou</t>
        </is>
      </c>
      <c r="G33" s="30" t="inlineStr">
        <is>
          <t>Macina</t>
        </is>
      </c>
      <c r="H33" s="33" t="inlineStr">
        <is>
          <t>Ségou</t>
        </is>
      </c>
      <c r="I33" s="33" t="inlineStr">
        <is>
          <t>Nzanakoro</t>
        </is>
      </c>
      <c r="J33" s="34" t="n">
        <v>13.9167</v>
      </c>
      <c r="K33" s="34" t="n">
        <v>-5.5333</v>
      </c>
      <c r="L33" s="30" t="inlineStr">
        <is>
          <t>Localité</t>
        </is>
      </c>
      <c r="M33" s="33" t="inlineStr">
        <is>
          <t>Bombardement Aérien / Bavure Civile</t>
        </is>
      </c>
      <c r="N33" s="30" t="inlineStr">
        <is>
          <t>Frappe aérienne étatique</t>
        </is>
      </c>
      <c r="O33" s="30" t="inlineStr">
        <is>
          <t>FAMa / Africa Corps</t>
        </is>
      </c>
      <c r="P33" s="33" t="inlineStr">
        <is>
          <t>FAMa / Africa Corps (Aviation)</t>
        </is>
      </c>
      <c r="Q33" s="30" t="inlineStr">
        <is>
          <t>Civils</t>
        </is>
      </c>
      <c r="R33" s="33" t="inlineStr">
        <is>
          <t>Village Peul (Civils)</t>
        </is>
      </c>
      <c r="S33" s="33" t="inlineStr">
        <is>
          <t>Tragédie de Nzanakoro : 7 frappes aériennes sur le village. 4 fillettes et 2 femmes mortes, 13 civils gravement blessés.</t>
        </is>
      </c>
      <c r="T33" s="30" t="n">
        <v>6</v>
      </c>
      <c r="U33" s="30" t="n">
        <v>13</v>
      </c>
      <c r="V33" s="30" t="n">
        <v>0</v>
      </c>
      <c r="W33" s="30" t="n">
        <v>0</v>
      </c>
      <c r="X33" s="30" t="n">
        <v>0</v>
      </c>
      <c r="Y33" s="35">
        <f>T33+V33+W33+X33</f>
        <v/>
      </c>
      <c r="Z33" s="30" t="n">
        <v>0</v>
      </c>
      <c r="AA33" s="30" t="n">
        <v>0</v>
      </c>
      <c r="AB33" s="30" t="n">
        <v>0</v>
      </c>
      <c r="AC33" s="33" t="inlineStr">
        <is>
          <t>Aucun</t>
        </is>
      </c>
      <c r="AD33" s="33" t="inlineStr">
        <is>
          <t>Carnage et destruction d'habitations civiles villageoises</t>
        </is>
      </c>
      <c r="AE33" s="32">
        <f>ROUND(2*6371*ASIN(SQRT(SIN(RADIANS(J33-LAT_BAMAKO)/2)^2+COS(RADIANS(LAT_BAMAKO))*COS(RADIANS(J33))*SIN(RADIANS(K33-LON_BAMAKO)/2)^2)),0)</f>
        <v/>
      </c>
      <c r="AF33" s="32">
        <f>IF(AE33&lt;=SEUIL_KM,"Oui","Non")</f>
        <v/>
      </c>
      <c r="AG33" s="30" t="inlineStr">
        <is>
          <t>Partiellement corroboré</t>
        </is>
      </c>
      <c r="AH33" s="32" t="inlineStr">
        <is>
          <t>Non</t>
        </is>
      </c>
      <c r="AI33" s="33" t="inlineStr">
        <is>
          <t>Wassim Nasr, Naïm TOURÉ</t>
        </is>
      </c>
      <c r="AJ33" s="36">
        <f>HYPERLINK("https://www.openstreetmap.org/?mlat="&amp;SUBSTITUTE(J33&amp;"",",",".")&amp;"&amp;mlon="&amp;SUBSTITUTE(K33&amp;"",",",".")&amp;"#map=11/"&amp;SUBSTITUTE(J33&amp;"",",",".")&amp;"/"&amp;SUBSTITUTE(K33&amp;"",",","."),"OSM ↗")</f>
        <v/>
      </c>
      <c r="AK33" s="36">
        <f>HYPERLINK("https://www.google.com/maps/search/?api=1&amp;query="&amp;SUBSTITUTE(J33&amp;"",",",".")&amp;"%2C"&amp;SUBSTITUTE(K33&amp;"",",","."),"Google ↗")</f>
        <v/>
      </c>
      <c r="AL33" s="36">
        <f>HYPERLINK(URL_TABLEAU&amp;"#"&amp;A33,"Dossier ↗")</f>
        <v/>
      </c>
    </row>
    <row r="34" ht="48" customHeight="1">
      <c r="A34" s="30" t="inlineStr">
        <is>
          <t>INC-2026-033</t>
        </is>
      </c>
      <c r="B34" s="31" t="n">
        <v>46314</v>
      </c>
      <c r="C34" s="32">
        <f>WEEKNUM(B34,21)</f>
        <v/>
      </c>
      <c r="D34" s="32">
        <f>IF(B34&lt;P_DEBUT_P2,"P1","P2")</f>
        <v/>
      </c>
      <c r="E34" s="30" t="inlineStr">
        <is>
          <t>Mali</t>
        </is>
      </c>
      <c r="F34" s="30" t="inlineStr">
        <is>
          <t>Mopti</t>
        </is>
      </c>
      <c r="G34" s="30" t="inlineStr">
        <is>
          <t>Bandiagara</t>
        </is>
      </c>
      <c r="H34" s="33" t="inlineStr">
        <is>
          <t>Mopti / Bandiagara</t>
        </is>
      </c>
      <c r="I34" s="33" t="inlineStr">
        <is>
          <t>Djambiya (Axe Bandiagara-Douentza)</t>
        </is>
      </c>
      <c r="J34" s="34" t="n">
        <v>14.5833</v>
      </c>
      <c r="K34" s="34" t="n">
        <v>-3.35</v>
      </c>
      <c r="L34" s="30" t="inlineStr">
        <is>
          <t>Localité</t>
        </is>
      </c>
      <c r="M34" s="33" t="inlineStr">
        <is>
          <t>Attaque de VIP / Chef de Milice</t>
        </is>
      </c>
      <c r="N34" s="30" t="inlineStr">
        <is>
          <t>Attaque ciblée / VIP</t>
        </is>
      </c>
      <c r="O34" s="30" t="inlineStr">
        <is>
          <t>JNIM</t>
        </is>
      </c>
      <c r="P34" s="33" t="inlineStr">
        <is>
          <t>JNIM</t>
        </is>
      </c>
      <c r="Q34" s="30" t="inlineStr">
        <is>
          <t>Milices pro-gouv.</t>
        </is>
      </c>
      <c r="R34" s="33" t="inlineStr">
        <is>
          <t>Youssouf Toloba (Dan Na Ambassagou)</t>
        </is>
      </c>
      <c r="S34" s="33" t="inlineStr">
        <is>
          <t>Attaque contre le convoi de Youssouf Toloba (chef des Dozos). Son chauffeur a été tué et son véhicule personnel a été capturé par le JNIM.</t>
        </is>
      </c>
      <c r="T34" s="30" t="n">
        <v>0</v>
      </c>
      <c r="U34" s="30" t="n">
        <v>0</v>
      </c>
      <c r="V34" s="30" t="n">
        <v>0</v>
      </c>
      <c r="W34" s="30" t="n">
        <v>0</v>
      </c>
      <c r="X34" s="30" t="n">
        <v>1</v>
      </c>
      <c r="Y34" s="35">
        <f>T34+V34+W34+X34</f>
        <v/>
      </c>
      <c r="Z34" s="30" t="n">
        <v>0</v>
      </c>
      <c r="AA34" s="30" t="n">
        <v>0</v>
      </c>
      <c r="AB34" s="30" t="n">
        <v>1</v>
      </c>
      <c r="AC34" s="33" t="inlineStr">
        <is>
          <t>Equipements personnels</t>
        </is>
      </c>
      <c r="AD34" s="33" t="inlineStr">
        <is>
          <t>Coup psychologique contre la milice Dozo</t>
        </is>
      </c>
      <c r="AE34" s="32">
        <f>ROUND(2*6371*ASIN(SQRT(SIN(RADIANS(J34-LAT_BAMAKO)/2)^2+COS(RADIANS(LAT_BAMAKO))*COS(RADIANS(J34))*SIN(RADIANS(K34-LON_BAMAKO)/2)^2)),0)</f>
        <v/>
      </c>
      <c r="AF34" s="32">
        <f>IF(AE34&lt;=SEUIL_KM,"Oui","Non")</f>
        <v/>
      </c>
      <c r="AG34" s="30" t="inlineStr">
        <is>
          <t>Corroboré</t>
        </is>
      </c>
      <c r="AH34" s="32" t="inlineStr">
        <is>
          <t>Non</t>
        </is>
      </c>
      <c r="AI34" s="33" t="inlineStr">
        <is>
          <t>Hasret K., Serge Daniel, Abbasi, Naïm TOURÉ</t>
        </is>
      </c>
      <c r="AJ34" s="36">
        <f>HYPERLINK("https://www.openstreetmap.org/?mlat="&amp;SUBSTITUTE(J34&amp;"",",",".")&amp;"&amp;mlon="&amp;SUBSTITUTE(K34&amp;"",",",".")&amp;"#map=11/"&amp;SUBSTITUTE(J34&amp;"",",",".")&amp;"/"&amp;SUBSTITUTE(K34&amp;"",",","."),"OSM ↗")</f>
        <v/>
      </c>
      <c r="AK34" s="36">
        <f>HYPERLINK("https://www.google.com/maps/search/?api=1&amp;query="&amp;SUBSTITUTE(J34&amp;"",",",".")&amp;"%2C"&amp;SUBSTITUTE(K34&amp;"",",","."),"Google ↗")</f>
        <v/>
      </c>
      <c r="AL34" s="36">
        <f>HYPERLINK(URL_TABLEAU&amp;"#"&amp;A34,"Dossier ↗")</f>
        <v/>
      </c>
    </row>
    <row r="35" ht="48" customHeight="1">
      <c r="A35" s="30" t="inlineStr">
        <is>
          <t>INC-2026-034</t>
        </is>
      </c>
      <c r="B35" s="31" t="n">
        <v>46319</v>
      </c>
      <c r="C35" s="32">
        <f>WEEKNUM(B35,21)</f>
        <v/>
      </c>
      <c r="D35" s="32">
        <f>IF(B35&lt;P_DEBUT_P2,"P1","P2")</f>
        <v/>
      </c>
      <c r="E35" s="30" t="inlineStr">
        <is>
          <t>Mali</t>
        </is>
      </c>
      <c r="F35" s="30" t="inlineStr">
        <is>
          <t>Ségou</t>
        </is>
      </c>
      <c r="G35" s="30" t="inlineStr">
        <is>
          <t>Niono</t>
        </is>
      </c>
      <c r="H35" s="33" t="inlineStr">
        <is>
          <t>Ségou</t>
        </is>
      </c>
      <c r="I35" s="33" t="inlineStr">
        <is>
          <t>Gouma - Tidoul (près de Diabaly)</t>
        </is>
      </c>
      <c r="J35" s="34" t="n">
        <v>14.7167</v>
      </c>
      <c r="K35" s="34" t="n">
        <v>-6.0833</v>
      </c>
      <c r="L35" s="30" t="inlineStr">
        <is>
          <t>Localité</t>
        </is>
      </c>
      <c r="M35" s="33" t="inlineStr">
        <is>
          <t>Embuscade sur Patrouille</t>
        </is>
      </c>
      <c r="N35" s="30" t="inlineStr">
        <is>
          <t>Embuscade</t>
        </is>
      </c>
      <c r="O35" s="30" t="inlineStr">
        <is>
          <t>JNIM</t>
        </is>
      </c>
      <c r="P35" s="33" t="inlineStr">
        <is>
          <t>JNIM</t>
        </is>
      </c>
      <c r="Q35" s="30" t="inlineStr">
        <is>
          <t>FAMa / Africa Corps</t>
        </is>
      </c>
      <c r="R35" s="33" t="inlineStr">
        <is>
          <t>Patrouille FAMa</t>
        </is>
      </c>
      <c r="S35" s="33" t="inlineStr">
        <is>
          <t>Le JNIM attaque une patrouille de l'armée malienne entre Gouma et Tidoul.</t>
        </is>
      </c>
      <c r="T35" s="30" t="n">
        <v>0</v>
      </c>
      <c r="U35" s="30" t="n">
        <v>0</v>
      </c>
      <c r="V35" s="30" t="n">
        <v>2</v>
      </c>
      <c r="W35" s="30" t="n">
        <v>0</v>
      </c>
      <c r="X35" s="30" t="n">
        <v>0</v>
      </c>
      <c r="Y35" s="35">
        <f>T35+V35+W35+X35</f>
        <v/>
      </c>
      <c r="Z35" s="30" t="n">
        <v>0</v>
      </c>
      <c r="AA35" s="30" t="n">
        <v>1</v>
      </c>
      <c r="AB35" s="30" t="n">
        <v>0</v>
      </c>
      <c r="AC35" s="33" t="inlineStr">
        <is>
          <t>Fusils AK-47</t>
        </is>
      </c>
      <c r="AD35" s="33" t="inlineStr">
        <is>
          <t>Véhicule militaire dégradé</t>
        </is>
      </c>
      <c r="AE35" s="32">
        <f>ROUND(2*6371*ASIN(SQRT(SIN(RADIANS(J35-LAT_BAMAKO)/2)^2+COS(RADIANS(LAT_BAMAKO))*COS(RADIANS(J35))*SIN(RADIANS(K35-LON_BAMAKO)/2)^2)),0)</f>
        <v/>
      </c>
      <c r="AF35" s="32">
        <f>IF(AE35&lt;=SEUIL_KM,"Oui","Non")</f>
        <v/>
      </c>
      <c r="AG35" s="30" t="inlineStr">
        <is>
          <t>Partiellement corroboré</t>
        </is>
      </c>
      <c r="AH35" s="32" t="inlineStr">
        <is>
          <t>Non</t>
        </is>
      </c>
      <c r="AI35" s="33" t="inlineStr">
        <is>
          <t>AzZalaqa, Sahel Alerte, Naïm TOURÉ</t>
        </is>
      </c>
      <c r="AJ35" s="36">
        <f>HYPERLINK("https://www.openstreetmap.org/?mlat="&amp;SUBSTITUTE(J35&amp;"",",",".")&amp;"&amp;mlon="&amp;SUBSTITUTE(K35&amp;"",",",".")&amp;"#map=11/"&amp;SUBSTITUTE(J35&amp;"",",",".")&amp;"/"&amp;SUBSTITUTE(K35&amp;"",",","."),"OSM ↗")</f>
        <v/>
      </c>
      <c r="AK35" s="36">
        <f>HYPERLINK("https://www.google.com/maps/search/?api=1&amp;query="&amp;SUBSTITUTE(J35&amp;"",",",".")&amp;"%2C"&amp;SUBSTITUTE(K35&amp;"",",","."),"Google ↗")</f>
        <v/>
      </c>
      <c r="AL35" s="36">
        <f>HYPERLINK(URL_TABLEAU&amp;"#"&amp;A35,"Dossier ↗")</f>
        <v/>
      </c>
    </row>
    <row r="36" ht="48" customHeight="1">
      <c r="A36" s="30" t="inlineStr">
        <is>
          <t>INC-2026-035</t>
        </is>
      </c>
      <c r="B36" s="31" t="n">
        <v>46320</v>
      </c>
      <c r="C36" s="32">
        <f>WEEKNUM(B36,21)</f>
        <v/>
      </c>
      <c r="D36" s="32">
        <f>IF(B36&lt;P_DEBUT_P2,"P1","P2")</f>
        <v/>
      </c>
      <c r="E36" s="30" t="inlineStr">
        <is>
          <t>Mali</t>
        </is>
      </c>
      <c r="F36" s="30" t="inlineStr">
        <is>
          <t>Tombouctou</t>
        </is>
      </c>
      <c r="G36" s="30" t="inlineStr">
        <is>
          <t>Tombouctou</t>
        </is>
      </c>
      <c r="H36" s="33" t="inlineStr">
        <is>
          <t>Tombouctou</t>
        </is>
      </c>
      <c r="I36" s="33" t="inlineStr">
        <is>
          <t>Tombouctou Ville / Périphérie</t>
        </is>
      </c>
      <c r="J36" s="34" t="n">
        <v>16.7758</v>
      </c>
      <c r="K36" s="34" t="n">
        <v>-3.0094</v>
      </c>
      <c r="L36" s="30" t="inlineStr">
        <is>
          <t>Localité</t>
        </is>
      </c>
      <c r="M36" s="33" t="inlineStr">
        <is>
          <t>Frappe Aérienne / Représailles</t>
        </is>
      </c>
      <c r="N36" s="30" t="inlineStr">
        <is>
          <t>Frappe aérienne étatique</t>
        </is>
      </c>
      <c r="O36" s="30" t="inlineStr">
        <is>
          <t>FAMa / Africa Corps</t>
        </is>
      </c>
      <c r="P36" s="33" t="inlineStr">
        <is>
          <t>FAMa / Africa Corps vs JNIM</t>
        </is>
      </c>
      <c r="Q36" s="30" t="inlineStr">
        <is>
          <t>FAMa / Africa Corps</t>
        </is>
      </c>
      <c r="R36" s="33" t="inlineStr">
        <is>
          <t>Tentes de civils / Soldats</t>
        </is>
      </c>
      <c r="S36" s="33" t="inlineStr">
        <is>
          <t>Frappe aérienne ciblant des tentes de civils (12 civils tués). En représailles immédiates, le JNIM a abattu 4 soldats.</t>
        </is>
      </c>
      <c r="T36" s="30" t="n">
        <v>12</v>
      </c>
      <c r="U36" s="30" t="n">
        <v>5</v>
      </c>
      <c r="V36" s="30" t="n">
        <v>4</v>
      </c>
      <c r="W36" s="30" t="n">
        <v>0</v>
      </c>
      <c r="X36" s="30" t="n">
        <v>0</v>
      </c>
      <c r="Y36" s="35">
        <f>T36+V36+W36+X36</f>
        <v/>
      </c>
      <c r="Z36" s="30" t="n">
        <v>0</v>
      </c>
      <c r="AA36" s="30" t="n">
        <v>0</v>
      </c>
      <c r="AB36" s="30" t="n">
        <v>0</v>
      </c>
      <c r="AC36" s="33" t="inlineStr">
        <is>
          <t>Aucun</t>
        </is>
      </c>
      <c r="AD36" s="33" t="inlineStr">
        <is>
          <t>Tentes et campements nomades civils détruits</t>
        </is>
      </c>
      <c r="AE36" s="32">
        <f>ROUND(2*6371*ASIN(SQRT(SIN(RADIANS(J36-LAT_BAMAKO)/2)^2+COS(RADIANS(LAT_BAMAKO))*COS(RADIANS(J36))*SIN(RADIANS(K36-LON_BAMAKO)/2)^2)),0)</f>
        <v/>
      </c>
      <c r="AF36" s="32">
        <f>IF(AE36&lt;=SEUIL_KM,"Oui","Non")</f>
        <v/>
      </c>
      <c r="AG36" s="30" t="inlineStr">
        <is>
          <t>Partiellement corroboré</t>
        </is>
      </c>
      <c r="AH36" s="32" t="inlineStr">
        <is>
          <t>Non</t>
        </is>
      </c>
      <c r="AI36" s="33" t="inlineStr">
        <is>
          <t>AzZalaqa, Ghana C. Monitor, Naïm TOURÉ</t>
        </is>
      </c>
      <c r="AJ36" s="36">
        <f>HYPERLINK("https://www.openstreetmap.org/?mlat="&amp;SUBSTITUTE(J36&amp;"",",",".")&amp;"&amp;mlon="&amp;SUBSTITUTE(K36&amp;"",",",".")&amp;"#map=11/"&amp;SUBSTITUTE(J36&amp;"",",",".")&amp;"/"&amp;SUBSTITUTE(K36&amp;"",",","."),"OSM ↗")</f>
        <v/>
      </c>
      <c r="AK36" s="36">
        <f>HYPERLINK("https://www.google.com/maps/search/?api=1&amp;query="&amp;SUBSTITUTE(J36&amp;"",",",".")&amp;"%2C"&amp;SUBSTITUTE(K36&amp;"",",","."),"Google ↗")</f>
        <v/>
      </c>
      <c r="AL36" s="36">
        <f>HYPERLINK(URL_TABLEAU&amp;"#"&amp;A36,"Dossier ↗")</f>
        <v/>
      </c>
    </row>
    <row r="37" ht="48" customHeight="1">
      <c r="A37" s="30" t="inlineStr">
        <is>
          <t>INC-2026-036</t>
        </is>
      </c>
      <c r="B37" s="31" t="n">
        <v>46321</v>
      </c>
      <c r="C37" s="32">
        <f>WEEKNUM(B37,21)</f>
        <v/>
      </c>
      <c r="D37" s="32">
        <f>IF(B37&lt;P_DEBUT_P2,"P1","P2")</f>
        <v/>
      </c>
      <c r="E37" s="30" t="inlineStr">
        <is>
          <t>Mali</t>
        </is>
      </c>
      <c r="F37" s="30" t="inlineStr">
        <is>
          <t>Ségou</t>
        </is>
      </c>
      <c r="G37" s="30" t="inlineStr">
        <is>
          <t>Niono</t>
        </is>
      </c>
      <c r="H37" s="33" t="inlineStr">
        <is>
          <t>Ségou</t>
        </is>
      </c>
      <c r="I37" s="33" t="inlineStr">
        <is>
          <t>Nampala</t>
        </is>
      </c>
      <c r="J37" s="34" t="n">
        <v>15.2833</v>
      </c>
      <c r="K37" s="34" t="n">
        <v>-5.3167</v>
      </c>
      <c r="L37" s="30" t="inlineStr">
        <is>
          <t>Localité</t>
        </is>
      </c>
      <c r="M37" s="33" t="inlineStr">
        <is>
          <t>Attaque à l'EEI Dirigé</t>
        </is>
      </c>
      <c r="N37" s="30" t="inlineStr">
        <is>
          <t>EEI</t>
        </is>
      </c>
      <c r="O37" s="30" t="inlineStr">
        <is>
          <t>JNIM</t>
        </is>
      </c>
      <c r="P37" s="33" t="inlineStr">
        <is>
          <t>JNIM</t>
        </is>
      </c>
      <c r="Q37" s="30" t="inlineStr">
        <is>
          <t>FAMa / Africa Corps</t>
        </is>
      </c>
      <c r="R37" s="33" t="inlineStr">
        <is>
          <t>Poste FAMa à l'entrée de la ville</t>
        </is>
      </c>
      <c r="S37" s="33" t="inlineStr">
        <is>
          <t>Attaque ciblant un poste de contrôle à l'entrée de Nampala avec un engin explosif télécommandé.</t>
        </is>
      </c>
      <c r="T37" s="30" t="n">
        <v>0</v>
      </c>
      <c r="U37" s="30" t="n">
        <v>0</v>
      </c>
      <c r="V37" s="30" t="n">
        <v>2</v>
      </c>
      <c r="W37" s="30" t="n">
        <v>0</v>
      </c>
      <c r="X37" s="30" t="n">
        <v>0</v>
      </c>
      <c r="Y37" s="35">
        <f>T37+V37+W37+X37</f>
        <v/>
      </c>
      <c r="Z37" s="30" t="n">
        <v>0</v>
      </c>
      <c r="AA37" s="30" t="n">
        <v>1</v>
      </c>
      <c r="AB37" s="30" t="n">
        <v>0</v>
      </c>
      <c r="AC37" s="33" t="inlineStr">
        <is>
          <t>Aucun</t>
        </is>
      </c>
      <c r="AD37" s="33" t="inlineStr">
        <is>
          <t>Poste de contrôle endommagé</t>
        </is>
      </c>
      <c r="AE37" s="32">
        <f>ROUND(2*6371*ASIN(SQRT(SIN(RADIANS(J37-LAT_BAMAKO)/2)^2+COS(RADIANS(LAT_BAMAKO))*COS(RADIANS(J37))*SIN(RADIANS(K37-LON_BAMAKO)/2)^2)),0)</f>
        <v/>
      </c>
      <c r="AF37" s="32">
        <f>IF(AE37&lt;=SEUIL_KM,"Oui","Non")</f>
        <v/>
      </c>
      <c r="AG37" s="30" t="inlineStr">
        <is>
          <t>Partiellement corroboré</t>
        </is>
      </c>
      <c r="AH37" s="32" t="inlineStr">
        <is>
          <t>Non</t>
        </is>
      </c>
      <c r="AI37" s="33" t="inlineStr">
        <is>
          <t>AzZalaqa, Sahel Alerte, Naïm TOURÉ</t>
        </is>
      </c>
      <c r="AJ37" s="36">
        <f>HYPERLINK("https://www.openstreetmap.org/?mlat="&amp;SUBSTITUTE(J37&amp;"",",",".")&amp;"&amp;mlon="&amp;SUBSTITUTE(K37&amp;"",",",".")&amp;"#map=11/"&amp;SUBSTITUTE(J37&amp;"",",",".")&amp;"/"&amp;SUBSTITUTE(K37&amp;"",",","."),"OSM ↗")</f>
        <v/>
      </c>
      <c r="AK37" s="36">
        <f>HYPERLINK("https://www.google.com/maps/search/?api=1&amp;query="&amp;SUBSTITUTE(J37&amp;"",",",".")&amp;"%2C"&amp;SUBSTITUTE(K37&amp;"",",","."),"Google ↗")</f>
        <v/>
      </c>
      <c r="AL37" s="36">
        <f>HYPERLINK(URL_TABLEAU&amp;"#"&amp;A37,"Dossier ↗")</f>
        <v/>
      </c>
    </row>
  </sheetData>
  <conditionalFormatting sqref="Y2:Y500">
    <cfRule type="dataBar" priority="1">
      <dataBar showValue="1">
        <cfvo type="num" val="0"/>
        <cfvo type="max"/>
        <color rgb="00E2701C"/>
      </dataBar>
    </cfRule>
  </conditionalFormatting>
  <conditionalFormatting sqref="T2:T500">
    <cfRule type="cellIs" priority="2" operator="greaterThan" dxfId="0">
      <formula>0</formula>
    </cfRule>
  </conditionalFormatting>
  <conditionalFormatting sqref="U2:U500">
    <cfRule type="cellIs" priority="3" operator="greaterThan" dxfId="1">
      <formula>0</formula>
    </cfRule>
  </conditionalFormatting>
  <conditionalFormatting sqref="AF2:AF500">
    <cfRule type="cellIs" priority="4" operator="equal" dxfId="2">
      <formula>"Oui"</formula>
    </cfRule>
  </conditionalFormatting>
  <conditionalFormatting sqref="AH2:AH500">
    <cfRule type="cellIs" priority="5" operator="equal" dxfId="3">
      <formula>"Oui"</formula>
    </cfRule>
  </conditionalFormatting>
  <conditionalFormatting sqref="AG2:AG500">
    <cfRule type="cellIs" priority="6" operator="equal" dxfId="4">
      <formula>"Corroboré"</formula>
    </cfRule>
    <cfRule type="cellIs" priority="7" operator="equal" dxfId="5">
      <formula>"Partiellement corroboré"</formula>
    </cfRule>
    <cfRule type="cellIs" priority="8" operator="equal" dxfId="3">
      <formula>"Source partisane seule"</formula>
    </cfRule>
    <cfRule type="cellIs" priority="9" operator="equal" dxfId="6">
      <formula>"Source unique"</formula>
    </cfRule>
  </conditionalFormatting>
  <conditionalFormatting sqref="O2:O500">
    <cfRule type="cellIs" priority="10" operator="equal" dxfId="7">
      <formula>"JNIM"</formula>
    </cfRule>
    <cfRule type="cellIs" priority="11" operator="equal" dxfId="8">
      <formula>"EI-Sahel"</formula>
    </cfRule>
    <cfRule type="cellIs" priority="12" operator="equal" dxfId="9">
      <formula>"FLA"</formula>
    </cfRule>
    <cfRule type="cellIs" priority="13" operator="equal" dxfId="10">
      <formula>"FAMa / Africa Corps"</formula>
    </cfRule>
    <cfRule type="cellIs" priority="14" operator="equal" dxfId="11">
      <formula>"Indéterminé / accident"</formula>
    </cfRule>
  </conditionalFormatting>
  <printOptions horizontalCentered="1"/>
  <pageMargins left="0.4" right="0.4" top="1" bottom="1" header="0.5" footer="0.5"/>
  <pageSetup orientation="landscape" paperSize="9" fitToHeight="0" fitToWidth="1"/>
  <headerFooter>
    <oddHeader/>
    <oddFooter>&amp;LObservatoire sécuritaire Mali · Sources ouvertes · Diffusion restreinte&amp;R&amp;A · page &amp;P / &amp;N</oddFooter>
    <evenHeader/>
    <evenFooter/>
    <firstHeader/>
    <firstFooter/>
  </headerFooter>
  <legacyDrawing xmlns:r="http://schemas.openxmlformats.org/officeDocument/2006/relationships" r:id="anysvml"/>
  <tableParts count="1">
    <tablePart xmlns:r="http://schemas.openxmlformats.org/officeDocument/2006/relationships" r:id="rId1"/>
  </tableParts>
</worksheet>
</file>

<file path=xl/worksheets/sheet4.xml><?xml version="1.0" encoding="utf-8"?>
<worksheet xmlns="http://schemas.openxmlformats.org/spreadsheetml/2006/main">
  <sheetPr>
    <tabColor rgb="00566577"/>
    <outlinePr summaryBelow="1" summaryRight="1"/>
    <pageSetUpPr fitToPage="1"/>
  </sheetPr>
  <dimension ref="A1:P15"/>
  <sheetViews>
    <sheetView showGridLines="0" zoomScale="90" workbookViewId="0">
      <pane xSplit="2" ySplit="4" topLeftCell="C5" activePane="bottomRight" state="frozen"/>
      <selection pane="topRight"/>
      <selection pane="bottomLeft"/>
      <selection pane="bottomRight" activeCell="A1" sqref="A1"/>
    </sheetView>
  </sheetViews>
  <sheetFormatPr baseColWidth="8" defaultRowHeight="15"/>
  <cols>
    <col width="2" customWidth="1" min="1" max="1"/>
    <col width="26" customWidth="1" min="2" max="2"/>
    <col width="10" customWidth="1" min="3" max="3"/>
    <col width="8" customWidth="1" min="4" max="4"/>
    <col width="9" customWidth="1" min="5" max="5"/>
    <col width="12" customWidth="1" min="6" max="6"/>
    <col width="12" customWidth="1" min="7" max="7"/>
    <col width="11" customWidth="1" min="8" max="8"/>
    <col width="12" customWidth="1" min="9" max="9"/>
    <col width="11" customWidth="1" min="10" max="10"/>
    <col width="20" customWidth="1" min="11" max="11"/>
    <col width="9" customWidth="1" min="12" max="12"/>
    <col width="9" customWidth="1" min="13" max="13"/>
    <col width="9" customWidth="1" min="14" max="14"/>
    <col width="11" customWidth="1" min="15" max="15"/>
    <col width="11" customWidth="1" min="16" max="16"/>
  </cols>
  <sheetData>
    <row r="1" ht="30" customHeight="1">
      <c r="A1" s="1" t="inlineStr">
        <is>
          <t>Synthèse régionale et indice de menace</t>
        </is>
      </c>
      <c r="B1" s="2" t="n"/>
      <c r="C1" s="2" t="n"/>
      <c r="D1" s="2" t="n"/>
      <c r="E1" s="2" t="n"/>
      <c r="F1" s="2" t="n"/>
      <c r="G1" s="2" t="n"/>
      <c r="H1" s="2" t="n"/>
      <c r="I1" s="2" t="n"/>
      <c r="J1" s="2" t="n"/>
      <c r="K1" s="2" t="n"/>
      <c r="L1" s="2" t="n"/>
      <c r="M1" s="2" t="n"/>
      <c r="N1" s="2" t="n"/>
      <c r="O1" s="2" t="n"/>
      <c r="P1" s="26" t="inlineStr">
        <is>
          <t>◄ Accueil</t>
        </is>
      </c>
    </row>
    <row r="2" ht="18" customHeight="1">
      <c r="A2" s="3" t="inlineStr">
        <is>
          <t>Toutes les valeurs sont calculées par formule à partir de la feuille INCIDENTS.</t>
        </is>
      </c>
      <c r="B2" s="2" t="n"/>
      <c r="C2" s="2" t="n"/>
      <c r="D2" s="2" t="n"/>
      <c r="E2" s="2" t="n"/>
      <c r="F2" s="2" t="n"/>
      <c r="G2" s="2" t="n"/>
      <c r="H2" s="2" t="n"/>
      <c r="I2" s="2" t="n"/>
      <c r="J2" s="2" t="n"/>
      <c r="K2" s="2" t="n"/>
      <c r="L2" s="2" t="n"/>
      <c r="M2" s="2" t="n"/>
      <c r="N2" s="2" t="n"/>
      <c r="O2" s="2" t="n"/>
      <c r="P2" s="2" t="n"/>
    </row>
    <row r="4" ht="30" customHeight="1">
      <c r="B4" s="29" t="inlineStr">
        <is>
          <t>Région</t>
        </is>
      </c>
      <c r="C4" s="29" t="inlineStr">
        <is>
          <t>Incidents</t>
        </is>
      </c>
      <c r="D4" s="29" t="inlineStr">
        <is>
          <t>Part</t>
        </is>
      </c>
      <c r="E4" s="29" t="inlineStr">
        <is>
          <t>Tués</t>
        </is>
      </c>
      <c r="F4" s="29" t="inlineStr">
        <is>
          <t>FDS + Africa Corps tués</t>
        </is>
      </c>
      <c r="G4" s="29" t="inlineStr">
        <is>
          <t>Civils tués + blessés</t>
        </is>
      </c>
      <c r="H4" s="29" t="inlineStr">
        <is>
          <t>Incidents récents</t>
        </is>
      </c>
      <c r="I4" s="29" t="inlineStr">
        <is>
          <t>Indice (0-100)</t>
        </is>
      </c>
      <c r="J4" s="29" t="inlineStr">
        <is>
          <t>Niveau</t>
        </is>
      </c>
      <c r="K4" s="29" t="inlineStr">
        <is>
          <t>Acteur dominant</t>
        </is>
      </c>
      <c r="L4" s="37" t="inlineStr">
        <is>
          <t>JNIM</t>
        </is>
      </c>
      <c r="M4" s="38" t="inlineStr">
        <is>
          <t>EI-Sahel</t>
        </is>
      </c>
      <c r="N4" s="39" t="inlineStr">
        <is>
          <t>FLA</t>
        </is>
      </c>
      <c r="O4" s="40" t="inlineStr">
        <is>
          <t>FAMa / Africa Corps</t>
        </is>
      </c>
      <c r="P4" s="41" t="inlineStr">
        <is>
          <t>Indéterminé / accident</t>
        </is>
      </c>
    </row>
    <row r="5">
      <c r="B5" s="42" t="inlineStr">
        <is>
          <t>Ségou</t>
        </is>
      </c>
      <c r="C5" s="43">
        <f>COUNTIFS(inc_region,$B5)</f>
        <v/>
      </c>
      <c r="D5" s="44">
        <f>IF(SUM($C$5:$C$12)=0,0,C5/SUM($C$5:$C$12))</f>
        <v/>
      </c>
      <c r="E5" s="43">
        <f>SUMIFS(inc_tues,inc_region,$B5)</f>
        <v/>
      </c>
      <c r="F5" s="43">
        <f>SUMIFS(inc_fama,inc_region,$B5)+SUMIFS(inc_ac,inc_region,$B5)</f>
        <v/>
      </c>
      <c r="G5" s="43">
        <f>SUMIFS(inc_civ_k,inc_region,$B5)+SUMIFS(inc_civ_w,inc_region,$B5)</f>
        <v/>
      </c>
      <c r="H5" s="43">
        <f>COUNTIFS(inc_region,$B5,inc_date,"&gt;="&amp;(P_FIN-FEN_RECENTE+1))</f>
        <v/>
      </c>
      <c r="I5" s="45">
        <f>IF(C5=0,0,ROUND(100*(W_FREQ*C5/MAX($C$5:$C$12)+W_LETAL*LN(1+E5)/LN(1+MAX(1,MAX($E$5:$E$12)))+W_CIVILS*IF(MAX($G$5:$G$12)=0,0,G5/MAX($G$5:$G$12))+W_RECENT*H5/C5),0))</f>
        <v/>
      </c>
      <c r="J5" s="46">
        <f>IF(I5&gt;=S_CRITIQUE,"Critique",IF(I5&gt;=S_ELEVE,"Élevé",IF(I5&gt;=S_MODERE,"Modéré","Faible")))</f>
        <v/>
      </c>
      <c r="K5" s="47">
        <f>IF(C5=0,"—",INDEX($L$4:$P$4,MATCH(MAX(L5:P5),L5:P5,0)))</f>
        <v/>
      </c>
      <c r="L5" s="48">
        <f>COUNTIFS(inc_region,$B5,inc_acteur,L$4)</f>
        <v/>
      </c>
      <c r="M5" s="48">
        <f>COUNTIFS(inc_region,$B5,inc_acteur,M$4)</f>
        <v/>
      </c>
      <c r="N5" s="48">
        <f>COUNTIFS(inc_region,$B5,inc_acteur,N$4)</f>
        <v/>
      </c>
      <c r="O5" s="48">
        <f>COUNTIFS(inc_region,$B5,inc_acteur,O$4)</f>
        <v/>
      </c>
      <c r="P5" s="48">
        <f>COUNTIFS(inc_region,$B5,inc_acteur,P$4)</f>
        <v/>
      </c>
    </row>
    <row r="6">
      <c r="B6" s="42" t="inlineStr">
        <is>
          <t>Mopti</t>
        </is>
      </c>
      <c r="C6" s="43">
        <f>COUNTIFS(inc_region,$B6)</f>
        <v/>
      </c>
      <c r="D6" s="44">
        <f>IF(SUM($C$5:$C$12)=0,0,C6/SUM($C$5:$C$12))</f>
        <v/>
      </c>
      <c r="E6" s="43">
        <f>SUMIFS(inc_tues,inc_region,$B6)</f>
        <v/>
      </c>
      <c r="F6" s="43">
        <f>SUMIFS(inc_fama,inc_region,$B6)+SUMIFS(inc_ac,inc_region,$B6)</f>
        <v/>
      </c>
      <c r="G6" s="43">
        <f>SUMIFS(inc_civ_k,inc_region,$B6)+SUMIFS(inc_civ_w,inc_region,$B6)</f>
        <v/>
      </c>
      <c r="H6" s="43">
        <f>COUNTIFS(inc_region,$B6,inc_date,"&gt;="&amp;(P_FIN-FEN_RECENTE+1))</f>
        <v/>
      </c>
      <c r="I6" s="45">
        <f>IF(C6=0,0,ROUND(100*(W_FREQ*C6/MAX($C$5:$C$12)+W_LETAL*LN(1+E6)/LN(1+MAX(1,MAX($E$5:$E$12)))+W_CIVILS*IF(MAX($G$5:$G$12)=0,0,G6/MAX($G$5:$G$12))+W_RECENT*H6/C6),0))</f>
        <v/>
      </c>
      <c r="J6" s="46">
        <f>IF(I6&gt;=S_CRITIQUE,"Critique",IF(I6&gt;=S_ELEVE,"Élevé",IF(I6&gt;=S_MODERE,"Modéré","Faible")))</f>
        <v/>
      </c>
      <c r="K6" s="47">
        <f>IF(C6=0,"—",INDEX($L$4:$P$4,MATCH(MAX(L6:P6),L6:P6,0)))</f>
        <v/>
      </c>
      <c r="L6" s="48">
        <f>COUNTIFS(inc_region,$B6,inc_acteur,L$4)</f>
        <v/>
      </c>
      <c r="M6" s="48">
        <f>COUNTIFS(inc_region,$B6,inc_acteur,M$4)</f>
        <v/>
      </c>
      <c r="N6" s="48">
        <f>COUNTIFS(inc_region,$B6,inc_acteur,N$4)</f>
        <v/>
      </c>
      <c r="O6" s="48">
        <f>COUNTIFS(inc_region,$B6,inc_acteur,O$4)</f>
        <v/>
      </c>
      <c r="P6" s="48">
        <f>COUNTIFS(inc_region,$B6,inc_acteur,P$4)</f>
        <v/>
      </c>
    </row>
    <row r="7">
      <c r="B7" s="42" t="inlineStr">
        <is>
          <t>Kidal</t>
        </is>
      </c>
      <c r="C7" s="43">
        <f>COUNTIFS(inc_region,$B7)</f>
        <v/>
      </c>
      <c r="D7" s="44">
        <f>IF(SUM($C$5:$C$12)=0,0,C7/SUM($C$5:$C$12))</f>
        <v/>
      </c>
      <c r="E7" s="43">
        <f>SUMIFS(inc_tues,inc_region,$B7)</f>
        <v/>
      </c>
      <c r="F7" s="43">
        <f>SUMIFS(inc_fama,inc_region,$B7)+SUMIFS(inc_ac,inc_region,$B7)</f>
        <v/>
      </c>
      <c r="G7" s="43">
        <f>SUMIFS(inc_civ_k,inc_region,$B7)+SUMIFS(inc_civ_w,inc_region,$B7)</f>
        <v/>
      </c>
      <c r="H7" s="43">
        <f>COUNTIFS(inc_region,$B7,inc_date,"&gt;="&amp;(P_FIN-FEN_RECENTE+1))</f>
        <v/>
      </c>
      <c r="I7" s="45">
        <f>IF(C7=0,0,ROUND(100*(W_FREQ*C7/MAX($C$5:$C$12)+W_LETAL*LN(1+E7)/LN(1+MAX(1,MAX($E$5:$E$12)))+W_CIVILS*IF(MAX($G$5:$G$12)=0,0,G7/MAX($G$5:$G$12))+W_RECENT*H7/C7),0))</f>
        <v/>
      </c>
      <c r="J7" s="46">
        <f>IF(I7&gt;=S_CRITIQUE,"Critique",IF(I7&gt;=S_ELEVE,"Élevé",IF(I7&gt;=S_MODERE,"Modéré","Faible")))</f>
        <v/>
      </c>
      <c r="K7" s="47">
        <f>IF(C7=0,"—",INDEX($L$4:$P$4,MATCH(MAX(L7:P7),L7:P7,0)))</f>
        <v/>
      </c>
      <c r="L7" s="48">
        <f>COUNTIFS(inc_region,$B7,inc_acteur,L$4)</f>
        <v/>
      </c>
      <c r="M7" s="48">
        <f>COUNTIFS(inc_region,$B7,inc_acteur,M$4)</f>
        <v/>
      </c>
      <c r="N7" s="48">
        <f>COUNTIFS(inc_region,$B7,inc_acteur,N$4)</f>
        <v/>
      </c>
      <c r="O7" s="48">
        <f>COUNTIFS(inc_region,$B7,inc_acteur,O$4)</f>
        <v/>
      </c>
      <c r="P7" s="48">
        <f>COUNTIFS(inc_region,$B7,inc_acteur,P$4)</f>
        <v/>
      </c>
    </row>
    <row r="8">
      <c r="B8" s="42" t="inlineStr">
        <is>
          <t>Tombouctou</t>
        </is>
      </c>
      <c r="C8" s="43">
        <f>COUNTIFS(inc_region,$B8)</f>
        <v/>
      </c>
      <c r="D8" s="44">
        <f>IF(SUM($C$5:$C$12)=0,0,C8/SUM($C$5:$C$12))</f>
        <v/>
      </c>
      <c r="E8" s="43">
        <f>SUMIFS(inc_tues,inc_region,$B8)</f>
        <v/>
      </c>
      <c r="F8" s="43">
        <f>SUMIFS(inc_fama,inc_region,$B8)+SUMIFS(inc_ac,inc_region,$B8)</f>
        <v/>
      </c>
      <c r="G8" s="43">
        <f>SUMIFS(inc_civ_k,inc_region,$B8)+SUMIFS(inc_civ_w,inc_region,$B8)</f>
        <v/>
      </c>
      <c r="H8" s="43">
        <f>COUNTIFS(inc_region,$B8,inc_date,"&gt;="&amp;(P_FIN-FEN_RECENTE+1))</f>
        <v/>
      </c>
      <c r="I8" s="45">
        <f>IF(C8=0,0,ROUND(100*(W_FREQ*C8/MAX($C$5:$C$12)+W_LETAL*LN(1+E8)/LN(1+MAX(1,MAX($E$5:$E$12)))+W_CIVILS*IF(MAX($G$5:$G$12)=0,0,G8/MAX($G$5:$G$12))+W_RECENT*H8/C8),0))</f>
        <v/>
      </c>
      <c r="J8" s="46">
        <f>IF(I8&gt;=S_CRITIQUE,"Critique",IF(I8&gt;=S_ELEVE,"Élevé",IF(I8&gt;=S_MODERE,"Modéré","Faible")))</f>
        <v/>
      </c>
      <c r="K8" s="47">
        <f>IF(C8=0,"—",INDEX($L$4:$P$4,MATCH(MAX(L8:P8),L8:P8,0)))</f>
        <v/>
      </c>
      <c r="L8" s="48">
        <f>COUNTIFS(inc_region,$B8,inc_acteur,L$4)</f>
        <v/>
      </c>
      <c r="M8" s="48">
        <f>COUNTIFS(inc_region,$B8,inc_acteur,M$4)</f>
        <v/>
      </c>
      <c r="N8" s="48">
        <f>COUNTIFS(inc_region,$B8,inc_acteur,N$4)</f>
        <v/>
      </c>
      <c r="O8" s="48">
        <f>COUNTIFS(inc_region,$B8,inc_acteur,O$4)</f>
        <v/>
      </c>
      <c r="P8" s="48">
        <f>COUNTIFS(inc_region,$B8,inc_acteur,P$4)</f>
        <v/>
      </c>
    </row>
    <row r="9">
      <c r="B9" s="42" t="inlineStr">
        <is>
          <t>Gao</t>
        </is>
      </c>
      <c r="C9" s="43">
        <f>COUNTIFS(inc_region,$B9)</f>
        <v/>
      </c>
      <c r="D9" s="44">
        <f>IF(SUM($C$5:$C$12)=0,0,C9/SUM($C$5:$C$12))</f>
        <v/>
      </c>
      <c r="E9" s="43">
        <f>SUMIFS(inc_tues,inc_region,$B9)</f>
        <v/>
      </c>
      <c r="F9" s="43">
        <f>SUMIFS(inc_fama,inc_region,$B9)+SUMIFS(inc_ac,inc_region,$B9)</f>
        <v/>
      </c>
      <c r="G9" s="43">
        <f>SUMIFS(inc_civ_k,inc_region,$B9)+SUMIFS(inc_civ_w,inc_region,$B9)</f>
        <v/>
      </c>
      <c r="H9" s="43">
        <f>COUNTIFS(inc_region,$B9,inc_date,"&gt;="&amp;(P_FIN-FEN_RECENTE+1))</f>
        <v/>
      </c>
      <c r="I9" s="45">
        <f>IF(C9=0,0,ROUND(100*(W_FREQ*C9/MAX($C$5:$C$12)+W_LETAL*LN(1+E9)/LN(1+MAX(1,MAX($E$5:$E$12)))+W_CIVILS*IF(MAX($G$5:$G$12)=0,0,G9/MAX($G$5:$G$12))+W_RECENT*H9/C9),0))</f>
        <v/>
      </c>
      <c r="J9" s="46">
        <f>IF(I9&gt;=S_CRITIQUE,"Critique",IF(I9&gt;=S_ELEVE,"Élevé",IF(I9&gt;=S_MODERE,"Modéré","Faible")))</f>
        <v/>
      </c>
      <c r="K9" s="47">
        <f>IF(C9=0,"—",INDEX($L$4:$P$4,MATCH(MAX(L9:P9),L9:P9,0)))</f>
        <v/>
      </c>
      <c r="L9" s="48">
        <f>COUNTIFS(inc_region,$B9,inc_acteur,L$4)</f>
        <v/>
      </c>
      <c r="M9" s="48">
        <f>COUNTIFS(inc_region,$B9,inc_acteur,M$4)</f>
        <v/>
      </c>
      <c r="N9" s="48">
        <f>COUNTIFS(inc_region,$B9,inc_acteur,N$4)</f>
        <v/>
      </c>
      <c r="O9" s="48">
        <f>COUNTIFS(inc_region,$B9,inc_acteur,O$4)</f>
        <v/>
      </c>
      <c r="P9" s="48">
        <f>COUNTIFS(inc_region,$B9,inc_acteur,P$4)</f>
        <v/>
      </c>
    </row>
    <row r="10">
      <c r="B10" s="42" t="inlineStr">
        <is>
          <t>Koulikoro</t>
        </is>
      </c>
      <c r="C10" s="43">
        <f>COUNTIFS(inc_region,$B10)</f>
        <v/>
      </c>
      <c r="D10" s="44">
        <f>IF(SUM($C$5:$C$12)=0,0,C10/SUM($C$5:$C$12))</f>
        <v/>
      </c>
      <c r="E10" s="43">
        <f>SUMIFS(inc_tues,inc_region,$B10)</f>
        <v/>
      </c>
      <c r="F10" s="43">
        <f>SUMIFS(inc_fama,inc_region,$B10)+SUMIFS(inc_ac,inc_region,$B10)</f>
        <v/>
      </c>
      <c r="G10" s="43">
        <f>SUMIFS(inc_civ_k,inc_region,$B10)+SUMIFS(inc_civ_w,inc_region,$B10)</f>
        <v/>
      </c>
      <c r="H10" s="43">
        <f>COUNTIFS(inc_region,$B10,inc_date,"&gt;="&amp;(P_FIN-FEN_RECENTE+1))</f>
        <v/>
      </c>
      <c r="I10" s="45">
        <f>IF(C10=0,0,ROUND(100*(W_FREQ*C10/MAX($C$5:$C$12)+W_LETAL*LN(1+E10)/LN(1+MAX(1,MAX($E$5:$E$12)))+W_CIVILS*IF(MAX($G$5:$G$12)=0,0,G10/MAX($G$5:$G$12))+W_RECENT*H10/C10),0))</f>
        <v/>
      </c>
      <c r="J10" s="46">
        <f>IF(I10&gt;=S_CRITIQUE,"Critique",IF(I10&gt;=S_ELEVE,"Élevé",IF(I10&gt;=S_MODERE,"Modéré","Faible")))</f>
        <v/>
      </c>
      <c r="K10" s="47">
        <f>IF(C10=0,"—",INDEX($L$4:$P$4,MATCH(MAX(L10:P10),L10:P10,0)))</f>
        <v/>
      </c>
      <c r="L10" s="48">
        <f>COUNTIFS(inc_region,$B10,inc_acteur,L$4)</f>
        <v/>
      </c>
      <c r="M10" s="48">
        <f>COUNTIFS(inc_region,$B10,inc_acteur,M$4)</f>
        <v/>
      </c>
      <c r="N10" s="48">
        <f>COUNTIFS(inc_region,$B10,inc_acteur,N$4)</f>
        <v/>
      </c>
      <c r="O10" s="48">
        <f>COUNTIFS(inc_region,$B10,inc_acteur,O$4)</f>
        <v/>
      </c>
      <c r="P10" s="48">
        <f>COUNTIFS(inc_region,$B10,inc_acteur,P$4)</f>
        <v/>
      </c>
    </row>
    <row r="11">
      <c r="B11" s="42" t="inlineStr">
        <is>
          <t>Sikasso</t>
        </is>
      </c>
      <c r="C11" s="43">
        <f>COUNTIFS(inc_region,$B11)</f>
        <v/>
      </c>
      <c r="D11" s="44">
        <f>IF(SUM($C$5:$C$12)=0,0,C11/SUM($C$5:$C$12))</f>
        <v/>
      </c>
      <c r="E11" s="43">
        <f>SUMIFS(inc_tues,inc_region,$B11)</f>
        <v/>
      </c>
      <c r="F11" s="43">
        <f>SUMIFS(inc_fama,inc_region,$B11)+SUMIFS(inc_ac,inc_region,$B11)</f>
        <v/>
      </c>
      <c r="G11" s="43">
        <f>SUMIFS(inc_civ_k,inc_region,$B11)+SUMIFS(inc_civ_w,inc_region,$B11)</f>
        <v/>
      </c>
      <c r="H11" s="43">
        <f>COUNTIFS(inc_region,$B11,inc_date,"&gt;="&amp;(P_FIN-FEN_RECENTE+1))</f>
        <v/>
      </c>
      <c r="I11" s="45">
        <f>IF(C11=0,0,ROUND(100*(W_FREQ*C11/MAX($C$5:$C$12)+W_LETAL*LN(1+E11)/LN(1+MAX(1,MAX($E$5:$E$12)))+W_CIVILS*IF(MAX($G$5:$G$12)=0,0,G11/MAX($G$5:$G$12))+W_RECENT*H11/C11),0))</f>
        <v/>
      </c>
      <c r="J11" s="46">
        <f>IF(I11&gt;=S_CRITIQUE,"Critique",IF(I11&gt;=S_ELEVE,"Élevé",IF(I11&gt;=S_MODERE,"Modéré","Faible")))</f>
        <v/>
      </c>
      <c r="K11" s="47">
        <f>IF(C11=0,"—",INDEX($L$4:$P$4,MATCH(MAX(L11:P11),L11:P11,0)))</f>
        <v/>
      </c>
      <c r="L11" s="48">
        <f>COUNTIFS(inc_region,$B11,inc_acteur,L$4)</f>
        <v/>
      </c>
      <c r="M11" s="48">
        <f>COUNTIFS(inc_region,$B11,inc_acteur,M$4)</f>
        <v/>
      </c>
      <c r="N11" s="48">
        <f>COUNTIFS(inc_region,$B11,inc_acteur,N$4)</f>
        <v/>
      </c>
      <c r="O11" s="48">
        <f>COUNTIFS(inc_region,$B11,inc_acteur,O$4)</f>
        <v/>
      </c>
      <c r="P11" s="48">
        <f>COUNTIFS(inc_region,$B11,inc_acteur,P$4)</f>
        <v/>
      </c>
    </row>
    <row r="12">
      <c r="B12" s="42" t="inlineStr">
        <is>
          <t>Hors Mali (Burkina Faso)</t>
        </is>
      </c>
      <c r="C12" s="43">
        <f>COUNTIFS(inc_region,$B12)</f>
        <v/>
      </c>
      <c r="D12" s="44">
        <f>IF(SUM($C$5:$C$12)=0,0,C12/SUM($C$5:$C$12))</f>
        <v/>
      </c>
      <c r="E12" s="43">
        <f>SUMIFS(inc_tues,inc_region,$B12)</f>
        <v/>
      </c>
      <c r="F12" s="43">
        <f>SUMIFS(inc_fama,inc_region,$B12)+SUMIFS(inc_ac,inc_region,$B12)</f>
        <v/>
      </c>
      <c r="G12" s="43">
        <f>SUMIFS(inc_civ_k,inc_region,$B12)+SUMIFS(inc_civ_w,inc_region,$B12)</f>
        <v/>
      </c>
      <c r="H12" s="43">
        <f>COUNTIFS(inc_region,$B12,inc_date,"&gt;="&amp;(P_FIN-FEN_RECENTE+1))</f>
        <v/>
      </c>
      <c r="I12" s="45">
        <f>IF(C12=0,0,ROUND(100*(W_FREQ*C12/MAX($C$5:$C$12)+W_LETAL*LN(1+E12)/LN(1+MAX(1,MAX($E$5:$E$12)))+W_CIVILS*IF(MAX($G$5:$G$12)=0,0,G12/MAX($G$5:$G$12))+W_RECENT*H12/C12),0))</f>
        <v/>
      </c>
      <c r="J12" s="46">
        <f>IF(I12&gt;=S_CRITIQUE,"Critique",IF(I12&gt;=S_ELEVE,"Élevé",IF(I12&gt;=S_MODERE,"Modéré","Faible")))</f>
        <v/>
      </c>
      <c r="K12" s="47">
        <f>IF(C12=0,"—",INDEX($L$4:$P$4,MATCH(MAX(L12:P12),L12:P12,0)))</f>
        <v/>
      </c>
      <c r="L12" s="48">
        <f>COUNTIFS(inc_region,$B12,inc_acteur,L$4)</f>
        <v/>
      </c>
      <c r="M12" s="48">
        <f>COUNTIFS(inc_region,$B12,inc_acteur,M$4)</f>
        <v/>
      </c>
      <c r="N12" s="48">
        <f>COUNTIFS(inc_region,$B12,inc_acteur,N$4)</f>
        <v/>
      </c>
      <c r="O12" s="48">
        <f>COUNTIFS(inc_region,$B12,inc_acteur,O$4)</f>
        <v/>
      </c>
      <c r="P12" s="48">
        <f>COUNTIFS(inc_region,$B12,inc_acteur,P$4)</f>
        <v/>
      </c>
    </row>
    <row r="13">
      <c r="B13" s="49" t="inlineStr">
        <is>
          <t>Total</t>
        </is>
      </c>
      <c r="C13" s="50">
        <f>SUM(C5:C12)</f>
        <v/>
      </c>
      <c r="D13" s="51">
        <f>SUM(D5:D12)</f>
        <v/>
      </c>
      <c r="E13" s="50">
        <f>SUM(E5:E12)</f>
        <v/>
      </c>
      <c r="F13" s="50">
        <f>SUM(F5:F12)</f>
        <v/>
      </c>
      <c r="G13" s="50">
        <f>SUM(G5:G12)</f>
        <v/>
      </c>
      <c r="H13" s="50">
        <f>SUM(H5:H12)</f>
        <v/>
      </c>
      <c r="I13" s="52" t="n"/>
      <c r="J13" s="52" t="n"/>
      <c r="K13" s="52" t="n"/>
      <c r="L13" s="50">
        <f>SUM(L5:L12)</f>
        <v/>
      </c>
      <c r="M13" s="50">
        <f>SUM(M5:M12)</f>
        <v/>
      </c>
      <c r="N13" s="50">
        <f>SUM(N5:N12)</f>
        <v/>
      </c>
      <c r="O13" s="50">
        <f>SUM(O5:O12)</f>
        <v/>
      </c>
      <c r="P13" s="50">
        <f>SUM(P5:P12)</f>
        <v/>
      </c>
    </row>
    <row r="15" ht="30" customHeight="1">
      <c r="B15" s="53" t="inlineStr">
        <is>
          <t>Méthode : indice = 100 × (W_FREQ × incidents / max + W_LETAL × ln(1+tués) / ln(1+max) + W_CIVILS × civils / max + W_RECENT × part d'incidents récents). Poids et seuils modifiables dans PARAMETRES. Les régions suivent le référentiel geoBoundaries (8 régions + Bamako, antérieur à la réforme de 2023).</t>
        </is>
      </c>
    </row>
  </sheetData>
  <mergeCells count="1">
    <mergeCell ref="B15:P15"/>
  </mergeCells>
  <conditionalFormatting sqref="I5:I12">
    <cfRule type="dataBar" priority="1">
      <dataBar showValue="1">
        <cfvo type="num" val="0"/>
        <cfvo type="num" val="100"/>
        <color rgb="00C8102E"/>
      </dataBar>
    </cfRule>
  </conditionalFormatting>
  <conditionalFormatting sqref="J5:J12">
    <cfRule type="cellIs" priority="2" operator="equal" dxfId="12">
      <formula>"Critique"</formula>
    </cfRule>
    <cfRule type="cellIs" priority="3" operator="equal" dxfId="13">
      <formula>"Élevé"</formula>
    </cfRule>
    <cfRule type="cellIs" priority="4" operator="equal" dxfId="14">
      <formula>"Modéré"</formula>
    </cfRule>
    <cfRule type="cellIs" priority="5" operator="equal" dxfId="15">
      <formula>"Faible"</formula>
    </cfRule>
  </conditionalFormatting>
  <conditionalFormatting sqref="L5:P12">
    <cfRule type="colorScale" priority="6">
      <colorScale>
        <cfvo type="num" val="0"/>
        <cfvo type="max"/>
        <color rgb="00FFFFFF"/>
        <color rgb="00F0A07A"/>
      </colorScale>
    </cfRule>
  </conditionalFormatting>
  <hyperlinks>
    <hyperlink xmlns:r="http://schemas.openxmlformats.org/officeDocument/2006/relationships" ref="P1" r:id="rId1"/>
  </hyperlinks>
  <printOptions horizontalCentered="1"/>
  <pageMargins left="0.4" right="0.4" top="1" bottom="1" header="0.5" footer="0.5"/>
  <pageSetup orientation="landscape" paperSize="9" fitToHeight="0" fitToWidth="1"/>
  <headerFooter>
    <oddHeader/>
    <oddFooter>&amp;LObservatoire sécuritaire Mali · Sources ouvertes · Diffusion restreinte&amp;R&amp;A · page &amp;P / &amp;N</oddFooter>
    <evenHeader/>
    <evenFooter/>
    <firstHeader/>
    <firstFooter/>
  </headerFooter>
  <drawing xmlns:r="http://schemas.openxmlformats.org/officeDocument/2006/relationships" r:id="rId2"/>
</worksheet>
</file>

<file path=xl/worksheets/sheet5.xml><?xml version="1.0" encoding="utf-8"?>
<worksheet xmlns="http://schemas.openxmlformats.org/spreadsheetml/2006/main">
  <sheetPr>
    <tabColor rgb="00566577"/>
    <outlinePr summaryBelow="1" summaryRight="1"/>
    <pageSetUpPr fitToPage="1"/>
  </sheetPr>
  <dimension ref="A1:P18"/>
  <sheetViews>
    <sheetView showGridLines="0" zoomScale="90" workbookViewId="0">
      <selection activeCell="A1" sqref="A1"/>
    </sheetView>
  </sheetViews>
  <sheetFormatPr baseColWidth="8" defaultRowHeight="15"/>
  <cols>
    <col width="2" customWidth="1" min="1" max="1"/>
    <col width="24" customWidth="1" min="2" max="2"/>
    <col width="11" customWidth="1" min="3" max="3"/>
    <col width="11" customWidth="1" min="4" max="4"/>
    <col width="14"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s>
  <sheetData>
    <row r="1" ht="30" customHeight="1">
      <c r="A1" s="1" t="inlineStr">
        <is>
          <t>Synthèse par acteur instigateur</t>
        </is>
      </c>
      <c r="B1" s="2" t="n"/>
      <c r="C1" s="2" t="n"/>
      <c r="D1" s="2" t="n"/>
      <c r="E1" s="2" t="n"/>
      <c r="F1" s="2" t="n"/>
      <c r="G1" s="2" t="n"/>
      <c r="H1" s="2" t="n"/>
      <c r="I1" s="2" t="n"/>
      <c r="J1" s="2" t="n"/>
      <c r="K1" s="2" t="n"/>
      <c r="L1" s="2" t="n"/>
      <c r="M1" s="2" t="n"/>
      <c r="N1" s="2" t="n"/>
      <c r="O1" s="26" t="inlineStr">
        <is>
          <t>◄ Accueil</t>
        </is>
      </c>
    </row>
    <row r="2" ht="18" customHeight="1">
      <c r="A2" s="3" t="inlineStr">
        <is>
          <t>« Tués lors de ses actions » inclut les pertes subies par l'acteur lui-même lors des incidents qu'il initie.</t>
        </is>
      </c>
      <c r="B2" s="2" t="n"/>
      <c r="C2" s="2" t="n"/>
      <c r="D2" s="2" t="n"/>
      <c r="E2" s="2" t="n"/>
      <c r="F2" s="2" t="n"/>
      <c r="G2" s="2" t="n"/>
      <c r="H2" s="2" t="n"/>
      <c r="I2" s="2" t="n"/>
      <c r="J2" s="2" t="n"/>
      <c r="K2" s="2" t="n"/>
      <c r="L2" s="2" t="n"/>
      <c r="M2" s="2" t="n"/>
      <c r="N2" s="2" t="n"/>
      <c r="O2" s="2" t="n"/>
    </row>
    <row r="4" ht="30" customHeight="1">
      <c r="B4" s="29" t="inlineStr">
        <is>
          <t>Acteur</t>
        </is>
      </c>
      <c r="C4" s="29" t="inlineStr">
        <is>
          <t>Incidents</t>
        </is>
      </c>
      <c r="D4" s="29" t="inlineStr">
        <is>
          <t>Part</t>
        </is>
      </c>
      <c r="E4" s="29" t="inlineStr">
        <is>
          <t>Tués lors de ses actions</t>
        </is>
      </c>
      <c r="F4" s="29" t="inlineStr">
        <is>
          <t>FDS (FAMa) tués</t>
        </is>
      </c>
      <c r="G4" s="29" t="inlineStr">
        <is>
          <t>Africa Corps tués</t>
        </is>
      </c>
      <c r="H4" s="29" t="inlineStr">
        <is>
          <t>Civils tués</t>
        </is>
      </c>
      <c r="I4" s="29" t="inlineStr">
        <is>
          <t>Civils blessés</t>
        </is>
      </c>
      <c r="J4" s="29" t="inlineStr">
        <is>
          <t>Combattants armés tués</t>
        </is>
      </c>
      <c r="K4" s="29" t="inlineStr">
        <is>
          <t>Capturés</t>
        </is>
      </c>
      <c r="L4" s="29" t="inlineStr">
        <is>
          <t>Véh. détruits</t>
        </is>
      </c>
      <c r="M4" s="29" t="inlineStr">
        <is>
          <t>Véh. saisis</t>
        </is>
      </c>
      <c r="N4" s="29" t="inlineStr">
        <is>
          <t>Incidents P1</t>
        </is>
      </c>
      <c r="O4" s="29" t="inlineStr">
        <is>
          <t>Incidents P2</t>
        </is>
      </c>
      <c r="P4" s="29" t="inlineStr">
        <is>
          <t>Évolution P1 → P2</t>
        </is>
      </c>
    </row>
    <row r="5">
      <c r="B5" s="54" t="inlineStr">
        <is>
          <t>JNIM</t>
        </is>
      </c>
      <c r="C5" s="43">
        <f>COUNTIFS(inc_acteur,$B5)</f>
        <v/>
      </c>
      <c r="D5" s="44">
        <f>IF(SUM($C$5:$C$9)=0,0,C5/SUM($C$5:$C$9))</f>
        <v/>
      </c>
      <c r="E5" s="48">
        <f>SUMIFS(inc_tues,inc_acteur,$B5)</f>
        <v/>
      </c>
      <c r="F5" s="48">
        <f>SUMIFS(inc_fama,inc_acteur,$B5)</f>
        <v/>
      </c>
      <c r="G5" s="48">
        <f>SUMIFS(inc_ac,inc_acteur,$B5)</f>
        <v/>
      </c>
      <c r="H5" s="48">
        <f>SUMIFS(inc_civ_k,inc_acteur,$B5)</f>
        <v/>
      </c>
      <c r="I5" s="48">
        <f>SUMIFS(inc_civ_w,inc_acteur,$B5)</f>
        <v/>
      </c>
      <c r="J5" s="48">
        <f>SUMIFS(inc_ga,inc_acteur,$B5)</f>
        <v/>
      </c>
      <c r="K5" s="48">
        <f>SUMIFS(inc_pow,inc_acteur,$B5)</f>
        <v/>
      </c>
      <c r="L5" s="48">
        <f>SUMIFS(inc_vehd,inc_acteur,$B5)</f>
        <v/>
      </c>
      <c r="M5" s="48">
        <f>SUMIFS(inc_vehs,inc_acteur,$B5)</f>
        <v/>
      </c>
      <c r="N5" s="43">
        <f>COUNTIFS(inc_acteur,$B5,inc_periode,"P1")</f>
        <v/>
      </c>
      <c r="O5" s="43">
        <f>COUNTIFS(inc_acteur,$B5,inc_periode,"P2")</f>
        <v/>
      </c>
      <c r="P5" s="55">
        <f>IF(N5=0,IF(O5=0,"—","nouveau"),(O5-N5)/N5)</f>
        <v/>
      </c>
    </row>
    <row r="6">
      <c r="B6" s="56" t="inlineStr">
        <is>
          <t>EI-Sahel</t>
        </is>
      </c>
      <c r="C6" s="43">
        <f>COUNTIFS(inc_acteur,$B6)</f>
        <v/>
      </c>
      <c r="D6" s="44">
        <f>IF(SUM($C$5:$C$9)=0,0,C6/SUM($C$5:$C$9))</f>
        <v/>
      </c>
      <c r="E6" s="48">
        <f>SUMIFS(inc_tues,inc_acteur,$B6)</f>
        <v/>
      </c>
      <c r="F6" s="48">
        <f>SUMIFS(inc_fama,inc_acteur,$B6)</f>
        <v/>
      </c>
      <c r="G6" s="48">
        <f>SUMIFS(inc_ac,inc_acteur,$B6)</f>
        <v/>
      </c>
      <c r="H6" s="48">
        <f>SUMIFS(inc_civ_k,inc_acteur,$B6)</f>
        <v/>
      </c>
      <c r="I6" s="48">
        <f>SUMIFS(inc_civ_w,inc_acteur,$B6)</f>
        <v/>
      </c>
      <c r="J6" s="48">
        <f>SUMIFS(inc_ga,inc_acteur,$B6)</f>
        <v/>
      </c>
      <c r="K6" s="48">
        <f>SUMIFS(inc_pow,inc_acteur,$B6)</f>
        <v/>
      </c>
      <c r="L6" s="48">
        <f>SUMIFS(inc_vehd,inc_acteur,$B6)</f>
        <v/>
      </c>
      <c r="M6" s="48">
        <f>SUMIFS(inc_vehs,inc_acteur,$B6)</f>
        <v/>
      </c>
      <c r="N6" s="43">
        <f>COUNTIFS(inc_acteur,$B6,inc_periode,"P1")</f>
        <v/>
      </c>
      <c r="O6" s="43">
        <f>COUNTIFS(inc_acteur,$B6,inc_periode,"P2")</f>
        <v/>
      </c>
      <c r="P6" s="55">
        <f>IF(N6=0,IF(O6=0,"—","nouveau"),(O6-N6)/N6)</f>
        <v/>
      </c>
    </row>
    <row r="7">
      <c r="B7" s="57" t="inlineStr">
        <is>
          <t>FLA</t>
        </is>
      </c>
      <c r="C7" s="43">
        <f>COUNTIFS(inc_acteur,$B7)</f>
        <v/>
      </c>
      <c r="D7" s="44">
        <f>IF(SUM($C$5:$C$9)=0,0,C7/SUM($C$5:$C$9))</f>
        <v/>
      </c>
      <c r="E7" s="48">
        <f>SUMIFS(inc_tues,inc_acteur,$B7)</f>
        <v/>
      </c>
      <c r="F7" s="48">
        <f>SUMIFS(inc_fama,inc_acteur,$B7)</f>
        <v/>
      </c>
      <c r="G7" s="48">
        <f>SUMIFS(inc_ac,inc_acteur,$B7)</f>
        <v/>
      </c>
      <c r="H7" s="48">
        <f>SUMIFS(inc_civ_k,inc_acteur,$B7)</f>
        <v/>
      </c>
      <c r="I7" s="48">
        <f>SUMIFS(inc_civ_w,inc_acteur,$B7)</f>
        <v/>
      </c>
      <c r="J7" s="48">
        <f>SUMIFS(inc_ga,inc_acteur,$B7)</f>
        <v/>
      </c>
      <c r="K7" s="48">
        <f>SUMIFS(inc_pow,inc_acteur,$B7)</f>
        <v/>
      </c>
      <c r="L7" s="48">
        <f>SUMIFS(inc_vehd,inc_acteur,$B7)</f>
        <v/>
      </c>
      <c r="M7" s="48">
        <f>SUMIFS(inc_vehs,inc_acteur,$B7)</f>
        <v/>
      </c>
      <c r="N7" s="43">
        <f>COUNTIFS(inc_acteur,$B7,inc_periode,"P1")</f>
        <v/>
      </c>
      <c r="O7" s="43">
        <f>COUNTIFS(inc_acteur,$B7,inc_periode,"P2")</f>
        <v/>
      </c>
      <c r="P7" s="55">
        <f>IF(N7=0,IF(O7=0,"—","nouveau"),(O7-N7)/N7)</f>
        <v/>
      </c>
    </row>
    <row r="8">
      <c r="B8" s="58" t="inlineStr">
        <is>
          <t>FAMa / Africa Corps</t>
        </is>
      </c>
      <c r="C8" s="43">
        <f>COUNTIFS(inc_acteur,$B8)</f>
        <v/>
      </c>
      <c r="D8" s="44">
        <f>IF(SUM($C$5:$C$9)=0,0,C8/SUM($C$5:$C$9))</f>
        <v/>
      </c>
      <c r="E8" s="48">
        <f>SUMIFS(inc_tues,inc_acteur,$B8)</f>
        <v/>
      </c>
      <c r="F8" s="48">
        <f>SUMIFS(inc_fama,inc_acteur,$B8)</f>
        <v/>
      </c>
      <c r="G8" s="48">
        <f>SUMIFS(inc_ac,inc_acteur,$B8)</f>
        <v/>
      </c>
      <c r="H8" s="48">
        <f>SUMIFS(inc_civ_k,inc_acteur,$B8)</f>
        <v/>
      </c>
      <c r="I8" s="48">
        <f>SUMIFS(inc_civ_w,inc_acteur,$B8)</f>
        <v/>
      </c>
      <c r="J8" s="48">
        <f>SUMIFS(inc_ga,inc_acteur,$B8)</f>
        <v/>
      </c>
      <c r="K8" s="48">
        <f>SUMIFS(inc_pow,inc_acteur,$B8)</f>
        <v/>
      </c>
      <c r="L8" s="48">
        <f>SUMIFS(inc_vehd,inc_acteur,$B8)</f>
        <v/>
      </c>
      <c r="M8" s="48">
        <f>SUMIFS(inc_vehs,inc_acteur,$B8)</f>
        <v/>
      </c>
      <c r="N8" s="43">
        <f>COUNTIFS(inc_acteur,$B8,inc_periode,"P1")</f>
        <v/>
      </c>
      <c r="O8" s="43">
        <f>COUNTIFS(inc_acteur,$B8,inc_periode,"P2")</f>
        <v/>
      </c>
      <c r="P8" s="55">
        <f>IF(N8=0,IF(O8=0,"—","nouveau"),(O8-N8)/N8)</f>
        <v/>
      </c>
    </row>
    <row r="9">
      <c r="B9" s="59" t="inlineStr">
        <is>
          <t>Indéterminé / accident</t>
        </is>
      </c>
      <c r="C9" s="43">
        <f>COUNTIFS(inc_acteur,$B9)</f>
        <v/>
      </c>
      <c r="D9" s="44">
        <f>IF(SUM($C$5:$C$9)=0,0,C9/SUM($C$5:$C$9))</f>
        <v/>
      </c>
      <c r="E9" s="48">
        <f>SUMIFS(inc_tues,inc_acteur,$B9)</f>
        <v/>
      </c>
      <c r="F9" s="48">
        <f>SUMIFS(inc_fama,inc_acteur,$B9)</f>
        <v/>
      </c>
      <c r="G9" s="48">
        <f>SUMIFS(inc_ac,inc_acteur,$B9)</f>
        <v/>
      </c>
      <c r="H9" s="48">
        <f>SUMIFS(inc_civ_k,inc_acteur,$B9)</f>
        <v/>
      </c>
      <c r="I9" s="48">
        <f>SUMIFS(inc_civ_w,inc_acteur,$B9)</f>
        <v/>
      </c>
      <c r="J9" s="48">
        <f>SUMIFS(inc_ga,inc_acteur,$B9)</f>
        <v/>
      </c>
      <c r="K9" s="48">
        <f>SUMIFS(inc_pow,inc_acteur,$B9)</f>
        <v/>
      </c>
      <c r="L9" s="48">
        <f>SUMIFS(inc_vehd,inc_acteur,$B9)</f>
        <v/>
      </c>
      <c r="M9" s="48">
        <f>SUMIFS(inc_vehs,inc_acteur,$B9)</f>
        <v/>
      </c>
      <c r="N9" s="43">
        <f>COUNTIFS(inc_acteur,$B9,inc_periode,"P1")</f>
        <v/>
      </c>
      <c r="O9" s="43">
        <f>COUNTIFS(inc_acteur,$B9,inc_periode,"P2")</f>
        <v/>
      </c>
      <c r="P9" s="55">
        <f>IF(N9=0,IF(O9=0,"—","nouveau"),(O9-N9)/N9)</f>
        <v/>
      </c>
    </row>
    <row r="10">
      <c r="B10" s="49" t="inlineStr">
        <is>
          <t>Total</t>
        </is>
      </c>
      <c r="C10" s="50">
        <f>SUM(C5:C9)</f>
        <v/>
      </c>
      <c r="D10" s="51">
        <f>SUM(D5:D9)</f>
        <v/>
      </c>
      <c r="E10" s="50">
        <f>SUM(E5:E9)</f>
        <v/>
      </c>
      <c r="F10" s="50">
        <f>SUM(F5:F9)</f>
        <v/>
      </c>
      <c r="G10" s="50">
        <f>SUM(G5:G9)</f>
        <v/>
      </c>
      <c r="H10" s="50">
        <f>SUM(H5:H9)</f>
        <v/>
      </c>
      <c r="I10" s="50">
        <f>SUM(I5:I9)</f>
        <v/>
      </c>
      <c r="J10" s="50">
        <f>SUM(J5:J9)</f>
        <v/>
      </c>
      <c r="K10" s="50">
        <f>SUM(K5:K9)</f>
        <v/>
      </c>
      <c r="L10" s="50">
        <f>SUM(L5:L9)</f>
        <v/>
      </c>
      <c r="M10" s="50">
        <f>SUM(M5:M9)</f>
        <v/>
      </c>
      <c r="N10" s="50">
        <f>SUM(N5:N9)</f>
        <v/>
      </c>
      <c r="O10" s="50">
        <f>SUM(O5:O9)</f>
        <v/>
      </c>
      <c r="P10" s="60">
        <f>IF(N10=0,"—",(O10-N10)/N10)</f>
        <v/>
      </c>
    </row>
    <row r="12" ht="22" customHeight="1">
      <c r="B12" s="4" t="inlineStr">
        <is>
          <t>Matrice acteur × mode opératoire (nombre d'incidents)</t>
        </is>
      </c>
      <c r="C12" s="5" t="n"/>
      <c r="D12" s="5" t="n"/>
      <c r="E12" s="5" t="n"/>
      <c r="F12" s="5" t="n"/>
      <c r="G12" s="5" t="n"/>
      <c r="H12" s="5" t="n"/>
      <c r="I12" s="5" t="n"/>
      <c r="J12" s="5" t="n"/>
      <c r="K12" s="5" t="n"/>
      <c r="L12" s="5" t="n"/>
      <c r="M12" s="5" t="n"/>
      <c r="N12" s="5" t="n"/>
      <c r="O12" s="5" t="n"/>
    </row>
    <row r="13" ht="54" customHeight="1">
      <c r="B13" s="61" t="inlineStr">
        <is>
          <t>Acteur</t>
        </is>
      </c>
      <c r="C13" s="61" t="inlineStr">
        <is>
          <t>Affrontement JNIM–EIS</t>
        </is>
      </c>
      <c r="D13" s="61" t="inlineStr">
        <is>
          <t>Attaque ciblée / VIP</t>
        </is>
      </c>
      <c r="E13" s="61" t="inlineStr">
        <is>
          <t>Attaque de poste / camp</t>
        </is>
      </c>
      <c r="F13" s="61" t="inlineStr">
        <is>
          <t>Drone armé (FPV)</t>
        </is>
      </c>
      <c r="G13" s="61" t="inlineStr">
        <is>
          <t>EEI</t>
        </is>
      </c>
      <c r="H13" s="61" t="inlineStr">
        <is>
          <t>Embuscade</t>
        </is>
      </c>
      <c r="I13" s="61" t="inlineStr">
        <is>
          <t>Frappe aérienne étatique</t>
        </is>
      </c>
      <c r="J13" s="61" t="inlineStr">
        <is>
          <t>Lutte anti-drone</t>
        </is>
      </c>
      <c r="K13" s="61" t="inlineStr">
        <is>
          <t>Offensive terrestre</t>
        </is>
      </c>
      <c r="L13" s="61" t="inlineStr">
        <is>
          <t>Perte d'aéronef (accident)</t>
        </is>
      </c>
      <c r="M13" s="61" t="inlineStr">
        <is>
          <t>Sabotage logistique</t>
        </is>
      </c>
      <c r="N13" s="61" t="inlineStr">
        <is>
          <t>Tirs indirects</t>
        </is>
      </c>
      <c r="O13" s="61" t="inlineStr">
        <is>
          <t>Total</t>
        </is>
      </c>
    </row>
    <row r="14">
      <c r="B14" s="62" t="inlineStr">
        <is>
          <t>JNIM</t>
        </is>
      </c>
      <c r="C14" s="48">
        <f>COUNTIFS(inc_acteur,$B14,inc_mode,C$13)</f>
        <v/>
      </c>
      <c r="D14" s="48">
        <f>COUNTIFS(inc_acteur,$B14,inc_mode,D$13)</f>
        <v/>
      </c>
      <c r="E14" s="48">
        <f>COUNTIFS(inc_acteur,$B14,inc_mode,E$13)</f>
        <v/>
      </c>
      <c r="F14" s="48">
        <f>COUNTIFS(inc_acteur,$B14,inc_mode,F$13)</f>
        <v/>
      </c>
      <c r="G14" s="48">
        <f>COUNTIFS(inc_acteur,$B14,inc_mode,G$13)</f>
        <v/>
      </c>
      <c r="H14" s="48">
        <f>COUNTIFS(inc_acteur,$B14,inc_mode,H$13)</f>
        <v/>
      </c>
      <c r="I14" s="48">
        <f>COUNTIFS(inc_acteur,$B14,inc_mode,I$13)</f>
        <v/>
      </c>
      <c r="J14" s="48">
        <f>COUNTIFS(inc_acteur,$B14,inc_mode,J$13)</f>
        <v/>
      </c>
      <c r="K14" s="48">
        <f>COUNTIFS(inc_acteur,$B14,inc_mode,K$13)</f>
        <v/>
      </c>
      <c r="L14" s="48">
        <f>COUNTIFS(inc_acteur,$B14,inc_mode,L$13)</f>
        <v/>
      </c>
      <c r="M14" s="48">
        <f>COUNTIFS(inc_acteur,$B14,inc_mode,M$13)</f>
        <v/>
      </c>
      <c r="N14" s="48">
        <f>COUNTIFS(inc_acteur,$B14,inc_mode,N$13)</f>
        <v/>
      </c>
      <c r="O14" s="46">
        <f>SUM(C14:N14)</f>
        <v/>
      </c>
    </row>
    <row r="15">
      <c r="B15" s="63" t="inlineStr">
        <is>
          <t>EI-Sahel</t>
        </is>
      </c>
      <c r="C15" s="48">
        <f>COUNTIFS(inc_acteur,$B15,inc_mode,C$13)</f>
        <v/>
      </c>
      <c r="D15" s="48">
        <f>COUNTIFS(inc_acteur,$B15,inc_mode,D$13)</f>
        <v/>
      </c>
      <c r="E15" s="48">
        <f>COUNTIFS(inc_acteur,$B15,inc_mode,E$13)</f>
        <v/>
      </c>
      <c r="F15" s="48">
        <f>COUNTIFS(inc_acteur,$B15,inc_mode,F$13)</f>
        <v/>
      </c>
      <c r="G15" s="48">
        <f>COUNTIFS(inc_acteur,$B15,inc_mode,G$13)</f>
        <v/>
      </c>
      <c r="H15" s="48">
        <f>COUNTIFS(inc_acteur,$B15,inc_mode,H$13)</f>
        <v/>
      </c>
      <c r="I15" s="48">
        <f>COUNTIFS(inc_acteur,$B15,inc_mode,I$13)</f>
        <v/>
      </c>
      <c r="J15" s="48">
        <f>COUNTIFS(inc_acteur,$B15,inc_mode,J$13)</f>
        <v/>
      </c>
      <c r="K15" s="48">
        <f>COUNTIFS(inc_acteur,$B15,inc_mode,K$13)</f>
        <v/>
      </c>
      <c r="L15" s="48">
        <f>COUNTIFS(inc_acteur,$B15,inc_mode,L$13)</f>
        <v/>
      </c>
      <c r="M15" s="48">
        <f>COUNTIFS(inc_acteur,$B15,inc_mode,M$13)</f>
        <v/>
      </c>
      <c r="N15" s="48">
        <f>COUNTIFS(inc_acteur,$B15,inc_mode,N$13)</f>
        <v/>
      </c>
      <c r="O15" s="46">
        <f>SUM(C15:N15)</f>
        <v/>
      </c>
    </row>
    <row r="16">
      <c r="B16" s="64" t="inlineStr">
        <is>
          <t>FLA</t>
        </is>
      </c>
      <c r="C16" s="48">
        <f>COUNTIFS(inc_acteur,$B16,inc_mode,C$13)</f>
        <v/>
      </c>
      <c r="D16" s="48">
        <f>COUNTIFS(inc_acteur,$B16,inc_mode,D$13)</f>
        <v/>
      </c>
      <c r="E16" s="48">
        <f>COUNTIFS(inc_acteur,$B16,inc_mode,E$13)</f>
        <v/>
      </c>
      <c r="F16" s="48">
        <f>COUNTIFS(inc_acteur,$B16,inc_mode,F$13)</f>
        <v/>
      </c>
      <c r="G16" s="48">
        <f>COUNTIFS(inc_acteur,$B16,inc_mode,G$13)</f>
        <v/>
      </c>
      <c r="H16" s="48">
        <f>COUNTIFS(inc_acteur,$B16,inc_mode,H$13)</f>
        <v/>
      </c>
      <c r="I16" s="48">
        <f>COUNTIFS(inc_acteur,$B16,inc_mode,I$13)</f>
        <v/>
      </c>
      <c r="J16" s="48">
        <f>COUNTIFS(inc_acteur,$B16,inc_mode,J$13)</f>
        <v/>
      </c>
      <c r="K16" s="48">
        <f>COUNTIFS(inc_acteur,$B16,inc_mode,K$13)</f>
        <v/>
      </c>
      <c r="L16" s="48">
        <f>COUNTIFS(inc_acteur,$B16,inc_mode,L$13)</f>
        <v/>
      </c>
      <c r="M16" s="48">
        <f>COUNTIFS(inc_acteur,$B16,inc_mode,M$13)</f>
        <v/>
      </c>
      <c r="N16" s="48">
        <f>COUNTIFS(inc_acteur,$B16,inc_mode,N$13)</f>
        <v/>
      </c>
      <c r="O16" s="46">
        <f>SUM(C16:N16)</f>
        <v/>
      </c>
    </row>
    <row r="17">
      <c r="B17" s="65" t="inlineStr">
        <is>
          <t>FAMa / Africa Corps</t>
        </is>
      </c>
      <c r="C17" s="48">
        <f>COUNTIFS(inc_acteur,$B17,inc_mode,C$13)</f>
        <v/>
      </c>
      <c r="D17" s="48">
        <f>COUNTIFS(inc_acteur,$B17,inc_mode,D$13)</f>
        <v/>
      </c>
      <c r="E17" s="48">
        <f>COUNTIFS(inc_acteur,$B17,inc_mode,E$13)</f>
        <v/>
      </c>
      <c r="F17" s="48">
        <f>COUNTIFS(inc_acteur,$B17,inc_mode,F$13)</f>
        <v/>
      </c>
      <c r="G17" s="48">
        <f>COUNTIFS(inc_acteur,$B17,inc_mode,G$13)</f>
        <v/>
      </c>
      <c r="H17" s="48">
        <f>COUNTIFS(inc_acteur,$B17,inc_mode,H$13)</f>
        <v/>
      </c>
      <c r="I17" s="48">
        <f>COUNTIFS(inc_acteur,$B17,inc_mode,I$13)</f>
        <v/>
      </c>
      <c r="J17" s="48">
        <f>COUNTIFS(inc_acteur,$B17,inc_mode,J$13)</f>
        <v/>
      </c>
      <c r="K17" s="48">
        <f>COUNTIFS(inc_acteur,$B17,inc_mode,K$13)</f>
        <v/>
      </c>
      <c r="L17" s="48">
        <f>COUNTIFS(inc_acteur,$B17,inc_mode,L$13)</f>
        <v/>
      </c>
      <c r="M17" s="48">
        <f>COUNTIFS(inc_acteur,$B17,inc_mode,M$13)</f>
        <v/>
      </c>
      <c r="N17" s="48">
        <f>COUNTIFS(inc_acteur,$B17,inc_mode,N$13)</f>
        <v/>
      </c>
      <c r="O17" s="46">
        <f>SUM(C17:N17)</f>
        <v/>
      </c>
    </row>
    <row r="18">
      <c r="B18" s="66" t="inlineStr">
        <is>
          <t>Indéterminé / accident</t>
        </is>
      </c>
      <c r="C18" s="48">
        <f>COUNTIFS(inc_acteur,$B18,inc_mode,C$13)</f>
        <v/>
      </c>
      <c r="D18" s="48">
        <f>COUNTIFS(inc_acteur,$B18,inc_mode,D$13)</f>
        <v/>
      </c>
      <c r="E18" s="48">
        <f>COUNTIFS(inc_acteur,$B18,inc_mode,E$13)</f>
        <v/>
      </c>
      <c r="F18" s="48">
        <f>COUNTIFS(inc_acteur,$B18,inc_mode,F$13)</f>
        <v/>
      </c>
      <c r="G18" s="48">
        <f>COUNTIFS(inc_acteur,$B18,inc_mode,G$13)</f>
        <v/>
      </c>
      <c r="H18" s="48">
        <f>COUNTIFS(inc_acteur,$B18,inc_mode,H$13)</f>
        <v/>
      </c>
      <c r="I18" s="48">
        <f>COUNTIFS(inc_acteur,$B18,inc_mode,I$13)</f>
        <v/>
      </c>
      <c r="J18" s="48">
        <f>COUNTIFS(inc_acteur,$B18,inc_mode,J$13)</f>
        <v/>
      </c>
      <c r="K18" s="48">
        <f>COUNTIFS(inc_acteur,$B18,inc_mode,K$13)</f>
        <v/>
      </c>
      <c r="L18" s="48">
        <f>COUNTIFS(inc_acteur,$B18,inc_mode,L$13)</f>
        <v/>
      </c>
      <c r="M18" s="48">
        <f>COUNTIFS(inc_acteur,$B18,inc_mode,M$13)</f>
        <v/>
      </c>
      <c r="N18" s="48">
        <f>COUNTIFS(inc_acteur,$B18,inc_mode,N$13)</f>
        <v/>
      </c>
      <c r="O18" s="46">
        <f>SUM(C18:N18)</f>
        <v/>
      </c>
    </row>
  </sheetData>
  <conditionalFormatting sqref="E5:E9">
    <cfRule type="dataBar" priority="1">
      <dataBar showValue="1">
        <cfvo type="num" val="0"/>
        <cfvo type="max"/>
        <color rgb="00E2701C"/>
      </dataBar>
    </cfRule>
  </conditionalFormatting>
  <conditionalFormatting sqref="H5:I9">
    <cfRule type="cellIs" priority="2" operator="greaterThan" dxfId="0">
      <formula>0</formula>
    </cfRule>
  </conditionalFormatting>
  <conditionalFormatting sqref="C14:N18">
    <cfRule type="colorScale" priority="3">
      <colorScale>
        <cfvo type="num" val="0"/>
        <cfvo type="num" val="2"/>
        <cfvo type="max"/>
        <color rgb="00FFFFFF"/>
        <color rgb="00F6C99B"/>
        <color rgb="00C8102E"/>
      </colorScale>
    </cfRule>
  </conditionalFormatting>
  <hyperlinks>
    <hyperlink xmlns:r="http://schemas.openxmlformats.org/officeDocument/2006/relationships" ref="O1" r:id="rId1"/>
  </hyperlinks>
  <printOptions horizontalCentered="1"/>
  <pageMargins left="0.4" right="0.4" top="1" bottom="1" header="0.5" footer="0.5"/>
  <pageSetup orientation="landscape" paperSize="9" fitToHeight="0" fitToWidth="1"/>
  <headerFooter>
    <oddHeader/>
    <oddFooter>&amp;LObservatoire sécuritaire Mali · Sources ouvertes · Diffusion restreinte&amp;R&amp;A · page &amp;P / &amp;N</oddFooter>
    <evenHeader/>
    <evenFooter/>
    <firstHeader/>
    <firstFooter/>
  </headerFooter>
  <drawing xmlns:r="http://schemas.openxmlformats.org/officeDocument/2006/relationships" r:id="rId2"/>
</worksheet>
</file>

<file path=xl/worksheets/sheet6.xml><?xml version="1.0" encoding="utf-8"?>
<worksheet xmlns="http://schemas.openxmlformats.org/spreadsheetml/2006/main">
  <sheetPr>
    <tabColor rgb="00566577"/>
    <outlinePr summaryBelow="1" summaryRight="1"/>
    <pageSetUpPr fitToPage="1"/>
  </sheetPr>
  <dimension ref="A1:U16"/>
  <sheetViews>
    <sheetView showGridLines="0" zoomScale="90" workbookViewId="0">
      <selection activeCell="A1" sqref="A1"/>
    </sheetView>
  </sheetViews>
  <sheetFormatPr baseColWidth="8" defaultRowHeight="15"/>
  <cols>
    <col width="2" customWidth="1" min="1" max="1"/>
    <col width="12" customWidth="1" min="2" max="2"/>
    <col width="12" customWidth="1" min="3" max="3"/>
    <col width="8"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2" customWidth="1" min="16" max="16"/>
    <col width="30" customWidth="1" min="17" max="17"/>
    <col width="11" customWidth="1" min="18" max="18"/>
    <col width="11" customWidth="1" min="19" max="19"/>
    <col width="11" customWidth="1" min="20" max="20"/>
    <col width="11" customWidth="1" min="21" max="21"/>
  </cols>
  <sheetData>
    <row r="1" ht="30" customHeight="1">
      <c r="A1" s="1" t="inlineStr">
        <is>
          <t>Chronologie et comparaison des périodes</t>
        </is>
      </c>
      <c r="B1" s="2" t="n"/>
      <c r="C1" s="2" t="n"/>
      <c r="D1" s="2" t="n"/>
      <c r="E1" s="2" t="n"/>
      <c r="F1" s="2" t="n"/>
      <c r="G1" s="2" t="n"/>
      <c r="H1" s="2" t="n"/>
      <c r="I1" s="2" t="n"/>
      <c r="J1" s="2" t="n"/>
      <c r="K1" s="2" t="n"/>
      <c r="L1" s="2" t="n"/>
      <c r="M1" s="2" t="n"/>
      <c r="N1" s="2" t="n"/>
      <c r="O1" s="26" t="inlineStr">
        <is>
          <t>◄ Accueil</t>
        </is>
      </c>
    </row>
    <row r="2" ht="18" customHeight="1">
      <c r="A2" s="3" t="inlineStr">
        <is>
          <t>Semaines ISO (lundi → dimanche). P1 / P2 : deux périodes de durée égale (voir PARAMETRES).</t>
        </is>
      </c>
      <c r="B2" s="2" t="n"/>
      <c r="C2" s="2" t="n"/>
      <c r="D2" s="2" t="n"/>
      <c r="E2" s="2" t="n"/>
      <c r="F2" s="2" t="n"/>
      <c r="G2" s="2" t="n"/>
      <c r="H2" s="2" t="n"/>
      <c r="I2" s="2" t="n"/>
      <c r="J2" s="2" t="n"/>
      <c r="K2" s="2" t="n"/>
      <c r="L2" s="2" t="n"/>
      <c r="M2" s="2" t="n"/>
      <c r="N2" s="2" t="n"/>
      <c r="O2" s="2" t="n"/>
    </row>
    <row r="4" ht="22" customHeight="1">
      <c r="B4" s="29" t="inlineStr">
        <is>
          <t>Semaine du</t>
        </is>
      </c>
      <c r="C4" s="29" t="inlineStr">
        <is>
          <t>Au</t>
        </is>
      </c>
      <c r="D4" s="29" t="inlineStr">
        <is>
          <t>N° ISO</t>
        </is>
      </c>
      <c r="E4" s="37" t="inlineStr">
        <is>
          <t>JNIM</t>
        </is>
      </c>
      <c r="F4" s="38" t="inlineStr">
        <is>
          <t>EI-Sahel</t>
        </is>
      </c>
      <c r="G4" s="39" t="inlineStr">
        <is>
          <t>FLA</t>
        </is>
      </c>
      <c r="H4" s="40" t="inlineStr">
        <is>
          <t>FAMa / Africa Corps</t>
        </is>
      </c>
      <c r="I4" s="41" t="inlineStr">
        <is>
          <t>Indéterminé / accident</t>
        </is>
      </c>
      <c r="J4" s="29" t="inlineStr">
        <is>
          <t>Total incidents</t>
        </is>
      </c>
      <c r="K4" s="29" t="inlineStr">
        <is>
          <t>Tués</t>
        </is>
      </c>
      <c r="L4" s="29" t="inlineStr">
        <is>
          <t>FDS + AC tués</t>
        </is>
      </c>
      <c r="M4" s="29" t="inlineStr">
        <is>
          <t>Civils tués</t>
        </is>
      </c>
      <c r="N4" s="29" t="inlineStr">
        <is>
          <t>Cumul tués</t>
        </is>
      </c>
      <c r="Q4" s="4" t="inlineStr">
        <is>
          <t>Comparaison P1 / P2</t>
        </is>
      </c>
      <c r="R4" s="5" t="n"/>
      <c r="S4" s="5" t="n"/>
      <c r="T4" s="5" t="n"/>
      <c r="U4" s="5" t="n"/>
    </row>
    <row r="5" ht="30" customHeight="1">
      <c r="B5" s="67" t="n">
        <v>46265</v>
      </c>
      <c r="C5" s="67">
        <f>B5+6</f>
        <v/>
      </c>
      <c r="D5" s="47">
        <f>"S"&amp;WEEKNUM(B5,21)</f>
        <v/>
      </c>
      <c r="E5" s="48">
        <f>COUNTIFS(inc_acteur,E$4,inc_date,"&gt;="&amp;$B5,inc_date,"&lt;="&amp;$C5)</f>
        <v/>
      </c>
      <c r="F5" s="48">
        <f>COUNTIFS(inc_acteur,F$4,inc_date,"&gt;="&amp;$B5,inc_date,"&lt;="&amp;$C5)</f>
        <v/>
      </c>
      <c r="G5" s="48">
        <f>COUNTIFS(inc_acteur,G$4,inc_date,"&gt;="&amp;$B5,inc_date,"&lt;="&amp;$C5)</f>
        <v/>
      </c>
      <c r="H5" s="48">
        <f>COUNTIFS(inc_acteur,H$4,inc_date,"&gt;="&amp;$B5,inc_date,"&lt;="&amp;$C5)</f>
        <v/>
      </c>
      <c r="I5" s="48">
        <f>COUNTIFS(inc_acteur,I$4,inc_date,"&gt;="&amp;$B5,inc_date,"&lt;="&amp;$C5)</f>
        <v/>
      </c>
      <c r="J5" s="46">
        <f>SUM(E5:I5)</f>
        <v/>
      </c>
      <c r="K5" s="47">
        <f>SUMIFS(inc_tues,inc_date,"&gt;="&amp;$B5,inc_date,"&lt;="&amp;$C5)</f>
        <v/>
      </c>
      <c r="L5" s="47">
        <f>SUMIFS(inc_fama,inc_date,"&gt;="&amp;$B5,inc_date,"&lt;="&amp;$C5)+SUMIFS(inc_ac,inc_date,"&gt;="&amp;$B5,inc_date,"&lt;="&amp;$C5)</f>
        <v/>
      </c>
      <c r="M5" s="47">
        <f>SUMIFS(inc_civ_k,inc_date,"&gt;="&amp;$B5,inc_date,"&lt;="&amp;$C5)</f>
        <v/>
      </c>
      <c r="N5" s="47">
        <f>SUM($K$5:K5)</f>
        <v/>
      </c>
      <c r="Q5" s="61" t="inlineStr">
        <is>
          <t>Indicateur</t>
        </is>
      </c>
      <c r="R5" s="61" t="inlineStr">
        <is>
          <t>P1</t>
        </is>
      </c>
      <c r="S5" s="61" t="inlineStr">
        <is>
          <t>P2</t>
        </is>
      </c>
      <c r="T5" s="61" t="inlineStr">
        <is>
          <t>Écart</t>
        </is>
      </c>
      <c r="U5" s="61" t="inlineStr">
        <is>
          <t>Évolution</t>
        </is>
      </c>
    </row>
    <row r="6">
      <c r="B6" s="67" t="n">
        <v>46272</v>
      </c>
      <c r="C6" s="67">
        <f>B6+6</f>
        <v/>
      </c>
      <c r="D6" s="47">
        <f>"S"&amp;WEEKNUM(B6,21)</f>
        <v/>
      </c>
      <c r="E6" s="48">
        <f>COUNTIFS(inc_acteur,E$4,inc_date,"&gt;="&amp;$B6,inc_date,"&lt;="&amp;$C6)</f>
        <v/>
      </c>
      <c r="F6" s="48">
        <f>COUNTIFS(inc_acteur,F$4,inc_date,"&gt;="&amp;$B6,inc_date,"&lt;="&amp;$C6)</f>
        <v/>
      </c>
      <c r="G6" s="48">
        <f>COUNTIFS(inc_acteur,G$4,inc_date,"&gt;="&amp;$B6,inc_date,"&lt;="&amp;$C6)</f>
        <v/>
      </c>
      <c r="H6" s="48">
        <f>COUNTIFS(inc_acteur,H$4,inc_date,"&gt;="&amp;$B6,inc_date,"&lt;="&amp;$C6)</f>
        <v/>
      </c>
      <c r="I6" s="48">
        <f>COUNTIFS(inc_acteur,I$4,inc_date,"&gt;="&amp;$B6,inc_date,"&lt;="&amp;$C6)</f>
        <v/>
      </c>
      <c r="J6" s="46">
        <f>SUM(E6:I6)</f>
        <v/>
      </c>
      <c r="K6" s="47">
        <f>SUMIFS(inc_tues,inc_date,"&gt;="&amp;$B6,inc_date,"&lt;="&amp;$C6)</f>
        <v/>
      </c>
      <c r="L6" s="47">
        <f>SUMIFS(inc_fama,inc_date,"&gt;="&amp;$B6,inc_date,"&lt;="&amp;$C6)+SUMIFS(inc_ac,inc_date,"&gt;="&amp;$B6,inc_date,"&lt;="&amp;$C6)</f>
        <v/>
      </c>
      <c r="M6" s="47">
        <f>SUMIFS(inc_civ_k,inc_date,"&gt;="&amp;$B6,inc_date,"&lt;="&amp;$C6)</f>
        <v/>
      </c>
      <c r="N6" s="47">
        <f>SUM($K$5:K6)</f>
        <v/>
      </c>
      <c r="Q6" s="42" t="inlineStr">
        <is>
          <t>Incidents</t>
        </is>
      </c>
      <c r="R6" s="43">
        <f>COUNTIFS(inc_periode,"P1")</f>
        <v/>
      </c>
      <c r="S6" s="43">
        <f>COUNTIFS(inc_periode,"P2")</f>
        <v/>
      </c>
      <c r="T6" s="68">
        <f>S6-R6</f>
        <v/>
      </c>
      <c r="U6" s="69">
        <f>IF(R6=0,"—",(S6-R6)/R6)</f>
        <v/>
      </c>
    </row>
    <row r="7">
      <c r="B7" s="67" t="n">
        <v>46279</v>
      </c>
      <c r="C7" s="67">
        <f>B7+6</f>
        <v/>
      </c>
      <c r="D7" s="47">
        <f>"S"&amp;WEEKNUM(B7,21)</f>
        <v/>
      </c>
      <c r="E7" s="48">
        <f>COUNTIFS(inc_acteur,E$4,inc_date,"&gt;="&amp;$B7,inc_date,"&lt;="&amp;$C7)</f>
        <v/>
      </c>
      <c r="F7" s="48">
        <f>COUNTIFS(inc_acteur,F$4,inc_date,"&gt;="&amp;$B7,inc_date,"&lt;="&amp;$C7)</f>
        <v/>
      </c>
      <c r="G7" s="48">
        <f>COUNTIFS(inc_acteur,G$4,inc_date,"&gt;="&amp;$B7,inc_date,"&lt;="&amp;$C7)</f>
        <v/>
      </c>
      <c r="H7" s="48">
        <f>COUNTIFS(inc_acteur,H$4,inc_date,"&gt;="&amp;$B7,inc_date,"&lt;="&amp;$C7)</f>
        <v/>
      </c>
      <c r="I7" s="48">
        <f>COUNTIFS(inc_acteur,I$4,inc_date,"&gt;="&amp;$B7,inc_date,"&lt;="&amp;$C7)</f>
        <v/>
      </c>
      <c r="J7" s="46">
        <f>SUM(E7:I7)</f>
        <v/>
      </c>
      <c r="K7" s="47">
        <f>SUMIFS(inc_tues,inc_date,"&gt;="&amp;$B7,inc_date,"&lt;="&amp;$C7)</f>
        <v/>
      </c>
      <c r="L7" s="47">
        <f>SUMIFS(inc_fama,inc_date,"&gt;="&amp;$B7,inc_date,"&lt;="&amp;$C7)+SUMIFS(inc_ac,inc_date,"&gt;="&amp;$B7,inc_date,"&lt;="&amp;$C7)</f>
        <v/>
      </c>
      <c r="M7" s="47">
        <f>SUMIFS(inc_civ_k,inc_date,"&gt;="&amp;$B7,inc_date,"&lt;="&amp;$C7)</f>
        <v/>
      </c>
      <c r="N7" s="47">
        <f>SUM($K$5:K7)</f>
        <v/>
      </c>
      <c r="Q7" s="42" t="inlineStr">
        <is>
          <t>Tués (total)</t>
        </is>
      </c>
      <c r="R7" s="43">
        <f>SUMIFS(inc_tues,inc_periode,"P1")</f>
        <v/>
      </c>
      <c r="S7" s="43">
        <f>SUMIFS(inc_tues,inc_periode,"P2")</f>
        <v/>
      </c>
      <c r="T7" s="68">
        <f>S7-R7</f>
        <v/>
      </c>
      <c r="U7" s="69">
        <f>IF(R7=0,"—",(S7-R7)/R7)</f>
        <v/>
      </c>
    </row>
    <row r="8">
      <c r="B8" s="67" t="n">
        <v>46286</v>
      </c>
      <c r="C8" s="67">
        <f>B8+6</f>
        <v/>
      </c>
      <c r="D8" s="47">
        <f>"S"&amp;WEEKNUM(B8,21)</f>
        <v/>
      </c>
      <c r="E8" s="48">
        <f>COUNTIFS(inc_acteur,E$4,inc_date,"&gt;="&amp;$B8,inc_date,"&lt;="&amp;$C8)</f>
        <v/>
      </c>
      <c r="F8" s="48">
        <f>COUNTIFS(inc_acteur,F$4,inc_date,"&gt;="&amp;$B8,inc_date,"&lt;="&amp;$C8)</f>
        <v/>
      </c>
      <c r="G8" s="48">
        <f>COUNTIFS(inc_acteur,G$4,inc_date,"&gt;="&amp;$B8,inc_date,"&lt;="&amp;$C8)</f>
        <v/>
      </c>
      <c r="H8" s="48">
        <f>COUNTIFS(inc_acteur,H$4,inc_date,"&gt;="&amp;$B8,inc_date,"&lt;="&amp;$C8)</f>
        <v/>
      </c>
      <c r="I8" s="48">
        <f>COUNTIFS(inc_acteur,I$4,inc_date,"&gt;="&amp;$B8,inc_date,"&lt;="&amp;$C8)</f>
        <v/>
      </c>
      <c r="J8" s="46">
        <f>SUM(E8:I8)</f>
        <v/>
      </c>
      <c r="K8" s="47">
        <f>SUMIFS(inc_tues,inc_date,"&gt;="&amp;$B8,inc_date,"&lt;="&amp;$C8)</f>
        <v/>
      </c>
      <c r="L8" s="47">
        <f>SUMIFS(inc_fama,inc_date,"&gt;="&amp;$B8,inc_date,"&lt;="&amp;$C8)+SUMIFS(inc_ac,inc_date,"&gt;="&amp;$B8,inc_date,"&lt;="&amp;$C8)</f>
        <v/>
      </c>
      <c r="M8" s="47">
        <f>SUMIFS(inc_civ_k,inc_date,"&gt;="&amp;$B8,inc_date,"&lt;="&amp;$C8)</f>
        <v/>
      </c>
      <c r="N8" s="47">
        <f>SUM($K$5:K8)</f>
        <v/>
      </c>
      <c r="Q8" s="42" t="inlineStr">
        <is>
          <t>FDS (FAMa) tués</t>
        </is>
      </c>
      <c r="R8" s="43">
        <f>SUMIFS(inc_fama,inc_periode,"P1")</f>
        <v/>
      </c>
      <c r="S8" s="43">
        <f>SUMIFS(inc_fama,inc_periode,"P2")</f>
        <v/>
      </c>
      <c r="T8" s="68">
        <f>S8-R8</f>
        <v/>
      </c>
      <c r="U8" s="69">
        <f>IF(R8=0,"—",(S8-R8)/R8)</f>
        <v/>
      </c>
    </row>
    <row r="9">
      <c r="B9" s="67" t="n">
        <v>46293</v>
      </c>
      <c r="C9" s="67">
        <f>B9+6</f>
        <v/>
      </c>
      <c r="D9" s="47">
        <f>"S"&amp;WEEKNUM(B9,21)</f>
        <v/>
      </c>
      <c r="E9" s="48">
        <f>COUNTIFS(inc_acteur,E$4,inc_date,"&gt;="&amp;$B9,inc_date,"&lt;="&amp;$C9)</f>
        <v/>
      </c>
      <c r="F9" s="48">
        <f>COUNTIFS(inc_acteur,F$4,inc_date,"&gt;="&amp;$B9,inc_date,"&lt;="&amp;$C9)</f>
        <v/>
      </c>
      <c r="G9" s="48">
        <f>COUNTIFS(inc_acteur,G$4,inc_date,"&gt;="&amp;$B9,inc_date,"&lt;="&amp;$C9)</f>
        <v/>
      </c>
      <c r="H9" s="48">
        <f>COUNTIFS(inc_acteur,H$4,inc_date,"&gt;="&amp;$B9,inc_date,"&lt;="&amp;$C9)</f>
        <v/>
      </c>
      <c r="I9" s="48">
        <f>COUNTIFS(inc_acteur,I$4,inc_date,"&gt;="&amp;$B9,inc_date,"&lt;="&amp;$C9)</f>
        <v/>
      </c>
      <c r="J9" s="46">
        <f>SUM(E9:I9)</f>
        <v/>
      </c>
      <c r="K9" s="47">
        <f>SUMIFS(inc_tues,inc_date,"&gt;="&amp;$B9,inc_date,"&lt;="&amp;$C9)</f>
        <v/>
      </c>
      <c r="L9" s="47">
        <f>SUMIFS(inc_fama,inc_date,"&gt;="&amp;$B9,inc_date,"&lt;="&amp;$C9)+SUMIFS(inc_ac,inc_date,"&gt;="&amp;$B9,inc_date,"&lt;="&amp;$C9)</f>
        <v/>
      </c>
      <c r="M9" s="47">
        <f>SUMIFS(inc_civ_k,inc_date,"&gt;="&amp;$B9,inc_date,"&lt;="&amp;$C9)</f>
        <v/>
      </c>
      <c r="N9" s="47">
        <f>SUM($K$5:K9)</f>
        <v/>
      </c>
      <c r="Q9" s="42" t="inlineStr">
        <is>
          <t>Africa Corps tués</t>
        </is>
      </c>
      <c r="R9" s="43">
        <f>SUMIFS(inc_ac,inc_periode,"P1")</f>
        <v/>
      </c>
      <c r="S9" s="43">
        <f>SUMIFS(inc_ac,inc_periode,"P2")</f>
        <v/>
      </c>
      <c r="T9" s="68">
        <f>S9-R9</f>
        <v/>
      </c>
      <c r="U9" s="69">
        <f>IF(R9=0,"—",(S9-R9)/R9)</f>
        <v/>
      </c>
    </row>
    <row r="10">
      <c r="B10" s="67" t="n">
        <v>46300</v>
      </c>
      <c r="C10" s="67">
        <f>B10+6</f>
        <v/>
      </c>
      <c r="D10" s="47">
        <f>"S"&amp;WEEKNUM(B10,21)</f>
        <v/>
      </c>
      <c r="E10" s="48">
        <f>COUNTIFS(inc_acteur,E$4,inc_date,"&gt;="&amp;$B10,inc_date,"&lt;="&amp;$C10)</f>
        <v/>
      </c>
      <c r="F10" s="48">
        <f>COUNTIFS(inc_acteur,F$4,inc_date,"&gt;="&amp;$B10,inc_date,"&lt;="&amp;$C10)</f>
        <v/>
      </c>
      <c r="G10" s="48">
        <f>COUNTIFS(inc_acteur,G$4,inc_date,"&gt;="&amp;$B10,inc_date,"&lt;="&amp;$C10)</f>
        <v/>
      </c>
      <c r="H10" s="48">
        <f>COUNTIFS(inc_acteur,H$4,inc_date,"&gt;="&amp;$B10,inc_date,"&lt;="&amp;$C10)</f>
        <v/>
      </c>
      <c r="I10" s="48">
        <f>COUNTIFS(inc_acteur,I$4,inc_date,"&gt;="&amp;$B10,inc_date,"&lt;="&amp;$C10)</f>
        <v/>
      </c>
      <c r="J10" s="46">
        <f>SUM(E10:I10)</f>
        <v/>
      </c>
      <c r="K10" s="47">
        <f>SUMIFS(inc_tues,inc_date,"&gt;="&amp;$B10,inc_date,"&lt;="&amp;$C10)</f>
        <v/>
      </c>
      <c r="L10" s="47">
        <f>SUMIFS(inc_fama,inc_date,"&gt;="&amp;$B10,inc_date,"&lt;="&amp;$C10)+SUMIFS(inc_ac,inc_date,"&gt;="&amp;$B10,inc_date,"&lt;="&amp;$C10)</f>
        <v/>
      </c>
      <c r="M10" s="47">
        <f>SUMIFS(inc_civ_k,inc_date,"&gt;="&amp;$B10,inc_date,"&lt;="&amp;$C10)</f>
        <v/>
      </c>
      <c r="N10" s="47">
        <f>SUM($K$5:K10)</f>
        <v/>
      </c>
      <c r="Q10" s="42" t="inlineStr">
        <is>
          <t>Combattants armés tués</t>
        </is>
      </c>
      <c r="R10" s="43">
        <f>SUMIFS(inc_ga,inc_periode,"P1")</f>
        <v/>
      </c>
      <c r="S10" s="43">
        <f>SUMIFS(inc_ga,inc_periode,"P2")</f>
        <v/>
      </c>
      <c r="T10" s="68">
        <f>S10-R10</f>
        <v/>
      </c>
      <c r="U10" s="69">
        <f>IF(R10=0,"—",(S10-R10)/R10)</f>
        <v/>
      </c>
    </row>
    <row r="11">
      <c r="B11" s="67" t="n">
        <v>46307</v>
      </c>
      <c r="C11" s="67">
        <f>B11+6</f>
        <v/>
      </c>
      <c r="D11" s="47">
        <f>"S"&amp;WEEKNUM(B11,21)</f>
        <v/>
      </c>
      <c r="E11" s="48">
        <f>COUNTIFS(inc_acteur,E$4,inc_date,"&gt;="&amp;$B11,inc_date,"&lt;="&amp;$C11)</f>
        <v/>
      </c>
      <c r="F11" s="48">
        <f>COUNTIFS(inc_acteur,F$4,inc_date,"&gt;="&amp;$B11,inc_date,"&lt;="&amp;$C11)</f>
        <v/>
      </c>
      <c r="G11" s="48">
        <f>COUNTIFS(inc_acteur,G$4,inc_date,"&gt;="&amp;$B11,inc_date,"&lt;="&amp;$C11)</f>
        <v/>
      </c>
      <c r="H11" s="48">
        <f>COUNTIFS(inc_acteur,H$4,inc_date,"&gt;="&amp;$B11,inc_date,"&lt;="&amp;$C11)</f>
        <v/>
      </c>
      <c r="I11" s="48">
        <f>COUNTIFS(inc_acteur,I$4,inc_date,"&gt;="&amp;$B11,inc_date,"&lt;="&amp;$C11)</f>
        <v/>
      </c>
      <c r="J11" s="46">
        <f>SUM(E11:I11)</f>
        <v/>
      </c>
      <c r="K11" s="47">
        <f>SUMIFS(inc_tues,inc_date,"&gt;="&amp;$B11,inc_date,"&lt;="&amp;$C11)</f>
        <v/>
      </c>
      <c r="L11" s="47">
        <f>SUMIFS(inc_fama,inc_date,"&gt;="&amp;$B11,inc_date,"&lt;="&amp;$C11)+SUMIFS(inc_ac,inc_date,"&gt;="&amp;$B11,inc_date,"&lt;="&amp;$C11)</f>
        <v/>
      </c>
      <c r="M11" s="47">
        <f>SUMIFS(inc_civ_k,inc_date,"&gt;="&amp;$B11,inc_date,"&lt;="&amp;$C11)</f>
        <v/>
      </c>
      <c r="N11" s="47">
        <f>SUM($K$5:K11)</f>
        <v/>
      </c>
      <c r="Q11" s="42" t="inlineStr">
        <is>
          <t>Civils tués</t>
        </is>
      </c>
      <c r="R11" s="43">
        <f>SUMIFS(inc_civ_k,inc_periode,"P1")</f>
        <v/>
      </c>
      <c r="S11" s="43">
        <f>SUMIFS(inc_civ_k,inc_periode,"P2")</f>
        <v/>
      </c>
      <c r="T11" s="68">
        <f>S11-R11</f>
        <v/>
      </c>
      <c r="U11" s="69">
        <f>IF(R11=0,"—",(S11-R11)/R11)</f>
        <v/>
      </c>
    </row>
    <row r="12">
      <c r="B12" s="67" t="n">
        <v>46314</v>
      </c>
      <c r="C12" s="67">
        <f>B12+6</f>
        <v/>
      </c>
      <c r="D12" s="47">
        <f>"S"&amp;WEEKNUM(B12,21)</f>
        <v/>
      </c>
      <c r="E12" s="48">
        <f>COUNTIFS(inc_acteur,E$4,inc_date,"&gt;="&amp;$B12,inc_date,"&lt;="&amp;$C12)</f>
        <v/>
      </c>
      <c r="F12" s="48">
        <f>COUNTIFS(inc_acteur,F$4,inc_date,"&gt;="&amp;$B12,inc_date,"&lt;="&amp;$C12)</f>
        <v/>
      </c>
      <c r="G12" s="48">
        <f>COUNTIFS(inc_acteur,G$4,inc_date,"&gt;="&amp;$B12,inc_date,"&lt;="&amp;$C12)</f>
        <v/>
      </c>
      <c r="H12" s="48">
        <f>COUNTIFS(inc_acteur,H$4,inc_date,"&gt;="&amp;$B12,inc_date,"&lt;="&amp;$C12)</f>
        <v/>
      </c>
      <c r="I12" s="48">
        <f>COUNTIFS(inc_acteur,I$4,inc_date,"&gt;="&amp;$B12,inc_date,"&lt;="&amp;$C12)</f>
        <v/>
      </c>
      <c r="J12" s="46">
        <f>SUM(E12:I12)</f>
        <v/>
      </c>
      <c r="K12" s="47">
        <f>SUMIFS(inc_tues,inc_date,"&gt;="&amp;$B12,inc_date,"&lt;="&amp;$C12)</f>
        <v/>
      </c>
      <c r="L12" s="47">
        <f>SUMIFS(inc_fama,inc_date,"&gt;="&amp;$B12,inc_date,"&lt;="&amp;$C12)+SUMIFS(inc_ac,inc_date,"&gt;="&amp;$B12,inc_date,"&lt;="&amp;$C12)</f>
        <v/>
      </c>
      <c r="M12" s="47">
        <f>SUMIFS(inc_civ_k,inc_date,"&gt;="&amp;$B12,inc_date,"&lt;="&amp;$C12)</f>
        <v/>
      </c>
      <c r="N12" s="47">
        <f>SUM($K$5:K12)</f>
        <v/>
      </c>
      <c r="Q12" s="42" t="inlineStr">
        <is>
          <t>Civils blessés</t>
        </is>
      </c>
      <c r="R12" s="43">
        <f>SUMIFS(inc_civ_w,inc_periode,"P1")</f>
        <v/>
      </c>
      <c r="S12" s="43">
        <f>SUMIFS(inc_civ_w,inc_periode,"P2")</f>
        <v/>
      </c>
      <c r="T12" s="68">
        <f>S12-R12</f>
        <v/>
      </c>
      <c r="U12" s="69">
        <f>IF(R12=0,"—",(S12-R12)/R12)</f>
        <v/>
      </c>
    </row>
    <row r="13">
      <c r="B13" s="67" t="n">
        <v>46321</v>
      </c>
      <c r="C13" s="67">
        <f>B13+6</f>
        <v/>
      </c>
      <c r="D13" s="47">
        <f>"S"&amp;WEEKNUM(B13,21)</f>
        <v/>
      </c>
      <c r="E13" s="48">
        <f>COUNTIFS(inc_acteur,E$4,inc_date,"&gt;="&amp;$B13,inc_date,"&lt;="&amp;$C13)</f>
        <v/>
      </c>
      <c r="F13" s="48">
        <f>COUNTIFS(inc_acteur,F$4,inc_date,"&gt;="&amp;$B13,inc_date,"&lt;="&amp;$C13)</f>
        <v/>
      </c>
      <c r="G13" s="48">
        <f>COUNTIFS(inc_acteur,G$4,inc_date,"&gt;="&amp;$B13,inc_date,"&lt;="&amp;$C13)</f>
        <v/>
      </c>
      <c r="H13" s="48">
        <f>COUNTIFS(inc_acteur,H$4,inc_date,"&gt;="&amp;$B13,inc_date,"&lt;="&amp;$C13)</f>
        <v/>
      </c>
      <c r="I13" s="48">
        <f>COUNTIFS(inc_acteur,I$4,inc_date,"&gt;="&amp;$B13,inc_date,"&lt;="&amp;$C13)</f>
        <v/>
      </c>
      <c r="J13" s="46">
        <f>SUM(E13:I13)</f>
        <v/>
      </c>
      <c r="K13" s="47">
        <f>SUMIFS(inc_tues,inc_date,"&gt;="&amp;$B13,inc_date,"&lt;="&amp;$C13)</f>
        <v/>
      </c>
      <c r="L13" s="47">
        <f>SUMIFS(inc_fama,inc_date,"&gt;="&amp;$B13,inc_date,"&lt;="&amp;$C13)+SUMIFS(inc_ac,inc_date,"&gt;="&amp;$B13,inc_date,"&lt;="&amp;$C13)</f>
        <v/>
      </c>
      <c r="M13" s="47">
        <f>SUMIFS(inc_civ_k,inc_date,"&gt;="&amp;$B13,inc_date,"&lt;="&amp;$C13)</f>
        <v/>
      </c>
      <c r="N13" s="47">
        <f>SUM($K$5:K13)</f>
        <v/>
      </c>
      <c r="Q13" s="42" t="inlineStr">
        <is>
          <t>Capturés</t>
        </is>
      </c>
      <c r="R13" s="43">
        <f>SUMIFS(inc_pow,inc_periode,"P1")</f>
        <v/>
      </c>
      <c r="S13" s="43">
        <f>SUMIFS(inc_pow,inc_periode,"P2")</f>
        <v/>
      </c>
      <c r="T13" s="68">
        <f>S13-R13</f>
        <v/>
      </c>
      <c r="U13" s="69">
        <f>IF(R13=0,"—",(S13-R13)/R13)</f>
        <v/>
      </c>
    </row>
    <row r="14">
      <c r="Q14" s="42" t="inlineStr">
        <is>
          <t>Véhicules / aéronefs détruits</t>
        </is>
      </c>
      <c r="R14" s="43">
        <f>SUMIFS(inc_vehd,inc_periode,"P1")</f>
        <v/>
      </c>
      <c r="S14" s="43">
        <f>SUMIFS(inc_vehd,inc_periode,"P2")</f>
        <v/>
      </c>
      <c r="T14" s="68">
        <f>S14-R14</f>
        <v/>
      </c>
      <c r="U14" s="69">
        <f>IF(R14=0,"—",(S14-R14)/R14)</f>
        <v/>
      </c>
    </row>
    <row r="15">
      <c r="Q15" s="42" t="inlineStr">
        <is>
          <t>Incidents dans le rayon de Bamako</t>
        </is>
      </c>
      <c r="R15" s="43">
        <f>COUNTIFS(inc_periode,"P1",inc_rayon,"Oui")</f>
        <v/>
      </c>
      <c r="S15" s="43">
        <f>COUNTIFS(inc_periode,"P2",inc_rayon,"Oui")</f>
        <v/>
      </c>
      <c r="T15" s="68">
        <f>S15-R15</f>
        <v/>
      </c>
      <c r="U15" s="69">
        <f>IF(R15=0,"—",(S15-R15)/R15)</f>
        <v/>
      </c>
    </row>
    <row r="16">
      <c r="Q16" s="28" t="inlineStr">
        <is>
          <t>Rouge : hausse ; vert : baisse. La baisse des pertes FAMa en P2 tient surtout à l'effet Dioura (150 tués le 10/09).</t>
        </is>
      </c>
    </row>
  </sheetData>
  <conditionalFormatting sqref="J5:J13">
    <cfRule type="dataBar" priority="1">
      <dataBar showValue="1">
        <cfvo type="num" val="0"/>
        <cfvo type="max"/>
        <color rgb="000F7C86"/>
      </dataBar>
    </cfRule>
  </conditionalFormatting>
  <conditionalFormatting sqref="M5:M13">
    <cfRule type="cellIs" priority="2" operator="greaterThan" dxfId="0">
      <formula>0</formula>
    </cfRule>
  </conditionalFormatting>
  <conditionalFormatting sqref="U6:U15">
    <cfRule type="cellIs" priority="3" operator="greaterThan" dxfId="6">
      <formula>0</formula>
    </cfRule>
    <cfRule type="cellIs" priority="4" operator="lessThan" dxfId="4">
      <formula>0</formula>
    </cfRule>
  </conditionalFormatting>
  <hyperlinks>
    <hyperlink xmlns:r="http://schemas.openxmlformats.org/officeDocument/2006/relationships" ref="O1" r:id="rId1"/>
  </hyperlinks>
  <printOptions horizontalCentered="1"/>
  <pageMargins left="0.4" right="0.4" top="1" bottom="1" header="0.5" footer="0.5"/>
  <pageSetup orientation="landscape" paperSize="9" fitToHeight="0" fitToWidth="1"/>
  <headerFooter>
    <oddHeader/>
    <oddFooter>&amp;LObservatoire sécuritaire Mali · Sources ouvertes · Diffusion restreinte&amp;R&amp;A · page &amp;P / &amp;N</oddFooter>
    <evenHeader/>
    <evenFooter/>
    <firstHeader/>
    <firstFooter/>
  </headerFooter>
  <drawing xmlns:r="http://schemas.openxmlformats.org/officeDocument/2006/relationships" r:id="rId2"/>
</worksheet>
</file>

<file path=xl/worksheets/sheet7.xml><?xml version="1.0" encoding="utf-8"?>
<worksheet xmlns="http://schemas.openxmlformats.org/spreadsheetml/2006/main">
  <sheetPr>
    <tabColor rgb="00566577"/>
    <outlinePr summaryBelow="1" summaryRight="1"/>
    <pageSetUpPr fitToPage="1"/>
  </sheetPr>
  <dimension ref="A1:O16"/>
  <sheetViews>
    <sheetView showGridLines="0" zoomScale="90" workbookViewId="0">
      <selection activeCell="A1" sqref="A1"/>
    </sheetView>
  </sheetViews>
  <sheetFormatPr baseColWidth="8" defaultRowHeight="15"/>
  <cols>
    <col width="2" customWidth="1" min="1" max="1"/>
    <col width="28" customWidth="1" min="2" max="2"/>
    <col width="11" customWidth="1" min="3" max="3"/>
    <col width="9" customWidth="1" min="4" max="4"/>
    <col width="9" customWidth="1" min="5" max="5"/>
    <col width="12" customWidth="1" min="6" max="6"/>
    <col width="11" customWidth="1" min="7" max="7"/>
    <col width="12" customWidth="1" min="8" max="8"/>
    <col width="3" customWidth="1" min="9" max="9"/>
    <col width="28" customWidth="1" min="10" max="10"/>
    <col width="13" customWidth="1" min="11" max="11"/>
    <col width="13" customWidth="1" min="12" max="12"/>
    <col width="13" customWidth="1" min="13" max="13"/>
    <col width="13" customWidth="1" min="14" max="14"/>
    <col width="13" customWidth="1" min="15" max="15"/>
    <col width="13" customWidth="1" min="16" max="16"/>
  </cols>
  <sheetData>
    <row r="1" ht="30" customHeight="1">
      <c r="A1" s="1" t="inlineStr">
        <is>
          <t>Modes opératoires et cibles</t>
        </is>
      </c>
      <c r="B1" s="2" t="n"/>
      <c r="C1" s="2" t="n"/>
      <c r="D1" s="2" t="n"/>
      <c r="E1" s="2" t="n"/>
      <c r="F1" s="2" t="n"/>
      <c r="G1" s="2" t="n"/>
      <c r="H1" s="2" t="n"/>
      <c r="I1" s="2" t="n"/>
      <c r="J1" s="2" t="n"/>
      <c r="K1" s="2" t="n"/>
      <c r="L1" s="26" t="inlineStr">
        <is>
          <t>◄ Accueil</t>
        </is>
      </c>
    </row>
    <row r="2" ht="18" customHeight="1">
      <c r="A2" s="3" t="inlineStr">
        <is>
          <t>Fréquence, létalité et matrice mode × cible.</t>
        </is>
      </c>
      <c r="B2" s="2" t="n"/>
      <c r="C2" s="2" t="n"/>
      <c r="D2" s="2" t="n"/>
      <c r="E2" s="2" t="n"/>
      <c r="F2" s="2" t="n"/>
      <c r="G2" s="2" t="n"/>
      <c r="H2" s="2" t="n"/>
      <c r="I2" s="2" t="n"/>
      <c r="J2" s="2" t="n"/>
      <c r="K2" s="2" t="n"/>
      <c r="L2" s="2" t="n"/>
    </row>
    <row r="4" ht="30" customHeight="1">
      <c r="B4" s="29" t="inlineStr">
        <is>
          <t>Mode opératoire</t>
        </is>
      </c>
      <c r="C4" s="29" t="inlineStr">
        <is>
          <t>Incidents</t>
        </is>
      </c>
      <c r="D4" s="29" t="inlineStr">
        <is>
          <t>Part</t>
        </is>
      </c>
      <c r="E4" s="29" t="inlineStr">
        <is>
          <t>Tués</t>
        </is>
      </c>
      <c r="F4" s="29" t="inlineStr">
        <is>
          <t>Tués par incident</t>
        </is>
      </c>
      <c r="G4" s="29" t="inlineStr">
        <is>
          <t>Civils tués</t>
        </is>
      </c>
      <c r="H4" s="29" t="inlineStr">
        <is>
          <t>Dans le rayon Bamako</t>
        </is>
      </c>
      <c r="J4" s="61" t="inlineStr">
        <is>
          <t>Mode × cible</t>
        </is>
      </c>
      <c r="K4" s="61" t="inlineStr">
        <is>
          <t>FAMa / Africa Corps</t>
        </is>
      </c>
      <c r="L4" s="61" t="inlineStr">
        <is>
          <t>Civils</t>
        </is>
      </c>
      <c r="M4" s="61" t="inlineStr">
        <is>
          <t>Groupes armés</t>
        </is>
      </c>
      <c r="N4" s="61" t="inlineStr">
        <is>
          <t>Milices pro-gouv.</t>
        </is>
      </c>
      <c r="O4" s="61" t="inlineStr">
        <is>
          <t>Logistique civile</t>
        </is>
      </c>
    </row>
    <row r="5">
      <c r="B5" s="42" t="inlineStr">
        <is>
          <t>Embuscade</t>
        </is>
      </c>
      <c r="C5" s="47">
        <f>COUNTIFS(inc_mode,$B5)</f>
        <v/>
      </c>
      <c r="D5" s="44">
        <f>IF(SUM($C$5:$C$16)=0,0,C5/SUM($C$5:$C$16))</f>
        <v/>
      </c>
      <c r="E5" s="47">
        <f>SUMIFS(inc_tues,inc_mode,$B5)</f>
        <v/>
      </c>
      <c r="F5" s="70">
        <f>IF(C5=0,0,E5/C5)</f>
        <v/>
      </c>
      <c r="G5" s="48">
        <f>SUMIFS(inc_civ_k,inc_mode,$B5)</f>
        <v/>
      </c>
      <c r="H5" s="48">
        <f>COUNTIFS(inc_mode,$B5,inc_rayon,"Oui")</f>
        <v/>
      </c>
      <c r="J5" s="42">
        <f>B5</f>
        <v/>
      </c>
      <c r="K5" s="48">
        <f>COUNTIFS(inc_mode,$J5,inc_cible,K$4)</f>
        <v/>
      </c>
      <c r="L5" s="48">
        <f>COUNTIFS(inc_mode,$J5,inc_cible,L$4)</f>
        <v/>
      </c>
      <c r="M5" s="48">
        <f>COUNTIFS(inc_mode,$J5,inc_cible,M$4)</f>
        <v/>
      </c>
      <c r="N5" s="48">
        <f>COUNTIFS(inc_mode,$J5,inc_cible,N$4)</f>
        <v/>
      </c>
      <c r="O5" s="48">
        <f>COUNTIFS(inc_mode,$J5,inc_cible,O$4)</f>
        <v/>
      </c>
    </row>
    <row r="6">
      <c r="B6" s="42" t="inlineStr">
        <is>
          <t>Attaque de poste / camp</t>
        </is>
      </c>
      <c r="C6" s="47">
        <f>COUNTIFS(inc_mode,$B6)</f>
        <v/>
      </c>
      <c r="D6" s="44">
        <f>IF(SUM($C$5:$C$16)=0,0,C6/SUM($C$5:$C$16))</f>
        <v/>
      </c>
      <c r="E6" s="47">
        <f>SUMIFS(inc_tues,inc_mode,$B6)</f>
        <v/>
      </c>
      <c r="F6" s="70">
        <f>IF(C6=0,0,E6/C6)</f>
        <v/>
      </c>
      <c r="G6" s="48">
        <f>SUMIFS(inc_civ_k,inc_mode,$B6)</f>
        <v/>
      </c>
      <c r="H6" s="48">
        <f>COUNTIFS(inc_mode,$B6,inc_rayon,"Oui")</f>
        <v/>
      </c>
      <c r="J6" s="42">
        <f>B6</f>
        <v/>
      </c>
      <c r="K6" s="48">
        <f>COUNTIFS(inc_mode,$J6,inc_cible,K$4)</f>
        <v/>
      </c>
      <c r="L6" s="48">
        <f>COUNTIFS(inc_mode,$J6,inc_cible,L$4)</f>
        <v/>
      </c>
      <c r="M6" s="48">
        <f>COUNTIFS(inc_mode,$J6,inc_cible,M$4)</f>
        <v/>
      </c>
      <c r="N6" s="48">
        <f>COUNTIFS(inc_mode,$J6,inc_cible,N$4)</f>
        <v/>
      </c>
      <c r="O6" s="48">
        <f>COUNTIFS(inc_mode,$J6,inc_cible,O$4)</f>
        <v/>
      </c>
    </row>
    <row r="7">
      <c r="B7" s="42" t="inlineStr">
        <is>
          <t>Frappe aérienne étatique</t>
        </is>
      </c>
      <c r="C7" s="47">
        <f>COUNTIFS(inc_mode,$B7)</f>
        <v/>
      </c>
      <c r="D7" s="44">
        <f>IF(SUM($C$5:$C$16)=0,0,C7/SUM($C$5:$C$16))</f>
        <v/>
      </c>
      <c r="E7" s="47">
        <f>SUMIFS(inc_tues,inc_mode,$B7)</f>
        <v/>
      </c>
      <c r="F7" s="70">
        <f>IF(C7=0,0,E7/C7)</f>
        <v/>
      </c>
      <c r="G7" s="48">
        <f>SUMIFS(inc_civ_k,inc_mode,$B7)</f>
        <v/>
      </c>
      <c r="H7" s="48">
        <f>COUNTIFS(inc_mode,$B7,inc_rayon,"Oui")</f>
        <v/>
      </c>
      <c r="J7" s="42">
        <f>B7</f>
        <v/>
      </c>
      <c r="K7" s="48">
        <f>COUNTIFS(inc_mode,$J7,inc_cible,K$4)</f>
        <v/>
      </c>
      <c r="L7" s="48">
        <f>COUNTIFS(inc_mode,$J7,inc_cible,L$4)</f>
        <v/>
      </c>
      <c r="M7" s="48">
        <f>COUNTIFS(inc_mode,$J7,inc_cible,M$4)</f>
        <v/>
      </c>
      <c r="N7" s="48">
        <f>COUNTIFS(inc_mode,$J7,inc_cible,N$4)</f>
        <v/>
      </c>
      <c r="O7" s="48">
        <f>COUNTIFS(inc_mode,$J7,inc_cible,O$4)</f>
        <v/>
      </c>
    </row>
    <row r="8">
      <c r="B8" s="42" t="inlineStr">
        <is>
          <t>EEI</t>
        </is>
      </c>
      <c r="C8" s="47">
        <f>COUNTIFS(inc_mode,$B8)</f>
        <v/>
      </c>
      <c r="D8" s="44">
        <f>IF(SUM($C$5:$C$16)=0,0,C8/SUM($C$5:$C$16))</f>
        <v/>
      </c>
      <c r="E8" s="47">
        <f>SUMIFS(inc_tues,inc_mode,$B8)</f>
        <v/>
      </c>
      <c r="F8" s="70">
        <f>IF(C8=0,0,E8/C8)</f>
        <v/>
      </c>
      <c r="G8" s="48">
        <f>SUMIFS(inc_civ_k,inc_mode,$B8)</f>
        <v/>
      </c>
      <c r="H8" s="48">
        <f>COUNTIFS(inc_mode,$B8,inc_rayon,"Oui")</f>
        <v/>
      </c>
      <c r="J8" s="42">
        <f>B8</f>
        <v/>
      </c>
      <c r="K8" s="48">
        <f>COUNTIFS(inc_mode,$J8,inc_cible,K$4)</f>
        <v/>
      </c>
      <c r="L8" s="48">
        <f>COUNTIFS(inc_mode,$J8,inc_cible,L$4)</f>
        <v/>
      </c>
      <c r="M8" s="48">
        <f>COUNTIFS(inc_mode,$J8,inc_cible,M$4)</f>
        <v/>
      </c>
      <c r="N8" s="48">
        <f>COUNTIFS(inc_mode,$J8,inc_cible,N$4)</f>
        <v/>
      </c>
      <c r="O8" s="48">
        <f>COUNTIFS(inc_mode,$J8,inc_cible,O$4)</f>
        <v/>
      </c>
    </row>
    <row r="9">
      <c r="B9" s="42" t="inlineStr">
        <is>
          <t>Drone armé (FPV)</t>
        </is>
      </c>
      <c r="C9" s="47">
        <f>COUNTIFS(inc_mode,$B9)</f>
        <v/>
      </c>
      <c r="D9" s="44">
        <f>IF(SUM($C$5:$C$16)=0,0,C9/SUM($C$5:$C$16))</f>
        <v/>
      </c>
      <c r="E9" s="47">
        <f>SUMIFS(inc_tues,inc_mode,$B9)</f>
        <v/>
      </c>
      <c r="F9" s="70">
        <f>IF(C9=0,0,E9/C9)</f>
        <v/>
      </c>
      <c r="G9" s="48">
        <f>SUMIFS(inc_civ_k,inc_mode,$B9)</f>
        <v/>
      </c>
      <c r="H9" s="48">
        <f>COUNTIFS(inc_mode,$B9,inc_rayon,"Oui")</f>
        <v/>
      </c>
      <c r="J9" s="42">
        <f>B9</f>
        <v/>
      </c>
      <c r="K9" s="48">
        <f>COUNTIFS(inc_mode,$J9,inc_cible,K$4)</f>
        <v/>
      </c>
      <c r="L9" s="48">
        <f>COUNTIFS(inc_mode,$J9,inc_cible,L$4)</f>
        <v/>
      </c>
      <c r="M9" s="48">
        <f>COUNTIFS(inc_mode,$J9,inc_cible,M$4)</f>
        <v/>
      </c>
      <c r="N9" s="48">
        <f>COUNTIFS(inc_mode,$J9,inc_cible,N$4)</f>
        <v/>
      </c>
      <c r="O9" s="48">
        <f>COUNTIFS(inc_mode,$J9,inc_cible,O$4)</f>
        <v/>
      </c>
    </row>
    <row r="10">
      <c r="B10" s="42" t="inlineStr">
        <is>
          <t>Affrontement JNIM–EIS</t>
        </is>
      </c>
      <c r="C10" s="47">
        <f>COUNTIFS(inc_mode,$B10)</f>
        <v/>
      </c>
      <c r="D10" s="44">
        <f>IF(SUM($C$5:$C$16)=0,0,C10/SUM($C$5:$C$16))</f>
        <v/>
      </c>
      <c r="E10" s="47">
        <f>SUMIFS(inc_tues,inc_mode,$B10)</f>
        <v/>
      </c>
      <c r="F10" s="70">
        <f>IF(C10=0,0,E10/C10)</f>
        <v/>
      </c>
      <c r="G10" s="48">
        <f>SUMIFS(inc_civ_k,inc_mode,$B10)</f>
        <v/>
      </c>
      <c r="H10" s="48">
        <f>COUNTIFS(inc_mode,$B10,inc_rayon,"Oui")</f>
        <v/>
      </c>
      <c r="J10" s="42">
        <f>B10</f>
        <v/>
      </c>
      <c r="K10" s="48">
        <f>COUNTIFS(inc_mode,$J10,inc_cible,K$4)</f>
        <v/>
      </c>
      <c r="L10" s="48">
        <f>COUNTIFS(inc_mode,$J10,inc_cible,L$4)</f>
        <v/>
      </c>
      <c r="M10" s="48">
        <f>COUNTIFS(inc_mode,$J10,inc_cible,M$4)</f>
        <v/>
      </c>
      <c r="N10" s="48">
        <f>COUNTIFS(inc_mode,$J10,inc_cible,N$4)</f>
        <v/>
      </c>
      <c r="O10" s="48">
        <f>COUNTIFS(inc_mode,$J10,inc_cible,O$4)</f>
        <v/>
      </c>
    </row>
    <row r="11">
      <c r="B11" s="42" t="inlineStr">
        <is>
          <t>Perte d'aéronef (accident)</t>
        </is>
      </c>
      <c r="C11" s="47">
        <f>COUNTIFS(inc_mode,$B11)</f>
        <v/>
      </c>
      <c r="D11" s="44">
        <f>IF(SUM($C$5:$C$16)=0,0,C11/SUM($C$5:$C$16))</f>
        <v/>
      </c>
      <c r="E11" s="47">
        <f>SUMIFS(inc_tues,inc_mode,$B11)</f>
        <v/>
      </c>
      <c r="F11" s="70">
        <f>IF(C11=0,0,E11/C11)</f>
        <v/>
      </c>
      <c r="G11" s="48">
        <f>SUMIFS(inc_civ_k,inc_mode,$B11)</f>
        <v/>
      </c>
      <c r="H11" s="48">
        <f>COUNTIFS(inc_mode,$B11,inc_rayon,"Oui")</f>
        <v/>
      </c>
      <c r="J11" s="42">
        <f>B11</f>
        <v/>
      </c>
      <c r="K11" s="48">
        <f>COUNTIFS(inc_mode,$J11,inc_cible,K$4)</f>
        <v/>
      </c>
      <c r="L11" s="48">
        <f>COUNTIFS(inc_mode,$J11,inc_cible,L$4)</f>
        <v/>
      </c>
      <c r="M11" s="48">
        <f>COUNTIFS(inc_mode,$J11,inc_cible,M$4)</f>
        <v/>
      </c>
      <c r="N11" s="48">
        <f>COUNTIFS(inc_mode,$J11,inc_cible,N$4)</f>
        <v/>
      </c>
      <c r="O11" s="48">
        <f>COUNTIFS(inc_mode,$J11,inc_cible,O$4)</f>
        <v/>
      </c>
    </row>
    <row r="12">
      <c r="B12" s="42" t="inlineStr">
        <is>
          <t>Attaque ciblée / VIP</t>
        </is>
      </c>
      <c r="C12" s="47">
        <f>COUNTIFS(inc_mode,$B12)</f>
        <v/>
      </c>
      <c r="D12" s="44">
        <f>IF(SUM($C$5:$C$16)=0,0,C12/SUM($C$5:$C$16))</f>
        <v/>
      </c>
      <c r="E12" s="47">
        <f>SUMIFS(inc_tues,inc_mode,$B12)</f>
        <v/>
      </c>
      <c r="F12" s="70">
        <f>IF(C12=0,0,E12/C12)</f>
        <v/>
      </c>
      <c r="G12" s="48">
        <f>SUMIFS(inc_civ_k,inc_mode,$B12)</f>
        <v/>
      </c>
      <c r="H12" s="48">
        <f>COUNTIFS(inc_mode,$B12,inc_rayon,"Oui")</f>
        <v/>
      </c>
      <c r="J12" s="42">
        <f>B12</f>
        <v/>
      </c>
      <c r="K12" s="48">
        <f>COUNTIFS(inc_mode,$J12,inc_cible,K$4)</f>
        <v/>
      </c>
      <c r="L12" s="48">
        <f>COUNTIFS(inc_mode,$J12,inc_cible,L$4)</f>
        <v/>
      </c>
      <c r="M12" s="48">
        <f>COUNTIFS(inc_mode,$J12,inc_cible,M$4)</f>
        <v/>
      </c>
      <c r="N12" s="48">
        <f>COUNTIFS(inc_mode,$J12,inc_cible,N$4)</f>
        <v/>
      </c>
      <c r="O12" s="48">
        <f>COUNTIFS(inc_mode,$J12,inc_cible,O$4)</f>
        <v/>
      </c>
    </row>
    <row r="13">
      <c r="B13" s="42" t="inlineStr">
        <is>
          <t>Offensive terrestre</t>
        </is>
      </c>
      <c r="C13" s="47">
        <f>COUNTIFS(inc_mode,$B13)</f>
        <v/>
      </c>
      <c r="D13" s="44">
        <f>IF(SUM($C$5:$C$16)=0,0,C13/SUM($C$5:$C$16))</f>
        <v/>
      </c>
      <c r="E13" s="47">
        <f>SUMIFS(inc_tues,inc_mode,$B13)</f>
        <v/>
      </c>
      <c r="F13" s="70">
        <f>IF(C13=0,0,E13/C13)</f>
        <v/>
      </c>
      <c r="G13" s="48">
        <f>SUMIFS(inc_civ_k,inc_mode,$B13)</f>
        <v/>
      </c>
      <c r="H13" s="48">
        <f>COUNTIFS(inc_mode,$B13,inc_rayon,"Oui")</f>
        <v/>
      </c>
      <c r="J13" s="42">
        <f>B13</f>
        <v/>
      </c>
      <c r="K13" s="48">
        <f>COUNTIFS(inc_mode,$J13,inc_cible,K$4)</f>
        <v/>
      </c>
      <c r="L13" s="48">
        <f>COUNTIFS(inc_mode,$J13,inc_cible,L$4)</f>
        <v/>
      </c>
      <c r="M13" s="48">
        <f>COUNTIFS(inc_mode,$J13,inc_cible,M$4)</f>
        <v/>
      </c>
      <c r="N13" s="48">
        <f>COUNTIFS(inc_mode,$J13,inc_cible,N$4)</f>
        <v/>
      </c>
      <c r="O13" s="48">
        <f>COUNTIFS(inc_mode,$J13,inc_cible,O$4)</f>
        <v/>
      </c>
    </row>
    <row r="14">
      <c r="B14" s="42" t="inlineStr">
        <is>
          <t>Sabotage logistique</t>
        </is>
      </c>
      <c r="C14" s="47">
        <f>COUNTIFS(inc_mode,$B14)</f>
        <v/>
      </c>
      <c r="D14" s="44">
        <f>IF(SUM($C$5:$C$16)=0,0,C14/SUM($C$5:$C$16))</f>
        <v/>
      </c>
      <c r="E14" s="47">
        <f>SUMIFS(inc_tues,inc_mode,$B14)</f>
        <v/>
      </c>
      <c r="F14" s="70">
        <f>IF(C14=0,0,E14/C14)</f>
        <v/>
      </c>
      <c r="G14" s="48">
        <f>SUMIFS(inc_civ_k,inc_mode,$B14)</f>
        <v/>
      </c>
      <c r="H14" s="48">
        <f>COUNTIFS(inc_mode,$B14,inc_rayon,"Oui")</f>
        <v/>
      </c>
      <c r="J14" s="42">
        <f>B14</f>
        <v/>
      </c>
      <c r="K14" s="48">
        <f>COUNTIFS(inc_mode,$J14,inc_cible,K$4)</f>
        <v/>
      </c>
      <c r="L14" s="48">
        <f>COUNTIFS(inc_mode,$J14,inc_cible,L$4)</f>
        <v/>
      </c>
      <c r="M14" s="48">
        <f>COUNTIFS(inc_mode,$J14,inc_cible,M$4)</f>
        <v/>
      </c>
      <c r="N14" s="48">
        <f>COUNTIFS(inc_mode,$J14,inc_cible,N$4)</f>
        <v/>
      </c>
      <c r="O14" s="48">
        <f>COUNTIFS(inc_mode,$J14,inc_cible,O$4)</f>
        <v/>
      </c>
    </row>
    <row r="15">
      <c r="B15" s="42" t="inlineStr">
        <is>
          <t>Lutte anti-drone</t>
        </is>
      </c>
      <c r="C15" s="47">
        <f>COUNTIFS(inc_mode,$B15)</f>
        <v/>
      </c>
      <c r="D15" s="44">
        <f>IF(SUM($C$5:$C$16)=0,0,C15/SUM($C$5:$C$16))</f>
        <v/>
      </c>
      <c r="E15" s="47">
        <f>SUMIFS(inc_tues,inc_mode,$B15)</f>
        <v/>
      </c>
      <c r="F15" s="70">
        <f>IF(C15=0,0,E15/C15)</f>
        <v/>
      </c>
      <c r="G15" s="48">
        <f>SUMIFS(inc_civ_k,inc_mode,$B15)</f>
        <v/>
      </c>
      <c r="H15" s="48">
        <f>COUNTIFS(inc_mode,$B15,inc_rayon,"Oui")</f>
        <v/>
      </c>
      <c r="J15" s="42">
        <f>B15</f>
        <v/>
      </c>
      <c r="K15" s="48">
        <f>COUNTIFS(inc_mode,$J15,inc_cible,K$4)</f>
        <v/>
      </c>
      <c r="L15" s="48">
        <f>COUNTIFS(inc_mode,$J15,inc_cible,L$4)</f>
        <v/>
      </c>
      <c r="M15" s="48">
        <f>COUNTIFS(inc_mode,$J15,inc_cible,M$4)</f>
        <v/>
      </c>
      <c r="N15" s="48">
        <f>COUNTIFS(inc_mode,$J15,inc_cible,N$4)</f>
        <v/>
      </c>
      <c r="O15" s="48">
        <f>COUNTIFS(inc_mode,$J15,inc_cible,O$4)</f>
        <v/>
      </c>
    </row>
    <row r="16">
      <c r="B16" s="42" t="inlineStr">
        <is>
          <t>Tirs indirects</t>
        </is>
      </c>
      <c r="C16" s="47">
        <f>COUNTIFS(inc_mode,$B16)</f>
        <v/>
      </c>
      <c r="D16" s="44">
        <f>IF(SUM($C$5:$C$16)=0,0,C16/SUM($C$5:$C$16))</f>
        <v/>
      </c>
      <c r="E16" s="47">
        <f>SUMIFS(inc_tues,inc_mode,$B16)</f>
        <v/>
      </c>
      <c r="F16" s="70">
        <f>IF(C16=0,0,E16/C16)</f>
        <v/>
      </c>
      <c r="G16" s="48">
        <f>SUMIFS(inc_civ_k,inc_mode,$B16)</f>
        <v/>
      </c>
      <c r="H16" s="48">
        <f>COUNTIFS(inc_mode,$B16,inc_rayon,"Oui")</f>
        <v/>
      </c>
      <c r="J16" s="42">
        <f>B16</f>
        <v/>
      </c>
      <c r="K16" s="48">
        <f>COUNTIFS(inc_mode,$J16,inc_cible,K$4)</f>
        <v/>
      </c>
      <c r="L16" s="48">
        <f>COUNTIFS(inc_mode,$J16,inc_cible,L$4)</f>
        <v/>
      </c>
      <c r="M16" s="48">
        <f>COUNTIFS(inc_mode,$J16,inc_cible,M$4)</f>
        <v/>
      </c>
      <c r="N16" s="48">
        <f>COUNTIFS(inc_mode,$J16,inc_cible,N$4)</f>
        <v/>
      </c>
      <c r="O16" s="48">
        <f>COUNTIFS(inc_mode,$J16,inc_cible,O$4)</f>
        <v/>
      </c>
    </row>
  </sheetData>
  <conditionalFormatting sqref="C5:C16">
    <cfRule type="dataBar" priority="1">
      <dataBar showValue="1">
        <cfvo type="num" val="0"/>
        <cfvo type="max"/>
        <color rgb="000F7C86"/>
      </dataBar>
    </cfRule>
  </conditionalFormatting>
  <conditionalFormatting sqref="F5:F16">
    <cfRule type="colorScale" priority="2">
      <colorScale>
        <cfvo type="min"/>
        <cfvo type="max"/>
        <color rgb="00FFFFFF"/>
        <color rgb="00E2701C"/>
      </colorScale>
    </cfRule>
  </conditionalFormatting>
  <conditionalFormatting sqref="K5:O16">
    <cfRule type="colorScale" priority="3">
      <colorScale>
        <cfvo type="num" val="0"/>
        <cfvo type="num" val="2"/>
        <cfvo type="max"/>
        <color rgb="00FFFFFF"/>
        <color rgb="00F6C99B"/>
        <color rgb="00C8102E"/>
      </colorScale>
    </cfRule>
  </conditionalFormatting>
  <hyperlinks>
    <hyperlink xmlns:r="http://schemas.openxmlformats.org/officeDocument/2006/relationships" ref="L1" r:id="rId1"/>
  </hyperlinks>
  <printOptions horizontalCentered="1"/>
  <pageMargins left="0.4" right="0.4" top="1" bottom="1" header="0.5" footer="0.5"/>
  <pageSetup orientation="landscape" paperSize="9" fitToHeight="0" fitToWidth="1"/>
  <headerFooter>
    <oddHeader/>
    <oddFooter>&amp;LObservatoire sécuritaire Mali · Sources ouvertes · Diffusion restreinte&amp;R&amp;A · page &amp;P / &amp;N</oddFooter>
    <evenHeader/>
    <evenFooter/>
    <firstHeader/>
    <firstFooter/>
  </headerFooter>
  <drawing xmlns:r="http://schemas.openxmlformats.org/officeDocument/2006/relationships" r:id="rId2"/>
</worksheet>
</file>

<file path=xl/worksheets/sheet8.xml><?xml version="1.0" encoding="utf-8"?>
<worksheet xmlns="http://schemas.openxmlformats.org/spreadsheetml/2006/main">
  <sheetPr>
    <tabColor rgb="00566577"/>
    <outlinePr summaryBelow="1" summaryRight="1"/>
    <pageSetUpPr fitToPage="1"/>
  </sheetPr>
  <dimension ref="A1:J23"/>
  <sheetViews>
    <sheetView showGridLines="0" zoomScale="90" workbookViewId="0">
      <selection activeCell="A1" sqref="A1"/>
    </sheetView>
  </sheetViews>
  <sheetFormatPr baseColWidth="8" defaultRowHeight="15"/>
  <cols>
    <col width="2" customWidth="1" min="1" max="1"/>
    <col width="24" customWidth="1" min="2" max="2"/>
    <col width="10" customWidth="1" min="3" max="3"/>
    <col width="10" customWidth="1" min="4" max="4"/>
    <col width="11" customWidth="1" min="5" max="5"/>
    <col width="11" customWidth="1" min="6" max="6"/>
    <col width="10" customWidth="1" min="7" max="7"/>
    <col width="12" customWidth="1" min="8" max="8"/>
    <col width="3" customWidth="1" min="9" max="9"/>
    <col width="14" customWidth="1" min="10" max="10"/>
    <col width="12" customWidth="1" min="11" max="11"/>
    <col width="30" customWidth="1" min="12" max="12"/>
    <col width="18" customWidth="1" min="13" max="13"/>
    <col width="20" customWidth="1" min="14" max="14"/>
    <col width="10" customWidth="1" min="15" max="15"/>
    <col width="10" customWidth="1" min="16" max="16"/>
  </cols>
  <sheetData>
    <row r="1" ht="30" customHeight="1">
      <c r="A1" s="1" t="inlineStr">
        <is>
          <t>Pression sur Bamako</t>
        </is>
      </c>
      <c r="B1" s="2" t="n"/>
      <c r="C1" s="2" t="n"/>
      <c r="D1" s="2" t="n"/>
      <c r="E1" s="2" t="n"/>
      <c r="F1" s="2" t="n"/>
      <c r="G1" s="2" t="n"/>
      <c r="H1" s="2" t="n"/>
      <c r="I1" s="2" t="n"/>
      <c r="J1" s="26" t="inlineStr">
        <is>
          <t>◄ Accueil</t>
        </is>
      </c>
    </row>
    <row r="2" ht="18" customHeight="1">
      <c r="A2" s="3" t="inlineStr">
        <is>
          <t>Distance orthodromique de chaque incident au centre de Bamako (formule de haversine, voir INCIDENTS).</t>
        </is>
      </c>
      <c r="B2" s="2" t="n"/>
      <c r="C2" s="2" t="n"/>
      <c r="D2" s="2" t="n"/>
      <c r="E2" s="2" t="n"/>
      <c r="F2" s="2" t="n"/>
      <c r="G2" s="2" t="n"/>
      <c r="H2" s="2" t="n"/>
      <c r="I2" s="2" t="n"/>
      <c r="J2" s="2" t="n"/>
    </row>
    <row r="4" ht="30" customHeight="1">
      <c r="B4" s="29" t="inlineStr">
        <is>
          <t>Tranche de distance</t>
        </is>
      </c>
      <c r="C4" s="29" t="inlineStr">
        <is>
          <t>De (km)</t>
        </is>
      </c>
      <c r="D4" s="29" t="inlineStr">
        <is>
          <t>À (km)</t>
        </is>
      </c>
      <c r="E4" s="29" t="inlineStr">
        <is>
          <t>Incidents</t>
        </is>
      </c>
      <c r="F4" s="29" t="inlineStr">
        <is>
          <t>dont JNIM</t>
        </is>
      </c>
      <c r="G4" s="29" t="inlineStr">
        <is>
          <t>Tués</t>
        </is>
      </c>
      <c r="H4" s="29" t="inlineStr">
        <is>
          <t>Part des incidents</t>
        </is>
      </c>
    </row>
    <row r="5">
      <c r="B5" s="42">
        <f>C5&amp;" – "&amp;D5&amp;" km"</f>
        <v/>
      </c>
      <c r="C5" s="71" t="n">
        <v>0</v>
      </c>
      <c r="D5" s="71" t="n">
        <v>50</v>
      </c>
      <c r="E5" s="46">
        <f>COUNTIFS(inc_dist,"&gt;="&amp;C5,inc_dist,"&lt;"&amp;D5)</f>
        <v/>
      </c>
      <c r="F5" s="47">
        <f>COUNTIFS(inc_dist,"&gt;="&amp;C5,inc_dist,"&lt;"&amp;D5,inc_acteur,"JNIM")</f>
        <v/>
      </c>
      <c r="G5" s="47">
        <f>SUMIFS(inc_tues,inc_dist,"&gt;="&amp;C5,inc_dist,"&lt;"&amp;D5)</f>
        <v/>
      </c>
      <c r="H5" s="44">
        <f>IF(SUM($E$5:$E$10)=0,0,E5/SUM($E$5:$E$10))</f>
        <v/>
      </c>
    </row>
    <row r="6">
      <c r="B6" s="42">
        <f>C6&amp;" – "&amp;D6&amp;" km"</f>
        <v/>
      </c>
      <c r="C6" s="71" t="n">
        <v>50</v>
      </c>
      <c r="D6" s="71" t="n">
        <v>150</v>
      </c>
      <c r="E6" s="46">
        <f>COUNTIFS(inc_dist,"&gt;="&amp;C6,inc_dist,"&lt;"&amp;D6)</f>
        <v/>
      </c>
      <c r="F6" s="47">
        <f>COUNTIFS(inc_dist,"&gt;="&amp;C6,inc_dist,"&lt;"&amp;D6,inc_acteur,"JNIM")</f>
        <v/>
      </c>
      <c r="G6" s="47">
        <f>SUMIFS(inc_tues,inc_dist,"&gt;="&amp;C6,inc_dist,"&lt;"&amp;D6)</f>
        <v/>
      </c>
      <c r="H6" s="44">
        <f>IF(SUM($E$5:$E$10)=0,0,E6/SUM($E$5:$E$10))</f>
        <v/>
      </c>
    </row>
    <row r="7">
      <c r="B7" s="42">
        <f>C7&amp;" – "&amp;D7&amp;" km"</f>
        <v/>
      </c>
      <c r="C7" s="71" t="n">
        <v>150</v>
      </c>
      <c r="D7" s="71" t="n">
        <v>300</v>
      </c>
      <c r="E7" s="46">
        <f>COUNTIFS(inc_dist,"&gt;="&amp;C7,inc_dist,"&lt;"&amp;D7)</f>
        <v/>
      </c>
      <c r="F7" s="47">
        <f>COUNTIFS(inc_dist,"&gt;="&amp;C7,inc_dist,"&lt;"&amp;D7,inc_acteur,"JNIM")</f>
        <v/>
      </c>
      <c r="G7" s="47">
        <f>SUMIFS(inc_tues,inc_dist,"&gt;="&amp;C7,inc_dist,"&lt;"&amp;D7)</f>
        <v/>
      </c>
      <c r="H7" s="44">
        <f>IF(SUM($E$5:$E$10)=0,0,E7/SUM($E$5:$E$10))</f>
        <v/>
      </c>
    </row>
    <row r="8">
      <c r="B8" s="42">
        <f>C8&amp;" – "&amp;D8&amp;" km"</f>
        <v/>
      </c>
      <c r="C8" s="71" t="n">
        <v>300</v>
      </c>
      <c r="D8" s="71" t="n">
        <v>500</v>
      </c>
      <c r="E8" s="46">
        <f>COUNTIFS(inc_dist,"&gt;="&amp;C8,inc_dist,"&lt;"&amp;D8)</f>
        <v/>
      </c>
      <c r="F8" s="47">
        <f>COUNTIFS(inc_dist,"&gt;="&amp;C8,inc_dist,"&lt;"&amp;D8,inc_acteur,"JNIM")</f>
        <v/>
      </c>
      <c r="G8" s="47">
        <f>SUMIFS(inc_tues,inc_dist,"&gt;="&amp;C8,inc_dist,"&lt;"&amp;D8)</f>
        <v/>
      </c>
      <c r="H8" s="44">
        <f>IF(SUM($E$5:$E$10)=0,0,E8/SUM($E$5:$E$10))</f>
        <v/>
      </c>
    </row>
    <row r="9">
      <c r="B9" s="42">
        <f>C9&amp;" – "&amp;D9&amp;" km"</f>
        <v/>
      </c>
      <c r="C9" s="71" t="n">
        <v>500</v>
      </c>
      <c r="D9" s="71" t="n">
        <v>800</v>
      </c>
      <c r="E9" s="46">
        <f>COUNTIFS(inc_dist,"&gt;="&amp;C9,inc_dist,"&lt;"&amp;D9)</f>
        <v/>
      </c>
      <c r="F9" s="47">
        <f>COUNTIFS(inc_dist,"&gt;="&amp;C9,inc_dist,"&lt;"&amp;D9,inc_acteur,"JNIM")</f>
        <v/>
      </c>
      <c r="G9" s="47">
        <f>SUMIFS(inc_tues,inc_dist,"&gt;="&amp;C9,inc_dist,"&lt;"&amp;D9)</f>
        <v/>
      </c>
      <c r="H9" s="44">
        <f>IF(SUM($E$5:$E$10)=0,0,E9/SUM($E$5:$E$10))</f>
        <v/>
      </c>
    </row>
    <row r="10">
      <c r="B10" s="42">
        <f>"Plus de "&amp;C10&amp;" km"</f>
        <v/>
      </c>
      <c r="C10" s="71" t="n">
        <v>800</v>
      </c>
      <c r="D10" s="71" t="n">
        <v>2000</v>
      </c>
      <c r="E10" s="46">
        <f>COUNTIFS(inc_dist,"&gt;="&amp;C10,inc_dist,"&lt;"&amp;D10)</f>
        <v/>
      </c>
      <c r="F10" s="47">
        <f>COUNTIFS(inc_dist,"&gt;="&amp;C10,inc_dist,"&lt;"&amp;D10,inc_acteur,"JNIM")</f>
        <v/>
      </c>
      <c r="G10" s="47">
        <f>SUMIFS(inc_tues,inc_dist,"&gt;="&amp;C10,inc_dist,"&lt;"&amp;D10)</f>
        <v/>
      </c>
      <c r="H10" s="44">
        <f>IF(SUM($E$5:$E$10)=0,0,E10/SUM($E$5:$E$10))</f>
        <v/>
      </c>
    </row>
    <row r="11">
      <c r="B11" s="28" t="inlineStr">
        <is>
          <t>Bornes « De / À » modifiables (en bleu).</t>
        </is>
      </c>
    </row>
    <row r="13" ht="22" customHeight="1">
      <c r="B13" s="4" t="inlineStr">
        <is>
          <t>Incidents dans le rayon de Bamako (à la génération du classeur, triés par distance)</t>
        </is>
      </c>
      <c r="C13" s="5" t="n"/>
      <c r="D13" s="5" t="n"/>
      <c r="E13" s="5" t="n"/>
      <c r="F13" s="5" t="n"/>
      <c r="G13" s="5" t="n"/>
      <c r="H13" s="5" t="n"/>
      <c r="I13" s="5" t="n"/>
    </row>
    <row r="14" ht="30" customHeight="1">
      <c r="B14" s="61" t="inlineStr">
        <is>
          <t>ID</t>
        </is>
      </c>
      <c r="C14" s="61" t="inlineStr">
        <is>
          <t>Date</t>
        </is>
      </c>
      <c r="D14" s="61" t="inlineStr">
        <is>
          <t>Localité</t>
        </is>
      </c>
      <c r="E14" s="61" t="inlineStr">
        <is>
          <t>Cercle</t>
        </is>
      </c>
      <c r="F14" s="61" t="inlineStr">
        <is>
          <t>Instigateur</t>
        </is>
      </c>
      <c r="G14" s="61" t="inlineStr">
        <is>
          <t>Mode</t>
        </is>
      </c>
      <c r="H14" s="61" t="inlineStr">
        <is>
          <t>Distance (km)</t>
        </is>
      </c>
      <c r="I14" s="61" t="inlineStr">
        <is>
          <t>Tués</t>
        </is>
      </c>
    </row>
    <row r="15">
      <c r="B15" s="72">
        <f>INCIDENTS!A12</f>
        <v/>
      </c>
      <c r="C15" s="67">
        <f>INCIDENTS!B12</f>
        <v/>
      </c>
      <c r="D15" s="73">
        <f>INCIDENTS!I12</f>
        <v/>
      </c>
      <c r="E15" s="73">
        <f>INCIDENTS!G12</f>
        <v/>
      </c>
      <c r="F15" s="73">
        <f>INCIDENTS!O12</f>
        <v/>
      </c>
      <c r="G15" s="73">
        <f>INCIDENTS!N12</f>
        <v/>
      </c>
      <c r="H15" s="47">
        <f>INCIDENTS!AE12</f>
        <v/>
      </c>
      <c r="I15" s="47">
        <f>INCIDENTS!Y12</f>
        <v/>
      </c>
    </row>
    <row r="16">
      <c r="B16" s="72">
        <f>INCIDENTS!A5</f>
        <v/>
      </c>
      <c r="C16" s="67">
        <f>INCIDENTS!B5</f>
        <v/>
      </c>
      <c r="D16" s="73">
        <f>INCIDENTS!I5</f>
        <v/>
      </c>
      <c r="E16" s="73">
        <f>INCIDENTS!G5</f>
        <v/>
      </c>
      <c r="F16" s="73">
        <f>INCIDENTS!O5</f>
        <v/>
      </c>
      <c r="G16" s="73">
        <f>INCIDENTS!N5</f>
        <v/>
      </c>
      <c r="H16" s="47">
        <f>INCIDENTS!AE5</f>
        <v/>
      </c>
      <c r="I16" s="47">
        <f>INCIDENTS!Y5</f>
        <v/>
      </c>
    </row>
    <row r="17">
      <c r="B17" s="72">
        <f>INCIDENTS!A32</f>
        <v/>
      </c>
      <c r="C17" s="67">
        <f>INCIDENTS!B32</f>
        <v/>
      </c>
      <c r="D17" s="73">
        <f>INCIDENTS!I32</f>
        <v/>
      </c>
      <c r="E17" s="73">
        <f>INCIDENTS!G32</f>
        <v/>
      </c>
      <c r="F17" s="73">
        <f>INCIDENTS!O32</f>
        <v/>
      </c>
      <c r="G17" s="73">
        <f>INCIDENTS!N32</f>
        <v/>
      </c>
      <c r="H17" s="47">
        <f>INCIDENTS!AE32</f>
        <v/>
      </c>
      <c r="I17" s="47">
        <f>INCIDENTS!Y32</f>
        <v/>
      </c>
    </row>
    <row r="18">
      <c r="B18" s="72">
        <f>INCIDENTS!A9</f>
        <v/>
      </c>
      <c r="C18" s="67">
        <f>INCIDENTS!B9</f>
        <v/>
      </c>
      <c r="D18" s="73">
        <f>INCIDENTS!I9</f>
        <v/>
      </c>
      <c r="E18" s="73">
        <f>INCIDENTS!G9</f>
        <v/>
      </c>
      <c r="F18" s="73">
        <f>INCIDENTS!O9</f>
        <v/>
      </c>
      <c r="G18" s="73">
        <f>INCIDENTS!N9</f>
        <v/>
      </c>
      <c r="H18" s="47">
        <f>INCIDENTS!AE9</f>
        <v/>
      </c>
      <c r="I18" s="47">
        <f>INCIDENTS!Y9</f>
        <v/>
      </c>
    </row>
    <row r="19">
      <c r="B19" s="72">
        <f>INCIDENTS!A31</f>
        <v/>
      </c>
      <c r="C19" s="67">
        <f>INCIDENTS!B31</f>
        <v/>
      </c>
      <c r="D19" s="73">
        <f>INCIDENTS!I31</f>
        <v/>
      </c>
      <c r="E19" s="73">
        <f>INCIDENTS!G31</f>
        <v/>
      </c>
      <c r="F19" s="73">
        <f>INCIDENTS!O31</f>
        <v/>
      </c>
      <c r="G19" s="73">
        <f>INCIDENTS!N31</f>
        <v/>
      </c>
      <c r="H19" s="47">
        <f>INCIDENTS!AE31</f>
        <v/>
      </c>
      <c r="I19" s="47">
        <f>INCIDENTS!Y31</f>
        <v/>
      </c>
    </row>
    <row r="20">
      <c r="B20" s="72">
        <f>INCIDENTS!A13</f>
        <v/>
      </c>
      <c r="C20" s="67">
        <f>INCIDENTS!B13</f>
        <v/>
      </c>
      <c r="D20" s="73">
        <f>INCIDENTS!I13</f>
        <v/>
      </c>
      <c r="E20" s="73">
        <f>INCIDENTS!G13</f>
        <v/>
      </c>
      <c r="F20" s="73">
        <f>INCIDENTS!O13</f>
        <v/>
      </c>
      <c r="G20" s="73">
        <f>INCIDENTS!N13</f>
        <v/>
      </c>
      <c r="H20" s="47">
        <f>INCIDENTS!AE13</f>
        <v/>
      </c>
      <c r="I20" s="47">
        <f>INCIDENTS!Y13</f>
        <v/>
      </c>
    </row>
    <row r="21">
      <c r="B21" s="72">
        <f>INCIDENTS!A22</f>
        <v/>
      </c>
      <c r="C21" s="67">
        <f>INCIDENTS!B22</f>
        <v/>
      </c>
      <c r="D21" s="73">
        <f>INCIDENTS!I22</f>
        <v/>
      </c>
      <c r="E21" s="73">
        <f>INCIDENTS!G22</f>
        <v/>
      </c>
      <c r="F21" s="73">
        <f>INCIDENTS!O22</f>
        <v/>
      </c>
      <c r="G21" s="73">
        <f>INCIDENTS!N22</f>
        <v/>
      </c>
      <c r="H21" s="47">
        <f>INCIDENTS!AE22</f>
        <v/>
      </c>
      <c r="I21" s="47">
        <f>INCIDENTS!Y22</f>
        <v/>
      </c>
    </row>
    <row r="22">
      <c r="B22" s="72">
        <f>INCIDENTS!A24</f>
        <v/>
      </c>
      <c r="C22" s="67">
        <f>INCIDENTS!B24</f>
        <v/>
      </c>
      <c r="D22" s="73">
        <f>INCIDENTS!I24</f>
        <v/>
      </c>
      <c r="E22" s="73">
        <f>INCIDENTS!G24</f>
        <v/>
      </c>
      <c r="F22" s="73">
        <f>INCIDENTS!O24</f>
        <v/>
      </c>
      <c r="G22" s="73">
        <f>INCIDENTS!N24</f>
        <v/>
      </c>
      <c r="H22" s="47">
        <f>INCIDENTS!AE24</f>
        <v/>
      </c>
      <c r="I22" s="47">
        <f>INCIDENTS!Y24</f>
        <v/>
      </c>
    </row>
    <row r="23">
      <c r="B23" s="72">
        <f>INCIDENTS!A18</f>
        <v/>
      </c>
      <c r="C23" s="67">
        <f>INCIDENTS!B18</f>
        <v/>
      </c>
      <c r="D23" s="73">
        <f>INCIDENTS!I18</f>
        <v/>
      </c>
      <c r="E23" s="73">
        <f>INCIDENTS!G18</f>
        <v/>
      </c>
      <c r="F23" s="73">
        <f>INCIDENTS!O18</f>
        <v/>
      </c>
      <c r="G23" s="73">
        <f>INCIDENTS!N18</f>
        <v/>
      </c>
      <c r="H23" s="47">
        <f>INCIDENTS!AE18</f>
        <v/>
      </c>
      <c r="I23" s="47">
        <f>INCIDENTS!Y18</f>
        <v/>
      </c>
    </row>
  </sheetData>
  <conditionalFormatting sqref="E5:E10">
    <cfRule type="dataBar" priority="1">
      <dataBar showValue="1">
        <cfvo type="num" val="0"/>
        <cfvo type="max"/>
        <color rgb="00C8102E"/>
      </dataBar>
    </cfRule>
  </conditionalFormatting>
  <hyperlinks>
    <hyperlink xmlns:r="http://schemas.openxmlformats.org/officeDocument/2006/relationships" ref="J1" r:id="rId1"/>
    <hyperlink xmlns:r="http://schemas.openxmlformats.org/officeDocument/2006/relationships" ref="B15" r:id="rId2"/>
    <hyperlink xmlns:r="http://schemas.openxmlformats.org/officeDocument/2006/relationships" ref="B16" r:id="rId3"/>
    <hyperlink xmlns:r="http://schemas.openxmlformats.org/officeDocument/2006/relationships" ref="B17" r:id="rId4"/>
    <hyperlink xmlns:r="http://schemas.openxmlformats.org/officeDocument/2006/relationships" ref="B18" r:id="rId5"/>
    <hyperlink xmlns:r="http://schemas.openxmlformats.org/officeDocument/2006/relationships" ref="B19" r:id="rId6"/>
    <hyperlink xmlns:r="http://schemas.openxmlformats.org/officeDocument/2006/relationships" ref="B20" r:id="rId7"/>
    <hyperlink xmlns:r="http://schemas.openxmlformats.org/officeDocument/2006/relationships" ref="B21" r:id="rId8"/>
    <hyperlink xmlns:r="http://schemas.openxmlformats.org/officeDocument/2006/relationships" ref="B22" r:id="rId9"/>
    <hyperlink xmlns:r="http://schemas.openxmlformats.org/officeDocument/2006/relationships" ref="B23" r:id="rId10"/>
  </hyperlinks>
  <printOptions horizontalCentered="1"/>
  <pageMargins left="0.4" right="0.4" top="1" bottom="1" header="0.5" footer="0.5"/>
  <pageSetup orientation="landscape" paperSize="9" fitToHeight="0" fitToWidth="1"/>
  <headerFooter>
    <oddHeader/>
    <oddFooter>&amp;LObservatoire sécuritaire Mali · Sources ouvertes · Diffusion restreinte&amp;R&amp;A · page &amp;P / &amp;N</oddFooter>
    <evenHeader/>
    <evenFooter/>
    <firstHeader/>
    <firstFooter/>
  </headerFooter>
  <drawing xmlns:r="http://schemas.openxmlformats.org/officeDocument/2006/relationships" r:id="rId11"/>
</worksheet>
</file>

<file path=xl/worksheets/sheet9.xml><?xml version="1.0" encoding="utf-8"?>
<worksheet xmlns="http://schemas.openxmlformats.org/spreadsheetml/2006/main">
  <sheetPr>
    <tabColor rgb="00C8102E"/>
    <outlinePr summaryBelow="1" summaryRight="1"/>
    <pageSetUpPr fitToPage="1"/>
  </sheetPr>
  <dimension ref="A1:H46"/>
  <sheetViews>
    <sheetView showGridLines="0" zoomScale="90" workbookViewId="0">
      <selection activeCell="A1" sqref="A1"/>
    </sheetView>
  </sheetViews>
  <sheetFormatPr baseColWidth="8" defaultRowHeight="15"/>
  <cols>
    <col width="2" customWidth="1" min="1" max="1"/>
    <col width="7" customWidth="1" min="2" max="2"/>
    <col width="34" customWidth="1" min="3" max="3"/>
    <col width="80" customWidth="1" min="4" max="4"/>
    <col width="26" customWidth="1" min="5" max="5"/>
    <col width="2" customWidth="1" min="6" max="6"/>
    <col width="2" customWidth="1" min="7" max="7"/>
    <col width="12" customWidth="1" min="8" max="8"/>
  </cols>
  <sheetData>
    <row r="1" ht="30" customHeight="1">
      <c r="A1" s="1" t="inlineStr">
        <is>
          <t>Évaluation stratégique</t>
        </is>
      </c>
      <c r="B1" s="2" t="n"/>
      <c r="C1" s="2" t="n"/>
      <c r="D1" s="2" t="n"/>
      <c r="E1" s="2" t="n"/>
      <c r="F1" s="2" t="n"/>
      <c r="G1" s="2" t="n"/>
      <c r="H1" s="26" t="inlineStr">
        <is>
          <t>◄ Accueil</t>
        </is>
      </c>
    </row>
    <row r="2" ht="18" customHeight="1">
      <c r="A2" s="3" t="inlineStr">
        <is>
          <t>Jugements établis sur l'ensemble de la base. « Probable » = 55–80 % ; « très probable » = plus de 80 %.</t>
        </is>
      </c>
      <c r="B2" s="2" t="n"/>
      <c r="C2" s="2" t="n"/>
      <c r="D2" s="2" t="n"/>
      <c r="E2" s="2" t="n"/>
      <c r="F2" s="2" t="n"/>
      <c r="G2" s="2" t="n"/>
      <c r="H2" s="2" t="n"/>
    </row>
    <row r="4" ht="22" customHeight="1">
      <c r="B4" s="4" t="inlineStr">
        <is>
          <t>Jugements clés</t>
        </is>
      </c>
      <c r="C4" s="5" t="n"/>
      <c r="D4" s="5" t="n"/>
      <c r="E4" s="5" t="n"/>
    </row>
    <row r="5" ht="30" customHeight="1">
      <c r="B5" s="61" t="inlineStr">
        <is>
          <t>Réf.</t>
        </is>
      </c>
      <c r="C5" s="61" t="inlineStr">
        <is>
          <t>Jugement</t>
        </is>
      </c>
      <c r="D5" s="61" t="inlineStr">
        <is>
          <t>Analyse</t>
        </is>
      </c>
      <c r="E5" s="61" t="inlineStr">
        <is>
          <t>Niveau de confiance</t>
        </is>
      </c>
    </row>
    <row r="6" ht="58" customHeight="1">
      <c r="B6" s="74" t="inlineStr">
        <is>
          <t>JC1</t>
        </is>
      </c>
      <c r="C6" s="42" t="inlineStr">
        <is>
          <t>Campagne d'usure méthodique du JNIM</t>
        </is>
      </c>
      <c r="D6" s="73" t="inlineStr">
        <is>
          <t>Le JNIM vise les emprises isolées et les axes du Mali central. La prise du camp de Dioura (10/09 : 150 FAMa tués, 93 capturés, 115 véhicules détruits) concentre à elle seule 72 % des pertes FAMa de la période.</t>
        </is>
      </c>
      <c r="E6" s="75" t="inlineStr">
        <is>
          <t>Modérée (bilan issu en partie d'AzZalaqa)</t>
        </is>
      </c>
    </row>
    <row r="7" ht="58" customHeight="1">
      <c r="B7" s="74" t="inlineStr">
        <is>
          <t>JC2</t>
        </is>
      </c>
      <c r="C7" s="42" t="inlineStr">
        <is>
          <t>Étau autour de Bamako</t>
        </is>
      </c>
      <c r="D7" s="73" t="inlineStr">
        <is>
          <t>Kassela (32 km), axe Mourdja–Kaloumba, Ségou–Fana, Dougabougou–Markala : l'incendie de citernes et les embuscades de convois relèvent très probablement d'une stratégie de blocus économique de la capitale.</t>
        </is>
      </c>
      <c r="E7" s="75" t="inlineStr">
        <is>
          <t>Élevée</t>
        </is>
      </c>
    </row>
    <row r="8" ht="58" customHeight="1">
      <c r="B8" s="74" t="inlineStr">
        <is>
          <t>JC3</t>
        </is>
      </c>
      <c r="C8" s="42" t="inlineStr">
        <is>
          <t>Ouverture d'un front sud</t>
        </is>
      </c>
      <c r="D8" s="73" t="inlineStr">
        <is>
          <t>La prise d'un poste à Kourouma (Sikasso, 07/10, ≈ 46 km de la frontière burkinabè) indique une capacité d'action dans le couloir Sikasso–Bobo-Dioulasso, à la porte des États côtiers.</t>
        </is>
      </c>
      <c r="E8" s="75" t="inlineStr">
        <is>
          <t>Modérée (un seul événement)</t>
        </is>
      </c>
    </row>
    <row r="9" ht="58" customHeight="1">
      <c r="B9" s="74" t="inlineStr">
        <is>
          <t>JC4</t>
        </is>
      </c>
      <c r="C9" s="42" t="inlineStr">
        <is>
          <t>Rivalité JNIM – EI-Sahel</t>
        </is>
      </c>
      <c r="D9" s="73" t="inlineStr">
        <is>
          <t>Dans le Liptako-Gourma, elle atteint une intensité inédite (200 puis 400 tués revendiqués). L'EI-Sahel s'en sert probablement pour consolider la bande frontalière Gourma–Oudalan–Ménaka.</t>
        </is>
      </c>
      <c r="E9" s="75" t="inlineStr">
        <is>
          <t>Faible sur les bilans</t>
        </is>
      </c>
    </row>
    <row r="10" ht="58" customHeight="1">
      <c r="B10" s="74" t="inlineStr">
        <is>
          <t>JC5</t>
        </is>
      </c>
      <c r="C10" s="42" t="inlineStr">
        <is>
          <t>Initiative au nord, attrition aérienne</t>
        </is>
      </c>
      <c r="D10" s="73" t="inlineStr">
        <is>
          <t>Les FAMa et Africa Corps ont repris Kidal (10/10), mais perdent des moyens aériens (hélicoptère, drone MALE Orion, drone Molniya-2 abattu, drones endommagés à Sévaré) et voient monter les victimes civiles de leurs frappes. Le FLA conserve, de façon très probable, une capacité de harcèlement par drones FPV.</t>
        </is>
      </c>
      <c r="E10" s="75" t="inlineStr">
        <is>
          <t>Modérée</t>
        </is>
      </c>
    </row>
    <row r="11" ht="58" customHeight="1">
      <c r="B11" s="74" t="inlineStr">
        <is>
          <t>JC6</t>
        </is>
      </c>
      <c r="C11" s="42" t="inlineStr">
        <is>
          <t>Dommages civils : risque stratégique majeur</t>
        </is>
      </c>
      <c r="D11" s="73" t="inlineStr">
        <is>
          <t>Les frappes de Guèllèdjè, Tieri, Nzanakoro et Tombouctou causent 100 % des civils tués recensés. Elles nourrissent le récit du JNIM auprès des communautés peules et nomades, et donc son recrutement.</t>
        </is>
      </c>
      <c r="E11" s="75" t="inlineStr">
        <is>
          <t>Élevée</t>
        </is>
      </c>
    </row>
    <row r="13" ht="22" customHeight="1">
      <c r="B13" s="4" t="inlineStr">
        <is>
          <t>Scénarios à 30–60 jours (horizon fin décembre 2026)</t>
        </is>
      </c>
      <c r="C13" s="5" t="n"/>
      <c r="D13" s="5" t="n"/>
      <c r="E13" s="5" t="n"/>
    </row>
    <row r="14" ht="30" customHeight="1">
      <c r="B14" s="61" t="inlineStr"/>
      <c r="C14" s="61" t="inlineStr">
        <is>
          <t>Scénario</t>
        </is>
      </c>
      <c r="D14" s="61" t="inlineStr">
        <is>
          <t>Description</t>
        </is>
      </c>
      <c r="E14" s="61" t="inlineStr">
        <is>
          <t>Probabilité</t>
        </is>
      </c>
    </row>
    <row r="15" ht="62" customHeight="1">
      <c r="B15" s="76" t="inlineStr"/>
      <c r="C15" s="77" t="inlineStr">
        <is>
          <t>Le plus probable
Usure prolongée au centre</t>
        </is>
      </c>
      <c r="D15" s="73" t="inlineStr">
        <is>
          <t>Le JNIM maintient 3 à 5 incidents par semaine à Ségou et Mopti (embuscades, EEI, postes isolés) et entrave les convois vers Bamako. Les FAMa et Africa Corps consolident Kidal et intensifient les frappes, avec des dommages civils récurrents.</t>
        </is>
      </c>
      <c r="E15" s="78" t="inlineStr">
        <is>
          <t>55–65 %</t>
        </is>
      </c>
    </row>
    <row r="16" ht="62" customHeight="1">
      <c r="B16" s="79" t="inlineStr"/>
      <c r="C16" s="80" t="inlineStr">
        <is>
          <t>Le plus dangereux
Coup d'éclat contre un centre névralgique</t>
        </is>
      </c>
      <c r="D16" s="73" t="inlineStr">
        <is>
          <t>Attaque complexe contre une emprise majeure (type Dioura / Sévaré) ou la périphérie de Bamako (cercle de Kati), avec tirs indirects ou drones. Elle s'accompagne d'un durcissement du blocus des axes et d'une montée du front sud (Sikasso, frontières BF et CI).</t>
        </is>
      </c>
      <c r="E16" s="81" t="inlineStr">
        <is>
          <t>15–25 %</t>
        </is>
      </c>
    </row>
    <row r="17" ht="62" customHeight="1">
      <c r="B17" s="82" t="inlineStr"/>
      <c r="C17" s="63" t="inlineStr">
        <is>
          <t>Alternatif
Poussée de l'EI-Sahel à l'est</t>
        </is>
      </c>
      <c r="D17" s="73" t="inlineStr">
        <is>
          <t>L'EI-Sahel exploite l'affaiblissement local du JNIM pour s'étendre vers Ménaka, Ansongo et Tessit et dans le Gourma. Il multiplie les embuscades contre les convois FAMa pendant que le FLA mène une guérilla par drones au nord.</t>
        </is>
      </c>
      <c r="E17" s="83" t="inlineStr">
        <is>
          <t>≈ 20 %</t>
        </is>
      </c>
    </row>
    <row r="19" ht="22" customHeight="1">
      <c r="B19" s="4" t="inlineStr">
        <is>
          <t>Indicateurs d'alerte à surveiller</t>
        </is>
      </c>
      <c r="C19" s="5" t="n"/>
      <c r="D19" s="5" t="n"/>
      <c r="E19" s="5" t="n"/>
    </row>
    <row r="20" ht="30" customHeight="1">
      <c r="B20" s="61" t="inlineStr"/>
      <c r="C20" s="61" t="inlineStr">
        <is>
          <t>Indicateur</t>
        </is>
      </c>
      <c r="D20" s="61" t="inlineStr">
        <is>
          <t>Ce qu'il signalerait</t>
        </is>
      </c>
      <c r="E20" s="61" t="inlineStr">
        <is>
          <t>Zone</t>
        </is>
      </c>
    </row>
    <row r="21" ht="32" customHeight="1">
      <c r="B21" s="74" t="inlineStr">
        <is>
          <t>IA1</t>
        </is>
      </c>
      <c r="C21" s="42" t="inlineStr">
        <is>
          <t>Nouvelles attaques de citernes ou de convois commerciaux</t>
        </is>
      </c>
      <c r="D21" s="73" t="inlineStr">
        <is>
          <t>Durcissement du blocus logistique de Bamako</t>
        </is>
      </c>
      <c r="E21" s="75" t="inlineStr">
        <is>
          <t>Ségou–Fana, Markala, axes d'entrée de Bamako</t>
        </is>
      </c>
    </row>
    <row r="22" ht="32" customHeight="1">
      <c r="B22" s="74" t="inlineStr">
        <is>
          <t>IA2</t>
        </is>
      </c>
      <c r="C22" s="42" t="inlineStr">
        <is>
          <t>Incidents dans les cercles de Kati, Kolokani ou Banamba</t>
        </is>
      </c>
      <c r="D22" s="73" t="inlineStr">
        <is>
          <t>Encerclement rapproché de la capitale</t>
        </is>
      </c>
      <c r="E22" s="75" t="inlineStr">
        <is>
          <t>Koulikoro</t>
        </is>
      </c>
    </row>
    <row r="23" ht="32" customHeight="1">
      <c r="B23" s="74" t="inlineStr">
        <is>
          <t>IA3</t>
        </is>
      </c>
      <c r="C23" s="42" t="inlineStr">
        <is>
          <t>Tirs indirects ou drones contre aéroports et bases</t>
        </is>
      </c>
      <c r="D23" s="73" t="inlineStr">
        <is>
          <t>Ciblage du capacitaire aérien et ISR</t>
        </is>
      </c>
      <c r="E23" s="75" t="inlineStr">
        <is>
          <t>Sévaré, Gao, Tombouctou, Kidal</t>
        </is>
      </c>
    </row>
    <row r="24" ht="32" customHeight="1">
      <c r="B24" s="74" t="inlineStr">
        <is>
          <t>IA4</t>
        </is>
      </c>
      <c r="C24" s="42" t="inlineStr">
        <is>
          <t>Usage de drones FPV par le JNIM</t>
        </is>
      </c>
      <c r="D24" s="73" t="inlineStr">
        <is>
          <t>Diffusion technologique depuis le FLA</t>
        </is>
      </c>
      <c r="E24" s="75" t="inlineStr">
        <is>
          <t>Centre et Nord</t>
        </is>
      </c>
    </row>
    <row r="25" ht="32" customHeight="1">
      <c r="B25" s="74" t="inlineStr">
        <is>
          <t>IA5</t>
        </is>
      </c>
      <c r="C25" s="42" t="inlineStr">
        <is>
          <t>Attaques de postes au sud de Sikasso</t>
        </is>
      </c>
      <c r="D25" s="73" t="inlineStr">
        <is>
          <t>Ouverture d'un couloir vers le Golfe de Guinée</t>
        </is>
      </c>
      <c r="E25" s="75" t="inlineStr">
        <is>
          <t>Kadiolo, Kourouma, frontières BF / CI</t>
        </is>
      </c>
    </row>
    <row r="26" ht="32" customHeight="1">
      <c r="B26" s="74" t="inlineStr">
        <is>
          <t>IA6</t>
        </is>
      </c>
      <c r="C26" s="42" t="inlineStr">
        <is>
          <t>Revendications de l'EI-Sahel à Ménaka ou Ansongo</t>
        </is>
      </c>
      <c r="D26" s="73" t="inlineStr">
        <is>
          <t>Expansion de l'EI-Sahel vers l'ouest</t>
        </is>
      </c>
      <c r="E26" s="75" t="inlineStr">
        <is>
          <t>Gao, Ménaka</t>
        </is>
      </c>
    </row>
    <row r="27" ht="32" customHeight="1">
      <c r="B27" s="74" t="inlineStr">
        <is>
          <t>IA7</t>
        </is>
      </c>
      <c r="C27" s="42" t="inlineStr">
        <is>
          <t>Nouvelles frappes aériennes avec victimes civiles</t>
        </is>
      </c>
      <c r="D27" s="73" t="inlineStr">
        <is>
          <t>Ralliements communautaires et représailles</t>
        </is>
      </c>
      <c r="E27" s="75" t="inlineStr">
        <is>
          <t>Ségou, Mopti, Tombouctou</t>
        </is>
      </c>
    </row>
    <row r="29" ht="22" customHeight="1">
      <c r="B29" s="4" t="inlineStr">
        <is>
          <t>Recommandations</t>
        </is>
      </c>
      <c r="C29" s="5" t="n"/>
      <c r="D29" s="5" t="n"/>
      <c r="E29" s="5" t="n"/>
    </row>
    <row r="30">
      <c r="B30" s="84" t="inlineStr">
        <is>
          <t>Autorités et forces de défense</t>
        </is>
      </c>
      <c r="C30" s="2" t="n"/>
      <c r="D30" s="2" t="n"/>
      <c r="E30" s="2" t="n"/>
    </row>
    <row r="31" ht="32" customHeight="1">
      <c r="B31" s="73" t="inlineStr"/>
      <c r="C31" s="80" t="inlineStr">
        <is>
          <t>Immédiat</t>
        </is>
      </c>
      <c r="D31" s="73" t="inlineStr">
        <is>
          <t>Sécuriser en priorité les axes Bamako–Ségou–Niono et Ségou–Markala : ouverture d'itinéraire, lutte contre les EEI, escortes à horaires et itinéraires variables.</t>
        </is>
      </c>
      <c r="E31" s="85" t="n"/>
    </row>
    <row r="32" ht="32" customHeight="1">
      <c r="B32" s="73" t="inlineStr"/>
      <c r="C32" s="80" t="inlineStr">
        <is>
          <t>Immédiat</t>
        </is>
      </c>
      <c r="D32" s="73" t="inlineStr">
        <is>
          <t>Durcir ou regrouper les postes isolés exposés à un coup de main (scénario Kassela / Kourouma) et pré-positionner une force de réaction rapide héliportée.</t>
        </is>
      </c>
      <c r="E32" s="85" t="n"/>
    </row>
    <row r="33" ht="32" customHeight="1">
      <c r="B33" s="73" t="inlineStr"/>
      <c r="C33" s="77" t="inlineStr">
        <is>
          <t>Court terme</t>
        </is>
      </c>
      <c r="D33" s="73" t="inlineStr">
        <is>
          <t>Déployer une défense anti-drones (brouillage, détection) sur Sévaré, Goundam, Aguelhoc et Kidal ; disperser ou abriter les aéronefs.</t>
        </is>
      </c>
      <c r="E33" s="85" t="n"/>
    </row>
    <row r="34" ht="32" customHeight="1">
      <c r="B34" s="73" t="inlineStr"/>
      <c r="C34" s="77" t="inlineStr">
        <is>
          <t>Court terme</t>
        </is>
      </c>
      <c r="D34" s="73" t="inlineStr">
        <is>
          <t>Renforcer l'identification positive des cibles avant frappe, avec un mécanisme d'enquête sur les bavures : condition d'efficacité de la contre-insurrection.</t>
        </is>
      </c>
      <c r="E34" s="85" t="n"/>
    </row>
    <row r="35" ht="32" customHeight="1">
      <c r="B35" s="73" t="inlineStr"/>
      <c r="C35" s="86" t="inlineStr">
        <is>
          <t>Moyen terme</t>
        </is>
      </c>
      <c r="D35" s="73" t="inlineStr">
        <is>
          <t>Exploiter la rivalité JNIM–EI-Sahel par le renseignement (ISR) sur le Liptako, sans provoquer de rapprochement tactique entre les deux groupes.</t>
        </is>
      </c>
      <c r="E35" s="85" t="n"/>
    </row>
    <row r="37">
      <c r="B37" s="84" t="inlineStr">
        <is>
          <t>Partenaires, ONG et entreprises</t>
        </is>
      </c>
      <c r="C37" s="2" t="n"/>
      <c r="D37" s="2" t="n"/>
      <c r="E37" s="2" t="n"/>
    </row>
    <row r="38" ht="32" customHeight="1">
      <c r="B38" s="73" t="inlineStr"/>
      <c r="C38" s="80" t="inlineStr">
        <is>
          <t>Immédiat</t>
        </is>
      </c>
      <c r="D38" s="73" t="inlineStr">
        <is>
          <t>Classer en rouge les axes Niono–Dioura, Ségou–Fana, Dougabougou–Markala, Bandiagara–Douentza et Ansongo–Ménaka : circulation de jour, en convoi, après évaluation de route la veille.</t>
        </is>
      </c>
      <c r="E38" s="85" t="n"/>
    </row>
    <row r="39" ht="32" customHeight="1">
      <c r="B39" s="73" t="inlineStr"/>
      <c r="C39" s="80" t="inlineStr">
        <is>
          <t>Immédiat</t>
        </is>
      </c>
      <c r="D39" s="73" t="inlineStr">
        <is>
          <t>Éloigner les implantations des emprises militaires et des aérodromes, cibles de tirs indirects et de drones.</t>
        </is>
      </c>
      <c r="E39" s="85" t="n"/>
    </row>
    <row r="40" ht="32" customHeight="1">
      <c r="B40" s="73" t="inlineStr"/>
      <c r="C40" s="77" t="inlineStr">
        <is>
          <t>Court terme</t>
        </is>
      </c>
      <c r="D40" s="73" t="inlineStr">
        <is>
          <t>Plans de continuité pour Bamako (carburant, eau, communications satellitaires) ; mise à jour des plans d'évacuation aérienne de Tombouctou, Gao et Kidal.</t>
        </is>
      </c>
      <c r="E40" s="85" t="n"/>
    </row>
    <row r="41" ht="32" customHeight="1">
      <c r="B41" s="73" t="inlineStr"/>
      <c r="C41" s="77" t="inlineStr">
        <is>
          <t>Court terme</t>
        </is>
      </c>
      <c r="D41" s="73" t="inlineStr">
        <is>
          <t>Éviter les points d'accès Starlink collectifs et les rassemblements en zone de frappes (la frappe de Guèllèdjè visait un point de connexion).</t>
        </is>
      </c>
      <c r="E41" s="85" t="n"/>
    </row>
    <row r="43">
      <c r="B43" s="84" t="inlineStr">
        <is>
          <t>États du Golfe de Guinée</t>
        </is>
      </c>
      <c r="C43" s="2" t="n"/>
      <c r="D43" s="2" t="n"/>
      <c r="E43" s="2" t="n"/>
    </row>
    <row r="44" ht="32" customHeight="1">
      <c r="B44" s="73" t="inlineStr"/>
      <c r="C44" s="80" t="inlineStr">
        <is>
          <t>Immédiat</t>
        </is>
      </c>
      <c r="D44" s="73" t="inlineStr">
        <is>
          <t>Renforcer la surveillance de la bande Sikasso – Hauts-Bassins – nord ivoirien et ghanéen : Kourouma signale une poussée du JNIM vers le sud.</t>
        </is>
      </c>
      <c r="E44" s="85" t="n"/>
    </row>
    <row r="45" ht="32" customHeight="1">
      <c r="B45" s="73" t="inlineStr"/>
      <c r="C45" s="77" t="inlineStr">
        <is>
          <t>Court terme</t>
        </is>
      </c>
      <c r="D45" s="73" t="inlineStr">
        <is>
          <t>Partage de renseignement sur les flux logistiques transfrontaliers (carburant, motos, intrants explosifs) qui alimentent les EEI.</t>
        </is>
      </c>
      <c r="E45" s="85" t="n"/>
    </row>
    <row r="46" ht="32" customHeight="1">
      <c r="B46" s="73" t="inlineStr"/>
      <c r="C46" s="86" t="inlineStr">
        <is>
          <t>Moyen terme</t>
        </is>
      </c>
      <c r="D46" s="73" t="inlineStr">
        <is>
          <t>Programmes de cohésion communautaire en zone frontalière pour couper le récit de victimisation exploité après les frappes.</t>
        </is>
      </c>
      <c r="E46" s="85" t="n"/>
    </row>
  </sheetData>
  <mergeCells count="12">
    <mergeCell ref="D33:E33"/>
    <mergeCell ref="D34:E34"/>
    <mergeCell ref="D38:E38"/>
    <mergeCell ref="D32:E32"/>
    <mergeCell ref="D46:E46"/>
    <mergeCell ref="D40:E40"/>
    <mergeCell ref="D41:E41"/>
    <mergeCell ref="D31:E31"/>
    <mergeCell ref="D44:E44"/>
    <mergeCell ref="D45:E45"/>
    <mergeCell ref="D35:E35"/>
    <mergeCell ref="D39:E39"/>
  </mergeCells>
  <hyperlinks>
    <hyperlink xmlns:r="http://schemas.openxmlformats.org/officeDocument/2006/relationships" ref="H1" r:id="rId1"/>
  </hyperlinks>
  <printOptions horizontalCentered="1"/>
  <pageMargins left="0.4" right="0.4" top="1" bottom="1" header="0.5" footer="0.5"/>
  <pageSetup orientation="landscape" paperSize="9" fitToHeight="0" fitToWidth="1"/>
  <headerFooter>
    <oddHeader/>
    <oddFooter>&amp;LObservatoire sécuritaire Mali · Sources ouvertes · Diffusion restreinte&amp;R&amp;A · page &amp;P / &amp;N</oddFooter>
    <evenHeader/>
    <evenFooter/>
    <firstHeader/>
    <firstFooter/>
  </headerFooter>
</worksheet>
</file>

<file path=xl/worksheets/sheet10.xml><?xml version="1.0" encoding="utf-8"?>
<worksheet xmlns="http://schemas.openxmlformats.org/spreadsheetml/2006/main">
  <sheetPr>
    <tabColor rgb="00566577"/>
    <outlinePr summaryBelow="1" summaryRight="1"/>
    <pageSetUpPr fitToPage="1"/>
  </sheetPr>
  <dimension ref="A1:J34"/>
  <sheetViews>
    <sheetView showGridLines="0" zoomScale="90" workbookViewId="0">
      <selection activeCell="A1" sqref="A1"/>
    </sheetView>
  </sheetViews>
  <sheetFormatPr baseColWidth="8" defaultRowHeight="15"/>
  <cols>
    <col width="2" customWidth="1" min="1" max="1"/>
    <col width="28" customWidth="1" min="2" max="2"/>
    <col width="16" customWidth="1" min="3" max="3"/>
    <col width="40" customWidth="1" min="4" max="4"/>
    <col width="12" customWidth="1" min="5" max="5"/>
    <col width="3" customWidth="1" min="6" max="6"/>
    <col width="30" customWidth="1" min="7" max="7"/>
    <col width="12" customWidth="1" min="8" max="8"/>
    <col width="12" customWidth="1" min="9" max="9"/>
    <col width="10" customWidth="1" min="10" max="10"/>
  </cols>
  <sheetData>
    <row r="1" ht="30" customHeight="1">
      <c r="A1" s="1" t="inlineStr">
        <is>
          <t>Qualité des données et fiabilité des sources</t>
        </is>
      </c>
      <c r="B1" s="2" t="n"/>
      <c r="C1" s="2" t="n"/>
      <c r="D1" s="2" t="n"/>
      <c r="E1" s="2" t="n"/>
      <c r="F1" s="2" t="n"/>
      <c r="G1" s="2" t="n"/>
      <c r="H1" s="2" t="n"/>
      <c r="I1" s="26" t="inlineStr">
        <is>
          <t>◄ Accueil</t>
        </is>
      </c>
    </row>
    <row r="2" ht="18" customHeight="1">
      <c r="A2" s="3" t="inlineStr">
        <is>
          <t>Corroboration : « Corroboré » = au moins deux sources indépendantes (veille OSINT ou presse).</t>
        </is>
      </c>
      <c r="B2" s="2" t="n"/>
      <c r="C2" s="2" t="n"/>
      <c r="D2" s="2" t="n"/>
      <c r="E2" s="2" t="n"/>
      <c r="F2" s="2" t="n"/>
      <c r="G2" s="2" t="n"/>
      <c r="H2" s="2" t="n"/>
      <c r="I2" s="2" t="n"/>
    </row>
    <row r="4" ht="30" customHeight="1">
      <c r="B4" s="29" t="inlineStr">
        <is>
          <t>Source</t>
        </is>
      </c>
      <c r="C4" s="29" t="inlineStr">
        <is>
          <t>Type</t>
        </is>
      </c>
      <c r="D4" s="29" t="inlineStr">
        <is>
          <t>Nature</t>
        </is>
      </c>
      <c r="E4" s="29" t="inlineStr">
        <is>
          <t>Citations</t>
        </is>
      </c>
      <c r="G4" s="61" t="inlineStr">
        <is>
          <t>Niveau de fiabilité</t>
        </is>
      </c>
      <c r="H4" s="61" t="inlineStr">
        <is>
          <t>Incidents</t>
        </is>
      </c>
      <c r="I4" s="61" t="inlineStr">
        <is>
          <t>Tués associés</t>
        </is>
      </c>
      <c r="J4" s="61" t="inlineStr">
        <is>
          <t>Part</t>
        </is>
      </c>
    </row>
    <row r="5">
      <c r="B5" s="42" t="inlineStr">
        <is>
          <t>Sahel Alerte</t>
        </is>
      </c>
      <c r="C5" s="65" t="inlineStr">
        <is>
          <t>Veille OSINT</t>
        </is>
      </c>
      <c r="D5" s="75" t="inlineStr">
        <is>
          <t>Analyste / veille OSINT</t>
        </is>
      </c>
      <c r="E5" s="47">
        <f>COUNTIFS(inc_sources,"*"&amp;B5&amp;"*")</f>
        <v/>
      </c>
      <c r="G5" s="87" t="inlineStr">
        <is>
          <t>Corroboré</t>
        </is>
      </c>
      <c r="H5" s="47">
        <f>COUNTIFS(inc_fiab,$G5)</f>
        <v/>
      </c>
      <c r="I5" s="47">
        <f>SUMIFS(inc_tues,inc_fiab,$G5)</f>
        <v/>
      </c>
      <c r="J5" s="44">
        <f>IF(SUM($H$5:$H$8)=0,0,H5/SUM($H$5:$H$8))</f>
        <v/>
      </c>
    </row>
    <row r="6">
      <c r="B6" s="42" t="inlineStr">
        <is>
          <t>Hasret K.</t>
        </is>
      </c>
      <c r="C6" s="65" t="inlineStr">
        <is>
          <t>Veille OSINT</t>
        </is>
      </c>
      <c r="D6" s="75" t="inlineStr">
        <is>
          <t>Analyste / veille OSINT</t>
        </is>
      </c>
      <c r="E6" s="47">
        <f>COUNTIFS(inc_sources,"*"&amp;B6&amp;"*")</f>
        <v/>
      </c>
      <c r="G6" s="88" t="inlineStr">
        <is>
          <t>Partiellement corroboré</t>
        </is>
      </c>
      <c r="H6" s="47">
        <f>COUNTIFS(inc_fiab,$G6)</f>
        <v/>
      </c>
      <c r="I6" s="47">
        <f>SUMIFS(inc_tues,inc_fiab,$G6)</f>
        <v/>
      </c>
      <c r="J6" s="44">
        <f>IF(SUM($H$5:$H$8)=0,0,H6/SUM($H$5:$H$8))</f>
        <v/>
      </c>
    </row>
    <row r="7">
      <c r="B7" s="42" t="inlineStr">
        <is>
          <t>Sagnon</t>
        </is>
      </c>
      <c r="C7" s="65" t="inlineStr">
        <is>
          <t>Veille OSINT</t>
        </is>
      </c>
      <c r="D7" s="75" t="inlineStr">
        <is>
          <t>Analyste / veille OSINT</t>
        </is>
      </c>
      <c r="E7" s="47">
        <f>COUNTIFS(inc_sources,"*"&amp;B7&amp;"*")</f>
        <v/>
      </c>
      <c r="G7" s="77" t="inlineStr">
        <is>
          <t>Source partisane seule</t>
        </is>
      </c>
      <c r="H7" s="47">
        <f>COUNTIFS(inc_fiab,$G7)</f>
        <v/>
      </c>
      <c r="I7" s="47">
        <f>SUMIFS(inc_tues,inc_fiab,$G7)</f>
        <v/>
      </c>
      <c r="J7" s="44">
        <f>IF(SUM($H$5:$H$8)=0,0,H7/SUM($H$5:$H$8))</f>
        <v/>
      </c>
    </row>
    <row r="8">
      <c r="B8" s="42" t="inlineStr">
        <is>
          <t>Ghana C. Monitor</t>
        </is>
      </c>
      <c r="C8" s="65" t="inlineStr">
        <is>
          <t>Veille OSINT</t>
        </is>
      </c>
      <c r="D8" s="75" t="inlineStr">
        <is>
          <t>Analyste / veille OSINT</t>
        </is>
      </c>
      <c r="E8" s="47">
        <f>COUNTIFS(inc_sources,"*"&amp;B8&amp;"*")</f>
        <v/>
      </c>
      <c r="G8" s="80" t="inlineStr">
        <is>
          <t>Source unique</t>
        </is>
      </c>
      <c r="H8" s="47">
        <f>COUNTIFS(inc_fiab,$G8)</f>
        <v/>
      </c>
      <c r="I8" s="47">
        <f>SUMIFS(inc_tues,inc_fiab,$G8)</f>
        <v/>
      </c>
      <c r="J8" s="44">
        <f>IF(SUM($H$5:$H$8)=0,0,H8/SUM($H$5:$H$8))</f>
        <v/>
      </c>
    </row>
    <row r="9">
      <c r="B9" s="42" t="inlineStr">
        <is>
          <t>Brant P.</t>
        </is>
      </c>
      <c r="C9" s="65" t="inlineStr">
        <is>
          <t>Veille OSINT</t>
        </is>
      </c>
      <c r="D9" s="75" t="inlineStr">
        <is>
          <t>Analyste / veille OSINT</t>
        </is>
      </c>
      <c r="E9" s="47">
        <f>COUNTIFS(inc_sources,"*"&amp;B9&amp;"*")</f>
        <v/>
      </c>
    </row>
    <row r="10">
      <c r="B10" s="42" t="inlineStr">
        <is>
          <t>Outamashaq</t>
        </is>
      </c>
      <c r="C10" s="65" t="inlineStr">
        <is>
          <t>Veille OSINT</t>
        </is>
      </c>
      <c r="D10" s="75" t="inlineStr">
        <is>
          <t>Analyste / veille OSINT</t>
        </is>
      </c>
      <c r="E10" s="47">
        <f>COUNTIFS(inc_sources,"*"&amp;B10&amp;"*")</f>
        <v/>
      </c>
      <c r="G10" s="42" t="inlineStr">
        <is>
          <t>Incidents à bilan revendiqué seul</t>
        </is>
      </c>
      <c r="H10" s="47">
        <f>COUNTIFS(inc_revend,"Oui")</f>
        <v/>
      </c>
    </row>
    <row r="11">
      <c r="B11" s="42" t="inlineStr">
        <is>
          <t>Acled (Héni Nsaibia)</t>
        </is>
      </c>
      <c r="C11" s="65" t="inlineStr">
        <is>
          <t>Veille OSINT</t>
        </is>
      </c>
      <c r="D11" s="75" t="inlineStr">
        <is>
          <t>Analyste / veille OSINT</t>
        </is>
      </c>
      <c r="E11" s="47">
        <f>COUNTIFS(inc_sources,"*"&amp;B11&amp;"*")</f>
        <v/>
      </c>
      <c r="G11" s="42" t="inlineStr">
        <is>
          <t>Incidents géolocalisés à ± 10 km</t>
        </is>
      </c>
      <c r="H11" s="47">
        <f>COUNTIFS(inc_prec,"Zone*")</f>
        <v/>
      </c>
    </row>
    <row r="12">
      <c r="B12" s="42" t="inlineStr">
        <is>
          <t>Wamaps</t>
        </is>
      </c>
      <c r="C12" s="65" t="inlineStr">
        <is>
          <t>Veille OSINT</t>
        </is>
      </c>
      <c r="D12" s="75" t="inlineStr">
        <is>
          <t>Analyste / veille OSINT</t>
        </is>
      </c>
      <c r="E12" s="47">
        <f>COUNTIFS(inc_sources,"*"&amp;B12&amp;"*")</f>
        <v/>
      </c>
    </row>
    <row r="13">
      <c r="B13" s="42" t="inlineStr">
        <is>
          <t>F. Walett</t>
        </is>
      </c>
      <c r="C13" s="65" t="inlineStr">
        <is>
          <t>Veille OSINT</t>
        </is>
      </c>
      <c r="D13" s="75" t="inlineStr">
        <is>
          <t>Analyste / veille OSINT</t>
        </is>
      </c>
      <c r="E13" s="47">
        <f>COUNTIFS(inc_sources,"*"&amp;B13&amp;"*")</f>
        <v/>
      </c>
    </row>
    <row r="14">
      <c r="B14" s="42" t="inlineStr">
        <is>
          <t>Wassim Nasr</t>
        </is>
      </c>
      <c r="C14" s="65" t="inlineStr">
        <is>
          <t>Veille OSINT</t>
        </is>
      </c>
      <c r="D14" s="75" t="inlineStr">
        <is>
          <t>Analyste / veille OSINT</t>
        </is>
      </c>
      <c r="E14" s="47">
        <f>COUNTIFS(inc_sources,"*"&amp;B14&amp;"*")</f>
        <v/>
      </c>
    </row>
    <row r="15">
      <c r="B15" s="42" t="inlineStr">
        <is>
          <t>Serge Daniel</t>
        </is>
      </c>
      <c r="C15" s="65" t="inlineStr">
        <is>
          <t>Veille OSINT</t>
        </is>
      </c>
      <c r="D15" s="75" t="inlineStr">
        <is>
          <t>Analyste / veille OSINT</t>
        </is>
      </c>
      <c r="E15" s="47">
        <f>COUNTIFS(inc_sources,"*"&amp;B15&amp;"*")</f>
        <v/>
      </c>
    </row>
    <row r="16">
      <c r="B16" s="42" t="inlineStr">
        <is>
          <t>Abbasi</t>
        </is>
      </c>
      <c r="C16" s="65" t="inlineStr">
        <is>
          <t>Veille OSINT</t>
        </is>
      </c>
      <c r="D16" s="75" t="inlineStr">
        <is>
          <t>Analyste / veille OSINT</t>
        </is>
      </c>
      <c r="E16" s="47">
        <f>COUNTIFS(inc_sources,"*"&amp;B16&amp;"*")</f>
        <v/>
      </c>
    </row>
    <row r="17">
      <c r="B17" s="42" t="inlineStr">
        <is>
          <t>Jeune Afrique</t>
        </is>
      </c>
      <c r="C17" s="87" t="inlineStr">
        <is>
          <t>Presse</t>
        </is>
      </c>
      <c r="D17" s="75" t="inlineStr">
        <is>
          <t>Presse panafricaine</t>
        </is>
      </c>
      <c r="E17" s="47">
        <f>COUNTIFS(inc_sources,"*"&amp;B17&amp;"*")</f>
        <v/>
      </c>
    </row>
    <row r="18">
      <c r="B18" s="42" t="inlineStr">
        <is>
          <t>AzZalaqa</t>
        </is>
      </c>
      <c r="C18" s="62" t="inlineStr">
        <is>
          <t>Partisane</t>
        </is>
      </c>
      <c r="D18" s="75" t="inlineStr">
        <is>
          <t>Organe de propagande du JNIM</t>
        </is>
      </c>
      <c r="E18" s="47">
        <f>COUNTIFS(inc_sources,"*"&amp;B18&amp;"*")</f>
        <v/>
      </c>
    </row>
    <row r="19">
      <c r="B19" s="42" t="inlineStr">
        <is>
          <t>FLA</t>
        </is>
      </c>
      <c r="C19" s="62" t="inlineStr">
        <is>
          <t>Partisane</t>
        </is>
      </c>
      <c r="D19" s="75" t="inlineStr">
        <is>
          <t>Communication du FLA</t>
        </is>
      </c>
      <c r="E19" s="47">
        <f>COUNTIFS(inc_sources,"*"&amp;B19&amp;"*")</f>
        <v/>
      </c>
    </row>
    <row r="20">
      <c r="B20" s="42" t="inlineStr">
        <is>
          <t>JNIM</t>
        </is>
      </c>
      <c r="C20" s="62" t="inlineStr">
        <is>
          <t>Partisane</t>
        </is>
      </c>
      <c r="D20" s="75" t="inlineStr">
        <is>
          <t>Revendication JNIM</t>
        </is>
      </c>
      <c r="E20" s="47">
        <f>COUNTIFS(inc_sources,"*"&amp;B20&amp;"*")</f>
        <v/>
      </c>
    </row>
    <row r="21">
      <c r="B21" s="42" t="inlineStr">
        <is>
          <t>EIS</t>
        </is>
      </c>
      <c r="C21" s="62" t="inlineStr">
        <is>
          <t>Partisane</t>
        </is>
      </c>
      <c r="D21" s="75" t="inlineStr">
        <is>
          <t>Revendication EI-Sahel</t>
        </is>
      </c>
      <c r="E21" s="47">
        <f>COUNTIFS(inc_sources,"*"&amp;B21&amp;"*")</f>
        <v/>
      </c>
    </row>
    <row r="22">
      <c r="B22" s="42" t="inlineStr">
        <is>
          <t>Amaq</t>
        </is>
      </c>
      <c r="C22" s="62" t="inlineStr">
        <is>
          <t>Partisane</t>
        </is>
      </c>
      <c r="D22" s="75" t="inlineStr">
        <is>
          <t>Agence de propagande de l'État islamique</t>
        </is>
      </c>
      <c r="E22" s="47">
        <f>COUNTIFS(inc_sources,"*"&amp;B22&amp;"*")</f>
        <v/>
      </c>
    </row>
    <row r="23">
      <c r="B23" s="42" t="inlineStr">
        <is>
          <t>État-Major FAMa</t>
        </is>
      </c>
      <c r="C23" s="64" t="inlineStr">
        <is>
          <t>Officielle</t>
        </is>
      </c>
      <c r="D23" s="75" t="inlineStr">
        <is>
          <t>Communiqué officiel des FAMa</t>
        </is>
      </c>
      <c r="E23" s="47">
        <f>COUNTIFS(inc_sources,"*"&amp;B23&amp;"*")</f>
        <v/>
      </c>
    </row>
    <row r="24">
      <c r="B24" s="42" t="inlineStr">
        <is>
          <t>Naïm TOURÉ</t>
        </is>
      </c>
      <c r="C24" s="66" t="inlineStr">
        <is>
          <t>Compilateur</t>
        </is>
      </c>
      <c r="D24" s="75" t="inlineStr">
        <is>
          <t>Compilateur de la base</t>
        </is>
      </c>
      <c r="E24" s="47">
        <f>COUNTIFS(inc_sources,"*"&amp;B24&amp;"*")</f>
        <v/>
      </c>
    </row>
    <row r="25">
      <c r="B25" s="28" t="inlineStr">
        <is>
          <t>« Citations » compte les incidents où le nom apparaît dans la colonne Sources (recherche par texte).</t>
        </is>
      </c>
    </row>
    <row r="27" ht="22" customHeight="1">
      <c r="B27" s="4" t="inlineStr">
        <is>
          <t>Limites et points de vigilance</t>
        </is>
      </c>
      <c r="C27" s="5" t="n"/>
      <c r="D27" s="5" t="n"/>
      <c r="E27" s="5" t="n"/>
    </row>
    <row r="28" ht="44" customHeight="1">
      <c r="B28" s="42" t="inlineStr">
        <is>
          <t>Risque de double comptage</t>
        </is>
      </c>
      <c r="C28" s="73" t="inlineStr">
        <is>
          <t>INC-2026-003 (01/09, Gonadaouri / Ndaki, 200 tués) et INC-2026-025 (09/10, Ganadaouri, 400 tués) désignent des toponymes voisins. Ensemble, ils pèsent 64 % de la létalité : à recouper avant toute diffusion.</t>
        </is>
      </c>
      <c r="D28" s="89" t="n"/>
      <c r="E28" s="85" t="n"/>
    </row>
    <row r="29" ht="44" customHeight="1">
      <c r="B29" s="42" t="inlineStr">
        <is>
          <t>Bilans revendiqués</t>
        </is>
      </c>
      <c r="C29" s="73" t="inlineStr">
        <is>
          <t>Les pertes de Dioura (150) et de Sévaré (33) proviennent en partie d'AzZalaqa (JNIM) ; celles de l'EI-Sahel d'Amaq. Les lire comme des maximums.</t>
        </is>
      </c>
      <c r="D29" s="89" t="n"/>
      <c r="E29" s="85" t="n"/>
    </row>
    <row r="30" ht="44" customHeight="1">
      <c r="B30" s="42" t="inlineStr">
        <is>
          <t>Géolocalisation</t>
        </is>
      </c>
      <c r="C30" s="73" t="inlineStr">
        <is>
          <t>Plusieurs incidents sont positionnés au niveau d'une zone (une décimale, ± 10 km). INC-2026-022 (campagne de frappes sur quatre sites) est représenté par un seul point à Anéfif.</t>
        </is>
      </c>
      <c r="D30" s="89" t="n"/>
      <c r="E30" s="85" t="n"/>
    </row>
    <row r="31" ht="44" customHeight="1">
      <c r="B31" s="42" t="inlineStr">
        <is>
          <t>Catégories ambiguës</t>
        </is>
      </c>
      <c r="C31" s="73" t="inlineStr">
        <is>
          <t>INC-2026-017 : « 7 morts / blessés » russes enregistrés comme 7 morts. INC-2026-015 : attribution au JNIM présumée.</t>
        </is>
      </c>
      <c r="D31" s="89" t="n"/>
      <c r="E31" s="85" t="n"/>
    </row>
    <row r="32" ht="44" customHeight="1">
      <c r="B32" s="42" t="inlineStr">
        <is>
          <t>Contrôle spatial</t>
        </is>
      </c>
      <c r="C32" s="73" t="inlineStr">
        <is>
          <t>INC-2026-025, déclaré « Burkina Faso / Mali », se situe au Burkina Faso (Oudalan). INC-2026-003, déclaré frontalier, se situe dans le cercle de Gourma-Rharous (Tombouctou).</t>
        </is>
      </c>
      <c r="D32" s="89" t="n"/>
      <c r="E32" s="85" t="n"/>
    </row>
    <row r="33" ht="44" customHeight="1">
      <c r="B33" s="42" t="inlineStr">
        <is>
          <t>Couverture</t>
        </is>
      </c>
      <c r="C33" s="73" t="inlineStr">
        <is>
          <t>36 incidents en 57 jours : la base reflète la sélection du compilateur, non l'exhaustivité du conflit. Interpréter avec prudence les variations de faible effectif.</t>
        </is>
      </c>
      <c r="D33" s="89" t="n"/>
      <c r="E33" s="85" t="n"/>
    </row>
    <row r="34" ht="44" customHeight="1">
      <c r="B34" s="42" t="inlineStr">
        <is>
          <t>Référentiel administratif</t>
        </is>
      </c>
      <c r="C34" s="73" t="inlineStr">
        <is>
          <t>Régions et cercles geoBoundaries (8 régions + Bamako, antérieur à la réforme de 2023). La région déclarée par la source reste disponible dans INCIDENTS.</t>
        </is>
      </c>
      <c r="D34" s="89" t="n"/>
      <c r="E34" s="85" t="n"/>
    </row>
  </sheetData>
  <mergeCells count="7">
    <mergeCell ref="C33:E33"/>
    <mergeCell ref="C28:E28"/>
    <mergeCell ref="C31:E31"/>
    <mergeCell ref="C29:E29"/>
    <mergeCell ref="C30:E30"/>
    <mergeCell ref="C34:E34"/>
    <mergeCell ref="C32:E32"/>
  </mergeCells>
  <conditionalFormatting sqref="E5:E24">
    <cfRule type="dataBar" priority="1">
      <dataBar showValue="1">
        <cfvo type="num" val="0"/>
        <cfvo type="max"/>
        <color rgb="000F7C86"/>
      </dataBar>
    </cfRule>
  </conditionalFormatting>
  <hyperlinks>
    <hyperlink xmlns:r="http://schemas.openxmlformats.org/officeDocument/2006/relationships" ref="I1" r:id="rId1"/>
  </hyperlinks>
  <printOptions horizontalCentered="1"/>
  <pageMargins left="0.4" right="0.4" top="1" bottom="1" header="0.5" footer="0.5"/>
  <pageSetup orientation="landscape" paperSize="9" fitToHeight="0" fitToWidth="1"/>
  <headerFooter>
    <oddHeader/>
    <oddFooter>&amp;LObservatoire sécuritaire Mali · Sources ouvertes · Diffusion restreinte&amp;R&amp;A · page &amp;P / &amp;N</oddFooter>
    <evenHeader/>
    <evenFooter/>
    <firstHeader/>
    <firstFooter/>
  </headerFooter>
  <drawing xmlns:r="http://schemas.openxmlformats.org/officeDocument/2006/relationships" r:id="rId2"/>
</worksheet>
</file>

<file path=xl/worksheets/sheet11.xml><?xml version="1.0" encoding="utf-8"?>
<worksheet xmlns="http://schemas.openxmlformats.org/spreadsheetml/2006/main">
  <sheetPr>
    <tabColor rgb="000000FF"/>
    <outlinePr summaryBelow="1" summaryRight="1"/>
    <pageSetUpPr fitToPage="1"/>
  </sheetPr>
  <dimension ref="A1:F24"/>
  <sheetViews>
    <sheetView showGridLines="0" zoomScale="90" workbookViewId="0">
      <selection activeCell="A1" sqref="A1"/>
    </sheetView>
  </sheetViews>
  <sheetFormatPr baseColWidth="8" defaultRowHeight="15"/>
  <cols>
    <col width="3" customWidth="1" min="1" max="1"/>
    <col width="42" customWidth="1" min="2" max="2"/>
    <col width="30" customWidth="1" min="3" max="3"/>
    <col width="60" customWidth="1" min="4" max="4"/>
    <col width="3" customWidth="1" min="5" max="5"/>
    <col width="12" customWidth="1" min="6" max="6"/>
  </cols>
  <sheetData>
    <row r="1" ht="30" customHeight="1">
      <c r="A1" s="1" t="inlineStr">
        <is>
          <t>Paramètres du classeur</t>
        </is>
      </c>
      <c r="B1" s="2" t="n"/>
      <c r="C1" s="2" t="n"/>
      <c r="D1" s="2" t="n"/>
      <c r="E1" s="2" t="n"/>
      <c r="F1" s="26" t="inlineStr">
        <is>
          <t>◄ Accueil</t>
        </is>
      </c>
    </row>
    <row r="2" ht="18" customHeight="1">
      <c r="A2" s="3" t="inlineStr">
        <is>
          <t>Cellules en bleu : valeurs modifiables. Toutes les synthèses s'y réfèrent.</t>
        </is>
      </c>
      <c r="B2" s="2" t="n"/>
      <c r="C2" s="2" t="n"/>
      <c r="D2" s="2" t="n"/>
      <c r="E2" s="2" t="n"/>
      <c r="F2" s="2" t="n"/>
    </row>
    <row r="4" ht="22" customHeight="1">
      <c r="B4" s="4" t="inlineStr">
        <is>
          <t>Période d'analyse</t>
        </is>
      </c>
      <c r="C4" s="5" t="n"/>
      <c r="D4" s="5" t="n"/>
    </row>
    <row r="5">
      <c r="B5" s="73" t="inlineStr">
        <is>
          <t>Début de la période</t>
        </is>
      </c>
      <c r="C5" s="90" t="n">
        <v>46265</v>
      </c>
      <c r="D5" s="75" t="inlineStr">
        <is>
          <t>Premier incident de la base.</t>
        </is>
      </c>
    </row>
    <row r="6">
      <c r="B6" s="73" t="inlineStr">
        <is>
          <t>Fin de la période</t>
        </is>
      </c>
      <c r="C6" s="90" t="n">
        <v>46321</v>
      </c>
      <c r="D6" s="75" t="inlineStr">
        <is>
          <t>Dernier incident de la base. Sert aussi de référence pour l'activité récente.</t>
        </is>
      </c>
    </row>
    <row r="7">
      <c r="B7" s="73" t="inlineStr">
        <is>
          <t>Début de la période P2</t>
        </is>
      </c>
      <c r="C7" s="90" t="n">
        <v>46293</v>
      </c>
      <c r="D7" s="75" t="inlineStr">
        <is>
          <t>P1 = avant cette date, P2 = à partir de cette date (deux périodes de durée égale).</t>
        </is>
      </c>
    </row>
    <row r="8" ht="22" customHeight="1">
      <c r="B8" s="4" t="inlineStr">
        <is>
          <t>Pression sur Bamako</t>
        </is>
      </c>
      <c r="C8" s="5" t="n"/>
      <c r="D8" s="5" t="n"/>
    </row>
    <row r="9">
      <c r="B9" s="73" t="inlineStr">
        <is>
          <t>Latitude de Bamako</t>
        </is>
      </c>
      <c r="C9" s="91" t="n">
        <v>12.6392</v>
      </c>
      <c r="D9" s="75" t="inlineStr">
        <is>
          <t>Centre-ville, WGS84.</t>
        </is>
      </c>
    </row>
    <row r="10">
      <c r="B10" s="73" t="inlineStr">
        <is>
          <t>Longitude de Bamako</t>
        </is>
      </c>
      <c r="C10" s="91" t="n">
        <v>-8.0029</v>
      </c>
      <c r="D10" s="75" t="inlineStr">
        <is>
          <t>Centre-ville, WGS84.</t>
        </is>
      </c>
    </row>
    <row r="11">
      <c r="B11" s="73" t="inlineStr">
        <is>
          <t>Rayon de pression (km)</t>
        </is>
      </c>
      <c r="C11" s="91" t="n">
        <v>300</v>
      </c>
      <c r="D11" s="75" t="inlineStr">
        <is>
          <t>Incidents comptés « dans le rayon de Bamako ».</t>
        </is>
      </c>
    </row>
    <row r="12" ht="22" customHeight="1">
      <c r="B12" s="4" t="inlineStr">
        <is>
          <t>Accès à la cartographie</t>
        </is>
      </c>
      <c r="C12" s="5" t="n"/>
      <c r="D12" s="5" t="n"/>
    </row>
    <row r="13">
      <c r="B13" s="73" t="inlineStr">
        <is>
          <t>Tableau de bord en ligne (URL)</t>
        </is>
      </c>
      <c r="C13" s="91" t="inlineStr">
        <is>
          <t>https://claude.ai/artifact/LG5EyCJxmMRJWAq2DKEFbX</t>
        </is>
      </c>
      <c r="D13" s="75" t="inlineStr">
        <is>
          <t>Lien privé : partagez-le depuis le menu « Partager » de la page.</t>
        </is>
      </c>
    </row>
    <row r="14">
      <c r="B14" s="73" t="inlineStr">
        <is>
          <t>Fichier HTML local</t>
        </is>
      </c>
      <c r="C14" s="91" t="inlineStr">
        <is>
          <t>tableau_de_bord_mali.html</t>
        </is>
      </c>
      <c r="D14" s="75" t="inlineStr">
        <is>
          <t>Doit se trouver dans le même dossier que ce classeur.</t>
        </is>
      </c>
    </row>
    <row r="15" ht="22" customHeight="1">
      <c r="B15" s="4" t="inlineStr">
        <is>
          <t>Indice de menace régional</t>
        </is>
      </c>
      <c r="C15" s="5" t="n"/>
      <c r="D15" s="5" t="n"/>
    </row>
    <row r="16">
      <c r="B16" s="73" t="inlineStr">
        <is>
          <t>Fenêtre d'activité récente (jours)</t>
        </is>
      </c>
      <c r="C16" s="91" t="n">
        <v>21</v>
      </c>
      <c r="D16" s="75" t="inlineStr">
        <is>
          <t>Incidents des N derniers jours de la période.</t>
        </is>
      </c>
    </row>
    <row r="17">
      <c r="B17" s="73" t="inlineStr">
        <is>
          <t>Poids : fréquence des incidents</t>
        </is>
      </c>
      <c r="C17" s="92" t="n">
        <v>0.35</v>
      </c>
      <c r="D17" s="75" t="inlineStr">
        <is>
          <t>La somme des quatre poids doit faire 100 %.</t>
        </is>
      </c>
    </row>
    <row r="18">
      <c r="B18" s="73" t="inlineStr">
        <is>
          <t>Poids : létalité (échelle logarithmique)</t>
        </is>
      </c>
      <c r="C18" s="92" t="n">
        <v>0.35</v>
      </c>
      <c r="D18" s="75" t="inlineStr"/>
    </row>
    <row r="19">
      <c r="B19" s="73" t="inlineStr">
        <is>
          <t>Poids : victimes civiles (tués + blessés)</t>
        </is>
      </c>
      <c r="C19" s="92" t="n">
        <v>0.15</v>
      </c>
      <c r="D19" s="75" t="inlineStr"/>
    </row>
    <row r="20">
      <c r="B20" s="73" t="inlineStr">
        <is>
          <t>Poids : activité récente</t>
        </is>
      </c>
      <c r="C20" s="92" t="n">
        <v>0.15</v>
      </c>
      <c r="D20" s="75" t="inlineStr"/>
    </row>
    <row r="21">
      <c r="B21" s="73" t="inlineStr">
        <is>
          <t>Seuil niveau « Critique »</t>
        </is>
      </c>
      <c r="C21" s="91" t="n">
        <v>70</v>
      </c>
      <c r="D21" s="75" t="inlineStr">
        <is>
          <t>Indice ≥ seuil.</t>
        </is>
      </c>
    </row>
    <row r="22">
      <c r="B22" s="73" t="inlineStr">
        <is>
          <t>Seuil niveau « Élevé »</t>
        </is>
      </c>
      <c r="C22" s="91" t="n">
        <v>45</v>
      </c>
      <c r="D22" s="75" t="inlineStr"/>
    </row>
    <row r="23">
      <c r="B23" s="73" t="inlineStr">
        <is>
          <t>Seuil niveau « Modéré »</t>
        </is>
      </c>
      <c r="C23" s="91" t="n">
        <v>25</v>
      </c>
      <c r="D23" s="75" t="inlineStr">
        <is>
          <t>En dessous : « Faible ».</t>
        </is>
      </c>
    </row>
    <row r="24">
      <c r="B24" s="42" t="inlineStr">
        <is>
          <t>Contrôle : somme des poids</t>
        </is>
      </c>
      <c r="C24" s="93">
        <f>W_FREQ+W_LETAL+W_CIVILS+W_RECENT</f>
        <v/>
      </c>
      <c r="D24" s="75" t="inlineStr">
        <is>
          <t>Doit afficher 100 %. Fond rouge sinon.</t>
        </is>
      </c>
    </row>
  </sheetData>
  <conditionalFormatting sqref="C24">
    <cfRule type="cellIs" priority="1" operator="notEqual" dxfId="16">
      <formula>1</formula>
    </cfRule>
  </conditionalFormatting>
  <hyperlinks>
    <hyperlink xmlns:r="http://schemas.openxmlformats.org/officeDocument/2006/relationships" ref="F1" r:id="rId1"/>
  </hyperlinks>
  <printOptions horizontalCentered="1"/>
  <pageMargins left="0.4" right="0.4" top="1" bottom="1" header="0.5" footer="0.5"/>
  <pageSetup orientation="landscape" paperSize="9" fitToHeight="0" fitToWidth="1"/>
  <headerFooter>
    <oddHeader/>
    <oddFooter>&amp;LObservatoire sécuritaire Mali · Sources ouvertes · Diffusion restreinte&amp;R&amp;A · page &amp;P / &amp;N</oddFooter>
    <evenHeader/>
    <evenFooter/>
    <firstHeader/>
    <firstFooter/>
  </headerFooter>
</worksheet>
</file>

<file path=xl/worksheets/sheet12.xml><?xml version="1.0" encoding="utf-8"?>
<worksheet xmlns="http://schemas.openxmlformats.org/spreadsheetml/2006/main">
  <sheetPr>
    <tabColor rgb="007D8A97"/>
    <outlinePr summaryBelow="1" summaryRight="1"/>
    <pageSetUpPr fitToPage="1"/>
  </sheetPr>
  <dimension ref="A1:F29"/>
  <sheetViews>
    <sheetView showGridLines="0" zoomScale="90" workbookViewId="0">
      <selection activeCell="A1" sqref="A1"/>
    </sheetView>
  </sheetViews>
  <sheetFormatPr baseColWidth="8" defaultRowHeight="15"/>
  <cols>
    <col width="2" customWidth="1" min="1" max="1"/>
    <col width="34" customWidth="1" min="2" max="2"/>
    <col width="100" customWidth="1" min="3" max="3"/>
    <col width="2" customWidth="1" min="4" max="4"/>
  </cols>
  <sheetData>
    <row r="1" ht="30" customHeight="1">
      <c r="A1" s="1" t="inlineStr">
        <is>
          <t>Mode d'emploi : ouvrir la carte depuis Excel</t>
        </is>
      </c>
      <c r="B1" s="2" t="n"/>
      <c r="C1" s="2" t="n"/>
      <c r="D1" s="2" t="n"/>
      <c r="E1" s="2" t="n"/>
      <c r="F1" s="26" t="inlineStr">
        <is>
          <t>◄ Accueil</t>
        </is>
      </c>
    </row>
    <row r="2" ht="18" customHeight="1">
      <c r="A2" s="3" t="inlineStr">
        <is>
          <t>Correctifs intégrés et résolution des problèmes courants.</t>
        </is>
      </c>
      <c r="B2" s="2" t="n"/>
      <c r="C2" s="2" t="n"/>
      <c r="D2" s="2" t="n"/>
      <c r="E2" s="2" t="n"/>
      <c r="F2" s="2" t="n"/>
    </row>
    <row r="4" ht="22" customHeight="1">
      <c r="B4" s="4" t="inlineStr">
        <is>
          <t>Ouvrir la carte</t>
        </is>
      </c>
      <c r="C4" s="5" t="n"/>
    </row>
    <row r="5" ht="34" customHeight="1">
      <c r="B5" s="42" t="inlineStr">
        <is>
          <t>Tableau de bord en ligne</t>
        </is>
      </c>
      <c r="C5" s="73" t="inlineStr">
        <is>
          <t>Onglet ACCUEIL → « Ouvrir le tableau de bord ». Le lien est privé : partagez-le depuis le menu « Partager » de la page web pour que vos destinataires puissent l'ouvrir.</t>
        </is>
      </c>
    </row>
    <row r="6" ht="34" customHeight="1">
      <c r="B6" s="42" t="inlineStr">
        <is>
          <t>Un incident précis</t>
        </is>
      </c>
      <c r="C6" s="73" t="inlineStr">
        <is>
          <t>INCIDENTS → colonne « Tableau de bord » (Dossier ↗) : la page s'ouvre directement sur la fiche de l'incident, centrée sur la carte.</t>
        </is>
      </c>
    </row>
    <row r="7" ht="34" customHeight="1">
      <c r="B7" s="42" t="inlineStr">
        <is>
          <t>OpenStreetMap / Google Maps</t>
        </is>
      </c>
      <c r="C7" s="73" t="inlineStr">
        <is>
          <t>INCIDENTS → colonnes « Carte OSM » et « Google Maps » : ouverture du point exact dans le navigateur, sans compte.</t>
        </is>
      </c>
    </row>
    <row r="8" ht="34" customHeight="1">
      <c r="B8" s="42" t="inlineStr">
        <is>
          <t>Version locale</t>
        </is>
      </c>
      <c r="C8" s="73" t="inlineStr">
        <is>
          <t>Placez « tableau_de_bord_mali.html » dans le même dossier que ce classeur, puis ACCUEIL → « Ouvrir la version locale ». Internet reste nécessaire pour le moteur cartographique.</t>
        </is>
      </c>
    </row>
    <row r="9" ht="34" customHeight="1">
      <c r="B9" s="42" t="inlineStr">
        <is>
          <t>Google Earth</t>
        </is>
      </c>
      <c r="C9" s="73" t="inlineStr">
        <is>
          <t>Double-cliquez « incidents_mali.kml » (fourni avec le classeur) : un dossier par acteur, fiche complète au clic, curseur temporel.</t>
        </is>
      </c>
    </row>
    <row r="10" ht="34" customHeight="1">
      <c r="B10" s="42" t="inlineStr">
        <is>
          <t>QGIS / uMap</t>
        </is>
      </c>
      <c r="C10" s="73" t="inlineStr">
        <is>
          <t>Glissez « incidents_mali.geojson » dans QGIS, ou importez-le dans uMap (umap.openstreetmap.fr). Système de coordonnées : WGS84 / EPSG:4326.</t>
        </is>
      </c>
    </row>
    <row r="12" ht="22" customHeight="1">
      <c r="B12" s="4" t="inlineStr">
        <is>
          <t>Correctifs intégrés</t>
        </is>
      </c>
      <c r="C12" s="5" t="n"/>
    </row>
    <row r="13" ht="34" customHeight="1">
      <c r="B13" s="42" t="inlineStr">
        <is>
          <t>Séparateur décimal</t>
        </is>
      </c>
      <c r="C13" s="73" t="inlineStr">
        <is>
          <t>Dans un Excel en français, 14,5333 devient « 14,5333 » dans une URL et casse le lien. Les formules convertissent les coordonnées en texte à point décimal (SUBSTITUTE) : les liens fonctionnent quelle que soit la langue d'Excel.</t>
        </is>
      </c>
    </row>
    <row r="14" ht="34" customHeight="1">
      <c r="B14" s="42" t="inlineStr">
        <is>
          <t>Liens en formule</t>
        </is>
      </c>
      <c r="C14" s="73" t="inlineStr">
        <is>
          <t>Les liens sont des formules LIEN_HYPERTEXTE / HYPERLINK : si vous corrigez une latitude ou une longitude, le lien se met à jour automatiquement.</t>
        </is>
      </c>
    </row>
    <row r="15" ht="34" customHeight="1">
      <c r="B15" s="42" t="inlineStr">
        <is>
          <t>Lien direct par incident</t>
        </is>
      </c>
      <c r="C15" s="73" t="inlineStr">
        <is>
          <t>Le tableau de bord lit l'identifiant placé après « # » dans l'adresse (ex. …#INC-2026-007) et ouvre la fiche correspondante.</t>
        </is>
      </c>
    </row>
    <row r="16" ht="34" customHeight="1">
      <c r="B16" s="42" t="inlineStr">
        <is>
          <t>Formules extensibles</t>
        </is>
      </c>
      <c r="C16" s="73" t="inlineStr">
        <is>
          <t>Toutes les synthèses portent sur les lignes 2 à 500 de INCIDENTS : ajoutez de nouveaux incidents à la suite, elles se recalculent.</t>
        </is>
      </c>
    </row>
    <row r="17" ht="34" customHeight="1">
      <c r="B17" s="42" t="inlineStr">
        <is>
          <t>Compatibilité</t>
        </is>
      </c>
      <c r="C17" s="73" t="inlineStr">
        <is>
          <t>Fonctions standard (NB.SI.ENS / COUNTIFS, SOMME.SI.ENS / SUMIFS, INDEX / EQUIV) : Excel 2010 et suivants, Excel en ligne, LibreOffice, WPS.</t>
        </is>
      </c>
    </row>
    <row r="19" ht="22" customHeight="1">
      <c r="B19" s="4" t="inlineStr">
        <is>
          <t>En cas de problème</t>
        </is>
      </c>
      <c r="C19" s="5" t="n"/>
    </row>
    <row r="20" ht="34" customHeight="1">
      <c r="B20" s="42" t="inlineStr">
        <is>
          <t>Les liens ne réagissent pas</t>
        </is>
      </c>
      <c r="C20" s="73" t="inlineStr">
        <is>
          <t>Le fichier s'est ouvert en « Mode protégé » (fichier reçu par courriel ou téléchargé). Cliquez « Activer la modification » dans le bandeau jaune, puis recliquez le lien.</t>
        </is>
      </c>
    </row>
    <row r="21" ht="34" customHeight="1">
      <c r="B21" s="42" t="inlineStr">
        <is>
          <t>Alerte de sécurité Microsoft</t>
        </is>
      </c>
      <c r="C21" s="73" t="inlineStr">
        <is>
          <t>« Les liens hypertextes peuvent être dangereux… » : cliquez « Oui ». Les liens pointent uniquement vers claude.ai, openstreetmap.org et google.com.</t>
        </is>
      </c>
    </row>
    <row r="22" ht="34" customHeight="1">
      <c r="B22" s="42" t="inlineStr">
        <is>
          <t>La version locale ne s'ouvre pas</t>
        </is>
      </c>
      <c r="C22" s="73" t="inlineStr">
        <is>
          <t>Vérifiez que le fichier HTML est dans le même dossier que le classeur, avec le nom exact « tableau_de_bord_mali.html ». À défaut, double-cliquez directement le fichier HTML.</t>
        </is>
      </c>
    </row>
    <row r="23" ht="34" customHeight="1">
      <c r="B23" s="42" t="inlineStr">
        <is>
          <t>Les chiffres affichent 0</t>
        </is>
      </c>
      <c r="C23" s="73" t="inlineStr">
        <is>
          <t>Le calcul est en mode manuel : Formules → Options de calcul → Automatique (ou touche F9).</t>
        </is>
      </c>
    </row>
    <row r="24" ht="34" customHeight="1">
      <c r="B24" s="42" t="inlineStr">
        <is>
          <t>Fichier bloqué par Windows</t>
        </is>
      </c>
      <c r="C24" s="73" t="inlineStr">
        <is>
          <t>Clic droit sur le fichier → Propriétés → cocher « Débloquer » → OK (fichiers téléchargés).</t>
        </is>
      </c>
    </row>
    <row r="25" ht="34" customHeight="1">
      <c r="B25" s="42" t="inlineStr">
        <is>
          <t>Carte vide dans le navigateur</t>
        </is>
      </c>
      <c r="C25" s="73" t="inlineStr">
        <is>
          <t>Le réseau bloque unpkg.com ou cdnjs.cloudflare.com (pare-feu d'entreprise). Utilisez une autre connexion ou les cartes intégrées (onglet CARTES).</t>
        </is>
      </c>
    </row>
    <row r="27" ht="22" customHeight="1">
      <c r="B27" s="4" t="inlineStr">
        <is>
          <t>Mettre à jour le classeur</t>
        </is>
      </c>
      <c r="C27" s="5" t="n"/>
    </row>
    <row r="28" ht="34" customHeight="1">
      <c r="B28" s="42" t="inlineStr">
        <is>
          <t>Nouvelle base</t>
        </is>
      </c>
      <c r="C28" s="73" t="inlineStr">
        <is>
          <t>Remplacez le fichier Excel source dans data/ puis lancez : python scripts/build_dashboard.py &amp;&amp; python scripts/build_excel.py (dépôt GitHub).</t>
        </is>
      </c>
    </row>
    <row r="29" ht="34" customHeight="1">
      <c r="B29" s="42" t="inlineStr">
        <is>
          <t>Saisie directe</t>
        </is>
      </c>
      <c r="C29" s="73" t="inlineStr">
        <is>
          <t>Vous pouvez aussi ajouter une ligne dans INCIDENTS : les colonnes calculées (semaine, période, total, distance, liens) se recopient en étendant les formules de la ligne précédente.</t>
        </is>
      </c>
    </row>
  </sheetData>
  <hyperlinks>
    <hyperlink xmlns:r="http://schemas.openxmlformats.org/officeDocument/2006/relationships" ref="F1" r:id="rId1"/>
  </hyperlinks>
  <printOptions horizontalCentered="1"/>
  <pageMargins left="0.4" right="0.4" top="1" bottom="1" header="0.5" footer="0.5"/>
  <pageSetup orientation="landscape" paperSize="9" fitToHeight="0" fitToWidth="1"/>
  <headerFooter>
    <oddHeader/>
    <oddFooter>&amp;LObservatoire sécuritaire Mali · Sources ouvertes · Diffusion restreinte&amp;R&amp;A · page &amp;P / &amp;N</oddFooter>
    <evenHeader/>
    <evenFooter/>
    <firstHeader/>
    <firstFooter/>
  </headerFooter>
</worksheet>
</file>

<file path=xl/worksheets/sheet13.xml><?xml version="1.0" encoding="utf-8"?>
<worksheet xmlns="http://schemas.openxmlformats.org/spreadsheetml/2006/main">
  <sheetPr>
    <tabColor rgb="007D8A97"/>
    <outlinePr summaryBelow="1" summaryRight="1"/>
    <pageSetUpPr fitToPage="1"/>
  </sheetPr>
  <dimension ref="A1:E42"/>
  <sheetViews>
    <sheetView showGridLines="0" zoomScale="90" workbookViewId="0">
      <selection activeCell="A1" sqref="A1"/>
    </sheetView>
  </sheetViews>
  <sheetFormatPr baseColWidth="8" defaultRowHeight="15"/>
  <cols>
    <col width="2" customWidth="1" min="1" max="1"/>
    <col width="8" customWidth="1" min="2" max="2"/>
    <col width="28" customWidth="1" min="3" max="3"/>
    <col width="16" customWidth="1" min="4" max="4"/>
    <col width="90" customWidth="1" min="5" max="5"/>
  </cols>
  <sheetData>
    <row r="1" ht="30" customHeight="1">
      <c r="A1" s="1" t="inlineStr">
        <is>
          <t>Dictionnaire des données</t>
        </is>
      </c>
      <c r="B1" s="2" t="n"/>
      <c r="C1" s="2" t="n"/>
      <c r="D1" s="2" t="n"/>
      <c r="E1" s="26" t="inlineStr">
        <is>
          <t>◄ Accueil</t>
        </is>
      </c>
    </row>
    <row r="2" ht="18" customHeight="1">
      <c r="A2" s="3" t="inlineStr">
        <is>
          <t>Colonnes de la feuille INCIDENTS.</t>
        </is>
      </c>
      <c r="B2" s="2" t="n"/>
      <c r="C2" s="2" t="n"/>
      <c r="D2" s="2" t="n"/>
      <c r="E2" s="2" t="n"/>
    </row>
    <row r="4" ht="30" customHeight="1">
      <c r="B4" s="29" t="inlineStr">
        <is>
          <t>Col.</t>
        </is>
      </c>
      <c r="C4" s="29" t="inlineStr">
        <is>
          <t>Champ</t>
        </is>
      </c>
      <c r="D4" s="29" t="inlineStr">
        <is>
          <t>Type</t>
        </is>
      </c>
      <c r="E4" s="29" t="inlineStr">
        <is>
          <t>Définition</t>
        </is>
      </c>
    </row>
    <row r="5">
      <c r="B5" s="94" t="inlineStr">
        <is>
          <t>A</t>
        </is>
      </c>
      <c r="C5" s="42" t="inlineStr">
        <is>
          <t>ID</t>
        </is>
      </c>
      <c r="D5" s="73" t="inlineStr">
        <is>
          <t>Texte</t>
        </is>
      </c>
      <c r="E5" s="73" t="inlineStr">
        <is>
          <t>Identifiant unique de l'incident (jointure SIG, lien direct vers le tableau de bord).</t>
        </is>
      </c>
    </row>
    <row r="6">
      <c r="B6" s="94" t="inlineStr">
        <is>
          <t>B</t>
        </is>
      </c>
      <c r="C6" s="42" t="inlineStr">
        <is>
          <t>Date</t>
        </is>
      </c>
      <c r="D6" s="73" t="inlineStr">
        <is>
          <t>Date</t>
        </is>
      </c>
      <c r="E6" s="73" t="inlineStr">
        <is>
          <t>Date de l'incident.</t>
        </is>
      </c>
    </row>
    <row r="7">
      <c r="B7" s="94" t="inlineStr">
        <is>
          <t>C</t>
        </is>
      </c>
      <c r="C7" s="42" t="inlineStr">
        <is>
          <t>Semaine ISO</t>
        </is>
      </c>
      <c r="D7" s="95" t="inlineStr">
        <is>
          <t>Formule</t>
        </is>
      </c>
      <c r="E7" s="73" t="inlineStr">
        <is>
          <t>Numéro de semaine ISO 8601.</t>
        </is>
      </c>
    </row>
    <row r="8">
      <c r="B8" s="94" t="inlineStr">
        <is>
          <t>D</t>
        </is>
      </c>
      <c r="C8" s="42" t="inlineStr">
        <is>
          <t>Période</t>
        </is>
      </c>
      <c r="D8" s="95" t="inlineStr">
        <is>
          <t>Formule</t>
        </is>
      </c>
      <c r="E8" s="73" t="inlineStr">
        <is>
          <t>P1 ou P2 selon PARAMETRES.</t>
        </is>
      </c>
    </row>
    <row r="9">
      <c r="B9" s="94" t="inlineStr">
        <is>
          <t>E</t>
        </is>
      </c>
      <c r="C9" s="42" t="inlineStr">
        <is>
          <t>Pays (géocodé)</t>
        </is>
      </c>
      <c r="D9" s="73" t="inlineStr">
        <is>
          <t>Texte</t>
        </is>
      </c>
      <c r="E9" s="73" t="inlineStr">
        <is>
          <t>Pays contenant les coordonnées (jointure spatiale).</t>
        </is>
      </c>
    </row>
    <row r="10">
      <c r="B10" s="94" t="inlineStr">
        <is>
          <t>F</t>
        </is>
      </c>
      <c r="C10" s="42" t="inlineStr">
        <is>
          <t>Région (géocodée)</t>
        </is>
      </c>
      <c r="D10" s="73" t="inlineStr">
        <is>
          <t>Texte</t>
        </is>
      </c>
      <c r="E10" s="73" t="inlineStr">
        <is>
          <t>Région administrative contenant les coordonnées (geoBoundaries ADM1).</t>
        </is>
      </c>
    </row>
    <row r="11">
      <c r="B11" s="94" t="inlineStr">
        <is>
          <t>G</t>
        </is>
      </c>
      <c r="C11" s="42" t="inlineStr">
        <is>
          <t>Cercle (géocodé)</t>
        </is>
      </c>
      <c r="D11" s="73" t="inlineStr">
        <is>
          <t>Texte</t>
        </is>
      </c>
      <c r="E11" s="73" t="inlineStr">
        <is>
          <t>Cercle contenant les coordonnées (geoBoundaries ADM2).</t>
        </is>
      </c>
    </row>
    <row r="12">
      <c r="B12" s="94" t="inlineStr">
        <is>
          <t>H</t>
        </is>
      </c>
      <c r="C12" s="42" t="inlineStr">
        <is>
          <t>Région déclarée</t>
        </is>
      </c>
      <c r="D12" s="73" t="inlineStr">
        <is>
          <t>Texte</t>
        </is>
      </c>
      <c r="E12" s="73" t="inlineStr">
        <is>
          <t>Région ou secteur indiqué par la source.</t>
        </is>
      </c>
    </row>
    <row r="13">
      <c r="B13" s="94" t="inlineStr">
        <is>
          <t>I</t>
        </is>
      </c>
      <c r="C13" s="42" t="inlineStr">
        <is>
          <t>Localité</t>
        </is>
      </c>
      <c r="D13" s="73" t="inlineStr">
        <is>
          <t>Texte</t>
        </is>
      </c>
      <c r="E13" s="73" t="inlineStr">
        <is>
          <t>Lieu de l'incident.</t>
        </is>
      </c>
    </row>
    <row r="14">
      <c r="B14" s="94" t="inlineStr">
        <is>
          <t>J</t>
        </is>
      </c>
      <c r="C14" s="42" t="inlineStr">
        <is>
          <t>Latitude</t>
        </is>
      </c>
      <c r="D14" s="73" t="inlineStr">
        <is>
          <t>Nombre</t>
        </is>
      </c>
      <c r="E14" s="73" t="inlineStr">
        <is>
          <t>WGS84, degrés décimaux.</t>
        </is>
      </c>
    </row>
    <row r="15">
      <c r="B15" s="94" t="inlineStr">
        <is>
          <t>K</t>
        </is>
      </c>
      <c r="C15" s="42" t="inlineStr">
        <is>
          <t>Longitude</t>
        </is>
      </c>
      <c r="D15" s="73" t="inlineStr">
        <is>
          <t>Nombre</t>
        </is>
      </c>
      <c r="E15" s="73" t="inlineStr">
        <is>
          <t>WGS84, degrés décimaux.</t>
        </is>
      </c>
    </row>
    <row r="16">
      <c r="B16" s="94" t="inlineStr">
        <is>
          <t>L</t>
        </is>
      </c>
      <c r="C16" s="42" t="inlineStr">
        <is>
          <t>Précision géo.</t>
        </is>
      </c>
      <c r="D16" s="73" t="inlineStr">
        <is>
          <t>Texte</t>
        </is>
      </c>
      <c r="E16" s="73" t="inlineStr">
        <is>
          <t>« Zone (±10 km) » si les coordonnées n'ont qu'une décimale, sinon « Localité ».</t>
        </is>
      </c>
    </row>
    <row r="17">
      <c r="B17" s="94" t="inlineStr">
        <is>
          <t>M</t>
        </is>
      </c>
      <c r="C17" s="42" t="inlineStr">
        <is>
          <t>Typologie (source)</t>
        </is>
      </c>
      <c r="D17" s="73" t="inlineStr">
        <is>
          <t>Texte</t>
        </is>
      </c>
      <c r="E17" s="73" t="inlineStr">
        <is>
          <t>Typologie telle que saisie dans la base.</t>
        </is>
      </c>
    </row>
    <row r="18">
      <c r="B18" s="94" t="inlineStr">
        <is>
          <t>N</t>
        </is>
      </c>
      <c r="C18" s="42" t="inlineStr">
        <is>
          <t>Mode opératoire</t>
        </is>
      </c>
      <c r="D18" s="73" t="inlineStr">
        <is>
          <t>Texte</t>
        </is>
      </c>
      <c r="E18" s="73" t="inlineStr">
        <is>
          <t>Typologie normalisée en 12 modes.</t>
        </is>
      </c>
    </row>
    <row r="19">
      <c r="B19" s="94" t="inlineStr">
        <is>
          <t>O</t>
        </is>
      </c>
      <c r="C19" s="42" t="inlineStr">
        <is>
          <t>Instigateur</t>
        </is>
      </c>
      <c r="D19" s="73" t="inlineStr">
        <is>
          <t>Texte</t>
        </is>
      </c>
      <c r="E19" s="73" t="inlineStr">
        <is>
          <t>Famille d'acteur : JNIM, EI-Sahel, FLA, FAMa / Africa Corps, Indéterminé / accident.</t>
        </is>
      </c>
    </row>
    <row r="20">
      <c r="B20" s="94" t="inlineStr">
        <is>
          <t>P</t>
        </is>
      </c>
      <c r="C20" s="42" t="inlineStr">
        <is>
          <t>Instigateur (détail)</t>
        </is>
      </c>
      <c r="D20" s="73" t="inlineStr">
        <is>
          <t>Texte</t>
        </is>
      </c>
      <c r="E20" s="73" t="inlineStr">
        <is>
          <t>Acteur tel que saisi.</t>
        </is>
      </c>
    </row>
    <row r="21">
      <c r="B21" s="94" t="inlineStr">
        <is>
          <t>Q</t>
        </is>
      </c>
      <c r="C21" s="42" t="inlineStr">
        <is>
          <t>Cible</t>
        </is>
      </c>
      <c r="D21" s="73" t="inlineStr">
        <is>
          <t>Texte</t>
        </is>
      </c>
      <c r="E21" s="73" t="inlineStr">
        <is>
          <t>Famille de cible : FAMa / Africa Corps, Civils, Milices pro-gouv., Groupes armés, Logistique civile.</t>
        </is>
      </c>
    </row>
    <row r="22">
      <c r="B22" s="94" t="inlineStr">
        <is>
          <t>R</t>
        </is>
      </c>
      <c r="C22" s="42" t="inlineStr">
        <is>
          <t>Cible (détail)</t>
        </is>
      </c>
      <c r="D22" s="73" t="inlineStr">
        <is>
          <t>Texte</t>
        </is>
      </c>
      <c r="E22" s="73" t="inlineStr">
        <is>
          <t>Cible telle que saisie.</t>
        </is>
      </c>
    </row>
    <row r="23">
      <c r="B23" s="94" t="inlineStr">
        <is>
          <t>S</t>
        </is>
      </c>
      <c r="C23" s="42" t="inlineStr">
        <is>
          <t>Description</t>
        </is>
      </c>
      <c r="D23" s="73" t="inlineStr">
        <is>
          <t>Texte</t>
        </is>
      </c>
      <c r="E23" s="73" t="inlineStr">
        <is>
          <t>Récit de l'incident.</t>
        </is>
      </c>
    </row>
    <row r="24">
      <c r="B24" s="94" t="inlineStr">
        <is>
          <t>T</t>
        </is>
      </c>
      <c r="C24" s="42" t="inlineStr">
        <is>
          <t>Morts civils</t>
        </is>
      </c>
      <c r="D24" s="73" t="inlineStr">
        <is>
          <t>Nombre</t>
        </is>
      </c>
      <c r="E24" s="73" t="inlineStr"/>
    </row>
    <row r="25">
      <c r="B25" s="94" t="inlineStr">
        <is>
          <t>U</t>
        </is>
      </c>
      <c r="C25" s="42" t="inlineStr">
        <is>
          <t>Blessés civils</t>
        </is>
      </c>
      <c r="D25" s="73" t="inlineStr">
        <is>
          <t>Nombre</t>
        </is>
      </c>
      <c r="E25" s="73" t="inlineStr"/>
    </row>
    <row r="26">
      <c r="B26" s="94" t="inlineStr">
        <is>
          <t>V</t>
        </is>
      </c>
      <c r="C26" s="42" t="inlineStr">
        <is>
          <t>Morts FDS (FAMa)</t>
        </is>
      </c>
      <c r="D26" s="73" t="inlineStr">
        <is>
          <t>Nombre</t>
        </is>
      </c>
      <c r="E26" s="73" t="inlineStr">
        <is>
          <t>Forces de défense et de sécurité maliennes.</t>
        </is>
      </c>
    </row>
    <row r="27">
      <c r="B27" s="94" t="inlineStr">
        <is>
          <t>W</t>
        </is>
      </c>
      <c r="C27" s="42" t="inlineStr">
        <is>
          <t>Morts Africa Corps</t>
        </is>
      </c>
      <c r="D27" s="73" t="inlineStr">
        <is>
          <t>Nombre</t>
        </is>
      </c>
      <c r="E27" s="73" t="inlineStr">
        <is>
          <t>Forces russes alliées.</t>
        </is>
      </c>
    </row>
    <row r="28">
      <c r="B28" s="94" t="inlineStr">
        <is>
          <t>X</t>
        </is>
      </c>
      <c r="C28" s="42" t="inlineStr">
        <is>
          <t>Morts groupes armés</t>
        </is>
      </c>
      <c r="D28" s="73" t="inlineStr">
        <is>
          <t>Nombre</t>
        </is>
      </c>
      <c r="E28" s="73" t="inlineStr">
        <is>
          <t>Combattants non étatiques.</t>
        </is>
      </c>
    </row>
    <row r="29">
      <c r="B29" s="94" t="inlineStr">
        <is>
          <t>Y</t>
        </is>
      </c>
      <c r="C29" s="42" t="inlineStr">
        <is>
          <t>Total tués</t>
        </is>
      </c>
      <c r="D29" s="95" t="inlineStr">
        <is>
          <t>Formule</t>
        </is>
      </c>
      <c r="E29" s="73" t="inlineStr">
        <is>
          <t>Civils + FDS + Africa Corps + groupes armés.</t>
        </is>
      </c>
    </row>
    <row r="30">
      <c r="B30" s="94" t="inlineStr">
        <is>
          <t>Z</t>
        </is>
      </c>
      <c r="C30" s="42" t="inlineStr">
        <is>
          <t>Capturés</t>
        </is>
      </c>
      <c r="D30" s="73" t="inlineStr">
        <is>
          <t>Nombre</t>
        </is>
      </c>
      <c r="E30" s="73" t="inlineStr">
        <is>
          <t>Prisonniers / capturés.</t>
        </is>
      </c>
    </row>
    <row r="31">
      <c r="B31" s="94" t="inlineStr">
        <is>
          <t>AA</t>
        </is>
      </c>
      <c r="C31" s="42" t="inlineStr">
        <is>
          <t>Véh./aéronefs détruits</t>
        </is>
      </c>
      <c r="D31" s="73" t="inlineStr">
        <is>
          <t>Nombre</t>
        </is>
      </c>
      <c r="E31" s="73" t="inlineStr"/>
    </row>
    <row r="32">
      <c r="B32" s="94" t="inlineStr">
        <is>
          <t>AB</t>
        </is>
      </c>
      <c r="C32" s="42" t="inlineStr">
        <is>
          <t>Véh./aéronefs saisis</t>
        </is>
      </c>
      <c r="D32" s="73" t="inlineStr">
        <is>
          <t>Nombre</t>
        </is>
      </c>
      <c r="E32" s="73" t="inlineStr"/>
    </row>
    <row r="33">
      <c r="B33" s="94" t="inlineStr">
        <is>
          <t>AC</t>
        </is>
      </c>
      <c r="C33" s="42" t="inlineStr">
        <is>
          <t>Armement / équipement saisi</t>
        </is>
      </c>
      <c r="D33" s="73" t="inlineStr">
        <is>
          <t>Texte</t>
        </is>
      </c>
      <c r="E33" s="73" t="inlineStr"/>
    </row>
    <row r="34">
      <c r="B34" s="94" t="inlineStr">
        <is>
          <t>AD</t>
        </is>
      </c>
      <c r="C34" s="42" t="inlineStr">
        <is>
          <t>Impact</t>
        </is>
      </c>
      <c r="D34" s="73" t="inlineStr">
        <is>
          <t>Texte</t>
        </is>
      </c>
      <c r="E34" s="73" t="inlineStr">
        <is>
          <t>Impact sur les infrastructures ou le contrôle territorial.</t>
        </is>
      </c>
    </row>
    <row r="35">
      <c r="B35" s="94" t="inlineStr">
        <is>
          <t>AE</t>
        </is>
      </c>
      <c r="C35" s="42" t="inlineStr">
        <is>
          <t>Distance Bamako (km)</t>
        </is>
      </c>
      <c r="D35" s="95" t="inlineStr">
        <is>
          <t>Formule</t>
        </is>
      </c>
      <c r="E35" s="73" t="inlineStr">
        <is>
          <t>Distance orthodromique (haversine) au centre de Bamako.</t>
        </is>
      </c>
    </row>
    <row r="36">
      <c r="B36" s="94" t="inlineStr">
        <is>
          <t>AF</t>
        </is>
      </c>
      <c r="C36" s="42" t="inlineStr">
        <is>
          <t>Dans le rayon Bamako</t>
        </is>
      </c>
      <c r="D36" s="95" t="inlineStr">
        <is>
          <t>Formule</t>
        </is>
      </c>
      <c r="E36" s="73" t="inlineStr">
        <is>
          <t>Oui si distance ≤ rayon défini dans PARAMETRES.</t>
        </is>
      </c>
    </row>
    <row r="37">
      <c r="B37" s="94" t="inlineStr">
        <is>
          <t>AG</t>
        </is>
      </c>
      <c r="C37" s="42" t="inlineStr">
        <is>
          <t>Fiabilité</t>
        </is>
      </c>
      <c r="D37" s="73" t="inlineStr">
        <is>
          <t>Texte</t>
        </is>
      </c>
      <c r="E37" s="73" t="inlineStr">
        <is>
          <t>Corroboré (≥ 2 sources indépendantes), Partiellement corroboré (1), Source partisane seule, Source unique.</t>
        </is>
      </c>
    </row>
    <row r="38">
      <c r="B38" s="94" t="inlineStr">
        <is>
          <t>AH</t>
        </is>
      </c>
      <c r="C38" s="42" t="inlineStr">
        <is>
          <t>Bilan revendiqué seul</t>
        </is>
      </c>
      <c r="D38" s="73" t="inlineStr">
        <is>
          <t>Texte</t>
        </is>
      </c>
      <c r="E38" s="73" t="inlineStr">
        <is>
          <t>Oui si des pertes sont rapportées sans aucune source indépendante.</t>
        </is>
      </c>
    </row>
    <row r="39">
      <c r="B39" s="94" t="inlineStr">
        <is>
          <t>AI</t>
        </is>
      </c>
      <c r="C39" s="42" t="inlineStr">
        <is>
          <t>Sources</t>
        </is>
      </c>
      <c r="D39" s="73" t="inlineStr">
        <is>
          <t>Texte</t>
        </is>
      </c>
      <c r="E39" s="73" t="inlineStr">
        <is>
          <t>Sources citées, séparées par des virgules.</t>
        </is>
      </c>
    </row>
    <row r="40">
      <c r="B40" s="94" t="inlineStr">
        <is>
          <t>AJ</t>
        </is>
      </c>
      <c r="C40" s="42" t="inlineStr">
        <is>
          <t>Carte OSM</t>
        </is>
      </c>
      <c r="D40" s="73" t="inlineStr">
        <is>
          <t>Lien</t>
        </is>
      </c>
      <c r="E40" s="73" t="inlineStr">
        <is>
          <t>Ouvre le point dans OpenStreetMap.</t>
        </is>
      </c>
    </row>
    <row r="41">
      <c r="B41" s="94" t="inlineStr">
        <is>
          <t>AK</t>
        </is>
      </c>
      <c r="C41" s="42" t="inlineStr">
        <is>
          <t>Google Maps</t>
        </is>
      </c>
      <c r="D41" s="73" t="inlineStr">
        <is>
          <t>Lien</t>
        </is>
      </c>
      <c r="E41" s="73" t="inlineStr">
        <is>
          <t>Ouvre le point dans Google Maps.</t>
        </is>
      </c>
    </row>
    <row r="42">
      <c r="B42" s="94" t="inlineStr">
        <is>
          <t>AL</t>
        </is>
      </c>
      <c r="C42" s="42" t="inlineStr">
        <is>
          <t>Tableau de bord</t>
        </is>
      </c>
      <c r="D42" s="73" t="inlineStr">
        <is>
          <t>Lien</t>
        </is>
      </c>
      <c r="E42" s="73" t="inlineStr">
        <is>
          <t>Ouvre la fiche de l'incident dans le tableau de bord interactif.</t>
        </is>
      </c>
    </row>
  </sheetData>
  <hyperlinks>
    <hyperlink xmlns:r="http://schemas.openxmlformats.org/officeDocument/2006/relationships" ref="E1" r:id="rId1"/>
  </hyperlinks>
  <printOptions horizontalCentered="1"/>
  <pageMargins left="0.4" right="0.4" top="1" bottom="1" header="0.5" footer="0.5"/>
  <pageSetup orientation="landscape" paperSize="9" fitToHeight="0" fitToWidth="1"/>
  <headerFooter>
    <oddHeader/>
    <oddFooter>&amp;LObservatoire sécuritaire Mali · Sources ouvertes · Diffusion restreinte&amp;R&amp;A · page &amp;P /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Observatoire sécuritaire Mali</dc:creator>
  <dc:title xmlns:dc="http://purl.org/dc/elements/1.1/">Observatoire sécuritaire Mali — tableau de bord décisionnel</dc:title>
  <dcterms:created xmlns:dcterms="http://purl.org/dc/terms/" xmlns:xsi="http://www.w3.org/2001/XMLSchema-instance" xsi:type="dcterms:W3CDTF">2026-10-29T09:40:39Z</dcterms:created>
  <dcterms:modified xmlns:dcterms="http://purl.org/dc/terms/" xmlns:xsi="http://www.w3.org/2001/XMLSchema-instance" xsi:type="dcterms:W3CDTF">2026-10-29T09:40:40Z</dcterms:modified>
</cp:coreProperties>
</file>