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TX3\Desktop\projeto_tapeReading\tape_reader_final\"/>
    </mc:Choice>
  </mc:AlternateContent>
  <xr:revisionPtr revIDLastSave="0" documentId="13_ncr:1_{FD995931-3145-4322-96D1-765EB6F25BD7}" xr6:coauthVersionLast="47" xr6:coauthVersionMax="47" xr10:uidLastSave="{00000000-0000-0000-0000-000000000000}"/>
  <bookViews>
    <workbookView xWindow="-28920" yWindow="-120" windowWidth="29040" windowHeight="16440" xr2:uid="{9E557B1C-9987-45AB-AE1D-D8F892970522}"/>
  </bookViews>
  <sheets>
    <sheet name="Sheet1" sheetId="1" r:id="rId1"/>
  </sheets>
  <definedNames>
    <definedName name="RTD_READY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" l="1"/>
  <c r="U2" i="1"/>
  <c r="T4" i="1"/>
  <c r="U4" i="1"/>
  <c r="V4" i="1"/>
  <c r="W4" i="1"/>
  <c r="T5" i="1"/>
  <c r="U5" i="1"/>
  <c r="V5" i="1"/>
  <c r="W5" i="1"/>
  <c r="T6" i="1"/>
  <c r="U6" i="1"/>
  <c r="V6" i="1"/>
  <c r="W6" i="1"/>
  <c r="T7" i="1"/>
  <c r="U7" i="1"/>
  <c r="V7" i="1"/>
  <c r="W7" i="1"/>
  <c r="T8" i="1"/>
  <c r="U8" i="1"/>
  <c r="V8" i="1"/>
  <c r="W8" i="1"/>
  <c r="T9" i="1"/>
  <c r="U9" i="1"/>
  <c r="V9" i="1"/>
  <c r="W9" i="1"/>
  <c r="T10" i="1"/>
  <c r="U10" i="1"/>
  <c r="V10" i="1"/>
  <c r="W10" i="1"/>
  <c r="T11" i="1"/>
  <c r="U11" i="1"/>
  <c r="V11" i="1"/>
  <c r="W11" i="1"/>
  <c r="T12" i="1"/>
  <c r="U12" i="1"/>
  <c r="V12" i="1"/>
  <c r="W12" i="1"/>
  <c r="T13" i="1"/>
  <c r="U13" i="1"/>
  <c r="V13" i="1"/>
  <c r="W13" i="1"/>
  <c r="T14" i="1"/>
  <c r="U14" i="1"/>
  <c r="V14" i="1"/>
  <c r="W14" i="1"/>
  <c r="T15" i="1"/>
  <c r="U15" i="1"/>
  <c r="V15" i="1"/>
  <c r="W15" i="1"/>
  <c r="T16" i="1"/>
  <c r="U16" i="1"/>
  <c r="V16" i="1"/>
  <c r="W16" i="1"/>
  <c r="T17" i="1"/>
  <c r="U17" i="1"/>
  <c r="V17" i="1"/>
  <c r="W17" i="1"/>
  <c r="T18" i="1"/>
  <c r="U18" i="1"/>
  <c r="V18" i="1"/>
  <c r="W18" i="1"/>
  <c r="T19" i="1"/>
  <c r="U19" i="1"/>
  <c r="V19" i="1"/>
  <c r="W19" i="1"/>
  <c r="T20" i="1"/>
  <c r="U20" i="1"/>
  <c r="V20" i="1"/>
  <c r="W20" i="1"/>
  <c r="T21" i="1"/>
  <c r="U21" i="1"/>
  <c r="V21" i="1"/>
  <c r="W21" i="1"/>
  <c r="T22" i="1"/>
  <c r="U22" i="1"/>
  <c r="V22" i="1"/>
  <c r="W22" i="1"/>
  <c r="T23" i="1"/>
  <c r="U23" i="1"/>
  <c r="V23" i="1"/>
  <c r="W23" i="1"/>
  <c r="T24" i="1"/>
  <c r="U24" i="1"/>
  <c r="V24" i="1"/>
  <c r="W24" i="1"/>
  <c r="T25" i="1"/>
  <c r="U25" i="1"/>
  <c r="V25" i="1"/>
  <c r="W25" i="1"/>
  <c r="T26" i="1"/>
  <c r="U26" i="1"/>
  <c r="V26" i="1"/>
  <c r="W26" i="1"/>
  <c r="T27" i="1"/>
  <c r="U27" i="1"/>
  <c r="V27" i="1"/>
  <c r="W27" i="1"/>
  <c r="T28" i="1"/>
  <c r="U28" i="1"/>
  <c r="V28" i="1"/>
  <c r="W28" i="1"/>
  <c r="T29" i="1"/>
  <c r="U29" i="1"/>
  <c r="V29" i="1"/>
  <c r="W29" i="1"/>
  <c r="T30" i="1"/>
  <c r="U30" i="1"/>
  <c r="V30" i="1"/>
  <c r="W30" i="1"/>
  <c r="T31" i="1"/>
  <c r="U31" i="1"/>
  <c r="V31" i="1"/>
  <c r="W31" i="1"/>
  <c r="T32" i="1"/>
  <c r="U32" i="1"/>
  <c r="V32" i="1"/>
  <c r="W32" i="1"/>
  <c r="T33" i="1"/>
  <c r="U33" i="1"/>
  <c r="V33" i="1"/>
  <c r="W33" i="1"/>
  <c r="T34" i="1"/>
  <c r="U34" i="1"/>
  <c r="V34" i="1"/>
  <c r="W34" i="1"/>
  <c r="T35" i="1"/>
  <c r="U35" i="1"/>
  <c r="V35" i="1"/>
  <c r="W35" i="1"/>
  <c r="T36" i="1"/>
  <c r="U36" i="1"/>
  <c r="V36" i="1"/>
  <c r="W36" i="1"/>
  <c r="T37" i="1"/>
  <c r="U37" i="1"/>
  <c r="V37" i="1"/>
  <c r="W37" i="1"/>
  <c r="T38" i="1"/>
  <c r="U38" i="1"/>
  <c r="V38" i="1"/>
  <c r="W38" i="1"/>
  <c r="T39" i="1"/>
  <c r="U39" i="1"/>
  <c r="V39" i="1"/>
  <c r="W39" i="1"/>
  <c r="T40" i="1"/>
  <c r="U40" i="1"/>
  <c r="V40" i="1"/>
  <c r="W40" i="1"/>
  <c r="T41" i="1"/>
  <c r="U41" i="1"/>
  <c r="V41" i="1"/>
  <c r="W41" i="1"/>
  <c r="T42" i="1"/>
  <c r="U42" i="1"/>
  <c r="V42" i="1"/>
  <c r="W42" i="1"/>
  <c r="T43" i="1"/>
  <c r="U43" i="1"/>
  <c r="V43" i="1"/>
  <c r="W43" i="1"/>
  <c r="T44" i="1"/>
  <c r="U44" i="1"/>
  <c r="V44" i="1"/>
  <c r="W44" i="1"/>
  <c r="T45" i="1"/>
  <c r="U45" i="1"/>
  <c r="V45" i="1"/>
  <c r="W45" i="1"/>
  <c r="T46" i="1"/>
  <c r="U46" i="1"/>
  <c r="V46" i="1"/>
  <c r="W46" i="1"/>
  <c r="T47" i="1"/>
  <c r="U47" i="1"/>
  <c r="V47" i="1"/>
  <c r="W47" i="1"/>
  <c r="T48" i="1"/>
  <c r="U48" i="1"/>
  <c r="V48" i="1"/>
  <c r="W48" i="1"/>
  <c r="T49" i="1"/>
  <c r="U49" i="1"/>
  <c r="V49" i="1"/>
  <c r="W49" i="1"/>
  <c r="T50" i="1"/>
  <c r="U50" i="1"/>
  <c r="V50" i="1"/>
  <c r="W50" i="1"/>
  <c r="T51" i="1"/>
  <c r="U51" i="1"/>
  <c r="V51" i="1"/>
  <c r="W51" i="1"/>
  <c r="T52" i="1"/>
  <c r="U52" i="1"/>
  <c r="V52" i="1"/>
  <c r="W52" i="1"/>
  <c r="T53" i="1"/>
  <c r="U53" i="1"/>
  <c r="V53" i="1"/>
  <c r="W53" i="1"/>
  <c r="T54" i="1"/>
  <c r="U54" i="1"/>
  <c r="V54" i="1"/>
  <c r="W54" i="1"/>
  <c r="T55" i="1"/>
  <c r="U55" i="1"/>
  <c r="V55" i="1"/>
  <c r="W55" i="1"/>
  <c r="T56" i="1"/>
  <c r="U56" i="1"/>
  <c r="V56" i="1"/>
  <c r="W56" i="1"/>
  <c r="T57" i="1"/>
  <c r="U57" i="1"/>
  <c r="V57" i="1"/>
  <c r="W57" i="1"/>
  <c r="T58" i="1"/>
  <c r="U58" i="1"/>
  <c r="V58" i="1"/>
  <c r="W58" i="1"/>
  <c r="T59" i="1"/>
  <c r="U59" i="1"/>
  <c r="V59" i="1"/>
  <c r="W59" i="1"/>
  <c r="T60" i="1"/>
  <c r="U60" i="1"/>
  <c r="V60" i="1"/>
  <c r="W60" i="1"/>
  <c r="T61" i="1"/>
  <c r="U61" i="1"/>
  <c r="V61" i="1"/>
  <c r="W61" i="1"/>
  <c r="T62" i="1"/>
  <c r="U62" i="1"/>
  <c r="V62" i="1"/>
  <c r="W62" i="1"/>
  <c r="T63" i="1"/>
  <c r="U63" i="1"/>
  <c r="V63" i="1"/>
  <c r="W63" i="1"/>
  <c r="T64" i="1"/>
  <c r="U64" i="1"/>
  <c r="V64" i="1"/>
  <c r="W64" i="1"/>
  <c r="T65" i="1"/>
  <c r="U65" i="1"/>
  <c r="V65" i="1"/>
  <c r="W65" i="1"/>
  <c r="T66" i="1"/>
  <c r="U66" i="1"/>
  <c r="V66" i="1"/>
  <c r="W66" i="1"/>
  <c r="T67" i="1"/>
  <c r="U67" i="1"/>
  <c r="V67" i="1"/>
  <c r="W67" i="1"/>
  <c r="T68" i="1"/>
  <c r="U68" i="1"/>
  <c r="V68" i="1"/>
  <c r="W68" i="1"/>
  <c r="T69" i="1"/>
  <c r="U69" i="1"/>
  <c r="V69" i="1"/>
  <c r="W69" i="1"/>
  <c r="T70" i="1"/>
  <c r="U70" i="1"/>
  <c r="V70" i="1"/>
  <c r="W70" i="1"/>
  <c r="T71" i="1"/>
  <c r="U71" i="1"/>
  <c r="V71" i="1"/>
  <c r="W71" i="1"/>
  <c r="T72" i="1"/>
  <c r="U72" i="1"/>
  <c r="V72" i="1"/>
  <c r="W72" i="1"/>
  <c r="T73" i="1"/>
  <c r="U73" i="1"/>
  <c r="V73" i="1"/>
  <c r="W73" i="1"/>
  <c r="T74" i="1"/>
  <c r="U74" i="1"/>
  <c r="V74" i="1"/>
  <c r="W74" i="1"/>
  <c r="T75" i="1"/>
  <c r="U75" i="1"/>
  <c r="V75" i="1"/>
  <c r="W75" i="1"/>
  <c r="T76" i="1"/>
  <c r="U76" i="1"/>
  <c r="V76" i="1"/>
  <c r="W76" i="1"/>
  <c r="T77" i="1"/>
  <c r="U77" i="1"/>
  <c r="V77" i="1"/>
  <c r="W77" i="1"/>
  <c r="T78" i="1"/>
  <c r="U78" i="1"/>
  <c r="V78" i="1"/>
  <c r="W78" i="1"/>
  <c r="T79" i="1"/>
  <c r="U79" i="1"/>
  <c r="V79" i="1"/>
  <c r="W79" i="1"/>
  <c r="T80" i="1"/>
  <c r="U80" i="1"/>
  <c r="V80" i="1"/>
  <c r="W80" i="1"/>
  <c r="T81" i="1"/>
  <c r="U81" i="1"/>
  <c r="V81" i="1"/>
  <c r="W81" i="1"/>
  <c r="T82" i="1"/>
  <c r="U82" i="1"/>
  <c r="V82" i="1"/>
  <c r="W82" i="1"/>
  <c r="T83" i="1"/>
  <c r="U83" i="1"/>
  <c r="V83" i="1"/>
  <c r="W83" i="1"/>
  <c r="T84" i="1"/>
  <c r="U84" i="1"/>
  <c r="V84" i="1"/>
  <c r="W84" i="1"/>
  <c r="T85" i="1"/>
  <c r="U85" i="1"/>
  <c r="V85" i="1"/>
  <c r="W85" i="1"/>
  <c r="T86" i="1"/>
  <c r="U86" i="1"/>
  <c r="V86" i="1"/>
  <c r="W86" i="1"/>
  <c r="T87" i="1"/>
  <c r="U87" i="1"/>
  <c r="V87" i="1"/>
  <c r="W87" i="1"/>
  <c r="T88" i="1"/>
  <c r="U88" i="1"/>
  <c r="V88" i="1"/>
  <c r="W88" i="1"/>
  <c r="T89" i="1"/>
  <c r="U89" i="1"/>
  <c r="V89" i="1"/>
  <c r="W89" i="1"/>
  <c r="T90" i="1"/>
  <c r="U90" i="1"/>
  <c r="V90" i="1"/>
  <c r="W90" i="1"/>
  <c r="T91" i="1"/>
  <c r="U91" i="1"/>
  <c r="V91" i="1"/>
  <c r="W91" i="1"/>
  <c r="T92" i="1"/>
  <c r="U92" i="1"/>
  <c r="V92" i="1"/>
  <c r="W92" i="1"/>
  <c r="T93" i="1"/>
  <c r="U93" i="1"/>
  <c r="V93" i="1"/>
  <c r="W93" i="1"/>
  <c r="T94" i="1"/>
  <c r="U94" i="1"/>
  <c r="V94" i="1"/>
  <c r="W94" i="1"/>
  <c r="T95" i="1"/>
  <c r="U95" i="1"/>
  <c r="V95" i="1"/>
  <c r="W95" i="1"/>
  <c r="T96" i="1"/>
  <c r="U96" i="1"/>
  <c r="V96" i="1"/>
  <c r="W96" i="1"/>
  <c r="T97" i="1"/>
  <c r="U97" i="1"/>
  <c r="V97" i="1"/>
  <c r="W97" i="1"/>
  <c r="T98" i="1"/>
  <c r="U98" i="1"/>
  <c r="V98" i="1"/>
  <c r="W98" i="1"/>
  <c r="T99" i="1"/>
  <c r="U99" i="1"/>
  <c r="V99" i="1"/>
  <c r="W99" i="1"/>
  <c r="T100" i="1"/>
  <c r="U100" i="1"/>
  <c r="V100" i="1"/>
  <c r="W100" i="1"/>
  <c r="T101" i="1"/>
  <c r="U101" i="1"/>
  <c r="V101" i="1"/>
  <c r="W101" i="1"/>
  <c r="T102" i="1"/>
  <c r="U102" i="1"/>
  <c r="V102" i="1"/>
  <c r="W102" i="1"/>
  <c r="T103" i="1"/>
  <c r="U103" i="1"/>
  <c r="V103" i="1"/>
  <c r="W103" i="1"/>
  <c r="N2" i="1"/>
  <c r="O2" i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N47" i="1"/>
  <c r="O47" i="1"/>
  <c r="P47" i="1"/>
  <c r="Q47" i="1"/>
  <c r="N48" i="1"/>
  <c r="O48" i="1"/>
  <c r="P48" i="1"/>
  <c r="Q48" i="1"/>
  <c r="N49" i="1"/>
  <c r="O49" i="1"/>
  <c r="P49" i="1"/>
  <c r="Q49" i="1"/>
  <c r="N50" i="1"/>
  <c r="O50" i="1"/>
  <c r="P50" i="1"/>
  <c r="Q50" i="1"/>
  <c r="N51" i="1"/>
  <c r="O51" i="1"/>
  <c r="P51" i="1"/>
  <c r="Q51" i="1"/>
  <c r="N52" i="1"/>
  <c r="O52" i="1"/>
  <c r="P52" i="1"/>
  <c r="Q52" i="1"/>
  <c r="N53" i="1"/>
  <c r="O53" i="1"/>
  <c r="P53" i="1"/>
  <c r="Q53" i="1"/>
  <c r="N54" i="1"/>
  <c r="O54" i="1"/>
  <c r="P54" i="1"/>
  <c r="Q54" i="1"/>
  <c r="N55" i="1"/>
  <c r="O55" i="1"/>
  <c r="P55" i="1"/>
  <c r="Q55" i="1"/>
  <c r="N56" i="1"/>
  <c r="O56" i="1"/>
  <c r="P56" i="1"/>
  <c r="Q56" i="1"/>
  <c r="N57" i="1"/>
  <c r="O57" i="1"/>
  <c r="P57" i="1"/>
  <c r="Q57" i="1"/>
  <c r="N58" i="1"/>
  <c r="O58" i="1"/>
  <c r="P58" i="1"/>
  <c r="Q58" i="1"/>
  <c r="N59" i="1"/>
  <c r="O59" i="1"/>
  <c r="P59" i="1"/>
  <c r="Q59" i="1"/>
  <c r="N60" i="1"/>
  <c r="O60" i="1"/>
  <c r="P60" i="1"/>
  <c r="Q60" i="1"/>
  <c r="N61" i="1"/>
  <c r="O61" i="1"/>
  <c r="P61" i="1"/>
  <c r="Q61" i="1"/>
  <c r="N62" i="1"/>
  <c r="O62" i="1"/>
  <c r="P62" i="1"/>
  <c r="Q62" i="1"/>
  <c r="N63" i="1"/>
  <c r="O63" i="1"/>
  <c r="P63" i="1"/>
  <c r="Q63" i="1"/>
  <c r="N64" i="1"/>
  <c r="O64" i="1"/>
  <c r="P64" i="1"/>
  <c r="Q64" i="1"/>
  <c r="N65" i="1"/>
  <c r="O65" i="1"/>
  <c r="P65" i="1"/>
  <c r="Q65" i="1"/>
  <c r="N66" i="1"/>
  <c r="O66" i="1"/>
  <c r="P66" i="1"/>
  <c r="Q66" i="1"/>
  <c r="N67" i="1"/>
  <c r="O67" i="1"/>
  <c r="P67" i="1"/>
  <c r="Q67" i="1"/>
  <c r="N68" i="1"/>
  <c r="O68" i="1"/>
  <c r="P68" i="1"/>
  <c r="Q68" i="1"/>
  <c r="N69" i="1"/>
  <c r="O69" i="1"/>
  <c r="P69" i="1"/>
  <c r="Q69" i="1"/>
  <c r="N70" i="1"/>
  <c r="O70" i="1"/>
  <c r="P70" i="1"/>
  <c r="Q70" i="1"/>
  <c r="N71" i="1"/>
  <c r="O71" i="1"/>
  <c r="P71" i="1"/>
  <c r="Q71" i="1"/>
  <c r="N72" i="1"/>
  <c r="O72" i="1"/>
  <c r="P72" i="1"/>
  <c r="Q72" i="1"/>
  <c r="N73" i="1"/>
  <c r="O73" i="1"/>
  <c r="P73" i="1"/>
  <c r="Q73" i="1"/>
  <c r="N74" i="1"/>
  <c r="O74" i="1"/>
  <c r="P74" i="1"/>
  <c r="Q74" i="1"/>
  <c r="N75" i="1"/>
  <c r="O75" i="1"/>
  <c r="P75" i="1"/>
  <c r="Q75" i="1"/>
  <c r="N76" i="1"/>
  <c r="O76" i="1"/>
  <c r="P76" i="1"/>
  <c r="Q76" i="1"/>
  <c r="N77" i="1"/>
  <c r="O77" i="1"/>
  <c r="P77" i="1"/>
  <c r="Q77" i="1"/>
  <c r="N78" i="1"/>
  <c r="O78" i="1"/>
  <c r="P78" i="1"/>
  <c r="Q78" i="1"/>
  <c r="N79" i="1"/>
  <c r="O79" i="1"/>
  <c r="P79" i="1"/>
  <c r="Q79" i="1"/>
  <c r="N80" i="1"/>
  <c r="O80" i="1"/>
  <c r="P80" i="1"/>
  <c r="Q80" i="1"/>
  <c r="N81" i="1"/>
  <c r="O81" i="1"/>
  <c r="P81" i="1"/>
  <c r="Q81" i="1"/>
  <c r="N82" i="1"/>
  <c r="O82" i="1"/>
  <c r="P82" i="1"/>
  <c r="Q82" i="1"/>
  <c r="N83" i="1"/>
  <c r="O83" i="1"/>
  <c r="P83" i="1"/>
  <c r="Q83" i="1"/>
  <c r="N84" i="1"/>
  <c r="O84" i="1"/>
  <c r="P84" i="1"/>
  <c r="Q84" i="1"/>
  <c r="N85" i="1"/>
  <c r="O85" i="1"/>
  <c r="P85" i="1"/>
  <c r="Q85" i="1"/>
  <c r="N86" i="1"/>
  <c r="O86" i="1"/>
  <c r="P86" i="1"/>
  <c r="Q86" i="1"/>
  <c r="N87" i="1"/>
  <c r="O87" i="1"/>
  <c r="P87" i="1"/>
  <c r="Q87" i="1"/>
  <c r="N88" i="1"/>
  <c r="O88" i="1"/>
  <c r="P88" i="1"/>
  <c r="Q88" i="1"/>
  <c r="N89" i="1"/>
  <c r="O89" i="1"/>
  <c r="P89" i="1"/>
  <c r="Q89" i="1"/>
  <c r="N90" i="1"/>
  <c r="O90" i="1"/>
  <c r="P90" i="1"/>
  <c r="Q90" i="1"/>
  <c r="N91" i="1"/>
  <c r="O91" i="1"/>
  <c r="P91" i="1"/>
  <c r="Q91" i="1"/>
  <c r="N92" i="1"/>
  <c r="O92" i="1"/>
  <c r="P92" i="1"/>
  <c r="Q92" i="1"/>
  <c r="N93" i="1"/>
  <c r="O93" i="1"/>
  <c r="P93" i="1"/>
  <c r="Q93" i="1"/>
  <c r="N94" i="1"/>
  <c r="O94" i="1"/>
  <c r="P94" i="1"/>
  <c r="Q94" i="1"/>
  <c r="N95" i="1"/>
  <c r="O95" i="1"/>
  <c r="P95" i="1"/>
  <c r="Q95" i="1"/>
  <c r="N96" i="1"/>
  <c r="O96" i="1"/>
  <c r="P96" i="1"/>
  <c r="Q96" i="1"/>
  <c r="N97" i="1"/>
  <c r="O97" i="1"/>
  <c r="P97" i="1"/>
  <c r="Q97" i="1"/>
  <c r="N98" i="1"/>
  <c r="O98" i="1"/>
  <c r="P98" i="1"/>
  <c r="Q98" i="1"/>
  <c r="N99" i="1"/>
  <c r="O99" i="1"/>
  <c r="P99" i="1"/>
  <c r="Q99" i="1"/>
  <c r="N100" i="1"/>
  <c r="O100" i="1"/>
  <c r="P100" i="1"/>
  <c r="Q100" i="1"/>
  <c r="N101" i="1"/>
  <c r="O101" i="1"/>
  <c r="P101" i="1"/>
  <c r="Q101" i="1"/>
  <c r="N102" i="1"/>
  <c r="O102" i="1"/>
  <c r="P102" i="1"/>
  <c r="Q102" i="1"/>
  <c r="N103" i="1"/>
  <c r="O103" i="1"/>
  <c r="P103" i="1"/>
  <c r="Q103" i="1"/>
  <c r="H2" i="1"/>
  <c r="I2" i="1"/>
  <c r="H4" i="1"/>
  <c r="I4" i="1"/>
  <c r="J4" i="1"/>
  <c r="K4" i="1"/>
  <c r="H5" i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  <c r="H20" i="1"/>
  <c r="I20" i="1"/>
  <c r="J20" i="1"/>
  <c r="K20" i="1"/>
  <c r="H21" i="1"/>
  <c r="I21" i="1"/>
  <c r="J21" i="1"/>
  <c r="K21" i="1"/>
  <c r="H22" i="1"/>
  <c r="I22" i="1"/>
  <c r="J22" i="1"/>
  <c r="K22" i="1"/>
  <c r="H23" i="1"/>
  <c r="I23" i="1"/>
  <c r="J23" i="1"/>
  <c r="K23" i="1"/>
  <c r="H24" i="1"/>
  <c r="I24" i="1"/>
  <c r="J24" i="1"/>
  <c r="K24" i="1"/>
  <c r="H25" i="1"/>
  <c r="I25" i="1"/>
  <c r="J25" i="1"/>
  <c r="K25" i="1"/>
  <c r="H26" i="1"/>
  <c r="I26" i="1"/>
  <c r="J26" i="1"/>
  <c r="K26" i="1"/>
  <c r="H27" i="1"/>
  <c r="I27" i="1"/>
  <c r="J27" i="1"/>
  <c r="K27" i="1"/>
  <c r="H28" i="1"/>
  <c r="I28" i="1"/>
  <c r="J28" i="1"/>
  <c r="K28" i="1"/>
  <c r="H29" i="1"/>
  <c r="I29" i="1"/>
  <c r="J29" i="1"/>
  <c r="K29" i="1"/>
  <c r="H30" i="1"/>
  <c r="I30" i="1"/>
  <c r="J30" i="1"/>
  <c r="K30" i="1"/>
  <c r="H31" i="1"/>
  <c r="I31" i="1"/>
  <c r="J31" i="1"/>
  <c r="K31" i="1"/>
  <c r="H32" i="1"/>
  <c r="I32" i="1"/>
  <c r="J32" i="1"/>
  <c r="K32" i="1"/>
  <c r="H33" i="1"/>
  <c r="I33" i="1"/>
  <c r="J33" i="1"/>
  <c r="K33" i="1"/>
  <c r="H34" i="1"/>
  <c r="I34" i="1"/>
  <c r="J34" i="1"/>
  <c r="K34" i="1"/>
  <c r="H35" i="1"/>
  <c r="I35" i="1"/>
  <c r="J35" i="1"/>
  <c r="K35" i="1"/>
  <c r="H36" i="1"/>
  <c r="I36" i="1"/>
  <c r="J36" i="1"/>
  <c r="K36" i="1"/>
  <c r="H37" i="1"/>
  <c r="I37" i="1"/>
  <c r="J37" i="1"/>
  <c r="K37" i="1"/>
  <c r="H38" i="1"/>
  <c r="I38" i="1"/>
  <c r="J38" i="1"/>
  <c r="K38" i="1"/>
  <c r="H39" i="1"/>
  <c r="I39" i="1"/>
  <c r="J39" i="1"/>
  <c r="K39" i="1"/>
  <c r="H40" i="1"/>
  <c r="I40" i="1"/>
  <c r="J40" i="1"/>
  <c r="K40" i="1"/>
  <c r="H41" i="1"/>
  <c r="I41" i="1"/>
  <c r="J41" i="1"/>
  <c r="K41" i="1"/>
  <c r="H42" i="1"/>
  <c r="I42" i="1"/>
  <c r="J42" i="1"/>
  <c r="K42" i="1"/>
  <c r="H43" i="1"/>
  <c r="I43" i="1"/>
  <c r="J43" i="1"/>
  <c r="K43" i="1"/>
  <c r="H44" i="1"/>
  <c r="I44" i="1"/>
  <c r="J44" i="1"/>
  <c r="K44" i="1"/>
  <c r="H45" i="1"/>
  <c r="I45" i="1"/>
  <c r="J45" i="1"/>
  <c r="K45" i="1"/>
  <c r="H46" i="1"/>
  <c r="I46" i="1"/>
  <c r="J46" i="1"/>
  <c r="K46" i="1"/>
  <c r="H47" i="1"/>
  <c r="I47" i="1"/>
  <c r="J47" i="1"/>
  <c r="K47" i="1"/>
  <c r="H48" i="1"/>
  <c r="I48" i="1"/>
  <c r="J48" i="1"/>
  <c r="K48" i="1"/>
  <c r="H49" i="1"/>
  <c r="I49" i="1"/>
  <c r="J49" i="1"/>
  <c r="K49" i="1"/>
  <c r="H50" i="1"/>
  <c r="I50" i="1"/>
  <c r="J50" i="1"/>
  <c r="K50" i="1"/>
  <c r="H51" i="1"/>
  <c r="I51" i="1"/>
  <c r="J51" i="1"/>
  <c r="K51" i="1"/>
  <c r="H52" i="1"/>
  <c r="I52" i="1"/>
  <c r="J52" i="1"/>
  <c r="K52" i="1"/>
  <c r="H53" i="1"/>
  <c r="I53" i="1"/>
  <c r="J53" i="1"/>
  <c r="K53" i="1"/>
  <c r="H54" i="1"/>
  <c r="I54" i="1"/>
  <c r="J54" i="1"/>
  <c r="K54" i="1"/>
  <c r="H55" i="1"/>
  <c r="I55" i="1"/>
  <c r="J55" i="1"/>
  <c r="K55" i="1"/>
  <c r="H56" i="1"/>
  <c r="I56" i="1"/>
  <c r="J56" i="1"/>
  <c r="K56" i="1"/>
  <c r="H57" i="1"/>
  <c r="I57" i="1"/>
  <c r="J57" i="1"/>
  <c r="K57" i="1"/>
  <c r="H58" i="1"/>
  <c r="I58" i="1"/>
  <c r="J58" i="1"/>
  <c r="K58" i="1"/>
  <c r="H59" i="1"/>
  <c r="I59" i="1"/>
  <c r="J59" i="1"/>
  <c r="K59" i="1"/>
  <c r="H60" i="1"/>
  <c r="I60" i="1"/>
  <c r="J60" i="1"/>
  <c r="K60" i="1"/>
  <c r="H61" i="1"/>
  <c r="I61" i="1"/>
  <c r="J61" i="1"/>
  <c r="K61" i="1"/>
  <c r="H62" i="1"/>
  <c r="I62" i="1"/>
  <c r="J62" i="1"/>
  <c r="K62" i="1"/>
  <c r="H63" i="1"/>
  <c r="I63" i="1"/>
  <c r="J63" i="1"/>
  <c r="K63" i="1"/>
  <c r="H64" i="1"/>
  <c r="I64" i="1"/>
  <c r="J64" i="1"/>
  <c r="K64" i="1"/>
  <c r="H65" i="1"/>
  <c r="I65" i="1"/>
  <c r="J65" i="1"/>
  <c r="K65" i="1"/>
  <c r="H66" i="1"/>
  <c r="I66" i="1"/>
  <c r="J66" i="1"/>
  <c r="K66" i="1"/>
  <c r="H67" i="1"/>
  <c r="I67" i="1"/>
  <c r="J67" i="1"/>
  <c r="K67" i="1"/>
  <c r="H68" i="1"/>
  <c r="I68" i="1"/>
  <c r="J68" i="1"/>
  <c r="K68" i="1"/>
  <c r="H69" i="1"/>
  <c r="I69" i="1"/>
  <c r="J69" i="1"/>
  <c r="K69" i="1"/>
  <c r="H70" i="1"/>
  <c r="I70" i="1"/>
  <c r="J70" i="1"/>
  <c r="K70" i="1"/>
  <c r="H71" i="1"/>
  <c r="I71" i="1"/>
  <c r="J71" i="1"/>
  <c r="K71" i="1"/>
  <c r="H72" i="1"/>
  <c r="I72" i="1"/>
  <c r="J72" i="1"/>
  <c r="K72" i="1"/>
  <c r="H73" i="1"/>
  <c r="I73" i="1"/>
  <c r="J73" i="1"/>
  <c r="K73" i="1"/>
  <c r="H74" i="1"/>
  <c r="I74" i="1"/>
  <c r="J74" i="1"/>
  <c r="K74" i="1"/>
  <c r="H75" i="1"/>
  <c r="I75" i="1"/>
  <c r="J75" i="1"/>
  <c r="K75" i="1"/>
  <c r="H76" i="1"/>
  <c r="I76" i="1"/>
  <c r="J76" i="1"/>
  <c r="K76" i="1"/>
  <c r="H77" i="1"/>
  <c r="I77" i="1"/>
  <c r="J77" i="1"/>
  <c r="K77" i="1"/>
  <c r="H78" i="1"/>
  <c r="I78" i="1"/>
  <c r="J78" i="1"/>
  <c r="K78" i="1"/>
  <c r="H79" i="1"/>
  <c r="I79" i="1"/>
  <c r="J79" i="1"/>
  <c r="K79" i="1"/>
  <c r="H80" i="1"/>
  <c r="I80" i="1"/>
  <c r="J80" i="1"/>
  <c r="K80" i="1"/>
  <c r="H81" i="1"/>
  <c r="I81" i="1"/>
  <c r="J81" i="1"/>
  <c r="K81" i="1"/>
  <c r="H82" i="1"/>
  <c r="I82" i="1"/>
  <c r="J82" i="1"/>
  <c r="K82" i="1"/>
  <c r="H83" i="1"/>
  <c r="I83" i="1"/>
  <c r="J83" i="1"/>
  <c r="K83" i="1"/>
  <c r="H84" i="1"/>
  <c r="I84" i="1"/>
  <c r="J84" i="1"/>
  <c r="K84" i="1"/>
  <c r="H85" i="1"/>
  <c r="I85" i="1"/>
  <c r="J85" i="1"/>
  <c r="K85" i="1"/>
  <c r="H86" i="1"/>
  <c r="I86" i="1"/>
  <c r="J86" i="1"/>
  <c r="K86" i="1"/>
  <c r="H87" i="1"/>
  <c r="I87" i="1"/>
  <c r="J87" i="1"/>
  <c r="K87" i="1"/>
  <c r="H88" i="1"/>
  <c r="I88" i="1"/>
  <c r="J88" i="1"/>
  <c r="K88" i="1"/>
  <c r="H89" i="1"/>
  <c r="I89" i="1"/>
  <c r="J89" i="1"/>
  <c r="K89" i="1"/>
  <c r="H90" i="1"/>
  <c r="I90" i="1"/>
  <c r="J90" i="1"/>
  <c r="K90" i="1"/>
  <c r="H91" i="1"/>
  <c r="I91" i="1"/>
  <c r="J91" i="1"/>
  <c r="K91" i="1"/>
  <c r="H92" i="1"/>
  <c r="I92" i="1"/>
  <c r="J92" i="1"/>
  <c r="K92" i="1"/>
  <c r="H93" i="1"/>
  <c r="I93" i="1"/>
  <c r="J93" i="1"/>
  <c r="K93" i="1"/>
  <c r="H94" i="1"/>
  <c r="I94" i="1"/>
  <c r="J94" i="1"/>
  <c r="K94" i="1"/>
  <c r="H95" i="1"/>
  <c r="I95" i="1"/>
  <c r="J95" i="1"/>
  <c r="K95" i="1"/>
  <c r="H96" i="1"/>
  <c r="I96" i="1"/>
  <c r="J96" i="1"/>
  <c r="K96" i="1"/>
  <c r="H97" i="1"/>
  <c r="I97" i="1"/>
  <c r="J97" i="1"/>
  <c r="K97" i="1"/>
  <c r="H98" i="1"/>
  <c r="I98" i="1"/>
  <c r="J98" i="1"/>
  <c r="K98" i="1"/>
  <c r="H99" i="1"/>
  <c r="I99" i="1"/>
  <c r="J99" i="1"/>
  <c r="K99" i="1"/>
  <c r="H100" i="1"/>
  <c r="I100" i="1"/>
  <c r="J100" i="1"/>
  <c r="K100" i="1"/>
  <c r="H101" i="1"/>
  <c r="I101" i="1"/>
  <c r="J101" i="1"/>
  <c r="K101" i="1"/>
  <c r="H102" i="1"/>
  <c r="I102" i="1"/>
  <c r="J102" i="1"/>
  <c r="K102" i="1"/>
  <c r="H103" i="1"/>
  <c r="I103" i="1"/>
  <c r="J103" i="1"/>
  <c r="K103" i="1"/>
  <c r="B2" i="1"/>
  <c r="C2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B54" i="1"/>
  <c r="C54" i="1"/>
  <c r="D54" i="1"/>
  <c r="E54" i="1"/>
  <c r="B55" i="1"/>
  <c r="C55" i="1"/>
  <c r="D55" i="1"/>
  <c r="E55" i="1"/>
  <c r="B56" i="1"/>
  <c r="C56" i="1"/>
  <c r="D56" i="1"/>
  <c r="E56" i="1"/>
  <c r="B57" i="1"/>
  <c r="C57" i="1"/>
  <c r="D57" i="1"/>
  <c r="E57" i="1"/>
  <c r="B58" i="1"/>
  <c r="C58" i="1"/>
  <c r="D58" i="1"/>
  <c r="E58" i="1"/>
  <c r="B59" i="1"/>
  <c r="C59" i="1"/>
  <c r="D59" i="1"/>
  <c r="E59" i="1"/>
  <c r="B60" i="1"/>
  <c r="C60" i="1"/>
  <c r="D60" i="1"/>
  <c r="E60" i="1"/>
  <c r="B61" i="1"/>
  <c r="C61" i="1"/>
  <c r="D61" i="1"/>
  <c r="E61" i="1"/>
  <c r="B62" i="1"/>
  <c r="C62" i="1"/>
  <c r="D62" i="1"/>
  <c r="E62" i="1"/>
  <c r="B63" i="1"/>
  <c r="C63" i="1"/>
  <c r="D63" i="1"/>
  <c r="E63" i="1"/>
  <c r="B64" i="1"/>
  <c r="C64" i="1"/>
  <c r="D64" i="1"/>
  <c r="E64" i="1"/>
  <c r="B65" i="1"/>
  <c r="C65" i="1"/>
  <c r="D65" i="1"/>
  <c r="E65" i="1"/>
  <c r="B66" i="1"/>
  <c r="C66" i="1"/>
  <c r="D66" i="1"/>
  <c r="E66" i="1"/>
  <c r="B67" i="1"/>
  <c r="C67" i="1"/>
  <c r="D67" i="1"/>
  <c r="E67" i="1"/>
  <c r="B68" i="1"/>
  <c r="C68" i="1"/>
  <c r="D68" i="1"/>
  <c r="E68" i="1"/>
  <c r="B69" i="1"/>
  <c r="C69" i="1"/>
  <c r="D69" i="1"/>
  <c r="E69" i="1"/>
  <c r="B70" i="1"/>
  <c r="C70" i="1"/>
  <c r="D70" i="1"/>
  <c r="E70" i="1"/>
  <c r="B71" i="1"/>
  <c r="C71" i="1"/>
  <c r="D71" i="1"/>
  <c r="E71" i="1"/>
  <c r="B72" i="1"/>
  <c r="C72" i="1"/>
  <c r="D72" i="1"/>
  <c r="E72" i="1"/>
  <c r="B73" i="1"/>
  <c r="C73" i="1"/>
  <c r="D73" i="1"/>
  <c r="E73" i="1"/>
  <c r="B74" i="1"/>
  <c r="C74" i="1"/>
  <c r="D74" i="1"/>
  <c r="E74" i="1"/>
  <c r="B75" i="1"/>
  <c r="C75" i="1"/>
  <c r="D75" i="1"/>
  <c r="E75" i="1"/>
  <c r="B76" i="1"/>
  <c r="C76" i="1"/>
  <c r="D76" i="1"/>
  <c r="E76" i="1"/>
  <c r="B77" i="1"/>
  <c r="C77" i="1"/>
  <c r="D77" i="1"/>
  <c r="E77" i="1"/>
  <c r="B78" i="1"/>
  <c r="C78" i="1"/>
  <c r="D78" i="1"/>
  <c r="E78" i="1"/>
  <c r="B79" i="1"/>
  <c r="C79" i="1"/>
  <c r="D79" i="1"/>
  <c r="E79" i="1"/>
  <c r="B80" i="1"/>
  <c r="C80" i="1"/>
  <c r="D80" i="1"/>
  <c r="E80" i="1"/>
  <c r="B81" i="1"/>
  <c r="C81" i="1"/>
  <c r="D81" i="1"/>
  <c r="E81" i="1"/>
  <c r="B82" i="1"/>
  <c r="C82" i="1"/>
  <c r="D82" i="1"/>
  <c r="E82" i="1"/>
  <c r="B83" i="1"/>
  <c r="C83" i="1"/>
  <c r="D83" i="1"/>
  <c r="E83" i="1"/>
  <c r="B84" i="1"/>
  <c r="C84" i="1"/>
  <c r="D84" i="1"/>
  <c r="E84" i="1"/>
  <c r="B85" i="1"/>
  <c r="C85" i="1"/>
  <c r="D85" i="1"/>
  <c r="E85" i="1"/>
  <c r="B86" i="1"/>
  <c r="C86" i="1"/>
  <c r="D86" i="1"/>
  <c r="E86" i="1"/>
  <c r="B87" i="1"/>
  <c r="C87" i="1"/>
  <c r="D87" i="1"/>
  <c r="E87" i="1"/>
  <c r="B88" i="1"/>
  <c r="C88" i="1"/>
  <c r="D88" i="1"/>
  <c r="E88" i="1"/>
  <c r="B89" i="1"/>
  <c r="C89" i="1"/>
  <c r="D89" i="1"/>
  <c r="E89" i="1"/>
  <c r="B90" i="1"/>
  <c r="C90" i="1"/>
  <c r="D90" i="1"/>
  <c r="E90" i="1"/>
  <c r="B91" i="1"/>
  <c r="C91" i="1"/>
  <c r="D91" i="1"/>
  <c r="E91" i="1"/>
  <c r="B92" i="1"/>
  <c r="C92" i="1"/>
  <c r="D92" i="1"/>
  <c r="E92" i="1"/>
  <c r="B93" i="1"/>
  <c r="C93" i="1"/>
  <c r="D93" i="1"/>
  <c r="E93" i="1"/>
  <c r="B94" i="1"/>
  <c r="C94" i="1"/>
  <c r="D94" i="1"/>
  <c r="E94" i="1"/>
  <c r="B95" i="1"/>
  <c r="C95" i="1"/>
  <c r="D95" i="1"/>
  <c r="E95" i="1"/>
  <c r="B96" i="1"/>
  <c r="C96" i="1"/>
  <c r="D96" i="1"/>
  <c r="E96" i="1"/>
  <c r="B97" i="1"/>
  <c r="C97" i="1"/>
  <c r="D97" i="1"/>
  <c r="E97" i="1"/>
  <c r="B98" i="1"/>
  <c r="C98" i="1"/>
  <c r="D98" i="1"/>
  <c r="E98" i="1"/>
  <c r="B99" i="1"/>
  <c r="C99" i="1"/>
  <c r="D99" i="1"/>
  <c r="E99" i="1"/>
  <c r="B100" i="1"/>
  <c r="C100" i="1"/>
  <c r="D100" i="1"/>
  <c r="E100" i="1"/>
  <c r="B101" i="1"/>
  <c r="C101" i="1"/>
  <c r="D101" i="1"/>
  <c r="E101" i="1"/>
  <c r="B102" i="1"/>
  <c r="C102" i="1"/>
  <c r="D102" i="1"/>
  <c r="E102" i="1"/>
  <c r="B103" i="1"/>
  <c r="C103" i="1"/>
  <c r="D103" i="1"/>
  <c r="E103" i="1"/>
</calcChain>
</file>

<file path=xl/sharedStrings.xml><?xml version="1.0" encoding="utf-8"?>
<sst xmlns="http://schemas.openxmlformats.org/spreadsheetml/2006/main" count="21" uniqueCount="12">
  <si>
    <t>Data</t>
  </si>
  <si>
    <t>Agressor</t>
  </si>
  <si>
    <t>Valor</t>
  </si>
  <si>
    <t>Quantidade</t>
  </si>
  <si>
    <t>Qtde</t>
  </si>
  <si>
    <t>Compra</t>
  </si>
  <si>
    <t>Venda</t>
  </si>
  <si>
    <t>Livro de Ofertas WDOFUT</t>
  </si>
  <si>
    <t>Livro de Ofertas DOLFUT</t>
  </si>
  <si>
    <t>OK</t>
  </si>
  <si>
    <t>Times &amp; Trade WDOFUT  sem  filtros</t>
  </si>
  <si>
    <t>Times &amp; Trade DOLFUT  sem filtros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</si>
</sst>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trading.rtdserver">
      <tp t="s">
        <v>11:28:37</v>
        <stp/>
        <stp>T&amp;T0</stp>
        <stp>DAT</stp>
        <stp>8</stp>
        <tr r="B12" s="1"/>
      </tp>
      <tp t="s">
        <v>11:28:37</v>
        <stp/>
        <stp>T&amp;T0</stp>
        <stp>DAT</stp>
        <stp>9</stp>
        <tr r="B13" s="1"/>
      </tp>
      <tp t="s">
        <v>11:28:37</v>
        <stp/>
        <stp>T&amp;T0</stp>
        <stp>DAT</stp>
        <stp>6</stp>
        <tr r="B10" s="1"/>
      </tp>
      <tp t="s">
        <v>11:28:37</v>
        <stp/>
        <stp>T&amp;T0</stp>
        <stp>DAT</stp>
        <stp>7</stp>
        <tr r="B11" s="1"/>
      </tp>
      <tp t="s">
        <v>11:28:45</v>
        <stp/>
        <stp>T&amp;T0</stp>
        <stp>DAT</stp>
        <stp>4</stp>
        <tr r="B8" s="1"/>
      </tp>
      <tp t="s">
        <v>11:28:37</v>
        <stp/>
        <stp>T&amp;T0</stp>
        <stp>DAT</stp>
        <stp>5</stp>
        <tr r="B9" s="1"/>
      </tp>
      <tp t="s">
        <v>11:28:45</v>
        <stp/>
        <stp>T&amp;T0</stp>
        <stp>DAT</stp>
        <stp>2</stp>
        <tr r="B6" s="1"/>
      </tp>
      <tp t="s">
        <v>11:28:45</v>
        <stp/>
        <stp>T&amp;T0</stp>
        <stp>DAT</stp>
        <stp>3</stp>
        <tr r="B7" s="1"/>
      </tp>
      <tp t="s">
        <v>11:28:46</v>
        <stp/>
        <stp>T&amp;T0</stp>
        <stp>DAT</stp>
        <stp>0</stp>
        <tr r="B4" s="1"/>
      </tp>
      <tp t="s">
        <v>11:28:46</v>
        <stp/>
        <stp>T&amp;T0</stp>
        <stp>DAT</stp>
        <stp>1</stp>
        <tr r="B5" s="1"/>
      </tp>
      <tp t="s">
        <v>11:28:15</v>
        <stp/>
        <stp>T&amp;T1</stp>
        <stp>DAT</stp>
        <stp>8</stp>
        <tr r="H12" s="1"/>
      </tp>
      <tp t="s">
        <v>11:28:15</v>
        <stp/>
        <stp>T&amp;T1</stp>
        <stp>DAT</stp>
        <stp>9</stp>
        <tr r="H13" s="1"/>
      </tp>
      <tp t="s">
        <v>11:28:37</v>
        <stp/>
        <stp>T&amp;T1</stp>
        <stp>DAT</stp>
        <stp>6</stp>
        <tr r="H10" s="1"/>
      </tp>
      <tp t="s">
        <v>11:28:37</v>
        <stp/>
        <stp>T&amp;T1</stp>
        <stp>DAT</stp>
        <stp>7</stp>
        <tr r="H11" s="1"/>
      </tp>
      <tp t="s">
        <v>11:28:45</v>
        <stp/>
        <stp>T&amp;T1</stp>
        <stp>DAT</stp>
        <stp>4</stp>
        <tr r="H8" s="1"/>
      </tp>
      <tp t="s">
        <v>11:28:45</v>
        <stp/>
        <stp>T&amp;T1</stp>
        <stp>DAT</stp>
        <stp>5</stp>
        <tr r="H9" s="1"/>
      </tp>
      <tp t="s">
        <v>11:28:45</v>
        <stp/>
        <stp>T&amp;T1</stp>
        <stp>DAT</stp>
        <stp>2</stp>
        <tr r="H6" s="1"/>
      </tp>
      <tp t="s">
        <v>11:28:45</v>
        <stp/>
        <stp>T&amp;T1</stp>
        <stp>DAT</stp>
        <stp>3</stp>
        <tr r="H7" s="1"/>
      </tp>
      <tp t="s">
        <v>11:28:46</v>
        <stp/>
        <stp>T&amp;T1</stp>
        <stp>DAT</stp>
        <stp>0</stp>
        <tr r="H4" s="1"/>
      </tp>
      <tp t="s">
        <v>11:28:45</v>
        <stp/>
        <stp>T&amp;T1</stp>
        <stp>DAT</stp>
        <stp>1</stp>
        <tr r="H5" s="1"/>
      </tp>
      <tp t="s">
        <v>Comprador</v>
        <stp/>
        <stp>T&amp;T0</stp>
        <stp>AGR</stp>
        <stp>9</stp>
        <tr r="C13" s="1"/>
      </tp>
      <tp t="s">
        <v>Comprador</v>
        <stp/>
        <stp>T&amp;T0</stp>
        <stp>AGR</stp>
        <stp>8</stp>
        <tr r="C12" s="1"/>
      </tp>
      <tp t="s">
        <v>Comprador</v>
        <stp/>
        <stp>T&amp;T0</stp>
        <stp>AGR</stp>
        <stp>3</stp>
        <tr r="C7" s="1"/>
      </tp>
      <tp t="s">
        <v>Comprador</v>
        <stp/>
        <stp>T&amp;T0</stp>
        <stp>AGR</stp>
        <stp>2</stp>
        <tr r="C6" s="1"/>
      </tp>
      <tp t="s">
        <v>Comprador</v>
        <stp/>
        <stp>T&amp;T0</stp>
        <stp>AGR</stp>
        <stp>1</stp>
        <tr r="C5" s="1"/>
      </tp>
      <tp t="s">
        <v>Vendedor</v>
        <stp/>
        <stp>T&amp;T0</stp>
        <stp>AGR</stp>
        <stp>0</stp>
        <tr r="C4" s="1"/>
      </tp>
      <tp t="s">
        <v>Comprador</v>
        <stp/>
        <stp>T&amp;T0</stp>
        <stp>AGR</stp>
        <stp>7</stp>
        <tr r="C11" s="1"/>
      </tp>
      <tp t="s">
        <v>Comprador</v>
        <stp/>
        <stp>T&amp;T0</stp>
        <stp>AGR</stp>
        <stp>6</stp>
        <tr r="C10" s="1"/>
      </tp>
      <tp t="s">
        <v>Vendedor</v>
        <stp/>
        <stp>T&amp;T0</stp>
        <stp>AGR</stp>
        <stp>5</stp>
        <tr r="C9" s="1"/>
      </tp>
      <tp t="s">
        <v>Comprador</v>
        <stp/>
        <stp>T&amp;T0</stp>
        <stp>AGR</stp>
        <stp>4</stp>
        <tr r="C8" s="1"/>
      </tp>
      <tp t="s">
        <v>Comprador</v>
        <stp/>
        <stp>T&amp;T1</stp>
        <stp>AGR</stp>
        <stp>9</stp>
        <tr r="I13" s="1"/>
      </tp>
      <tp t="s">
        <v>Vendedor</v>
        <stp/>
        <stp>T&amp;T1</stp>
        <stp>AGR</stp>
        <stp>8</stp>
        <tr r="I12" s="1"/>
      </tp>
      <tp t="s">
        <v>Vendedor</v>
        <stp/>
        <stp>T&amp;T1</stp>
        <stp>AGR</stp>
        <stp>3</stp>
        <tr r="I7" s="1"/>
      </tp>
      <tp t="s">
        <v>Vendedor</v>
        <stp/>
        <stp>T&amp;T1</stp>
        <stp>AGR</stp>
        <stp>2</stp>
        <tr r="I6" s="1"/>
      </tp>
      <tp t="s">
        <v>Vendedor</v>
        <stp/>
        <stp>T&amp;T1</stp>
        <stp>AGR</stp>
        <stp>1</stp>
        <tr r="I5" s="1"/>
      </tp>
      <tp t="s">
        <v>Vendedor</v>
        <stp/>
        <stp>T&amp;T1</stp>
        <stp>AGR</stp>
        <stp>0</stp>
        <tr r="I4" s="1"/>
      </tp>
      <tp t="s">
        <v>Comprador</v>
        <stp/>
        <stp>T&amp;T1</stp>
        <stp>AGR</stp>
        <stp>7</stp>
        <tr r="I11" s="1"/>
      </tp>
      <tp t="s">
        <v>Vendedor</v>
        <stp/>
        <stp>T&amp;T1</stp>
        <stp>AGR</stp>
        <stp>6</stp>
        <tr r="I10" s="1"/>
      </tp>
      <tp t="s">
        <v>Comprador</v>
        <stp/>
        <stp>T&amp;T1</stp>
        <stp>AGR</stp>
        <stp>5</stp>
        <tr r="I9" s="1"/>
      </tp>
      <tp t="s">
        <v>Vendedor</v>
        <stp/>
        <stp>T&amp;T1</stp>
        <stp>AGR</stp>
        <stp>4</stp>
        <tr r="I8" s="1"/>
      </tp>
      <tp>
        <v>25</v>
        <stp/>
        <stp>BOOK1</stp>
        <stp>VOC</stp>
        <stp>1</stp>
        <tr r="T5" s="1"/>
      </tp>
      <tp>
        <v>10</v>
        <stp/>
        <stp>BOOK1</stp>
        <stp>VOC</stp>
        <stp>0</stp>
        <tr r="T4" s="1"/>
      </tp>
      <tp>
        <v>20</v>
        <stp/>
        <stp>BOOK1</stp>
        <stp>VOC</stp>
        <stp>3</stp>
        <tr r="T7" s="1"/>
      </tp>
      <tp>
        <v>10</v>
        <stp/>
        <stp>BOOK1</stp>
        <stp>VOC</stp>
        <stp>2</stp>
        <tr r="T6" s="1"/>
      </tp>
      <tp>
        <v>20</v>
        <stp/>
        <stp>BOOK1</stp>
        <stp>VOC</stp>
        <stp>5</stp>
        <tr r="T9" s="1"/>
      </tp>
      <tp>
        <v>25</v>
        <stp/>
        <stp>BOOK1</stp>
        <stp>VOC</stp>
        <stp>4</stp>
        <tr r="T8" s="1"/>
      </tp>
      <tp>
        <v>10</v>
        <stp/>
        <stp>BOOK1</stp>
        <stp>VOC</stp>
        <stp>7</stp>
        <tr r="T11" s="1"/>
      </tp>
      <tp>
        <v>20</v>
        <stp/>
        <stp>BOOK1</stp>
        <stp>VOC</stp>
        <stp>6</stp>
        <tr r="T10" s="1"/>
      </tp>
      <tp>
        <v>30</v>
        <stp/>
        <stp>BOOK1</stp>
        <stp>VOC</stp>
        <stp>9</stp>
        <tr r="T13" s="1"/>
      </tp>
      <tp>
        <v>10</v>
        <stp/>
        <stp>BOOK1</stp>
        <stp>VOC</stp>
        <stp>8</stp>
        <tr r="T12" s="1"/>
      </tp>
      <tp>
        <v>100</v>
        <stp/>
        <stp>BOOK0</stp>
        <stp>VOC</stp>
        <stp>1</stp>
        <tr r="N5" s="1"/>
      </tp>
      <tp>
        <v>50</v>
        <stp/>
        <stp>BOOK0</stp>
        <stp>VOC</stp>
        <stp>0</stp>
        <tr r="N4" s="1"/>
      </tp>
      <tp>
        <v>50</v>
        <stp/>
        <stp>BOOK0</stp>
        <stp>VOC</stp>
        <stp>3</stp>
        <tr r="N7" s="1"/>
      </tp>
      <tp>
        <v>50</v>
        <stp/>
        <stp>BOOK0</stp>
        <stp>VOC</stp>
        <stp>2</stp>
        <tr r="N6" s="1"/>
      </tp>
      <tp>
        <v>50</v>
        <stp/>
        <stp>BOOK0</stp>
        <stp>VOC</stp>
        <stp>5</stp>
        <tr r="N9" s="1"/>
      </tp>
      <tp>
        <v>50</v>
        <stp/>
        <stp>BOOK0</stp>
        <stp>VOC</stp>
        <stp>4</stp>
        <tr r="N8" s="1"/>
      </tp>
      <tp>
        <v>100</v>
        <stp/>
        <stp>BOOK0</stp>
        <stp>VOC</stp>
        <stp>7</stp>
        <tr r="N11" s="1"/>
      </tp>
      <tp>
        <v>50</v>
        <stp/>
        <stp>BOOK0</stp>
        <stp>VOC</stp>
        <stp>6</stp>
        <tr r="N10" s="1"/>
      </tp>
      <tp>
        <v>100</v>
        <stp/>
        <stp>BOOK0</stp>
        <stp>VOC</stp>
        <stp>9</stp>
        <tr r="N13" s="1"/>
      </tp>
      <tp>
        <v>50</v>
        <stp/>
        <stp>BOOK0</stp>
        <stp>VOC</stp>
        <stp>8</stp>
        <tr r="N12" s="1"/>
      </tp>
      <tp>
        <v>5724.5</v>
        <stp/>
        <stp>BOOK0</stp>
        <stp>OVD</stp>
        <stp>8</stp>
        <tr r="P12" s="1"/>
      </tp>
      <tp>
        <v>5725.5</v>
        <stp/>
        <stp>BOOK0</stp>
        <stp>OVD</stp>
        <stp>9</stp>
        <tr r="P13" s="1"/>
      </tp>
      <tp>
        <v>5716</v>
        <stp/>
        <stp>BOOK0</stp>
        <stp>OVD</stp>
        <stp>0</stp>
        <tr r="P4" s="1"/>
      </tp>
      <tp>
        <v>5717</v>
        <stp/>
        <stp>BOOK0</stp>
        <stp>OVD</stp>
        <stp>1</stp>
        <tr r="P5" s="1"/>
      </tp>
      <tp>
        <v>5720</v>
        <stp/>
        <stp>BOOK0</stp>
        <stp>OVD</stp>
        <stp>2</stp>
        <tr r="P6" s="1"/>
      </tp>
      <tp>
        <v>5720</v>
        <stp/>
        <stp>BOOK0</stp>
        <stp>OVD</stp>
        <stp>3</stp>
        <tr r="P7" s="1"/>
      </tp>
      <tp>
        <v>5722</v>
        <stp/>
        <stp>BOOK0</stp>
        <stp>OVD</stp>
        <stp>4</stp>
        <tr r="P8" s="1"/>
      </tp>
      <tp>
        <v>5723</v>
        <stp/>
        <stp>BOOK0</stp>
        <stp>OVD</stp>
        <stp>5</stp>
        <tr r="P9" s="1"/>
      </tp>
      <tp>
        <v>5723</v>
        <stp/>
        <stp>BOOK0</stp>
        <stp>OVD</stp>
        <stp>6</stp>
        <tr r="P10" s="1"/>
      </tp>
      <tp>
        <v>5724</v>
        <stp/>
        <stp>BOOK0</stp>
        <stp>OVD</stp>
        <stp>7</stp>
        <tr r="P11" s="1"/>
      </tp>
      <tp>
        <v>5727</v>
        <stp/>
        <stp>BOOK1</stp>
        <stp>OVD</stp>
        <stp>8</stp>
        <tr r="V12" s="1"/>
      </tp>
      <tp>
        <v>5727</v>
        <stp/>
        <stp>BOOK1</stp>
        <stp>OVD</stp>
        <stp>9</stp>
        <tr r="V13" s="1"/>
      </tp>
      <tp>
        <v>5717</v>
        <stp/>
        <stp>BOOK1</stp>
        <stp>OVD</stp>
        <stp>0</stp>
        <tr r="V4" s="1"/>
      </tp>
      <tp>
        <v>5718</v>
        <stp/>
        <stp>BOOK1</stp>
        <stp>OVD</stp>
        <stp>1</stp>
        <tr r="V5" s="1"/>
      </tp>
      <tp>
        <v>5720</v>
        <stp/>
        <stp>BOOK1</stp>
        <stp>OVD</stp>
        <stp>2</stp>
        <tr r="V6" s="1"/>
      </tp>
      <tp>
        <v>5721</v>
        <stp/>
        <stp>BOOK1</stp>
        <stp>OVD</stp>
        <stp>3</stp>
        <tr r="V7" s="1"/>
      </tp>
      <tp>
        <v>5721.5</v>
        <stp/>
        <stp>BOOK1</stp>
        <stp>OVD</stp>
        <stp>4</stp>
        <tr r="V8" s="1"/>
      </tp>
      <tp>
        <v>5723.5</v>
        <stp/>
        <stp>BOOK1</stp>
        <stp>OVD</stp>
        <stp>5</stp>
        <tr r="V9" s="1"/>
      </tp>
      <tp>
        <v>5725</v>
        <stp/>
        <stp>BOOK1</stp>
        <stp>OVD</stp>
        <stp>6</stp>
        <tr r="V10" s="1"/>
      </tp>
      <tp>
        <v>5726</v>
        <stp/>
        <stp>BOOK1</stp>
        <stp>OVD</stp>
        <stp>7</stp>
        <tr r="V11" s="1"/>
      </tp>
      <tp>
        <v>5714</v>
        <stp/>
        <stp>T&amp;T1</stp>
        <stp>PRE</stp>
        <stp>8</stp>
        <tr r="J12" s="1"/>
      </tp>
      <tp>
        <v>5714</v>
        <stp/>
        <stp>T&amp;T1</stp>
        <stp>PRE</stp>
        <stp>9</stp>
        <tr r="J13" s="1"/>
      </tp>
      <tp>
        <v>5715</v>
        <stp/>
        <stp>T&amp;T1</stp>
        <stp>PRE</stp>
        <stp>2</stp>
        <tr r="J6" s="1"/>
      </tp>
      <tp>
        <v>5715</v>
        <stp/>
        <stp>T&amp;T1</stp>
        <stp>PRE</stp>
        <stp>3</stp>
        <tr r="J7" s="1"/>
      </tp>
      <tp>
        <v>5715</v>
        <stp/>
        <stp>T&amp;T1</stp>
        <stp>PRE</stp>
        <stp>0</stp>
        <tr r="J4" s="1"/>
      </tp>
      <tp>
        <v>5715</v>
        <stp/>
        <stp>T&amp;T1</stp>
        <stp>PRE</stp>
        <stp>1</stp>
        <tr r="J5" s="1"/>
      </tp>
      <tp>
        <v>5714</v>
        <stp/>
        <stp>T&amp;T1</stp>
        <stp>PRE</stp>
        <stp>6</stp>
        <tr r="J10" s="1"/>
      </tp>
      <tp>
        <v>5714.5</v>
        <stp/>
        <stp>T&amp;T1</stp>
        <stp>PRE</stp>
        <stp>7</stp>
        <tr r="J11" s="1"/>
      </tp>
      <tp>
        <v>5715</v>
        <stp/>
        <stp>T&amp;T1</stp>
        <stp>PRE</stp>
        <stp>4</stp>
        <tr r="J8" s="1"/>
      </tp>
      <tp>
        <v>5715</v>
        <stp/>
        <stp>T&amp;T1</stp>
        <stp>PRE</stp>
        <stp>5</stp>
        <tr r="J9" s="1"/>
      </tp>
      <tp>
        <v>5714.5</v>
        <stp/>
        <stp>T&amp;T0</stp>
        <stp>PRE</stp>
        <stp>8</stp>
        <tr r="D12" s="1"/>
      </tp>
      <tp>
        <v>5714.5</v>
        <stp/>
        <stp>T&amp;T0</stp>
        <stp>PRE</stp>
        <stp>9</stp>
        <tr r="D13" s="1"/>
      </tp>
      <tp>
        <v>5715</v>
        <stp/>
        <stp>T&amp;T0</stp>
        <stp>PRE</stp>
        <stp>2</stp>
        <tr r="D6" s="1"/>
      </tp>
      <tp>
        <v>5714.5</v>
        <stp/>
        <stp>T&amp;T0</stp>
        <stp>PRE</stp>
        <stp>3</stp>
        <tr r="D7" s="1"/>
      </tp>
      <tp>
        <v>5715</v>
        <stp/>
        <stp>T&amp;T0</stp>
        <stp>PRE</stp>
        <stp>0</stp>
        <tr r="D4" s="1"/>
      </tp>
      <tp>
        <v>5715.5</v>
        <stp/>
        <stp>T&amp;T0</stp>
        <stp>PRE</stp>
        <stp>1</stp>
        <tr r="D5" s="1"/>
      </tp>
      <tp>
        <v>5714.5</v>
        <stp/>
        <stp>T&amp;T0</stp>
        <stp>PRE</stp>
        <stp>6</stp>
        <tr r="D10" s="1"/>
      </tp>
      <tp>
        <v>5714.5</v>
        <stp/>
        <stp>T&amp;T0</stp>
        <stp>PRE</stp>
        <stp>7</stp>
        <tr r="D11" s="1"/>
      </tp>
      <tp>
        <v>5714</v>
        <stp/>
        <stp>T&amp;T0</stp>
        <stp>PRE</stp>
        <stp>4</stp>
        <tr r="D8" s="1"/>
      </tp>
      <tp>
        <v>5714</v>
        <stp/>
        <stp>T&amp;T0</stp>
        <stp>PRE</stp>
        <stp>5</stp>
        <tr r="D9" s="1"/>
      </tp>
      <tp>
        <v>111</v>
        <stp/>
        <stp>T&amp;T0</stp>
        <stp>QUL</stp>
        <stp>9</stp>
        <tr r="E13" s="1"/>
      </tp>
      <tp>
        <v>160</v>
        <stp/>
        <stp>T&amp;T0</stp>
        <stp>QUL</stp>
        <stp>8</stp>
        <tr r="E12" s="1"/>
      </tp>
      <tp>
        <v>50</v>
        <stp/>
        <stp>T&amp;T0</stp>
        <stp>QUL</stp>
        <stp>3</stp>
        <tr r="E7" s="1"/>
      </tp>
      <tp>
        <v>36</v>
        <stp/>
        <stp>T&amp;T0</stp>
        <stp>QUL</stp>
        <stp>2</stp>
        <tr r="E6" s="1"/>
      </tp>
      <tp>
        <v>346</v>
        <stp/>
        <stp>T&amp;T0</stp>
        <stp>QUL</stp>
        <stp>1</stp>
        <tr r="E5" s="1"/>
      </tp>
      <tp>
        <v>75</v>
        <stp/>
        <stp>T&amp;T0</stp>
        <stp>QUL</stp>
        <stp>0</stp>
        <tr r="E4" s="1"/>
      </tp>
      <tp>
        <v>88</v>
        <stp/>
        <stp>T&amp;T0</stp>
        <stp>QUL</stp>
        <stp>7</stp>
        <tr r="E11" s="1"/>
      </tp>
      <tp>
        <v>109</v>
        <stp/>
        <stp>T&amp;T0</stp>
        <stp>QUL</stp>
        <stp>6</stp>
        <tr r="E10" s="1"/>
      </tp>
      <tp>
        <v>51</v>
        <stp/>
        <stp>T&amp;T0</stp>
        <stp>QUL</stp>
        <stp>5</stp>
        <tr r="E9" s="1"/>
      </tp>
      <tp>
        <v>37</v>
        <stp/>
        <stp>T&amp;T0</stp>
        <stp>QUL</stp>
        <stp>4</stp>
        <tr r="E8" s="1"/>
      </tp>
      <tp>
        <v>10</v>
        <stp/>
        <stp>T&amp;T1</stp>
        <stp>QUL</stp>
        <stp>9</stp>
        <tr r="K13" s="1"/>
      </tp>
      <tp>
        <v>5</v>
        <stp/>
        <stp>T&amp;T1</stp>
        <stp>QUL</stp>
        <stp>8</stp>
        <tr r="K12" s="1"/>
      </tp>
      <tp>
        <v>10</v>
        <stp/>
        <stp>T&amp;T1</stp>
        <stp>QUL</stp>
        <stp>3</stp>
        <tr r="K7" s="1"/>
      </tp>
      <tp>
        <v>15</v>
        <stp/>
        <stp>T&amp;T1</stp>
        <stp>QUL</stp>
        <stp>2</stp>
        <tr r="K6" s="1"/>
      </tp>
      <tp>
        <v>5</v>
        <stp/>
        <stp>T&amp;T1</stp>
        <stp>QUL</stp>
        <stp>1</stp>
        <tr r="K5" s="1"/>
      </tp>
      <tp>
        <v>5</v>
        <stp/>
        <stp>T&amp;T1</stp>
        <stp>QUL</stp>
        <stp>0</stp>
        <tr r="K4" s="1"/>
      </tp>
      <tp>
        <v>5</v>
        <stp/>
        <stp>T&amp;T1</stp>
        <stp>QUL</stp>
        <stp>7</stp>
        <tr r="K11" s="1"/>
      </tp>
      <tp>
        <v>15</v>
        <stp/>
        <stp>T&amp;T1</stp>
        <stp>QUL</stp>
        <stp>6</stp>
        <tr r="K10" s="1"/>
      </tp>
      <tp>
        <v>65</v>
        <stp/>
        <stp>T&amp;T1</stp>
        <stp>QUL</stp>
        <stp>5</stp>
        <tr r="K9" s="1"/>
      </tp>
      <tp>
        <v>10</v>
        <stp/>
        <stp>T&amp;T1</stp>
        <stp>QUL</stp>
        <stp>4</stp>
        <tr r="K8" s="1"/>
      </tp>
      <tp>
        <v>5708.5</v>
        <stp/>
        <stp>BOOK0</stp>
        <stp>OCP</stp>
        <stp>8</stp>
        <tr r="O12" s="1"/>
      </tp>
      <tp>
        <v>5708.5</v>
        <stp/>
        <stp>BOOK0</stp>
        <stp>OCP</stp>
        <stp>9</stp>
        <tr r="O13" s="1"/>
      </tp>
      <tp>
        <v>5712.5</v>
        <stp/>
        <stp>BOOK0</stp>
        <stp>OCP</stp>
        <stp>0</stp>
        <tr r="O4" s="1"/>
      </tp>
      <tp>
        <v>5712</v>
        <stp/>
        <stp>BOOK0</stp>
        <stp>OCP</stp>
        <stp>1</stp>
        <tr r="O5" s="1"/>
      </tp>
      <tp>
        <v>5711.5</v>
        <stp/>
        <stp>BOOK0</stp>
        <stp>OCP</stp>
        <stp>2</stp>
        <tr r="O6" s="1"/>
      </tp>
      <tp>
        <v>5710</v>
        <stp/>
        <stp>BOOK0</stp>
        <stp>OCP</stp>
        <stp>3</stp>
        <tr r="O7" s="1"/>
      </tp>
      <tp>
        <v>5710</v>
        <stp/>
        <stp>BOOK0</stp>
        <stp>OCP</stp>
        <stp>4</stp>
        <tr r="O8" s="1"/>
      </tp>
      <tp>
        <v>5710</v>
        <stp/>
        <stp>BOOK0</stp>
        <stp>OCP</stp>
        <stp>5</stp>
        <tr r="O9" s="1"/>
      </tp>
      <tp>
        <v>5709</v>
        <stp/>
        <stp>BOOK0</stp>
        <stp>OCP</stp>
        <stp>6</stp>
        <tr r="O10" s="1"/>
      </tp>
      <tp>
        <v>5709</v>
        <stp/>
        <stp>BOOK0</stp>
        <stp>OCP</stp>
        <stp>7</stp>
        <tr r="O11" s="1"/>
      </tp>
      <tp>
        <v>5697</v>
        <stp/>
        <stp>BOOK1</stp>
        <stp>OCP</stp>
        <stp>8</stp>
        <tr r="U12" s="1"/>
      </tp>
      <tp>
        <v>5697</v>
        <stp/>
        <stp>BOOK1</stp>
        <stp>OCP</stp>
        <stp>9</stp>
        <tr r="U13" s="1"/>
      </tp>
      <tp>
        <v>5712.5</v>
        <stp/>
        <stp>BOOK1</stp>
        <stp>OCP</stp>
        <stp>0</stp>
        <tr r="U4" s="1"/>
      </tp>
      <tp>
        <v>5703</v>
        <stp/>
        <stp>BOOK1</stp>
        <stp>OCP</stp>
        <stp>1</stp>
        <tr r="U5" s="1"/>
      </tp>
      <tp>
        <v>5703</v>
        <stp/>
        <stp>BOOK1</stp>
        <stp>OCP</stp>
        <stp>2</stp>
        <tr r="U6" s="1"/>
      </tp>
      <tp>
        <v>5701</v>
        <stp/>
        <stp>BOOK1</stp>
        <stp>OCP</stp>
        <stp>3</stp>
        <tr r="U7" s="1"/>
      </tp>
      <tp>
        <v>5700</v>
        <stp/>
        <stp>BOOK1</stp>
        <stp>OCP</stp>
        <stp>4</stp>
        <tr r="U8" s="1"/>
      </tp>
      <tp>
        <v>5700</v>
        <stp/>
        <stp>BOOK1</stp>
        <stp>OCP</stp>
        <stp>5</stp>
        <tr r="U9" s="1"/>
      </tp>
      <tp>
        <v>5698</v>
        <stp/>
        <stp>BOOK1</stp>
        <stp>OCP</stp>
        <stp>6</stp>
        <tr r="U10" s="1"/>
      </tp>
      <tp>
        <v>5697.5</v>
        <stp/>
        <stp>BOOK1</stp>
        <stp>OCP</stp>
        <stp>7</stp>
        <tr r="U11" s="1"/>
      </tp>
      <tp>
        <v>50</v>
        <stp/>
        <stp>BOOK0</stp>
        <stp>VOV</stp>
        <stp>1</stp>
        <tr r="Q5" s="1"/>
      </tp>
      <tp>
        <v>50</v>
        <stp/>
        <stp>BOOK0</stp>
        <stp>VOV</stp>
        <stp>0</stp>
        <tr r="Q4" s="1"/>
      </tp>
      <tp>
        <v>450</v>
        <stp/>
        <stp>BOOK0</stp>
        <stp>VOV</stp>
        <stp>3</stp>
        <tr r="Q7" s="1"/>
      </tp>
      <tp>
        <v>249</v>
        <stp/>
        <stp>BOOK0</stp>
        <stp>VOV</stp>
        <stp>2</stp>
        <tr r="Q6" s="1"/>
      </tp>
      <tp>
        <v>50</v>
        <stp/>
        <stp>BOOK0</stp>
        <stp>VOV</stp>
        <stp>5</stp>
        <tr r="Q9" s="1"/>
      </tp>
      <tp>
        <v>50</v>
        <stp/>
        <stp>BOOK0</stp>
        <stp>VOV</stp>
        <stp>4</stp>
        <tr r="Q8" s="1"/>
      </tp>
      <tp>
        <v>50</v>
        <stp/>
        <stp>BOOK0</stp>
        <stp>VOV</stp>
        <stp>7</stp>
        <tr r="Q11" s="1"/>
      </tp>
      <tp>
        <v>80</v>
        <stp/>
        <stp>BOOK0</stp>
        <stp>VOV</stp>
        <stp>6</stp>
        <tr r="Q10" s="1"/>
      </tp>
      <tp>
        <v>75</v>
        <stp/>
        <stp>BOOK0</stp>
        <stp>VOV</stp>
        <stp>9</stp>
        <tr r="Q13" s="1"/>
      </tp>
      <tp>
        <v>100</v>
        <stp/>
        <stp>BOOK0</stp>
        <stp>VOV</stp>
        <stp>8</stp>
        <tr r="Q12" s="1"/>
      </tp>
      <tp>
        <v>40</v>
        <stp/>
        <stp>BOOK1</stp>
        <stp>VOV</stp>
        <stp>1</stp>
        <tr r="W5" s="1"/>
      </tp>
      <tp>
        <v>25</v>
        <stp/>
        <stp>BOOK1</stp>
        <stp>VOV</stp>
        <stp>0</stp>
        <tr r="W4" s="1"/>
      </tp>
      <tp>
        <v>10</v>
        <stp/>
        <stp>BOOK1</stp>
        <stp>VOV</stp>
        <stp>3</stp>
        <tr r="W7" s="1"/>
      </tp>
      <tp>
        <v>50</v>
        <stp/>
        <stp>BOOK1</stp>
        <stp>VOV</stp>
        <stp>2</stp>
        <tr r="W6" s="1"/>
      </tp>
      <tp>
        <v>15</v>
        <stp/>
        <stp>BOOK1</stp>
        <stp>VOV</stp>
        <stp>5</stp>
        <tr r="W9" s="1"/>
      </tp>
      <tp>
        <v>25</v>
        <stp/>
        <stp>BOOK1</stp>
        <stp>VOV</stp>
        <stp>4</stp>
        <tr r="W8" s="1"/>
      </tp>
      <tp>
        <v>10</v>
        <stp/>
        <stp>BOOK1</stp>
        <stp>VOV</stp>
        <stp>7</stp>
        <tr r="W11" s="1"/>
      </tp>
      <tp>
        <v>10</v>
        <stp/>
        <stp>BOOK1</stp>
        <stp>VOV</stp>
        <stp>6</stp>
        <tr r="W10" s="1"/>
      </tp>
      <tp>
        <v>20</v>
        <stp/>
        <stp>BOOK1</stp>
        <stp>VOV</stp>
        <stp>9</stp>
        <tr r="W13" s="1"/>
      </tp>
      <tp>
        <v>20</v>
        <stp/>
        <stp>BOOK1</stp>
        <stp>VOV</stp>
        <stp>8</stp>
        <tr r="W12" s="1"/>
      </tp>
      <tp t="s">
        <v>WDOFUT</v>
        <stp/>
        <stp>BOOK0</stp>
        <stp>INFO</stp>
        <stp>ATV</stp>
        <tr r="N2" s="1"/>
      </tp>
      <tp t="s">
        <v>DOLFUT</v>
        <stp/>
        <stp>BOOK1</stp>
        <stp>INFO</stp>
        <stp>ATV</stp>
        <tr r="T2" s="1"/>
      </tp>
      <tp>
        <v>50</v>
        <stp/>
        <stp>BOOK1</stp>
        <stp>VOC</stp>
        <stp>11</stp>
        <tr r="T15" s="1"/>
      </tp>
      <tp>
        <v>62</v>
        <stp/>
        <stp>BOOK0</stp>
        <stp>VOC</stp>
        <stp>11</stp>
        <tr r="N15" s="1"/>
      </tp>
      <tp>
        <v>50</v>
        <stp/>
        <stp>BOOK0</stp>
        <stp>VOV</stp>
        <stp>11</stp>
        <tr r="Q15" s="1"/>
      </tp>
      <tp>
        <v>20</v>
        <stp/>
        <stp>BOOK1</stp>
        <stp>VOV</stp>
        <stp>11</stp>
        <tr r="W15" s="1"/>
      </tp>
      <tp>
        <v>20</v>
        <stp/>
        <stp>BOOK1</stp>
        <stp>VOC</stp>
        <stp>10</stp>
        <tr r="T14" s="1"/>
      </tp>
      <tp>
        <v>70</v>
        <stp/>
        <stp>BOOK0</stp>
        <stp>VOC</stp>
        <stp>10</stp>
        <tr r="N14" s="1"/>
      </tp>
      <tp>
        <v>200</v>
        <stp/>
        <stp>BOOK0</stp>
        <stp>VOV</stp>
        <stp>10</stp>
        <tr r="Q14" s="1"/>
      </tp>
      <tp>
        <v>20</v>
        <stp/>
        <stp>BOOK1</stp>
        <stp>VOV</stp>
        <stp>10</stp>
        <tr r="W14" s="1"/>
      </tp>
      <tp>
        <v>0</v>
        <stp/>
        <stp>BOOK1</stp>
        <stp>VOC</stp>
        <stp>13</stp>
        <tr r="T17" s="1"/>
      </tp>
      <tp>
        <v>75</v>
        <stp/>
        <stp>BOOK0</stp>
        <stp>VOC</stp>
        <stp>13</stp>
        <tr r="N17" s="1"/>
      </tp>
      <tp>
        <v>0</v>
        <stp/>
        <stp>BOOK0</stp>
        <stp>VOV</stp>
        <stp>13</stp>
        <tr r="Q17" s="1"/>
      </tp>
      <tp>
        <v>10</v>
        <stp/>
        <stp>BOOK1</stp>
        <stp>VOV</stp>
        <stp>13</stp>
        <tr r="W17" s="1"/>
      </tp>
      <tp>
        <v>10</v>
        <stp/>
        <stp>BOOK1</stp>
        <stp>VOC</stp>
        <stp>12</stp>
        <tr r="T16" s="1"/>
      </tp>
      <tp>
        <v>50</v>
        <stp/>
        <stp>BOOK0</stp>
        <stp>VOC</stp>
        <stp>12</stp>
        <tr r="N16" s="1"/>
      </tp>
      <tp>
        <v>50</v>
        <stp/>
        <stp>BOOK0</stp>
        <stp>VOV</stp>
        <stp>12</stp>
        <tr r="Q16" s="1"/>
      </tp>
      <tp>
        <v>20</v>
        <stp/>
        <stp>BOOK1</stp>
        <stp>VOV</stp>
        <stp>12</stp>
        <tr r="W16" s="1"/>
      </tp>
      <tp>
        <v>0</v>
        <stp/>
        <stp>BOOK1</stp>
        <stp>VOC</stp>
        <stp>15</stp>
        <tr r="T19" s="1"/>
      </tp>
      <tp>
        <v>0</v>
        <stp/>
        <stp>BOOK0</stp>
        <stp>VOC</stp>
        <stp>15</stp>
        <tr r="N19" s="1"/>
      </tp>
      <tp>
        <v>0</v>
        <stp/>
        <stp>BOOK0</stp>
        <stp>VOV</stp>
        <stp>15</stp>
        <tr r="Q19" s="1"/>
      </tp>
      <tp>
        <v>10</v>
        <stp/>
        <stp>BOOK1</stp>
        <stp>VOV</stp>
        <stp>15</stp>
        <tr r="W19" s="1"/>
      </tp>
      <tp>
        <v>0</v>
        <stp/>
        <stp>BOOK1</stp>
        <stp>VOC</stp>
        <stp>14</stp>
        <tr r="T18" s="1"/>
      </tp>
      <tp>
        <v>0</v>
        <stp/>
        <stp>BOOK0</stp>
        <stp>VOC</stp>
        <stp>14</stp>
        <tr r="N18" s="1"/>
      </tp>
      <tp>
        <v>0</v>
        <stp/>
        <stp>BOOK0</stp>
        <stp>VOV</stp>
        <stp>14</stp>
        <tr r="Q18" s="1"/>
      </tp>
      <tp>
        <v>20</v>
        <stp/>
        <stp>BOOK1</stp>
        <stp>VOV</stp>
        <stp>14</stp>
        <tr r="W18" s="1"/>
      </tp>
      <tp>
        <v>0</v>
        <stp/>
        <stp>BOOK1</stp>
        <stp>VOC</stp>
        <stp>17</stp>
        <tr r="T21" s="1"/>
      </tp>
      <tp>
        <v>0</v>
        <stp/>
        <stp>BOOK0</stp>
        <stp>VOC</stp>
        <stp>17</stp>
        <tr r="N21" s="1"/>
      </tp>
      <tp>
        <v>0</v>
        <stp/>
        <stp>BOOK0</stp>
        <stp>VOV</stp>
        <stp>17</stp>
        <tr r="Q21" s="1"/>
      </tp>
      <tp>
        <v>0</v>
        <stp/>
        <stp>BOOK1</stp>
        <stp>VOV</stp>
        <stp>17</stp>
        <tr r="W21" s="1"/>
      </tp>
      <tp>
        <v>0</v>
        <stp/>
        <stp>BOOK1</stp>
        <stp>VOC</stp>
        <stp>16</stp>
        <tr r="T20" s="1"/>
      </tp>
      <tp>
        <v>0</v>
        <stp/>
        <stp>BOOK0</stp>
        <stp>VOC</stp>
        <stp>16</stp>
        <tr r="N20" s="1"/>
      </tp>
      <tp>
        <v>0</v>
        <stp/>
        <stp>BOOK0</stp>
        <stp>VOV</stp>
        <stp>16</stp>
        <tr r="Q20" s="1"/>
      </tp>
      <tp>
        <v>25</v>
        <stp/>
        <stp>BOOK1</stp>
        <stp>VOV</stp>
        <stp>16</stp>
        <tr r="W20" s="1"/>
      </tp>
      <tp>
        <v>0</v>
        <stp/>
        <stp>BOOK1</stp>
        <stp>VOC</stp>
        <stp>19</stp>
        <tr r="T23" s="1"/>
      </tp>
      <tp>
        <v>0</v>
        <stp/>
        <stp>BOOK0</stp>
        <stp>VOC</stp>
        <stp>19</stp>
        <tr r="N23" s="1"/>
      </tp>
      <tp>
        <v>0</v>
        <stp/>
        <stp>BOOK0</stp>
        <stp>VOV</stp>
        <stp>19</stp>
        <tr r="Q23" s="1"/>
      </tp>
      <tp>
        <v>0</v>
        <stp/>
        <stp>BOOK1</stp>
        <stp>VOV</stp>
        <stp>19</stp>
        <tr r="W23" s="1"/>
      </tp>
      <tp>
        <v>0</v>
        <stp/>
        <stp>BOOK1</stp>
        <stp>VOC</stp>
        <stp>18</stp>
        <tr r="T22" s="1"/>
      </tp>
      <tp>
        <v>0</v>
        <stp/>
        <stp>BOOK0</stp>
        <stp>VOC</stp>
        <stp>18</stp>
        <tr r="N22" s="1"/>
      </tp>
      <tp>
        <v>0</v>
        <stp/>
        <stp>BOOK0</stp>
        <stp>VOV</stp>
        <stp>18</stp>
        <tr r="Q22" s="1"/>
      </tp>
      <tp>
        <v>0</v>
        <stp/>
        <stp>BOOK1</stp>
        <stp>VOV</stp>
        <stp>18</stp>
        <tr r="W22" s="1"/>
      </tp>
      <tp>
        <v>0</v>
        <stp/>
        <stp>BOOK1</stp>
        <stp>VOC</stp>
        <stp>31</stp>
        <tr r="T35" s="1"/>
      </tp>
      <tp>
        <v>0</v>
        <stp/>
        <stp>BOOK0</stp>
        <stp>VOC</stp>
        <stp>31</stp>
        <tr r="N35" s="1"/>
      </tp>
      <tp>
        <v>0</v>
        <stp/>
        <stp>BOOK0</stp>
        <stp>VOV</stp>
        <stp>31</stp>
        <tr r="Q35" s="1"/>
      </tp>
      <tp>
        <v>0</v>
        <stp/>
        <stp>BOOK1</stp>
        <stp>VOV</stp>
        <stp>31</stp>
        <tr r="W35" s="1"/>
      </tp>
      <tp>
        <v>0</v>
        <stp/>
        <stp>BOOK1</stp>
        <stp>VOC</stp>
        <stp>30</stp>
        <tr r="T34" s="1"/>
      </tp>
      <tp>
        <v>300</v>
        <stp/>
        <stp>BOOK0</stp>
        <stp>VOC</stp>
        <stp>30</stp>
        <tr r="N34" s="1"/>
      </tp>
      <tp>
        <v>0</v>
        <stp/>
        <stp>BOOK0</stp>
        <stp>VOV</stp>
        <stp>30</stp>
        <tr r="Q34" s="1"/>
      </tp>
      <tp>
        <v>0</v>
        <stp/>
        <stp>BOOK1</stp>
        <stp>VOV</stp>
        <stp>30</stp>
        <tr r="W34" s="1"/>
      </tp>
      <tp>
        <v>0</v>
        <stp/>
        <stp>BOOK1</stp>
        <stp>VOC</stp>
        <stp>33</stp>
        <tr r="T37" s="1"/>
      </tp>
      <tp>
        <v>0</v>
        <stp/>
        <stp>BOOK0</stp>
        <stp>VOC</stp>
        <stp>33</stp>
        <tr r="N37" s="1"/>
      </tp>
      <tp>
        <v>0</v>
        <stp/>
        <stp>BOOK0</stp>
        <stp>VOV</stp>
        <stp>33</stp>
        <tr r="Q37" s="1"/>
      </tp>
      <tp>
        <v>0</v>
        <stp/>
        <stp>BOOK1</stp>
        <stp>VOV</stp>
        <stp>33</stp>
        <tr r="W37" s="1"/>
      </tp>
      <tp>
        <v>0</v>
        <stp/>
        <stp>BOOK1</stp>
        <stp>VOC</stp>
        <stp>32</stp>
        <tr r="T36" s="1"/>
      </tp>
      <tp>
        <v>0</v>
        <stp/>
        <stp>BOOK0</stp>
        <stp>VOC</stp>
        <stp>32</stp>
        <tr r="N36" s="1"/>
      </tp>
      <tp>
        <v>0</v>
        <stp/>
        <stp>BOOK0</stp>
        <stp>VOV</stp>
        <stp>32</stp>
        <tr r="Q36" s="1"/>
      </tp>
      <tp>
        <v>0</v>
        <stp/>
        <stp>BOOK1</stp>
        <stp>VOV</stp>
        <stp>32</stp>
        <tr r="W36" s="1"/>
      </tp>
      <tp>
        <v>0</v>
        <stp/>
        <stp>BOOK1</stp>
        <stp>VOC</stp>
        <stp>35</stp>
        <tr r="T39" s="1"/>
      </tp>
      <tp>
        <v>0</v>
        <stp/>
        <stp>BOOK0</stp>
        <stp>VOC</stp>
        <stp>35</stp>
        <tr r="N39" s="1"/>
      </tp>
      <tp>
        <v>0</v>
        <stp/>
        <stp>BOOK0</stp>
        <stp>VOV</stp>
        <stp>35</stp>
        <tr r="Q39" s="1"/>
      </tp>
      <tp>
        <v>0</v>
        <stp/>
        <stp>BOOK1</stp>
        <stp>VOV</stp>
        <stp>35</stp>
        <tr r="W39" s="1"/>
      </tp>
      <tp>
        <v>0</v>
        <stp/>
        <stp>BOOK1</stp>
        <stp>VOC</stp>
        <stp>34</stp>
        <tr r="T38" s="1"/>
      </tp>
      <tp>
        <v>0</v>
        <stp/>
        <stp>BOOK0</stp>
        <stp>VOC</stp>
        <stp>34</stp>
        <tr r="N38" s="1"/>
      </tp>
      <tp>
        <v>0</v>
        <stp/>
        <stp>BOOK0</stp>
        <stp>VOV</stp>
        <stp>34</stp>
        <tr r="Q38" s="1"/>
      </tp>
      <tp>
        <v>0</v>
        <stp/>
        <stp>BOOK1</stp>
        <stp>VOV</stp>
        <stp>34</stp>
        <tr r="W38" s="1"/>
      </tp>
      <tp>
        <v>0</v>
        <stp/>
        <stp>BOOK1</stp>
        <stp>VOC</stp>
        <stp>37</stp>
        <tr r="T41" s="1"/>
      </tp>
      <tp>
        <v>0</v>
        <stp/>
        <stp>BOOK0</stp>
        <stp>VOC</stp>
        <stp>37</stp>
        <tr r="N41" s="1"/>
      </tp>
      <tp>
        <v>0</v>
        <stp/>
        <stp>BOOK0</stp>
        <stp>VOV</stp>
        <stp>37</stp>
        <tr r="Q41" s="1"/>
      </tp>
      <tp>
        <v>0</v>
        <stp/>
        <stp>BOOK1</stp>
        <stp>VOV</stp>
        <stp>37</stp>
        <tr r="W41" s="1"/>
      </tp>
      <tp>
        <v>0</v>
        <stp/>
        <stp>BOOK1</stp>
        <stp>VOC</stp>
        <stp>36</stp>
        <tr r="T40" s="1"/>
      </tp>
      <tp>
        <v>0</v>
        <stp/>
        <stp>BOOK0</stp>
        <stp>VOC</stp>
        <stp>36</stp>
        <tr r="N40" s="1"/>
      </tp>
      <tp>
        <v>0</v>
        <stp/>
        <stp>BOOK0</stp>
        <stp>VOV</stp>
        <stp>36</stp>
        <tr r="Q40" s="1"/>
      </tp>
      <tp>
        <v>0</v>
        <stp/>
        <stp>BOOK1</stp>
        <stp>VOV</stp>
        <stp>36</stp>
        <tr r="W40" s="1"/>
      </tp>
      <tp>
        <v>0</v>
        <stp/>
        <stp>BOOK1</stp>
        <stp>VOC</stp>
        <stp>39</stp>
        <tr r="T43" s="1"/>
      </tp>
      <tp>
        <v>0</v>
        <stp/>
        <stp>BOOK0</stp>
        <stp>VOC</stp>
        <stp>39</stp>
        <tr r="N43" s="1"/>
      </tp>
      <tp>
        <v>0</v>
        <stp/>
        <stp>BOOK0</stp>
        <stp>VOV</stp>
        <stp>39</stp>
        <tr r="Q43" s="1"/>
      </tp>
      <tp>
        <v>0</v>
        <stp/>
        <stp>BOOK1</stp>
        <stp>VOV</stp>
        <stp>39</stp>
        <tr r="W43" s="1"/>
      </tp>
      <tp>
        <v>0</v>
        <stp/>
        <stp>BOOK1</stp>
        <stp>VOC</stp>
        <stp>38</stp>
        <tr r="T42" s="1"/>
      </tp>
      <tp>
        <v>0</v>
        <stp/>
        <stp>BOOK0</stp>
        <stp>VOC</stp>
        <stp>38</stp>
        <tr r="N42" s="1"/>
      </tp>
      <tp>
        <v>0</v>
        <stp/>
        <stp>BOOK0</stp>
        <stp>VOV</stp>
        <stp>38</stp>
        <tr r="Q42" s="1"/>
      </tp>
      <tp>
        <v>0</v>
        <stp/>
        <stp>BOOK1</stp>
        <stp>VOV</stp>
        <stp>38</stp>
        <tr r="W42" s="1"/>
      </tp>
      <tp>
        <v>0</v>
        <stp/>
        <stp>BOOK1</stp>
        <stp>VOC</stp>
        <stp>21</stp>
        <tr r="T25" s="1"/>
      </tp>
      <tp>
        <v>0</v>
        <stp/>
        <stp>BOOK0</stp>
        <stp>VOC</stp>
        <stp>21</stp>
        <tr r="N25" s="1"/>
      </tp>
      <tp>
        <v>0</v>
        <stp/>
        <stp>BOOK0</stp>
        <stp>VOV</stp>
        <stp>21</stp>
        <tr r="Q25" s="1"/>
      </tp>
      <tp>
        <v>0</v>
        <stp/>
        <stp>BOOK1</stp>
        <stp>VOV</stp>
        <stp>21</stp>
        <tr r="W25" s="1"/>
      </tp>
      <tp>
        <v>0</v>
        <stp/>
        <stp>BOOK1</stp>
        <stp>VOC</stp>
        <stp>20</stp>
        <tr r="T24" s="1"/>
      </tp>
      <tp>
        <v>0</v>
        <stp/>
        <stp>BOOK0</stp>
        <stp>VOC</stp>
        <stp>20</stp>
        <tr r="N24" s="1"/>
      </tp>
      <tp>
        <v>0</v>
        <stp/>
        <stp>BOOK0</stp>
        <stp>VOV</stp>
        <stp>20</stp>
        <tr r="Q24" s="1"/>
      </tp>
      <tp>
        <v>0</v>
        <stp/>
        <stp>BOOK1</stp>
        <stp>VOV</stp>
        <stp>20</stp>
        <tr r="W24" s="1"/>
      </tp>
      <tp>
        <v>0</v>
        <stp/>
        <stp>BOOK1</stp>
        <stp>VOC</stp>
        <stp>23</stp>
        <tr r="T27" s="1"/>
      </tp>
      <tp>
        <v>0</v>
        <stp/>
        <stp>BOOK0</stp>
        <stp>VOC</stp>
        <stp>23</stp>
        <tr r="N27" s="1"/>
      </tp>
      <tp>
        <v>0</v>
        <stp/>
        <stp>BOOK0</stp>
        <stp>VOV</stp>
        <stp>23</stp>
        <tr r="Q27" s="1"/>
      </tp>
      <tp>
        <v>0</v>
        <stp/>
        <stp>BOOK1</stp>
        <stp>VOV</stp>
        <stp>23</stp>
        <tr r="W27" s="1"/>
      </tp>
      <tp>
        <v>0</v>
        <stp/>
        <stp>BOOK1</stp>
        <stp>VOC</stp>
        <stp>22</stp>
        <tr r="T26" s="1"/>
      </tp>
      <tp>
        <v>0</v>
        <stp/>
        <stp>BOOK0</stp>
        <stp>VOC</stp>
        <stp>22</stp>
        <tr r="N26" s="1"/>
      </tp>
      <tp>
        <v>0</v>
        <stp/>
        <stp>BOOK0</stp>
        <stp>VOV</stp>
        <stp>22</stp>
        <tr r="Q26" s="1"/>
      </tp>
      <tp>
        <v>0</v>
        <stp/>
        <stp>BOOK1</stp>
        <stp>VOV</stp>
        <stp>22</stp>
        <tr r="W26" s="1"/>
      </tp>
      <tp>
        <v>0</v>
        <stp/>
        <stp>BOOK1</stp>
        <stp>VOC</stp>
        <stp>25</stp>
        <tr r="T29" s="1"/>
      </tp>
      <tp>
        <v>0</v>
        <stp/>
        <stp>BOOK0</stp>
        <stp>VOC</stp>
        <stp>25</stp>
        <tr r="N29" s="1"/>
      </tp>
      <tp>
        <v>0</v>
        <stp/>
        <stp>BOOK0</stp>
        <stp>VOV</stp>
        <stp>25</stp>
        <tr r="Q29" s="1"/>
      </tp>
      <tp>
        <v>0</v>
        <stp/>
        <stp>BOOK1</stp>
        <stp>VOV</stp>
        <stp>25</stp>
        <tr r="W29" s="1"/>
      </tp>
      <tp>
        <v>0</v>
        <stp/>
        <stp>BOOK1</stp>
        <stp>VOC</stp>
        <stp>24</stp>
        <tr r="T28" s="1"/>
      </tp>
      <tp>
        <v>0</v>
        <stp/>
        <stp>BOOK0</stp>
        <stp>VOC</stp>
        <stp>24</stp>
        <tr r="N28" s="1"/>
      </tp>
      <tp>
        <v>0</v>
        <stp/>
        <stp>BOOK0</stp>
        <stp>VOV</stp>
        <stp>24</stp>
        <tr r="Q28" s="1"/>
      </tp>
      <tp>
        <v>0</v>
        <stp/>
        <stp>BOOK1</stp>
        <stp>VOV</stp>
        <stp>24</stp>
        <tr r="W28" s="1"/>
      </tp>
      <tp>
        <v>0</v>
        <stp/>
        <stp>BOOK1</stp>
        <stp>VOC</stp>
        <stp>27</stp>
        <tr r="T31" s="1"/>
      </tp>
      <tp>
        <v>0</v>
        <stp/>
        <stp>BOOK0</stp>
        <stp>VOC</stp>
        <stp>27</stp>
        <tr r="N31" s="1"/>
      </tp>
      <tp>
        <v>0</v>
        <stp/>
        <stp>BOOK0</stp>
        <stp>VOV</stp>
        <stp>27</stp>
        <tr r="Q31" s="1"/>
      </tp>
      <tp>
        <v>0</v>
        <stp/>
        <stp>BOOK1</stp>
        <stp>VOV</stp>
        <stp>27</stp>
        <tr r="W31" s="1"/>
      </tp>
      <tp>
        <v>10</v>
        <stp/>
        <stp>BOOK1</stp>
        <stp>VOC</stp>
        <stp>26</stp>
        <tr r="T30" s="1"/>
      </tp>
      <tp>
        <v>0</v>
        <stp/>
        <stp>BOOK0</stp>
        <stp>VOC</stp>
        <stp>26</stp>
        <tr r="N30" s="1"/>
      </tp>
      <tp>
        <v>0</v>
        <stp/>
        <stp>BOOK0</stp>
        <stp>VOV</stp>
        <stp>26</stp>
        <tr r="Q30" s="1"/>
      </tp>
      <tp>
        <v>0</v>
        <stp/>
        <stp>BOOK1</stp>
        <stp>VOV</stp>
        <stp>26</stp>
        <tr r="W30" s="1"/>
      </tp>
      <tp>
        <v>0</v>
        <stp/>
        <stp>BOOK1</stp>
        <stp>VOC</stp>
        <stp>29</stp>
        <tr r="T33" s="1"/>
      </tp>
      <tp>
        <v>50</v>
        <stp/>
        <stp>BOOK0</stp>
        <stp>VOC</stp>
        <stp>29</stp>
        <tr r="N33" s="1"/>
      </tp>
      <tp>
        <v>0</v>
        <stp/>
        <stp>BOOK0</stp>
        <stp>VOV</stp>
        <stp>29</stp>
        <tr r="Q33" s="1"/>
      </tp>
      <tp>
        <v>0</v>
        <stp/>
        <stp>BOOK1</stp>
        <stp>VOV</stp>
        <stp>29</stp>
        <tr r="W33" s="1"/>
      </tp>
      <tp>
        <v>0</v>
        <stp/>
        <stp>BOOK1</stp>
        <stp>VOC</stp>
        <stp>28</stp>
        <tr r="T32" s="1"/>
      </tp>
      <tp>
        <v>0</v>
        <stp/>
        <stp>BOOK0</stp>
        <stp>VOC</stp>
        <stp>28</stp>
        <tr r="N32" s="1"/>
      </tp>
      <tp>
        <v>0</v>
        <stp/>
        <stp>BOOK0</stp>
        <stp>VOV</stp>
        <stp>28</stp>
        <tr r="Q32" s="1"/>
      </tp>
      <tp>
        <v>0</v>
        <stp/>
        <stp>BOOK1</stp>
        <stp>VOV</stp>
        <stp>28</stp>
        <tr r="W32" s="1"/>
      </tp>
      <tp>
        <v>0</v>
        <stp/>
        <stp>BOOK1</stp>
        <stp>VOC</stp>
        <stp>51</stp>
        <tr r="T55" s="1"/>
      </tp>
      <tp>
        <v>0</v>
        <stp/>
        <stp>BOOK0</stp>
        <stp>VOC</stp>
        <stp>51</stp>
        <tr r="N55" s="1"/>
      </tp>
      <tp>
        <v>0</v>
        <stp/>
        <stp>BOOK0</stp>
        <stp>VOV</stp>
        <stp>51</stp>
        <tr r="Q55" s="1"/>
      </tp>
      <tp>
        <v>0</v>
        <stp/>
        <stp>BOOK1</stp>
        <stp>VOV</stp>
        <stp>51</stp>
        <tr r="W55" s="1"/>
      </tp>
      <tp>
        <v>0</v>
        <stp/>
        <stp>BOOK1</stp>
        <stp>VOC</stp>
        <stp>50</stp>
        <tr r="T54" s="1"/>
      </tp>
      <tp>
        <v>0</v>
        <stp/>
        <stp>BOOK0</stp>
        <stp>VOC</stp>
        <stp>50</stp>
        <tr r="N54" s="1"/>
      </tp>
      <tp>
        <v>50</v>
        <stp/>
        <stp>BOOK0</stp>
        <stp>VOV</stp>
        <stp>50</stp>
        <tr r="Q54" s="1"/>
      </tp>
      <tp>
        <v>0</v>
        <stp/>
        <stp>BOOK1</stp>
        <stp>VOV</stp>
        <stp>50</stp>
        <tr r="W54" s="1"/>
      </tp>
      <tp>
        <v>0</v>
        <stp/>
        <stp>BOOK1</stp>
        <stp>VOC</stp>
        <stp>53</stp>
        <tr r="T57" s="1"/>
      </tp>
      <tp>
        <v>0</v>
        <stp/>
        <stp>BOOK0</stp>
        <stp>VOC</stp>
        <stp>53</stp>
        <tr r="N57" s="1"/>
      </tp>
      <tp>
        <v>0</v>
        <stp/>
        <stp>BOOK0</stp>
        <stp>VOV</stp>
        <stp>53</stp>
        <tr r="Q57" s="1"/>
      </tp>
      <tp>
        <v>0</v>
        <stp/>
        <stp>BOOK1</stp>
        <stp>VOV</stp>
        <stp>53</stp>
        <tr r="W57" s="1"/>
      </tp>
      <tp>
        <v>0</v>
        <stp/>
        <stp>BOOK1</stp>
        <stp>VOC</stp>
        <stp>52</stp>
        <tr r="T56" s="1"/>
      </tp>
      <tp>
        <v>0</v>
        <stp/>
        <stp>BOOK0</stp>
        <stp>VOC</stp>
        <stp>52</stp>
        <tr r="N56" s="1"/>
      </tp>
      <tp>
        <v>0</v>
        <stp/>
        <stp>BOOK0</stp>
        <stp>VOV</stp>
        <stp>52</stp>
        <tr r="Q56" s="1"/>
      </tp>
      <tp>
        <v>0</v>
        <stp/>
        <stp>BOOK1</stp>
        <stp>VOV</stp>
        <stp>52</stp>
        <tr r="W56" s="1"/>
      </tp>
      <tp>
        <v>0</v>
        <stp/>
        <stp>BOOK1</stp>
        <stp>VOC</stp>
        <stp>55</stp>
        <tr r="T59" s="1"/>
      </tp>
      <tp>
        <v>0</v>
        <stp/>
        <stp>BOOK0</stp>
        <stp>VOC</stp>
        <stp>55</stp>
        <tr r="N59" s="1"/>
      </tp>
      <tp>
        <v>50</v>
        <stp/>
        <stp>BOOK0</stp>
        <stp>VOV</stp>
        <stp>55</stp>
        <tr r="Q59" s="1"/>
      </tp>
      <tp>
        <v>0</v>
        <stp/>
        <stp>BOOK1</stp>
        <stp>VOV</stp>
        <stp>55</stp>
        <tr r="W59" s="1"/>
      </tp>
      <tp>
        <v>0</v>
        <stp/>
        <stp>BOOK1</stp>
        <stp>VOC</stp>
        <stp>54</stp>
        <tr r="T58" s="1"/>
      </tp>
      <tp>
        <v>0</v>
        <stp/>
        <stp>BOOK0</stp>
        <stp>VOC</stp>
        <stp>54</stp>
        <tr r="N58" s="1"/>
      </tp>
      <tp>
        <v>0</v>
        <stp/>
        <stp>BOOK0</stp>
        <stp>VOV</stp>
        <stp>54</stp>
        <tr r="Q58" s="1"/>
      </tp>
      <tp>
        <v>0</v>
        <stp/>
        <stp>BOOK1</stp>
        <stp>VOV</stp>
        <stp>54</stp>
        <tr r="W58" s="1"/>
      </tp>
      <tp>
        <v>0</v>
        <stp/>
        <stp>BOOK1</stp>
        <stp>VOC</stp>
        <stp>57</stp>
        <tr r="T61" s="1"/>
      </tp>
      <tp>
        <v>0</v>
        <stp/>
        <stp>BOOK0</stp>
        <stp>VOC</stp>
        <stp>57</stp>
        <tr r="N61" s="1"/>
      </tp>
      <tp>
        <v>0</v>
        <stp/>
        <stp>BOOK0</stp>
        <stp>VOV</stp>
        <stp>57</stp>
        <tr r="Q61" s="1"/>
      </tp>
      <tp>
        <v>0</v>
        <stp/>
        <stp>BOOK1</stp>
        <stp>VOV</stp>
        <stp>57</stp>
        <tr r="W61" s="1"/>
      </tp>
      <tp>
        <v>0</v>
        <stp/>
        <stp>BOOK1</stp>
        <stp>VOC</stp>
        <stp>56</stp>
        <tr r="T60" s="1"/>
      </tp>
      <tp>
        <v>0</v>
        <stp/>
        <stp>BOOK0</stp>
        <stp>VOC</stp>
        <stp>56</stp>
        <tr r="N60" s="1"/>
      </tp>
      <tp>
        <v>0</v>
        <stp/>
        <stp>BOOK0</stp>
        <stp>VOV</stp>
        <stp>56</stp>
        <tr r="Q60" s="1"/>
      </tp>
      <tp>
        <v>0</v>
        <stp/>
        <stp>BOOK1</stp>
        <stp>VOV</stp>
        <stp>56</stp>
        <tr r="W60" s="1"/>
      </tp>
      <tp>
        <v>0</v>
        <stp/>
        <stp>BOOK1</stp>
        <stp>VOC</stp>
        <stp>59</stp>
        <tr r="T63" s="1"/>
      </tp>
      <tp>
        <v>0</v>
        <stp/>
        <stp>BOOK0</stp>
        <stp>VOC</stp>
        <stp>59</stp>
        <tr r="N63" s="1"/>
      </tp>
      <tp>
        <v>0</v>
        <stp/>
        <stp>BOOK0</stp>
        <stp>VOV</stp>
        <stp>59</stp>
        <tr r="Q63" s="1"/>
      </tp>
      <tp>
        <v>0</v>
        <stp/>
        <stp>BOOK1</stp>
        <stp>VOV</stp>
        <stp>59</stp>
        <tr r="W63" s="1"/>
      </tp>
      <tp>
        <v>0</v>
        <stp/>
        <stp>BOOK1</stp>
        <stp>VOC</stp>
        <stp>58</stp>
        <tr r="T62" s="1"/>
      </tp>
      <tp>
        <v>0</v>
        <stp/>
        <stp>BOOK0</stp>
        <stp>VOC</stp>
        <stp>58</stp>
        <tr r="N62" s="1"/>
      </tp>
      <tp>
        <v>0</v>
        <stp/>
        <stp>BOOK0</stp>
        <stp>VOV</stp>
        <stp>58</stp>
        <tr r="Q62" s="1"/>
      </tp>
      <tp>
        <v>0</v>
        <stp/>
        <stp>BOOK1</stp>
        <stp>VOV</stp>
        <stp>58</stp>
        <tr r="W62" s="1"/>
      </tp>
      <tp>
        <v>100</v>
        <stp/>
        <stp>BOOK1</stp>
        <stp>VOC</stp>
        <stp>41</stp>
        <tr r="T45" s="1"/>
      </tp>
      <tp>
        <v>0</v>
        <stp/>
        <stp>BOOK0</stp>
        <stp>VOC</stp>
        <stp>41</stp>
        <tr r="N45" s="1"/>
      </tp>
      <tp>
        <v>0</v>
        <stp/>
        <stp>BOOK0</stp>
        <stp>VOV</stp>
        <stp>41</stp>
        <tr r="Q45" s="1"/>
      </tp>
      <tp>
        <v>0</v>
        <stp/>
        <stp>BOOK1</stp>
        <stp>VOV</stp>
        <stp>41</stp>
        <tr r="W45" s="1"/>
      </tp>
      <tp>
        <v>0</v>
        <stp/>
        <stp>BOOK1</stp>
        <stp>VOC</stp>
        <stp>40</stp>
        <tr r="T44" s="1"/>
      </tp>
      <tp>
        <v>0</v>
        <stp/>
        <stp>BOOK0</stp>
        <stp>VOC</stp>
        <stp>40</stp>
        <tr r="N44" s="1"/>
      </tp>
      <tp>
        <v>0</v>
        <stp/>
        <stp>BOOK0</stp>
        <stp>VOV</stp>
        <stp>40</stp>
        <tr r="Q44" s="1"/>
      </tp>
      <tp>
        <v>0</v>
        <stp/>
        <stp>BOOK1</stp>
        <stp>VOV</stp>
        <stp>40</stp>
        <tr r="W44" s="1"/>
      </tp>
      <tp>
        <v>0</v>
        <stp/>
        <stp>BOOK1</stp>
        <stp>VOC</stp>
        <stp>43</stp>
        <tr r="T47" s="1"/>
      </tp>
      <tp>
        <v>0</v>
        <stp/>
        <stp>BOOK0</stp>
        <stp>VOC</stp>
        <stp>43</stp>
        <tr r="N47" s="1"/>
      </tp>
      <tp>
        <v>0</v>
        <stp/>
        <stp>BOOK0</stp>
        <stp>VOV</stp>
        <stp>43</stp>
        <tr r="Q47" s="1"/>
      </tp>
      <tp>
        <v>0</v>
        <stp/>
        <stp>BOOK1</stp>
        <stp>VOV</stp>
        <stp>43</stp>
        <tr r="W47" s="1"/>
      </tp>
      <tp>
        <v>0</v>
        <stp/>
        <stp>BOOK1</stp>
        <stp>VOC</stp>
        <stp>42</stp>
        <tr r="T46" s="1"/>
      </tp>
      <tp>
        <v>0</v>
        <stp/>
        <stp>BOOK0</stp>
        <stp>VOC</stp>
        <stp>42</stp>
        <tr r="N46" s="1"/>
      </tp>
      <tp>
        <v>0</v>
        <stp/>
        <stp>BOOK0</stp>
        <stp>VOV</stp>
        <stp>42</stp>
        <tr r="Q46" s="1"/>
      </tp>
      <tp>
        <v>0</v>
        <stp/>
        <stp>BOOK1</stp>
        <stp>VOV</stp>
        <stp>42</stp>
        <tr r="W46" s="1"/>
      </tp>
      <tp>
        <v>0</v>
        <stp/>
        <stp>BOOK1</stp>
        <stp>VOC</stp>
        <stp>45</stp>
        <tr r="T49" s="1"/>
      </tp>
      <tp>
        <v>0</v>
        <stp/>
        <stp>BOOK0</stp>
        <stp>VOC</stp>
        <stp>45</stp>
        <tr r="N49" s="1"/>
      </tp>
      <tp>
        <v>0</v>
        <stp/>
        <stp>BOOK0</stp>
        <stp>VOV</stp>
        <stp>45</stp>
        <tr r="Q49" s="1"/>
      </tp>
      <tp>
        <v>0</v>
        <stp/>
        <stp>BOOK1</stp>
        <stp>VOV</stp>
        <stp>45</stp>
        <tr r="W49" s="1"/>
      </tp>
      <tp>
        <v>0</v>
        <stp/>
        <stp>BOOK1</stp>
        <stp>VOC</stp>
        <stp>44</stp>
        <tr r="T48" s="1"/>
      </tp>
      <tp>
        <v>0</v>
        <stp/>
        <stp>BOOK0</stp>
        <stp>VOC</stp>
        <stp>44</stp>
        <tr r="N48" s="1"/>
      </tp>
      <tp>
        <v>0</v>
        <stp/>
        <stp>BOOK0</stp>
        <stp>VOV</stp>
        <stp>44</stp>
        <tr r="Q48" s="1"/>
      </tp>
      <tp>
        <v>0</v>
        <stp/>
        <stp>BOOK1</stp>
        <stp>VOV</stp>
        <stp>44</stp>
        <tr r="W48" s="1"/>
      </tp>
      <tp>
        <v>0</v>
        <stp/>
        <stp>BOOK1</stp>
        <stp>VOC</stp>
        <stp>47</stp>
        <tr r="T51" s="1"/>
      </tp>
      <tp>
        <v>0</v>
        <stp/>
        <stp>BOOK0</stp>
        <stp>VOC</stp>
        <stp>47</stp>
        <tr r="N51" s="1"/>
      </tp>
      <tp>
        <v>0</v>
        <stp/>
        <stp>BOOK0</stp>
        <stp>VOV</stp>
        <stp>47</stp>
        <tr r="Q51" s="1"/>
      </tp>
      <tp>
        <v>0</v>
        <stp/>
        <stp>BOOK1</stp>
        <stp>VOV</stp>
        <stp>47</stp>
        <tr r="W51" s="1"/>
      </tp>
      <tp>
        <v>0</v>
        <stp/>
        <stp>BOOK1</stp>
        <stp>VOC</stp>
        <stp>46</stp>
        <tr r="T50" s="1"/>
      </tp>
      <tp>
        <v>0</v>
        <stp/>
        <stp>BOOK0</stp>
        <stp>VOC</stp>
        <stp>46</stp>
        <tr r="N50" s="1"/>
      </tp>
      <tp>
        <v>0</v>
        <stp/>
        <stp>BOOK0</stp>
        <stp>VOV</stp>
        <stp>46</stp>
        <tr r="Q50" s="1"/>
      </tp>
      <tp>
        <v>0</v>
        <stp/>
        <stp>BOOK1</stp>
        <stp>VOV</stp>
        <stp>46</stp>
        <tr r="W50" s="1"/>
      </tp>
      <tp>
        <v>0</v>
        <stp/>
        <stp>BOOK1</stp>
        <stp>VOC</stp>
        <stp>49</stp>
        <tr r="T53" s="1"/>
      </tp>
      <tp>
        <v>0</v>
        <stp/>
        <stp>BOOK0</stp>
        <stp>VOC</stp>
        <stp>49</stp>
        <tr r="N53" s="1"/>
      </tp>
      <tp>
        <v>0</v>
        <stp/>
        <stp>BOOK0</stp>
        <stp>VOV</stp>
        <stp>49</stp>
        <tr r="Q53" s="1"/>
      </tp>
      <tp>
        <v>0</v>
        <stp/>
        <stp>BOOK1</stp>
        <stp>VOV</stp>
        <stp>49</stp>
        <tr r="W53" s="1"/>
      </tp>
      <tp>
        <v>0</v>
        <stp/>
        <stp>BOOK1</stp>
        <stp>VOC</stp>
        <stp>48</stp>
        <tr r="T52" s="1"/>
      </tp>
      <tp>
        <v>0</v>
        <stp/>
        <stp>BOOK0</stp>
        <stp>VOC</stp>
        <stp>48</stp>
        <tr r="N52" s="1"/>
      </tp>
      <tp>
        <v>0</v>
        <stp/>
        <stp>BOOK0</stp>
        <stp>VOV</stp>
        <stp>48</stp>
        <tr r="Q52" s="1"/>
      </tp>
      <tp>
        <v>0</v>
        <stp/>
        <stp>BOOK1</stp>
        <stp>VOV</stp>
        <stp>48</stp>
        <tr r="W52" s="1"/>
      </tp>
      <tp>
        <v>0</v>
        <stp/>
        <stp>BOOK1</stp>
        <stp>VOC</stp>
        <stp>71</stp>
        <tr r="T75" s="1"/>
      </tp>
      <tp>
        <v>0</v>
        <stp/>
        <stp>BOOK0</stp>
        <stp>VOC</stp>
        <stp>71</stp>
        <tr r="N75" s="1"/>
      </tp>
      <tp>
        <v>0</v>
        <stp/>
        <stp>BOOK0</stp>
        <stp>VOV</stp>
        <stp>71</stp>
        <tr r="Q75" s="1"/>
      </tp>
      <tp>
        <v>0</v>
        <stp/>
        <stp>BOOK1</stp>
        <stp>VOV</stp>
        <stp>71</stp>
        <tr r="W75" s="1"/>
      </tp>
      <tp>
        <v>0</v>
        <stp/>
        <stp>BOOK1</stp>
        <stp>VOC</stp>
        <stp>70</stp>
        <tr r="T74" s="1"/>
      </tp>
      <tp>
        <v>0</v>
        <stp/>
        <stp>BOOK0</stp>
        <stp>VOC</stp>
        <stp>70</stp>
        <tr r="N74" s="1"/>
      </tp>
      <tp>
        <v>0</v>
        <stp/>
        <stp>BOOK0</stp>
        <stp>VOV</stp>
        <stp>70</stp>
        <tr r="Q74" s="1"/>
      </tp>
      <tp>
        <v>0</v>
        <stp/>
        <stp>BOOK1</stp>
        <stp>VOV</stp>
        <stp>70</stp>
        <tr r="W74" s="1"/>
      </tp>
      <tp>
        <v>0</v>
        <stp/>
        <stp>BOOK1</stp>
        <stp>VOC</stp>
        <stp>73</stp>
        <tr r="T77" s="1"/>
      </tp>
      <tp>
        <v>0</v>
        <stp/>
        <stp>BOOK0</stp>
        <stp>VOC</stp>
        <stp>73</stp>
        <tr r="N77" s="1"/>
      </tp>
      <tp>
        <v>0</v>
        <stp/>
        <stp>BOOK0</stp>
        <stp>VOV</stp>
        <stp>73</stp>
        <tr r="Q77" s="1"/>
      </tp>
      <tp>
        <v>0</v>
        <stp/>
        <stp>BOOK1</stp>
        <stp>VOV</stp>
        <stp>73</stp>
        <tr r="W77" s="1"/>
      </tp>
      <tp>
        <v>0</v>
        <stp/>
        <stp>BOOK1</stp>
        <stp>VOC</stp>
        <stp>72</stp>
        <tr r="T76" s="1"/>
      </tp>
      <tp>
        <v>0</v>
        <stp/>
        <stp>BOOK0</stp>
        <stp>VOC</stp>
        <stp>72</stp>
        <tr r="N76" s="1"/>
      </tp>
      <tp>
        <v>0</v>
        <stp/>
        <stp>BOOK0</stp>
        <stp>VOV</stp>
        <stp>72</stp>
        <tr r="Q76" s="1"/>
      </tp>
      <tp>
        <v>0</v>
        <stp/>
        <stp>BOOK1</stp>
        <stp>VOV</stp>
        <stp>72</stp>
        <tr r="W76" s="1"/>
      </tp>
      <tp>
        <v>0</v>
        <stp/>
        <stp>BOOK1</stp>
        <stp>VOC</stp>
        <stp>75</stp>
        <tr r="T79" s="1"/>
      </tp>
      <tp>
        <v>0</v>
        <stp/>
        <stp>BOOK0</stp>
        <stp>VOC</stp>
        <stp>75</stp>
        <tr r="N79" s="1"/>
      </tp>
      <tp>
        <v>0</v>
        <stp/>
        <stp>BOOK0</stp>
        <stp>VOV</stp>
        <stp>75</stp>
        <tr r="Q79" s="1"/>
      </tp>
      <tp>
        <v>0</v>
        <stp/>
        <stp>BOOK1</stp>
        <stp>VOV</stp>
        <stp>75</stp>
        <tr r="W79" s="1"/>
      </tp>
      <tp>
        <v>0</v>
        <stp/>
        <stp>BOOK1</stp>
        <stp>VOC</stp>
        <stp>74</stp>
        <tr r="T78" s="1"/>
      </tp>
      <tp>
        <v>0</v>
        <stp/>
        <stp>BOOK0</stp>
        <stp>VOC</stp>
        <stp>74</stp>
        <tr r="N78" s="1"/>
      </tp>
      <tp>
        <v>0</v>
        <stp/>
        <stp>BOOK0</stp>
        <stp>VOV</stp>
        <stp>74</stp>
        <tr r="Q78" s="1"/>
      </tp>
      <tp>
        <v>0</v>
        <stp/>
        <stp>BOOK1</stp>
        <stp>VOV</stp>
        <stp>74</stp>
        <tr r="W78" s="1"/>
      </tp>
      <tp>
        <v>0</v>
        <stp/>
        <stp>BOOK1</stp>
        <stp>VOC</stp>
        <stp>77</stp>
        <tr r="T81" s="1"/>
      </tp>
      <tp>
        <v>0</v>
        <stp/>
        <stp>BOOK0</stp>
        <stp>VOC</stp>
        <stp>77</stp>
        <tr r="N81" s="1"/>
      </tp>
      <tp>
        <v>0</v>
        <stp/>
        <stp>BOOK0</stp>
        <stp>VOV</stp>
        <stp>77</stp>
        <tr r="Q81" s="1"/>
      </tp>
      <tp>
        <v>0</v>
        <stp/>
        <stp>BOOK1</stp>
        <stp>VOV</stp>
        <stp>77</stp>
        <tr r="W81" s="1"/>
      </tp>
      <tp>
        <v>0</v>
        <stp/>
        <stp>BOOK1</stp>
        <stp>VOC</stp>
        <stp>76</stp>
        <tr r="T80" s="1"/>
      </tp>
      <tp>
        <v>0</v>
        <stp/>
        <stp>BOOK0</stp>
        <stp>VOC</stp>
        <stp>76</stp>
        <tr r="N80" s="1"/>
      </tp>
      <tp>
        <v>0</v>
        <stp/>
        <stp>BOOK0</stp>
        <stp>VOV</stp>
        <stp>76</stp>
        <tr r="Q80" s="1"/>
      </tp>
      <tp>
        <v>0</v>
        <stp/>
        <stp>BOOK1</stp>
        <stp>VOV</stp>
        <stp>76</stp>
        <tr r="W80" s="1"/>
      </tp>
      <tp>
        <v>0</v>
        <stp/>
        <stp>BOOK1</stp>
        <stp>VOC</stp>
        <stp>79</stp>
        <tr r="T83" s="1"/>
      </tp>
      <tp>
        <v>0</v>
        <stp/>
        <stp>BOOK0</stp>
        <stp>VOC</stp>
        <stp>79</stp>
        <tr r="N83" s="1"/>
      </tp>
      <tp>
        <v>0</v>
        <stp/>
        <stp>BOOK0</stp>
        <stp>VOV</stp>
        <stp>79</stp>
        <tr r="Q83" s="1"/>
      </tp>
      <tp>
        <v>0</v>
        <stp/>
        <stp>BOOK1</stp>
        <stp>VOV</stp>
        <stp>79</stp>
        <tr r="W83" s="1"/>
      </tp>
      <tp>
        <v>0</v>
        <stp/>
        <stp>BOOK1</stp>
        <stp>VOC</stp>
        <stp>78</stp>
        <tr r="T82" s="1"/>
      </tp>
      <tp>
        <v>0</v>
        <stp/>
        <stp>BOOK0</stp>
        <stp>VOC</stp>
        <stp>78</stp>
        <tr r="N82" s="1"/>
      </tp>
      <tp>
        <v>0</v>
        <stp/>
        <stp>BOOK0</stp>
        <stp>VOV</stp>
        <stp>78</stp>
        <tr r="Q82" s="1"/>
      </tp>
      <tp>
        <v>0</v>
        <stp/>
        <stp>BOOK1</stp>
        <stp>VOV</stp>
        <stp>78</stp>
        <tr r="W82" s="1"/>
      </tp>
      <tp>
        <v>0</v>
        <stp/>
        <stp>BOOK1</stp>
        <stp>VOC</stp>
        <stp>61</stp>
        <tr r="T65" s="1"/>
      </tp>
      <tp>
        <v>0</v>
        <stp/>
        <stp>BOOK0</stp>
        <stp>VOC</stp>
        <stp>61</stp>
        <tr r="N65" s="1"/>
      </tp>
      <tp>
        <v>0</v>
        <stp/>
        <stp>BOOK0</stp>
        <stp>VOV</stp>
        <stp>61</stp>
        <tr r="Q65" s="1"/>
      </tp>
      <tp>
        <v>0</v>
        <stp/>
        <stp>BOOK1</stp>
        <stp>VOV</stp>
        <stp>61</stp>
        <tr r="W65" s="1"/>
      </tp>
      <tp>
        <v>0</v>
        <stp/>
        <stp>BOOK1</stp>
        <stp>VOC</stp>
        <stp>60</stp>
        <tr r="T64" s="1"/>
      </tp>
      <tp>
        <v>0</v>
        <stp/>
        <stp>BOOK0</stp>
        <stp>VOC</stp>
        <stp>60</stp>
        <tr r="N64" s="1"/>
      </tp>
      <tp>
        <v>0</v>
        <stp/>
        <stp>BOOK0</stp>
        <stp>VOV</stp>
        <stp>60</stp>
        <tr r="Q64" s="1"/>
      </tp>
      <tp>
        <v>0</v>
        <stp/>
        <stp>BOOK1</stp>
        <stp>VOV</stp>
        <stp>60</stp>
        <tr r="W64" s="1"/>
      </tp>
      <tp>
        <v>0</v>
        <stp/>
        <stp>BOOK1</stp>
        <stp>VOC</stp>
        <stp>63</stp>
        <tr r="T67" s="1"/>
      </tp>
      <tp>
        <v>0</v>
        <stp/>
        <stp>BOOK0</stp>
        <stp>VOC</stp>
        <stp>63</stp>
        <tr r="N67" s="1"/>
      </tp>
      <tp>
        <v>0</v>
        <stp/>
        <stp>BOOK0</stp>
        <stp>VOV</stp>
        <stp>63</stp>
        <tr r="Q67" s="1"/>
      </tp>
      <tp>
        <v>0</v>
        <stp/>
        <stp>BOOK1</stp>
        <stp>VOV</stp>
        <stp>63</stp>
        <tr r="W67" s="1"/>
      </tp>
      <tp>
        <v>0</v>
        <stp/>
        <stp>BOOK1</stp>
        <stp>VOC</stp>
        <stp>62</stp>
        <tr r="T66" s="1"/>
      </tp>
      <tp>
        <v>50</v>
        <stp/>
        <stp>BOOK0</stp>
        <stp>VOC</stp>
        <stp>62</stp>
        <tr r="N66" s="1"/>
      </tp>
      <tp>
        <v>0</v>
        <stp/>
        <stp>BOOK0</stp>
        <stp>VOV</stp>
        <stp>62</stp>
        <tr r="Q66" s="1"/>
      </tp>
      <tp>
        <v>0</v>
        <stp/>
        <stp>BOOK1</stp>
        <stp>VOV</stp>
        <stp>62</stp>
        <tr r="W66" s="1"/>
      </tp>
      <tp>
        <v>0</v>
        <stp/>
        <stp>BOOK1</stp>
        <stp>VOC</stp>
        <stp>65</stp>
        <tr r="T69" s="1"/>
      </tp>
      <tp>
        <v>0</v>
        <stp/>
        <stp>BOOK0</stp>
        <stp>VOC</stp>
        <stp>65</stp>
        <tr r="N69" s="1"/>
      </tp>
      <tp>
        <v>0</v>
        <stp/>
        <stp>BOOK0</stp>
        <stp>VOV</stp>
        <stp>65</stp>
        <tr r="Q69" s="1"/>
      </tp>
      <tp>
        <v>0</v>
        <stp/>
        <stp>BOOK1</stp>
        <stp>VOV</stp>
        <stp>65</stp>
        <tr r="W69" s="1"/>
      </tp>
      <tp>
        <v>0</v>
        <stp/>
        <stp>BOOK1</stp>
        <stp>VOC</stp>
        <stp>64</stp>
        <tr r="T68" s="1"/>
      </tp>
      <tp>
        <v>0</v>
        <stp/>
        <stp>BOOK0</stp>
        <stp>VOC</stp>
        <stp>64</stp>
        <tr r="N68" s="1"/>
      </tp>
      <tp>
        <v>0</v>
        <stp/>
        <stp>BOOK0</stp>
        <stp>VOV</stp>
        <stp>64</stp>
        <tr r="Q68" s="1"/>
      </tp>
      <tp>
        <v>0</v>
        <stp/>
        <stp>BOOK1</stp>
        <stp>VOV</stp>
        <stp>64</stp>
        <tr r="W68" s="1"/>
      </tp>
      <tp>
        <v>0</v>
        <stp/>
        <stp>BOOK1</stp>
        <stp>VOC</stp>
        <stp>67</stp>
        <tr r="T71" s="1"/>
      </tp>
      <tp>
        <v>0</v>
        <stp/>
        <stp>BOOK0</stp>
        <stp>VOC</stp>
        <stp>67</stp>
        <tr r="N71" s="1"/>
      </tp>
      <tp>
        <v>0</v>
        <stp/>
        <stp>BOOK0</stp>
        <stp>VOV</stp>
        <stp>67</stp>
        <tr r="Q71" s="1"/>
      </tp>
      <tp>
        <v>0</v>
        <stp/>
        <stp>BOOK1</stp>
        <stp>VOV</stp>
        <stp>67</stp>
        <tr r="W71" s="1"/>
      </tp>
      <tp>
        <v>0</v>
        <stp/>
        <stp>BOOK1</stp>
        <stp>VOC</stp>
        <stp>66</stp>
        <tr r="T70" s="1"/>
      </tp>
      <tp>
        <v>0</v>
        <stp/>
        <stp>BOOK0</stp>
        <stp>VOC</stp>
        <stp>66</stp>
        <tr r="N70" s="1"/>
      </tp>
      <tp>
        <v>0</v>
        <stp/>
        <stp>BOOK0</stp>
        <stp>VOV</stp>
        <stp>66</stp>
        <tr r="Q70" s="1"/>
      </tp>
      <tp>
        <v>0</v>
        <stp/>
        <stp>BOOK1</stp>
        <stp>VOV</stp>
        <stp>66</stp>
        <tr r="W70" s="1"/>
      </tp>
      <tp>
        <v>0</v>
        <stp/>
        <stp>BOOK1</stp>
        <stp>VOC</stp>
        <stp>69</stp>
        <tr r="T73" s="1"/>
      </tp>
      <tp>
        <v>0</v>
        <stp/>
        <stp>BOOK0</stp>
        <stp>VOC</stp>
        <stp>69</stp>
        <tr r="N73" s="1"/>
      </tp>
      <tp>
        <v>0</v>
        <stp/>
        <stp>BOOK0</stp>
        <stp>VOV</stp>
        <stp>69</stp>
        <tr r="Q73" s="1"/>
      </tp>
      <tp>
        <v>0</v>
        <stp/>
        <stp>BOOK1</stp>
        <stp>VOV</stp>
        <stp>69</stp>
        <tr r="W73" s="1"/>
      </tp>
      <tp>
        <v>0</v>
        <stp/>
        <stp>BOOK1</stp>
        <stp>VOC</stp>
        <stp>68</stp>
        <tr r="T72" s="1"/>
      </tp>
      <tp>
        <v>0</v>
        <stp/>
        <stp>BOOK0</stp>
        <stp>VOC</stp>
        <stp>68</stp>
        <tr r="N72" s="1"/>
      </tp>
      <tp>
        <v>0</v>
        <stp/>
        <stp>BOOK0</stp>
        <stp>VOV</stp>
        <stp>68</stp>
        <tr r="Q72" s="1"/>
      </tp>
      <tp>
        <v>0</v>
        <stp/>
        <stp>BOOK1</stp>
        <stp>VOV</stp>
        <stp>68</stp>
        <tr r="W72" s="1"/>
      </tp>
      <tp>
        <v>0</v>
        <stp/>
        <stp>BOOK1</stp>
        <stp>VOC</stp>
        <stp>91</stp>
        <tr r="T95" s="1"/>
      </tp>
      <tp>
        <v>0</v>
        <stp/>
        <stp>BOOK0</stp>
        <stp>VOC</stp>
        <stp>91</stp>
        <tr r="N95" s="1"/>
      </tp>
      <tp>
        <v>0</v>
        <stp/>
        <stp>BOOK0</stp>
        <stp>VOV</stp>
        <stp>91</stp>
        <tr r="Q95" s="1"/>
      </tp>
      <tp>
        <v>0</v>
        <stp/>
        <stp>BOOK1</stp>
        <stp>VOV</stp>
        <stp>91</stp>
        <tr r="W95" s="1"/>
      </tp>
      <tp>
        <v>0</v>
        <stp/>
        <stp>BOOK1</stp>
        <stp>VOC</stp>
        <stp>90</stp>
        <tr r="T94" s="1"/>
      </tp>
      <tp>
        <v>0</v>
        <stp/>
        <stp>BOOK0</stp>
        <stp>VOC</stp>
        <stp>90</stp>
        <tr r="N94" s="1"/>
      </tp>
      <tp>
        <v>0</v>
        <stp/>
        <stp>BOOK0</stp>
        <stp>VOV</stp>
        <stp>90</stp>
        <tr r="Q94" s="1"/>
      </tp>
      <tp>
        <v>0</v>
        <stp/>
        <stp>BOOK1</stp>
        <stp>VOV</stp>
        <stp>90</stp>
        <tr r="W94" s="1"/>
      </tp>
      <tp>
        <v>0</v>
        <stp/>
        <stp>BOOK1</stp>
        <stp>VOC</stp>
        <stp>93</stp>
        <tr r="T97" s="1"/>
      </tp>
      <tp>
        <v>0</v>
        <stp/>
        <stp>BOOK0</stp>
        <stp>VOC</stp>
        <stp>93</stp>
        <tr r="N97" s="1"/>
      </tp>
      <tp>
        <v>0</v>
        <stp/>
        <stp>BOOK0</stp>
        <stp>VOV</stp>
        <stp>93</stp>
        <tr r="Q97" s="1"/>
      </tp>
      <tp>
        <v>0</v>
        <stp/>
        <stp>BOOK1</stp>
        <stp>VOV</stp>
        <stp>93</stp>
        <tr r="W97" s="1"/>
      </tp>
      <tp>
        <v>0</v>
        <stp/>
        <stp>BOOK1</stp>
        <stp>VOC</stp>
        <stp>92</stp>
        <tr r="T96" s="1"/>
      </tp>
      <tp>
        <v>0</v>
        <stp/>
        <stp>BOOK0</stp>
        <stp>VOC</stp>
        <stp>92</stp>
        <tr r="N96" s="1"/>
      </tp>
      <tp>
        <v>0</v>
        <stp/>
        <stp>BOOK0</stp>
        <stp>VOV</stp>
        <stp>92</stp>
        <tr r="Q96" s="1"/>
      </tp>
      <tp>
        <v>0</v>
        <stp/>
        <stp>BOOK1</stp>
        <stp>VOV</stp>
        <stp>92</stp>
        <tr r="W96" s="1"/>
      </tp>
      <tp>
        <v>0</v>
        <stp/>
        <stp>BOOK1</stp>
        <stp>VOC</stp>
        <stp>95</stp>
        <tr r="T99" s="1"/>
      </tp>
      <tp>
        <v>0</v>
        <stp/>
        <stp>BOOK0</stp>
        <stp>VOC</stp>
        <stp>95</stp>
        <tr r="N99" s="1"/>
      </tp>
      <tp>
        <v>0</v>
        <stp/>
        <stp>BOOK0</stp>
        <stp>VOV</stp>
        <stp>95</stp>
        <tr r="Q99" s="1"/>
      </tp>
      <tp>
        <v>0</v>
        <stp/>
        <stp>BOOK1</stp>
        <stp>VOV</stp>
        <stp>95</stp>
        <tr r="W99" s="1"/>
      </tp>
      <tp>
        <v>0</v>
        <stp/>
        <stp>BOOK1</stp>
        <stp>VOC</stp>
        <stp>94</stp>
        <tr r="T98" s="1"/>
      </tp>
      <tp>
        <v>0</v>
        <stp/>
        <stp>BOOK0</stp>
        <stp>VOC</stp>
        <stp>94</stp>
        <tr r="N98" s="1"/>
      </tp>
      <tp>
        <v>0</v>
        <stp/>
        <stp>BOOK0</stp>
        <stp>VOV</stp>
        <stp>94</stp>
        <tr r="Q98" s="1"/>
      </tp>
      <tp>
        <v>0</v>
        <stp/>
        <stp>BOOK1</stp>
        <stp>VOV</stp>
        <stp>94</stp>
        <tr r="W98" s="1"/>
      </tp>
      <tp>
        <v>0</v>
        <stp/>
        <stp>BOOK1</stp>
        <stp>VOC</stp>
        <stp>97</stp>
        <tr r="T101" s="1"/>
      </tp>
      <tp>
        <v>0</v>
        <stp/>
        <stp>BOOK0</stp>
        <stp>VOC</stp>
        <stp>97</stp>
        <tr r="N101" s="1"/>
      </tp>
      <tp>
        <v>0</v>
        <stp/>
        <stp>BOOK0</stp>
        <stp>VOV</stp>
        <stp>97</stp>
        <tr r="Q101" s="1"/>
      </tp>
      <tp>
        <v>0</v>
        <stp/>
        <stp>BOOK1</stp>
        <stp>VOV</stp>
        <stp>97</stp>
        <tr r="W101" s="1"/>
      </tp>
      <tp>
        <v>0</v>
        <stp/>
        <stp>BOOK1</stp>
        <stp>VOC</stp>
        <stp>96</stp>
        <tr r="T100" s="1"/>
      </tp>
      <tp>
        <v>0</v>
        <stp/>
        <stp>BOOK0</stp>
        <stp>VOC</stp>
        <stp>96</stp>
        <tr r="N100" s="1"/>
      </tp>
      <tp>
        <v>0</v>
        <stp/>
        <stp>BOOK0</stp>
        <stp>VOV</stp>
        <stp>96</stp>
        <tr r="Q100" s="1"/>
      </tp>
      <tp>
        <v>0</v>
        <stp/>
        <stp>BOOK1</stp>
        <stp>VOV</stp>
        <stp>96</stp>
        <tr r="W100" s="1"/>
      </tp>
      <tp>
        <v>0</v>
        <stp/>
        <stp>BOOK1</stp>
        <stp>VOC</stp>
        <stp>99</stp>
        <tr r="T103" s="1"/>
      </tp>
      <tp>
        <v>0</v>
        <stp/>
        <stp>BOOK0</stp>
        <stp>VOC</stp>
        <stp>99</stp>
        <tr r="N103" s="1"/>
      </tp>
      <tp>
        <v>0</v>
        <stp/>
        <stp>BOOK0</stp>
        <stp>VOV</stp>
        <stp>99</stp>
        <tr r="Q103" s="1"/>
      </tp>
      <tp>
        <v>0</v>
        <stp/>
        <stp>BOOK1</stp>
        <stp>VOV</stp>
        <stp>99</stp>
        <tr r="W103" s="1"/>
      </tp>
      <tp>
        <v>0</v>
        <stp/>
        <stp>BOOK1</stp>
        <stp>VOC</stp>
        <stp>98</stp>
        <tr r="T102" s="1"/>
      </tp>
      <tp>
        <v>0</v>
        <stp/>
        <stp>BOOK0</stp>
        <stp>VOC</stp>
        <stp>98</stp>
        <tr r="N102" s="1"/>
      </tp>
      <tp>
        <v>0</v>
        <stp/>
        <stp>BOOK0</stp>
        <stp>VOV</stp>
        <stp>98</stp>
        <tr r="Q102" s="1"/>
      </tp>
      <tp>
        <v>0</v>
        <stp/>
        <stp>BOOK1</stp>
        <stp>VOV</stp>
        <stp>98</stp>
        <tr r="W102" s="1"/>
      </tp>
      <tp>
        <v>0</v>
        <stp/>
        <stp>BOOK1</stp>
        <stp>VOC</stp>
        <stp>81</stp>
        <tr r="T85" s="1"/>
      </tp>
      <tp>
        <v>0</v>
        <stp/>
        <stp>BOOK0</stp>
        <stp>VOC</stp>
        <stp>81</stp>
        <tr r="N85" s="1"/>
      </tp>
      <tp>
        <v>0</v>
        <stp/>
        <stp>BOOK0</stp>
        <stp>VOV</stp>
        <stp>81</stp>
        <tr r="Q85" s="1"/>
      </tp>
      <tp>
        <v>0</v>
        <stp/>
        <stp>BOOK1</stp>
        <stp>VOV</stp>
        <stp>81</stp>
        <tr r="W85" s="1"/>
      </tp>
      <tp>
        <v>0</v>
        <stp/>
        <stp>BOOK1</stp>
        <stp>VOC</stp>
        <stp>80</stp>
        <tr r="T84" s="1"/>
      </tp>
      <tp>
        <v>0</v>
        <stp/>
        <stp>BOOK0</stp>
        <stp>VOC</stp>
        <stp>80</stp>
        <tr r="N84" s="1"/>
      </tp>
      <tp>
        <v>0</v>
        <stp/>
        <stp>BOOK0</stp>
        <stp>VOV</stp>
        <stp>80</stp>
        <tr r="Q84" s="1"/>
      </tp>
      <tp>
        <v>0</v>
        <stp/>
        <stp>BOOK1</stp>
        <stp>VOV</stp>
        <stp>80</stp>
        <tr r="W84" s="1"/>
      </tp>
      <tp>
        <v>0</v>
        <stp/>
        <stp>BOOK1</stp>
        <stp>VOC</stp>
        <stp>83</stp>
        <tr r="T87" s="1"/>
      </tp>
      <tp>
        <v>0</v>
        <stp/>
        <stp>BOOK0</stp>
        <stp>VOC</stp>
        <stp>83</stp>
        <tr r="N87" s="1"/>
      </tp>
      <tp>
        <v>0</v>
        <stp/>
        <stp>BOOK0</stp>
        <stp>VOV</stp>
        <stp>83</stp>
        <tr r="Q87" s="1"/>
      </tp>
      <tp>
        <v>0</v>
        <stp/>
        <stp>BOOK1</stp>
        <stp>VOV</stp>
        <stp>83</stp>
        <tr r="W87" s="1"/>
      </tp>
      <tp>
        <v>0</v>
        <stp/>
        <stp>BOOK1</stp>
        <stp>VOC</stp>
        <stp>82</stp>
        <tr r="T86" s="1"/>
      </tp>
      <tp>
        <v>0</v>
        <stp/>
        <stp>BOOK0</stp>
        <stp>VOC</stp>
        <stp>82</stp>
        <tr r="N86" s="1"/>
      </tp>
      <tp>
        <v>0</v>
        <stp/>
        <stp>BOOK0</stp>
        <stp>VOV</stp>
        <stp>82</stp>
        <tr r="Q86" s="1"/>
      </tp>
      <tp>
        <v>0</v>
        <stp/>
        <stp>BOOK1</stp>
        <stp>VOV</stp>
        <stp>82</stp>
        <tr r="W86" s="1"/>
      </tp>
      <tp>
        <v>0</v>
        <stp/>
        <stp>BOOK1</stp>
        <stp>VOC</stp>
        <stp>85</stp>
        <tr r="T89" s="1"/>
      </tp>
      <tp>
        <v>0</v>
        <stp/>
        <stp>BOOK0</stp>
        <stp>VOC</stp>
        <stp>85</stp>
        <tr r="N89" s="1"/>
      </tp>
      <tp>
        <v>0</v>
        <stp/>
        <stp>BOOK0</stp>
        <stp>VOV</stp>
        <stp>85</stp>
        <tr r="Q89" s="1"/>
      </tp>
      <tp>
        <v>0</v>
        <stp/>
        <stp>BOOK1</stp>
        <stp>VOV</stp>
        <stp>85</stp>
        <tr r="W89" s="1"/>
      </tp>
      <tp>
        <v>0</v>
        <stp/>
        <stp>BOOK1</stp>
        <stp>VOC</stp>
        <stp>84</stp>
        <tr r="T88" s="1"/>
      </tp>
      <tp>
        <v>0</v>
        <stp/>
        <stp>BOOK0</stp>
        <stp>VOC</stp>
        <stp>84</stp>
        <tr r="N88" s="1"/>
      </tp>
      <tp>
        <v>0</v>
        <stp/>
        <stp>BOOK0</stp>
        <stp>VOV</stp>
        <stp>84</stp>
        <tr r="Q88" s="1"/>
      </tp>
      <tp>
        <v>0</v>
        <stp/>
        <stp>BOOK1</stp>
        <stp>VOV</stp>
        <stp>84</stp>
        <tr r="W88" s="1"/>
      </tp>
      <tp>
        <v>0</v>
        <stp/>
        <stp>BOOK1</stp>
        <stp>VOC</stp>
        <stp>87</stp>
        <tr r="T91" s="1"/>
      </tp>
      <tp>
        <v>0</v>
        <stp/>
        <stp>BOOK0</stp>
        <stp>VOC</stp>
        <stp>87</stp>
        <tr r="N91" s="1"/>
      </tp>
      <tp>
        <v>0</v>
        <stp/>
        <stp>BOOK0</stp>
        <stp>VOV</stp>
        <stp>87</stp>
        <tr r="Q91" s="1"/>
      </tp>
      <tp>
        <v>0</v>
        <stp/>
        <stp>BOOK1</stp>
        <stp>VOV</stp>
        <stp>87</stp>
        <tr r="W91" s="1"/>
      </tp>
      <tp>
        <v>0</v>
        <stp/>
        <stp>BOOK1</stp>
        <stp>VOC</stp>
        <stp>86</stp>
        <tr r="T90" s="1"/>
      </tp>
      <tp>
        <v>0</v>
        <stp/>
        <stp>BOOK0</stp>
        <stp>VOC</stp>
        <stp>86</stp>
        <tr r="N90" s="1"/>
      </tp>
      <tp>
        <v>0</v>
        <stp/>
        <stp>BOOK0</stp>
        <stp>VOV</stp>
        <stp>86</stp>
        <tr r="Q90" s="1"/>
      </tp>
      <tp>
        <v>0</v>
        <stp/>
        <stp>BOOK1</stp>
        <stp>VOV</stp>
        <stp>86</stp>
        <tr r="W90" s="1"/>
      </tp>
      <tp>
        <v>0</v>
        <stp/>
        <stp>BOOK1</stp>
        <stp>VOC</stp>
        <stp>89</stp>
        <tr r="T93" s="1"/>
      </tp>
      <tp>
        <v>0</v>
        <stp/>
        <stp>BOOK0</stp>
        <stp>VOC</stp>
        <stp>89</stp>
        <tr r="N93" s="1"/>
      </tp>
      <tp>
        <v>0</v>
        <stp/>
        <stp>BOOK0</stp>
        <stp>VOV</stp>
        <stp>89</stp>
        <tr r="Q93" s="1"/>
      </tp>
      <tp>
        <v>0</v>
        <stp/>
        <stp>BOOK1</stp>
        <stp>VOV</stp>
        <stp>89</stp>
        <tr r="W93" s="1"/>
      </tp>
      <tp>
        <v>0</v>
        <stp/>
        <stp>BOOK1</stp>
        <stp>VOC</stp>
        <stp>88</stp>
        <tr r="T92" s="1"/>
      </tp>
      <tp>
        <v>0</v>
        <stp/>
        <stp>BOOK0</stp>
        <stp>VOC</stp>
        <stp>88</stp>
        <tr r="N92" s="1"/>
      </tp>
      <tp>
        <v>0</v>
        <stp/>
        <stp>BOOK0</stp>
        <stp>VOV</stp>
        <stp>88</stp>
        <tr r="Q92" s="1"/>
      </tp>
      <tp>
        <v>0</v>
        <stp/>
        <stp>BOOK1</stp>
        <stp>VOV</stp>
        <stp>88</stp>
        <tr r="W92" s="1"/>
      </tp>
      <tp>
        <v>0</v>
        <stp/>
        <stp>BOOK0</stp>
        <stp>OVD</stp>
        <stp>88</stp>
        <tr r="P92" s="1"/>
      </tp>
      <tp>
        <v>0</v>
        <stp/>
        <stp>BOOK1</stp>
        <stp>OVD</stp>
        <stp>88</stp>
        <tr r="V92" s="1"/>
      </tp>
      <tp>
        <v>0</v>
        <stp/>
        <stp>BOOK0</stp>
        <stp>OVD</stp>
        <stp>89</stp>
        <tr r="P93" s="1"/>
      </tp>
      <tp>
        <v>0</v>
        <stp/>
        <stp>BOOK1</stp>
        <stp>OVD</stp>
        <stp>89</stp>
        <tr r="V93" s="1"/>
      </tp>
      <tp>
        <v>0</v>
        <stp/>
        <stp>BOOK0</stp>
        <stp>OVD</stp>
        <stp>80</stp>
        <tr r="P84" s="1"/>
      </tp>
      <tp>
        <v>0</v>
        <stp/>
        <stp>BOOK1</stp>
        <stp>OVD</stp>
        <stp>80</stp>
        <tr r="V84" s="1"/>
      </tp>
      <tp>
        <v>0</v>
        <stp/>
        <stp>BOOK0</stp>
        <stp>OVD</stp>
        <stp>81</stp>
        <tr r="P85" s="1"/>
      </tp>
      <tp>
        <v>0</v>
        <stp/>
        <stp>BOOK1</stp>
        <stp>OVD</stp>
        <stp>81</stp>
        <tr r="V85" s="1"/>
      </tp>
      <tp>
        <v>0</v>
        <stp/>
        <stp>BOOK0</stp>
        <stp>OVD</stp>
        <stp>82</stp>
        <tr r="P86" s="1"/>
      </tp>
      <tp>
        <v>0</v>
        <stp/>
        <stp>BOOK1</stp>
        <stp>OVD</stp>
        <stp>82</stp>
        <tr r="V86" s="1"/>
      </tp>
      <tp>
        <v>0</v>
        <stp/>
        <stp>BOOK0</stp>
        <stp>OVD</stp>
        <stp>83</stp>
        <tr r="P87" s="1"/>
      </tp>
      <tp>
        <v>0</v>
        <stp/>
        <stp>BOOK1</stp>
        <stp>OVD</stp>
        <stp>83</stp>
        <tr r="V87" s="1"/>
      </tp>
      <tp>
        <v>0</v>
        <stp/>
        <stp>BOOK0</stp>
        <stp>OVD</stp>
        <stp>84</stp>
        <tr r="P88" s="1"/>
      </tp>
      <tp>
        <v>0</v>
        <stp/>
        <stp>BOOK1</stp>
        <stp>OVD</stp>
        <stp>84</stp>
        <tr r="V88" s="1"/>
      </tp>
      <tp>
        <v>0</v>
        <stp/>
        <stp>BOOK0</stp>
        <stp>OVD</stp>
        <stp>85</stp>
        <tr r="P89" s="1"/>
      </tp>
      <tp>
        <v>0</v>
        <stp/>
        <stp>BOOK1</stp>
        <stp>OVD</stp>
        <stp>85</stp>
        <tr r="V89" s="1"/>
      </tp>
      <tp>
        <v>0</v>
        <stp/>
        <stp>BOOK0</stp>
        <stp>OVD</stp>
        <stp>86</stp>
        <tr r="P90" s="1"/>
      </tp>
      <tp>
        <v>0</v>
        <stp/>
        <stp>BOOK1</stp>
        <stp>OVD</stp>
        <stp>86</stp>
        <tr r="V90" s="1"/>
      </tp>
      <tp>
        <v>0</v>
        <stp/>
        <stp>BOOK0</stp>
        <stp>OVD</stp>
        <stp>87</stp>
        <tr r="P91" s="1"/>
      </tp>
      <tp>
        <v>0</v>
        <stp/>
        <stp>BOOK1</stp>
        <stp>OVD</stp>
        <stp>87</stp>
        <tr r="V91" s="1"/>
      </tp>
      <tp>
        <v>0</v>
        <stp/>
        <stp>BOOK0</stp>
        <stp>OCP</stp>
        <stp>89</stp>
        <tr r="O93" s="1"/>
      </tp>
      <tp>
        <v>0</v>
        <stp/>
        <stp>BOOK1</stp>
        <stp>OCP</stp>
        <stp>89</stp>
        <tr r="U93" s="1"/>
      </tp>
      <tp>
        <v>0</v>
        <stp/>
        <stp>BOOK0</stp>
        <stp>OCP</stp>
        <stp>88</stp>
        <tr r="O92" s="1"/>
      </tp>
      <tp>
        <v>0</v>
        <stp/>
        <stp>BOOK1</stp>
        <stp>OCP</stp>
        <stp>88</stp>
        <tr r="U92" s="1"/>
      </tp>
      <tp>
        <v>0</v>
        <stp/>
        <stp>BOOK0</stp>
        <stp>OCP</stp>
        <stp>85</stp>
        <tr r="O89" s="1"/>
      </tp>
      <tp>
        <v>0</v>
        <stp/>
        <stp>BOOK1</stp>
        <stp>OCP</stp>
        <stp>85</stp>
        <tr r="U89" s="1"/>
      </tp>
      <tp>
        <v>0</v>
        <stp/>
        <stp>BOOK0</stp>
        <stp>OCP</stp>
        <stp>84</stp>
        <tr r="O88" s="1"/>
      </tp>
      <tp>
        <v>0</v>
        <stp/>
        <stp>BOOK1</stp>
        <stp>OCP</stp>
        <stp>84</stp>
        <tr r="U88" s="1"/>
      </tp>
      <tp>
        <v>0</v>
        <stp/>
        <stp>BOOK0</stp>
        <stp>OCP</stp>
        <stp>87</stp>
        <tr r="O91" s="1"/>
      </tp>
      <tp>
        <v>0</v>
        <stp/>
        <stp>BOOK1</stp>
        <stp>OCP</stp>
        <stp>87</stp>
        <tr r="U91" s="1"/>
      </tp>
      <tp>
        <v>0</v>
        <stp/>
        <stp>BOOK0</stp>
        <stp>OCP</stp>
        <stp>86</stp>
        <tr r="O90" s="1"/>
      </tp>
      <tp>
        <v>0</v>
        <stp/>
        <stp>BOOK1</stp>
        <stp>OCP</stp>
        <stp>86</stp>
        <tr r="U90" s="1"/>
      </tp>
      <tp>
        <v>0</v>
        <stp/>
        <stp>BOOK0</stp>
        <stp>OCP</stp>
        <stp>81</stp>
        <tr r="O85" s="1"/>
      </tp>
      <tp>
        <v>0</v>
        <stp/>
        <stp>BOOK1</stp>
        <stp>OCP</stp>
        <stp>81</stp>
        <tr r="U85" s="1"/>
      </tp>
      <tp>
        <v>0</v>
        <stp/>
        <stp>BOOK0</stp>
        <stp>OCP</stp>
        <stp>80</stp>
        <tr r="O84" s="1"/>
      </tp>
      <tp>
        <v>0</v>
        <stp/>
        <stp>BOOK1</stp>
        <stp>OCP</stp>
        <stp>80</stp>
        <tr r="U84" s="1"/>
      </tp>
      <tp>
        <v>0</v>
        <stp/>
        <stp>BOOK0</stp>
        <stp>OCP</stp>
        <stp>83</stp>
        <tr r="O87" s="1"/>
      </tp>
      <tp>
        <v>0</v>
        <stp/>
        <stp>BOOK1</stp>
        <stp>OCP</stp>
        <stp>83</stp>
        <tr r="U87" s="1"/>
      </tp>
      <tp>
        <v>0</v>
        <stp/>
        <stp>BOOK0</stp>
        <stp>OCP</stp>
        <stp>82</stp>
        <tr r="O86" s="1"/>
      </tp>
      <tp>
        <v>0</v>
        <stp/>
        <stp>BOOK1</stp>
        <stp>OCP</stp>
        <stp>82</stp>
        <tr r="U86" s="1"/>
      </tp>
      <tp>
        <v>0</v>
        <stp/>
        <stp>BOOK0</stp>
        <stp>OVD</stp>
        <stp>98</stp>
        <tr r="P102" s="1"/>
      </tp>
      <tp>
        <v>0</v>
        <stp/>
        <stp>BOOK1</stp>
        <stp>OVD</stp>
        <stp>98</stp>
        <tr r="V102" s="1"/>
      </tp>
      <tp>
        <v>0</v>
        <stp/>
        <stp>BOOK0</stp>
        <stp>OVD</stp>
        <stp>99</stp>
        <tr r="P103" s="1"/>
      </tp>
      <tp>
        <v>0</v>
        <stp/>
        <stp>BOOK1</stp>
        <stp>OVD</stp>
        <stp>99</stp>
        <tr r="V103" s="1"/>
      </tp>
      <tp>
        <v>0</v>
        <stp/>
        <stp>BOOK0</stp>
        <stp>OVD</stp>
        <stp>90</stp>
        <tr r="P94" s="1"/>
      </tp>
      <tp>
        <v>0</v>
        <stp/>
        <stp>BOOK1</stp>
        <stp>OVD</stp>
        <stp>90</stp>
        <tr r="V94" s="1"/>
      </tp>
      <tp>
        <v>0</v>
        <stp/>
        <stp>BOOK0</stp>
        <stp>OVD</stp>
        <stp>91</stp>
        <tr r="P95" s="1"/>
      </tp>
      <tp>
        <v>0</v>
        <stp/>
        <stp>BOOK1</stp>
        <stp>OVD</stp>
        <stp>91</stp>
        <tr r="V95" s="1"/>
      </tp>
      <tp>
        <v>0</v>
        <stp/>
        <stp>BOOK0</stp>
        <stp>OVD</stp>
        <stp>92</stp>
        <tr r="P96" s="1"/>
      </tp>
      <tp>
        <v>0</v>
        <stp/>
        <stp>BOOK1</stp>
        <stp>OVD</stp>
        <stp>92</stp>
        <tr r="V96" s="1"/>
      </tp>
      <tp>
        <v>0</v>
        <stp/>
        <stp>BOOK0</stp>
        <stp>OVD</stp>
        <stp>93</stp>
        <tr r="P97" s="1"/>
      </tp>
      <tp>
        <v>0</v>
        <stp/>
        <stp>BOOK1</stp>
        <stp>OVD</stp>
        <stp>93</stp>
        <tr r="V97" s="1"/>
      </tp>
      <tp>
        <v>0</v>
        <stp/>
        <stp>BOOK0</stp>
        <stp>OVD</stp>
        <stp>94</stp>
        <tr r="P98" s="1"/>
      </tp>
      <tp>
        <v>0</v>
        <stp/>
        <stp>BOOK1</stp>
        <stp>OVD</stp>
        <stp>94</stp>
        <tr r="V98" s="1"/>
      </tp>
      <tp>
        <v>0</v>
        <stp/>
        <stp>BOOK0</stp>
        <stp>OVD</stp>
        <stp>95</stp>
        <tr r="P99" s="1"/>
      </tp>
      <tp>
        <v>0</v>
        <stp/>
        <stp>BOOK1</stp>
        <stp>OVD</stp>
        <stp>95</stp>
        <tr r="V99" s="1"/>
      </tp>
      <tp>
        <v>0</v>
        <stp/>
        <stp>BOOK0</stp>
        <stp>OVD</stp>
        <stp>96</stp>
        <tr r="P100" s="1"/>
      </tp>
      <tp>
        <v>0</v>
        <stp/>
        <stp>BOOK1</stp>
        <stp>OVD</stp>
        <stp>96</stp>
        <tr r="V100" s="1"/>
      </tp>
      <tp>
        <v>0</v>
        <stp/>
        <stp>BOOK0</stp>
        <stp>OVD</stp>
        <stp>97</stp>
        <tr r="P101" s="1"/>
      </tp>
      <tp>
        <v>0</v>
        <stp/>
        <stp>BOOK1</stp>
        <stp>OVD</stp>
        <stp>97</stp>
        <tr r="V101" s="1"/>
      </tp>
      <tp>
        <v>0</v>
        <stp/>
        <stp>BOOK0</stp>
        <stp>OCP</stp>
        <stp>99</stp>
        <tr r="O103" s="1"/>
      </tp>
      <tp>
        <v>0</v>
        <stp/>
        <stp>BOOK1</stp>
        <stp>OCP</stp>
        <stp>99</stp>
        <tr r="U103" s="1"/>
      </tp>
      <tp>
        <v>0</v>
        <stp/>
        <stp>BOOK0</stp>
        <stp>OCP</stp>
        <stp>98</stp>
        <tr r="O102" s="1"/>
      </tp>
      <tp>
        <v>0</v>
        <stp/>
        <stp>BOOK1</stp>
        <stp>OCP</stp>
        <stp>98</stp>
        <tr r="U102" s="1"/>
      </tp>
      <tp>
        <v>0</v>
        <stp/>
        <stp>BOOK0</stp>
        <stp>OCP</stp>
        <stp>95</stp>
        <tr r="O99" s="1"/>
      </tp>
      <tp>
        <v>0</v>
        <stp/>
        <stp>BOOK1</stp>
        <stp>OCP</stp>
        <stp>95</stp>
        <tr r="U99" s="1"/>
      </tp>
      <tp>
        <v>0</v>
        <stp/>
        <stp>BOOK0</stp>
        <stp>OCP</stp>
        <stp>94</stp>
        <tr r="O98" s="1"/>
      </tp>
      <tp>
        <v>0</v>
        <stp/>
        <stp>BOOK1</stp>
        <stp>OCP</stp>
        <stp>94</stp>
        <tr r="U98" s="1"/>
      </tp>
      <tp>
        <v>0</v>
        <stp/>
        <stp>BOOK0</stp>
        <stp>OCP</stp>
        <stp>97</stp>
        <tr r="O101" s="1"/>
      </tp>
      <tp>
        <v>0</v>
        <stp/>
        <stp>BOOK1</stp>
        <stp>OCP</stp>
        <stp>97</stp>
        <tr r="U101" s="1"/>
      </tp>
      <tp>
        <v>0</v>
        <stp/>
        <stp>BOOK0</stp>
        <stp>OCP</stp>
        <stp>96</stp>
        <tr r="O100" s="1"/>
      </tp>
      <tp>
        <v>0</v>
        <stp/>
        <stp>BOOK1</stp>
        <stp>OCP</stp>
        <stp>96</stp>
        <tr r="U100" s="1"/>
      </tp>
      <tp>
        <v>0</v>
        <stp/>
        <stp>BOOK0</stp>
        <stp>OCP</stp>
        <stp>91</stp>
        <tr r="O95" s="1"/>
      </tp>
      <tp>
        <v>0</v>
        <stp/>
        <stp>BOOK1</stp>
        <stp>OCP</stp>
        <stp>91</stp>
        <tr r="U95" s="1"/>
      </tp>
      <tp>
        <v>0</v>
        <stp/>
        <stp>BOOK0</stp>
        <stp>OCP</stp>
        <stp>90</stp>
        <tr r="O94" s="1"/>
      </tp>
      <tp>
        <v>0</v>
        <stp/>
        <stp>BOOK1</stp>
        <stp>OCP</stp>
        <stp>90</stp>
        <tr r="U94" s="1"/>
      </tp>
      <tp>
        <v>0</v>
        <stp/>
        <stp>BOOK0</stp>
        <stp>OCP</stp>
        <stp>93</stp>
        <tr r="O97" s="1"/>
      </tp>
      <tp>
        <v>0</v>
        <stp/>
        <stp>BOOK1</stp>
        <stp>OCP</stp>
        <stp>93</stp>
        <tr r="U97" s="1"/>
      </tp>
      <tp>
        <v>0</v>
        <stp/>
        <stp>BOOK0</stp>
        <stp>OCP</stp>
        <stp>92</stp>
        <tr r="O96" s="1"/>
      </tp>
      <tp>
        <v>0</v>
        <stp/>
        <stp>BOOK1</stp>
        <stp>OCP</stp>
        <stp>92</stp>
        <tr r="U96" s="1"/>
      </tp>
      <tp>
        <v>0</v>
        <stp/>
        <stp>BOOK0</stp>
        <stp>OVD</stp>
        <stp>18</stp>
        <tr r="P22" s="1"/>
      </tp>
      <tp>
        <v>0</v>
        <stp/>
        <stp>BOOK1</stp>
        <stp>OVD</stp>
        <stp>18</stp>
        <tr r="V22" s="1"/>
      </tp>
      <tp>
        <v>0</v>
        <stp/>
        <stp>BOOK0</stp>
        <stp>OVD</stp>
        <stp>19</stp>
        <tr r="P23" s="1"/>
      </tp>
      <tp>
        <v>0</v>
        <stp/>
        <stp>BOOK1</stp>
        <stp>OVD</stp>
        <stp>19</stp>
        <tr r="V23" s="1"/>
      </tp>
      <tp>
        <v>5726</v>
        <stp/>
        <stp>BOOK0</stp>
        <stp>OVD</stp>
        <stp>10</stp>
        <tr r="P14" s="1"/>
      </tp>
      <tp>
        <v>5727.5</v>
        <stp/>
        <stp>BOOK1</stp>
        <stp>OVD</stp>
        <stp>10</stp>
        <tr r="V14" s="1"/>
      </tp>
      <tp>
        <v>5728.5</v>
        <stp/>
        <stp>BOOK0</stp>
        <stp>OVD</stp>
        <stp>11</stp>
        <tr r="P15" s="1"/>
      </tp>
      <tp>
        <v>5727.5</v>
        <stp/>
        <stp>BOOK1</stp>
        <stp>OVD</stp>
        <stp>11</stp>
        <tr r="V15" s="1"/>
      </tp>
      <tp>
        <v>5728.5</v>
        <stp/>
        <stp>BOOK0</stp>
        <stp>OVD</stp>
        <stp>12</stp>
        <tr r="P16" s="1"/>
      </tp>
      <tp>
        <v>5728</v>
        <stp/>
        <stp>BOOK1</stp>
        <stp>OVD</stp>
        <stp>12</stp>
        <tr r="V16" s="1"/>
      </tp>
      <tp>
        <v>0</v>
        <stp/>
        <stp>BOOK0</stp>
        <stp>OVD</stp>
        <stp>13</stp>
        <tr r="P17" s="1"/>
      </tp>
      <tp>
        <v>5728</v>
        <stp/>
        <stp>BOOK1</stp>
        <stp>OVD</stp>
        <stp>13</stp>
        <tr r="V17" s="1"/>
      </tp>
      <tp>
        <v>0</v>
        <stp/>
        <stp>BOOK0</stp>
        <stp>OVD</stp>
        <stp>14</stp>
        <tr r="P18" s="1"/>
      </tp>
      <tp>
        <v>5728</v>
        <stp/>
        <stp>BOOK1</stp>
        <stp>OVD</stp>
        <stp>14</stp>
        <tr r="V18" s="1"/>
      </tp>
      <tp>
        <v>0</v>
        <stp/>
        <stp>BOOK0</stp>
        <stp>OVD</stp>
        <stp>15</stp>
        <tr r="P19" s="1"/>
      </tp>
      <tp>
        <v>5728</v>
        <stp/>
        <stp>BOOK1</stp>
        <stp>OVD</stp>
        <stp>15</stp>
        <tr r="V19" s="1"/>
      </tp>
      <tp>
        <v>0</v>
        <stp/>
        <stp>BOOK0</stp>
        <stp>OVD</stp>
        <stp>16</stp>
        <tr r="P20" s="1"/>
      </tp>
      <tp>
        <v>5728</v>
        <stp/>
        <stp>BOOK1</stp>
        <stp>OVD</stp>
        <stp>16</stp>
        <tr r="V20" s="1"/>
      </tp>
      <tp>
        <v>0</v>
        <stp/>
        <stp>BOOK0</stp>
        <stp>OVD</stp>
        <stp>17</stp>
        <tr r="P21" s="1"/>
      </tp>
      <tp>
        <v>0</v>
        <stp/>
        <stp>BOOK1</stp>
        <stp>OVD</stp>
        <stp>17</stp>
        <tr r="V21" s="1"/>
      </tp>
      <tp>
        <v>0</v>
        <stp/>
        <stp>BOOK0</stp>
        <stp>OCP</stp>
        <stp>19</stp>
        <tr r="O23" s="1"/>
      </tp>
      <tp>
        <v>0</v>
        <stp/>
        <stp>BOOK1</stp>
        <stp>OCP</stp>
        <stp>19</stp>
        <tr r="U23" s="1"/>
      </tp>
      <tp>
        <v>0</v>
        <stp/>
        <stp>BOOK0</stp>
        <stp>OCP</stp>
        <stp>18</stp>
        <tr r="O22" s="1"/>
      </tp>
      <tp>
        <v>0</v>
        <stp/>
        <stp>BOOK1</stp>
        <stp>OCP</stp>
        <stp>18</stp>
        <tr r="U22" s="1"/>
      </tp>
      <tp>
        <v>0</v>
        <stp/>
        <stp>BOOK0</stp>
        <stp>OCP</stp>
        <stp>15</stp>
        <tr r="O19" s="1"/>
      </tp>
      <tp>
        <v>0</v>
        <stp/>
        <stp>BOOK1</stp>
        <stp>OCP</stp>
        <stp>15</stp>
        <tr r="U19" s="1"/>
      </tp>
      <tp>
        <v>0</v>
        <stp/>
        <stp>BOOK0</stp>
        <stp>OCP</stp>
        <stp>14</stp>
        <tr r="O18" s="1"/>
      </tp>
      <tp>
        <v>0</v>
        <stp/>
        <stp>BOOK1</stp>
        <stp>OCP</stp>
        <stp>14</stp>
        <tr r="U18" s="1"/>
      </tp>
      <tp>
        <v>0</v>
        <stp/>
        <stp>BOOK0</stp>
        <stp>OCP</stp>
        <stp>17</stp>
        <tr r="O21" s="1"/>
      </tp>
      <tp>
        <v>0</v>
        <stp/>
        <stp>BOOK1</stp>
        <stp>OCP</stp>
        <stp>17</stp>
        <tr r="U21" s="1"/>
      </tp>
      <tp>
        <v>0</v>
        <stp/>
        <stp>BOOK0</stp>
        <stp>OCP</stp>
        <stp>16</stp>
        <tr r="O20" s="1"/>
      </tp>
      <tp>
        <v>0</v>
        <stp/>
        <stp>BOOK1</stp>
        <stp>OCP</stp>
        <stp>16</stp>
        <tr r="U20" s="1"/>
      </tp>
      <tp>
        <v>5707.5</v>
        <stp/>
        <stp>BOOK0</stp>
        <stp>OCP</stp>
        <stp>11</stp>
        <tr r="O15" s="1"/>
      </tp>
      <tp>
        <v>5694</v>
        <stp/>
        <stp>BOOK1</stp>
        <stp>OCP</stp>
        <stp>11</stp>
        <tr r="U15" s="1"/>
      </tp>
      <tp>
        <v>5708</v>
        <stp/>
        <stp>BOOK0</stp>
        <stp>OCP</stp>
        <stp>10</stp>
        <tr r="O14" s="1"/>
      </tp>
      <tp>
        <v>5695</v>
        <stp/>
        <stp>BOOK1</stp>
        <stp>OCP</stp>
        <stp>10</stp>
        <tr r="U14" s="1"/>
      </tp>
      <tp>
        <v>5706.5</v>
        <stp/>
        <stp>BOOK0</stp>
        <stp>OCP</stp>
        <stp>13</stp>
        <tr r="O17" s="1"/>
      </tp>
      <tp>
        <v>0</v>
        <stp/>
        <stp>BOOK1</stp>
        <stp>OCP</stp>
        <stp>13</stp>
        <tr r="U17" s="1"/>
      </tp>
      <tp>
        <v>5706.5</v>
        <stp/>
        <stp>BOOK0</stp>
        <stp>OCP</stp>
        <stp>12</stp>
        <tr r="O16" s="1"/>
      </tp>
      <tp>
        <v>5692</v>
        <stp/>
        <stp>BOOK1</stp>
        <stp>OCP</stp>
        <stp>12</stp>
        <tr r="U16" s="1"/>
      </tp>
      <tp>
        <v>0</v>
        <stp/>
        <stp>BOOK0</stp>
        <stp>OVD</stp>
        <stp>28</stp>
        <tr r="P32" s="1"/>
      </tp>
      <tp>
        <v>0</v>
        <stp/>
        <stp>BOOK1</stp>
        <stp>OVD</stp>
        <stp>28</stp>
        <tr r="V32" s="1"/>
      </tp>
      <tp>
        <v>0</v>
        <stp/>
        <stp>BOOK0</stp>
        <stp>OVD</stp>
        <stp>29</stp>
        <tr r="P33" s="1"/>
      </tp>
      <tp>
        <v>0</v>
        <stp/>
        <stp>BOOK1</stp>
        <stp>OVD</stp>
        <stp>29</stp>
        <tr r="V33" s="1"/>
      </tp>
      <tp>
        <v>0</v>
        <stp/>
        <stp>BOOK0</stp>
        <stp>OVD</stp>
        <stp>20</stp>
        <tr r="P24" s="1"/>
      </tp>
      <tp>
        <v>0</v>
        <stp/>
        <stp>BOOK1</stp>
        <stp>OVD</stp>
        <stp>20</stp>
        <tr r="V24" s="1"/>
      </tp>
      <tp>
        <v>0</v>
        <stp/>
        <stp>BOOK0</stp>
        <stp>OVD</stp>
        <stp>21</stp>
        <tr r="P25" s="1"/>
      </tp>
      <tp>
        <v>0</v>
        <stp/>
        <stp>BOOK1</stp>
        <stp>OVD</stp>
        <stp>21</stp>
        <tr r="V25" s="1"/>
      </tp>
      <tp>
        <v>0</v>
        <stp/>
        <stp>BOOK0</stp>
        <stp>OVD</stp>
        <stp>22</stp>
        <tr r="P26" s="1"/>
      </tp>
      <tp>
        <v>0</v>
        <stp/>
        <stp>BOOK1</stp>
        <stp>OVD</stp>
        <stp>22</stp>
        <tr r="V26" s="1"/>
      </tp>
      <tp>
        <v>0</v>
        <stp/>
        <stp>BOOK0</stp>
        <stp>OVD</stp>
        <stp>23</stp>
        <tr r="P27" s="1"/>
      </tp>
      <tp>
        <v>0</v>
        <stp/>
        <stp>BOOK1</stp>
        <stp>OVD</stp>
        <stp>23</stp>
        <tr r="V27" s="1"/>
      </tp>
      <tp>
        <v>0</v>
        <stp/>
        <stp>BOOK0</stp>
        <stp>OVD</stp>
        <stp>24</stp>
        <tr r="P28" s="1"/>
      </tp>
      <tp>
        <v>0</v>
        <stp/>
        <stp>BOOK1</stp>
        <stp>OVD</stp>
        <stp>24</stp>
        <tr r="V28" s="1"/>
      </tp>
      <tp>
        <v>0</v>
        <stp/>
        <stp>BOOK0</stp>
        <stp>OVD</stp>
        <stp>25</stp>
        <tr r="P29" s="1"/>
      </tp>
      <tp>
        <v>0</v>
        <stp/>
        <stp>BOOK1</stp>
        <stp>OVD</stp>
        <stp>25</stp>
        <tr r="V29" s="1"/>
      </tp>
      <tp>
        <v>0</v>
        <stp/>
        <stp>BOOK0</stp>
        <stp>OVD</stp>
        <stp>26</stp>
        <tr r="P30" s="1"/>
      </tp>
      <tp>
        <v>0</v>
        <stp/>
        <stp>BOOK1</stp>
        <stp>OVD</stp>
        <stp>26</stp>
        <tr r="V30" s="1"/>
      </tp>
      <tp>
        <v>0</v>
        <stp/>
        <stp>BOOK0</stp>
        <stp>OVD</stp>
        <stp>27</stp>
        <tr r="P31" s="1"/>
      </tp>
      <tp>
        <v>0</v>
        <stp/>
        <stp>BOOK1</stp>
        <stp>OVD</stp>
        <stp>27</stp>
        <tr r="V31" s="1"/>
      </tp>
      <tp>
        <v>5669</v>
        <stp/>
        <stp>BOOK0</stp>
        <stp>OCP</stp>
        <stp>29</stp>
        <tr r="O33" s="1"/>
      </tp>
      <tp>
        <v>0</v>
        <stp/>
        <stp>BOOK1</stp>
        <stp>OCP</stp>
        <stp>29</stp>
        <tr r="U33" s="1"/>
      </tp>
      <tp>
        <v>0</v>
        <stp/>
        <stp>BOOK0</stp>
        <stp>OCP</stp>
        <stp>28</stp>
        <tr r="O32" s="1"/>
      </tp>
      <tp>
        <v>0</v>
        <stp/>
        <stp>BOOK1</stp>
        <stp>OCP</stp>
        <stp>28</stp>
        <tr r="U32" s="1"/>
      </tp>
      <tp>
        <v>0</v>
        <stp/>
        <stp>BOOK0</stp>
        <stp>OCP</stp>
        <stp>25</stp>
        <tr r="O29" s="1"/>
      </tp>
      <tp>
        <v>0</v>
        <stp/>
        <stp>BOOK1</stp>
        <stp>OCP</stp>
        <stp>25</stp>
        <tr r="U29" s="1"/>
      </tp>
      <tp>
        <v>0</v>
        <stp/>
        <stp>BOOK0</stp>
        <stp>OCP</stp>
        <stp>24</stp>
        <tr r="O28" s="1"/>
      </tp>
      <tp>
        <v>0</v>
        <stp/>
        <stp>BOOK1</stp>
        <stp>OCP</stp>
        <stp>24</stp>
        <tr r="U28" s="1"/>
      </tp>
      <tp>
        <v>0</v>
        <stp/>
        <stp>BOOK0</stp>
        <stp>OCP</stp>
        <stp>27</stp>
        <tr r="O31" s="1"/>
      </tp>
      <tp>
        <v>0</v>
        <stp/>
        <stp>BOOK1</stp>
        <stp>OCP</stp>
        <stp>27</stp>
        <tr r="U31" s="1"/>
      </tp>
      <tp>
        <v>0</v>
        <stp/>
        <stp>BOOK0</stp>
        <stp>OCP</stp>
        <stp>26</stp>
        <tr r="O30" s="1"/>
      </tp>
      <tp>
        <v>5682.5</v>
        <stp/>
        <stp>BOOK1</stp>
        <stp>OCP</stp>
        <stp>26</stp>
        <tr r="U30" s="1"/>
      </tp>
      <tp>
        <v>0</v>
        <stp/>
        <stp>BOOK0</stp>
        <stp>OCP</stp>
        <stp>21</stp>
        <tr r="O25" s="1"/>
      </tp>
      <tp>
        <v>0</v>
        <stp/>
        <stp>BOOK1</stp>
        <stp>OCP</stp>
        <stp>21</stp>
        <tr r="U25" s="1"/>
      </tp>
      <tp>
        <v>0</v>
        <stp/>
        <stp>BOOK0</stp>
        <stp>OCP</stp>
        <stp>20</stp>
        <tr r="O24" s="1"/>
      </tp>
      <tp>
        <v>0</v>
        <stp/>
        <stp>BOOK1</stp>
        <stp>OCP</stp>
        <stp>20</stp>
        <tr r="U24" s="1"/>
      </tp>
      <tp>
        <v>0</v>
        <stp/>
        <stp>BOOK0</stp>
        <stp>OCP</stp>
        <stp>23</stp>
        <tr r="O27" s="1"/>
      </tp>
      <tp>
        <v>0</v>
        <stp/>
        <stp>BOOK1</stp>
        <stp>OCP</stp>
        <stp>23</stp>
        <tr r="U27" s="1"/>
      </tp>
      <tp>
        <v>0</v>
        <stp/>
        <stp>BOOK0</stp>
        <stp>OCP</stp>
        <stp>22</stp>
        <tr r="O26" s="1"/>
      </tp>
      <tp>
        <v>0</v>
        <stp/>
        <stp>BOOK1</stp>
        <stp>OCP</stp>
        <stp>22</stp>
        <tr r="U26" s="1"/>
      </tp>
      <tp>
        <v>0</v>
        <stp/>
        <stp>BOOK0</stp>
        <stp>OVD</stp>
        <stp>38</stp>
        <tr r="P42" s="1"/>
      </tp>
      <tp>
        <v>0</v>
        <stp/>
        <stp>BOOK1</stp>
        <stp>OVD</stp>
        <stp>38</stp>
        <tr r="V42" s="1"/>
      </tp>
      <tp>
        <v>0</v>
        <stp/>
        <stp>BOOK0</stp>
        <stp>OVD</stp>
        <stp>39</stp>
        <tr r="P43" s="1"/>
      </tp>
      <tp>
        <v>0</v>
        <stp/>
        <stp>BOOK1</stp>
        <stp>OVD</stp>
        <stp>39</stp>
        <tr r="V43" s="1"/>
      </tp>
      <tp>
        <v>0</v>
        <stp/>
        <stp>BOOK0</stp>
        <stp>OVD</stp>
        <stp>30</stp>
        <tr r="P34" s="1"/>
      </tp>
      <tp>
        <v>0</v>
        <stp/>
        <stp>BOOK1</stp>
        <stp>OVD</stp>
        <stp>30</stp>
        <tr r="V34" s="1"/>
      </tp>
      <tp>
        <v>0</v>
        <stp/>
        <stp>BOOK0</stp>
        <stp>OVD</stp>
        <stp>31</stp>
        <tr r="P35" s="1"/>
      </tp>
      <tp>
        <v>0</v>
        <stp/>
        <stp>BOOK1</stp>
        <stp>OVD</stp>
        <stp>31</stp>
        <tr r="V35" s="1"/>
      </tp>
      <tp>
        <v>0</v>
        <stp/>
        <stp>BOOK0</stp>
        <stp>OVD</stp>
        <stp>32</stp>
        <tr r="P36" s="1"/>
      </tp>
      <tp>
        <v>0</v>
        <stp/>
        <stp>BOOK1</stp>
        <stp>OVD</stp>
        <stp>32</stp>
        <tr r="V36" s="1"/>
      </tp>
      <tp>
        <v>0</v>
        <stp/>
        <stp>BOOK0</stp>
        <stp>OVD</stp>
        <stp>33</stp>
        <tr r="P37" s="1"/>
      </tp>
      <tp>
        <v>0</v>
        <stp/>
        <stp>BOOK1</stp>
        <stp>OVD</stp>
        <stp>33</stp>
        <tr r="V37" s="1"/>
      </tp>
      <tp>
        <v>0</v>
        <stp/>
        <stp>BOOK0</stp>
        <stp>OVD</stp>
        <stp>34</stp>
        <tr r="P38" s="1"/>
      </tp>
      <tp>
        <v>0</v>
        <stp/>
        <stp>BOOK1</stp>
        <stp>OVD</stp>
        <stp>34</stp>
        <tr r="V38" s="1"/>
      </tp>
      <tp>
        <v>0</v>
        <stp/>
        <stp>BOOK0</stp>
        <stp>OVD</stp>
        <stp>35</stp>
        <tr r="P39" s="1"/>
      </tp>
      <tp>
        <v>0</v>
        <stp/>
        <stp>BOOK1</stp>
        <stp>OVD</stp>
        <stp>35</stp>
        <tr r="V39" s="1"/>
      </tp>
      <tp>
        <v>0</v>
        <stp/>
        <stp>BOOK0</stp>
        <stp>OVD</stp>
        <stp>36</stp>
        <tr r="P40" s="1"/>
      </tp>
      <tp>
        <v>0</v>
        <stp/>
        <stp>BOOK1</stp>
        <stp>OVD</stp>
        <stp>36</stp>
        <tr r="V40" s="1"/>
      </tp>
      <tp>
        <v>0</v>
        <stp/>
        <stp>BOOK0</stp>
        <stp>OVD</stp>
        <stp>37</stp>
        <tr r="P41" s="1"/>
      </tp>
      <tp>
        <v>0</v>
        <stp/>
        <stp>BOOK1</stp>
        <stp>OVD</stp>
        <stp>37</stp>
        <tr r="V41" s="1"/>
      </tp>
      <tp>
        <v>0</v>
        <stp/>
        <stp>BOOK0</stp>
        <stp>OCP</stp>
        <stp>39</stp>
        <tr r="O43" s="1"/>
      </tp>
      <tp>
        <v>0</v>
        <stp/>
        <stp>BOOK1</stp>
        <stp>OCP</stp>
        <stp>39</stp>
        <tr r="U43" s="1"/>
      </tp>
      <tp>
        <v>0</v>
        <stp/>
        <stp>BOOK0</stp>
        <stp>OCP</stp>
        <stp>38</stp>
        <tr r="O42" s="1"/>
      </tp>
      <tp>
        <v>0</v>
        <stp/>
        <stp>BOOK1</stp>
        <stp>OCP</stp>
        <stp>38</stp>
        <tr r="U42" s="1"/>
      </tp>
      <tp>
        <v>0</v>
        <stp/>
        <stp>BOOK0</stp>
        <stp>OCP</stp>
        <stp>35</stp>
        <tr r="O39" s="1"/>
      </tp>
      <tp>
        <v>0</v>
        <stp/>
        <stp>BOOK1</stp>
        <stp>OCP</stp>
        <stp>35</stp>
        <tr r="U39" s="1"/>
      </tp>
      <tp>
        <v>0</v>
        <stp/>
        <stp>BOOK0</stp>
        <stp>OCP</stp>
        <stp>34</stp>
        <tr r="O38" s="1"/>
      </tp>
      <tp>
        <v>0</v>
        <stp/>
        <stp>BOOK1</stp>
        <stp>OCP</stp>
        <stp>34</stp>
        <tr r="U38" s="1"/>
      </tp>
      <tp>
        <v>0</v>
        <stp/>
        <stp>BOOK0</stp>
        <stp>OCP</stp>
        <stp>37</stp>
        <tr r="O41" s="1"/>
      </tp>
      <tp>
        <v>0</v>
        <stp/>
        <stp>BOOK1</stp>
        <stp>OCP</stp>
        <stp>37</stp>
        <tr r="U41" s="1"/>
      </tp>
      <tp>
        <v>0</v>
        <stp/>
        <stp>BOOK0</stp>
        <stp>OCP</stp>
        <stp>36</stp>
        <tr r="O40" s="1"/>
      </tp>
      <tp>
        <v>0</v>
        <stp/>
        <stp>BOOK1</stp>
        <stp>OCP</stp>
        <stp>36</stp>
        <tr r="U40" s="1"/>
      </tp>
      <tp>
        <v>0</v>
        <stp/>
        <stp>BOOK0</stp>
        <stp>OCP</stp>
        <stp>31</stp>
        <tr r="O35" s="1"/>
      </tp>
      <tp>
        <v>0</v>
        <stp/>
        <stp>BOOK1</stp>
        <stp>OCP</stp>
        <stp>31</stp>
        <tr r="U35" s="1"/>
      </tp>
      <tp>
        <v>5677</v>
        <stp/>
        <stp>BOOK0</stp>
        <stp>OCP</stp>
        <stp>30</stp>
        <tr r="O34" s="1"/>
      </tp>
      <tp>
        <v>0</v>
        <stp/>
        <stp>BOOK1</stp>
        <stp>OCP</stp>
        <stp>30</stp>
        <tr r="U34" s="1"/>
      </tp>
      <tp>
        <v>0</v>
        <stp/>
        <stp>BOOK0</stp>
        <stp>OCP</stp>
        <stp>33</stp>
        <tr r="O37" s="1"/>
      </tp>
      <tp>
        <v>0</v>
        <stp/>
        <stp>BOOK1</stp>
        <stp>OCP</stp>
        <stp>33</stp>
        <tr r="U37" s="1"/>
      </tp>
      <tp>
        <v>0</v>
        <stp/>
        <stp>BOOK0</stp>
        <stp>OCP</stp>
        <stp>32</stp>
        <tr r="O36" s="1"/>
      </tp>
      <tp>
        <v>0</v>
        <stp/>
        <stp>BOOK1</stp>
        <stp>OCP</stp>
        <stp>32</stp>
        <tr r="U36" s="1"/>
      </tp>
      <tp>
        <v>0</v>
        <stp/>
        <stp>BOOK0</stp>
        <stp>OVD</stp>
        <stp>48</stp>
        <tr r="P52" s="1"/>
      </tp>
      <tp>
        <v>0</v>
        <stp/>
        <stp>BOOK1</stp>
        <stp>OVD</stp>
        <stp>48</stp>
        <tr r="V52" s="1"/>
      </tp>
      <tp>
        <v>0</v>
        <stp/>
        <stp>BOOK0</stp>
        <stp>OVD</stp>
        <stp>49</stp>
        <tr r="P53" s="1"/>
      </tp>
      <tp>
        <v>0</v>
        <stp/>
        <stp>BOOK1</stp>
        <stp>OVD</stp>
        <stp>49</stp>
        <tr r="V53" s="1"/>
      </tp>
      <tp>
        <v>0</v>
        <stp/>
        <stp>BOOK0</stp>
        <stp>OVD</stp>
        <stp>40</stp>
        <tr r="P44" s="1"/>
      </tp>
      <tp>
        <v>0</v>
        <stp/>
        <stp>BOOK1</stp>
        <stp>OVD</stp>
        <stp>40</stp>
        <tr r="V44" s="1"/>
      </tp>
      <tp>
        <v>0</v>
        <stp/>
        <stp>BOOK0</stp>
        <stp>OVD</stp>
        <stp>41</stp>
        <tr r="P45" s="1"/>
      </tp>
      <tp>
        <v>0</v>
        <stp/>
        <stp>BOOK1</stp>
        <stp>OVD</stp>
        <stp>41</stp>
        <tr r="V45" s="1"/>
      </tp>
      <tp>
        <v>0</v>
        <stp/>
        <stp>BOOK0</stp>
        <stp>OVD</stp>
        <stp>42</stp>
        <tr r="P46" s="1"/>
      </tp>
      <tp>
        <v>0</v>
        <stp/>
        <stp>BOOK1</stp>
        <stp>OVD</stp>
        <stp>42</stp>
        <tr r="V46" s="1"/>
      </tp>
      <tp>
        <v>0</v>
        <stp/>
        <stp>BOOK0</stp>
        <stp>OVD</stp>
        <stp>43</stp>
        <tr r="P47" s="1"/>
      </tp>
      <tp>
        <v>0</v>
        <stp/>
        <stp>BOOK1</stp>
        <stp>OVD</stp>
        <stp>43</stp>
        <tr r="V47" s="1"/>
      </tp>
      <tp>
        <v>0</v>
        <stp/>
        <stp>BOOK0</stp>
        <stp>OVD</stp>
        <stp>44</stp>
        <tr r="P48" s="1"/>
      </tp>
      <tp>
        <v>0</v>
        <stp/>
        <stp>BOOK1</stp>
        <stp>OVD</stp>
        <stp>44</stp>
        <tr r="V48" s="1"/>
      </tp>
      <tp>
        <v>0</v>
        <stp/>
        <stp>BOOK0</stp>
        <stp>OVD</stp>
        <stp>45</stp>
        <tr r="P49" s="1"/>
      </tp>
      <tp>
        <v>0</v>
        <stp/>
        <stp>BOOK1</stp>
        <stp>OVD</stp>
        <stp>45</stp>
        <tr r="V49" s="1"/>
      </tp>
      <tp>
        <v>0</v>
        <stp/>
        <stp>BOOK0</stp>
        <stp>OVD</stp>
        <stp>46</stp>
        <tr r="P50" s="1"/>
      </tp>
      <tp>
        <v>0</v>
        <stp/>
        <stp>BOOK1</stp>
        <stp>OVD</stp>
        <stp>46</stp>
        <tr r="V50" s="1"/>
      </tp>
      <tp>
        <v>0</v>
        <stp/>
        <stp>BOOK0</stp>
        <stp>OVD</stp>
        <stp>47</stp>
        <tr r="P51" s="1"/>
      </tp>
      <tp>
        <v>0</v>
        <stp/>
        <stp>BOOK1</stp>
        <stp>OVD</stp>
        <stp>47</stp>
        <tr r="V51" s="1"/>
      </tp>
      <tp>
        <v>0</v>
        <stp/>
        <stp>BOOK0</stp>
        <stp>OCP</stp>
        <stp>49</stp>
        <tr r="O53" s="1"/>
      </tp>
      <tp>
        <v>0</v>
        <stp/>
        <stp>BOOK1</stp>
        <stp>OCP</stp>
        <stp>49</stp>
        <tr r="U53" s="1"/>
      </tp>
      <tp>
        <v>0</v>
        <stp/>
        <stp>BOOK0</stp>
        <stp>OCP</stp>
        <stp>48</stp>
        <tr r="O52" s="1"/>
      </tp>
      <tp>
        <v>0</v>
        <stp/>
        <stp>BOOK1</stp>
        <stp>OCP</stp>
        <stp>48</stp>
        <tr r="U52" s="1"/>
      </tp>
      <tp>
        <v>0</v>
        <stp/>
        <stp>BOOK0</stp>
        <stp>OCP</stp>
        <stp>45</stp>
        <tr r="O49" s="1"/>
      </tp>
      <tp>
        <v>0</v>
        <stp/>
        <stp>BOOK1</stp>
        <stp>OCP</stp>
        <stp>45</stp>
        <tr r="U49" s="1"/>
      </tp>
      <tp>
        <v>0</v>
        <stp/>
        <stp>BOOK0</stp>
        <stp>OCP</stp>
        <stp>44</stp>
        <tr r="O48" s="1"/>
      </tp>
      <tp>
        <v>0</v>
        <stp/>
        <stp>BOOK1</stp>
        <stp>OCP</stp>
        <stp>44</stp>
        <tr r="U48" s="1"/>
      </tp>
      <tp>
        <v>0</v>
        <stp/>
        <stp>BOOK0</stp>
        <stp>OCP</stp>
        <stp>47</stp>
        <tr r="O51" s="1"/>
      </tp>
      <tp>
        <v>0</v>
        <stp/>
        <stp>BOOK1</stp>
        <stp>OCP</stp>
        <stp>47</stp>
        <tr r="U51" s="1"/>
      </tp>
      <tp>
        <v>0</v>
        <stp/>
        <stp>BOOK0</stp>
        <stp>OCP</stp>
        <stp>46</stp>
        <tr r="O50" s="1"/>
      </tp>
      <tp>
        <v>0</v>
        <stp/>
        <stp>BOOK1</stp>
        <stp>OCP</stp>
        <stp>46</stp>
        <tr r="U50" s="1"/>
      </tp>
      <tp>
        <v>0</v>
        <stp/>
        <stp>BOOK0</stp>
        <stp>OCP</stp>
        <stp>41</stp>
        <tr r="O45" s="1"/>
      </tp>
      <tp>
        <v>5625</v>
        <stp/>
        <stp>BOOK1</stp>
        <stp>OCP</stp>
        <stp>41</stp>
        <tr r="U45" s="1"/>
      </tp>
      <tp>
        <v>0</v>
        <stp/>
        <stp>BOOK0</stp>
        <stp>OCP</stp>
        <stp>40</stp>
        <tr r="O44" s="1"/>
      </tp>
      <tp>
        <v>0</v>
        <stp/>
        <stp>BOOK1</stp>
        <stp>OCP</stp>
        <stp>40</stp>
        <tr r="U44" s="1"/>
      </tp>
      <tp>
        <v>0</v>
        <stp/>
        <stp>BOOK0</stp>
        <stp>OCP</stp>
        <stp>43</stp>
        <tr r="O47" s="1"/>
      </tp>
      <tp>
        <v>0</v>
        <stp/>
        <stp>BOOK1</stp>
        <stp>OCP</stp>
        <stp>43</stp>
        <tr r="U47" s="1"/>
      </tp>
      <tp>
        <v>0</v>
        <stp/>
        <stp>BOOK0</stp>
        <stp>OCP</stp>
        <stp>42</stp>
        <tr r="O46" s="1"/>
      </tp>
      <tp>
        <v>0</v>
        <stp/>
        <stp>BOOK1</stp>
        <stp>OCP</stp>
        <stp>42</stp>
        <tr r="U46" s="1"/>
      </tp>
      <tp>
        <v>0</v>
        <stp/>
        <stp>BOOK0</stp>
        <stp>OVD</stp>
        <stp>58</stp>
        <tr r="P62" s="1"/>
      </tp>
      <tp>
        <v>0</v>
        <stp/>
        <stp>BOOK1</stp>
        <stp>OVD</stp>
        <stp>58</stp>
        <tr r="V62" s="1"/>
      </tp>
      <tp>
        <v>0</v>
        <stp/>
        <stp>BOOK0</stp>
        <stp>OVD</stp>
        <stp>59</stp>
        <tr r="P63" s="1"/>
      </tp>
      <tp>
        <v>0</v>
        <stp/>
        <stp>BOOK1</stp>
        <stp>OVD</stp>
        <stp>59</stp>
        <tr r="V63" s="1"/>
      </tp>
      <tp>
        <v>5745</v>
        <stp/>
        <stp>BOOK0</stp>
        <stp>OVD</stp>
        <stp>50</stp>
        <tr r="P54" s="1"/>
      </tp>
      <tp>
        <v>0</v>
        <stp/>
        <stp>BOOK1</stp>
        <stp>OVD</stp>
        <stp>50</stp>
        <tr r="V54" s="1"/>
      </tp>
      <tp>
        <v>0</v>
        <stp/>
        <stp>BOOK0</stp>
        <stp>OVD</stp>
        <stp>51</stp>
        <tr r="P55" s="1"/>
      </tp>
      <tp>
        <v>0</v>
        <stp/>
        <stp>BOOK1</stp>
        <stp>OVD</stp>
        <stp>51</stp>
        <tr r="V55" s="1"/>
      </tp>
      <tp>
        <v>0</v>
        <stp/>
        <stp>BOOK0</stp>
        <stp>OVD</stp>
        <stp>52</stp>
        <tr r="P56" s="1"/>
      </tp>
      <tp>
        <v>0</v>
        <stp/>
        <stp>BOOK1</stp>
        <stp>OVD</stp>
        <stp>52</stp>
        <tr r="V56" s="1"/>
      </tp>
      <tp>
        <v>0</v>
        <stp/>
        <stp>BOOK0</stp>
        <stp>OVD</stp>
        <stp>53</stp>
        <tr r="P57" s="1"/>
      </tp>
      <tp>
        <v>0</v>
        <stp/>
        <stp>BOOK1</stp>
        <stp>OVD</stp>
        <stp>53</stp>
        <tr r="V57" s="1"/>
      </tp>
      <tp>
        <v>0</v>
        <stp/>
        <stp>BOOK0</stp>
        <stp>OVD</stp>
        <stp>54</stp>
        <tr r="P58" s="1"/>
      </tp>
      <tp>
        <v>0</v>
        <stp/>
        <stp>BOOK1</stp>
        <stp>OVD</stp>
        <stp>54</stp>
        <tr r="V58" s="1"/>
      </tp>
      <tp>
        <v>5750</v>
        <stp/>
        <stp>BOOK0</stp>
        <stp>OVD</stp>
        <stp>55</stp>
        <tr r="P59" s="1"/>
      </tp>
      <tp>
        <v>0</v>
        <stp/>
        <stp>BOOK1</stp>
        <stp>OVD</stp>
        <stp>55</stp>
        <tr r="V59" s="1"/>
      </tp>
      <tp>
        <v>0</v>
        <stp/>
        <stp>BOOK0</stp>
        <stp>OVD</stp>
        <stp>56</stp>
        <tr r="P60" s="1"/>
      </tp>
      <tp>
        <v>0</v>
        <stp/>
        <stp>BOOK1</stp>
        <stp>OVD</stp>
        <stp>56</stp>
        <tr r="V60" s="1"/>
      </tp>
      <tp>
        <v>0</v>
        <stp/>
        <stp>BOOK0</stp>
        <stp>OVD</stp>
        <stp>57</stp>
        <tr r="P61" s="1"/>
      </tp>
      <tp>
        <v>0</v>
        <stp/>
        <stp>BOOK1</stp>
        <stp>OVD</stp>
        <stp>57</stp>
        <tr r="V61" s="1"/>
      </tp>
      <tp>
        <v>0</v>
        <stp/>
        <stp>BOOK0</stp>
        <stp>OCP</stp>
        <stp>59</stp>
        <tr r="O63" s="1"/>
      </tp>
      <tp>
        <v>0</v>
        <stp/>
        <stp>BOOK1</stp>
        <stp>OCP</stp>
        <stp>59</stp>
        <tr r="U63" s="1"/>
      </tp>
      <tp>
        <v>0</v>
        <stp/>
        <stp>BOOK0</stp>
        <stp>OCP</stp>
        <stp>58</stp>
        <tr r="O62" s="1"/>
      </tp>
      <tp>
        <v>0</v>
        <stp/>
        <stp>BOOK1</stp>
        <stp>OCP</stp>
        <stp>58</stp>
        <tr r="U62" s="1"/>
      </tp>
      <tp>
        <v>0</v>
        <stp/>
        <stp>BOOK0</stp>
        <stp>OCP</stp>
        <stp>55</stp>
        <tr r="O59" s="1"/>
      </tp>
      <tp>
        <v>0</v>
        <stp/>
        <stp>BOOK1</stp>
        <stp>OCP</stp>
        <stp>55</stp>
        <tr r="U59" s="1"/>
      </tp>
      <tp>
        <v>0</v>
        <stp/>
        <stp>BOOK0</stp>
        <stp>OCP</stp>
        <stp>54</stp>
        <tr r="O58" s="1"/>
      </tp>
      <tp>
        <v>0</v>
        <stp/>
        <stp>BOOK1</stp>
        <stp>OCP</stp>
        <stp>54</stp>
        <tr r="U58" s="1"/>
      </tp>
      <tp>
        <v>0</v>
        <stp/>
        <stp>BOOK0</stp>
        <stp>OCP</stp>
        <stp>57</stp>
        <tr r="O61" s="1"/>
      </tp>
      <tp>
        <v>0</v>
        <stp/>
        <stp>BOOK1</stp>
        <stp>OCP</stp>
        <stp>57</stp>
        <tr r="U61" s="1"/>
      </tp>
      <tp>
        <v>0</v>
        <stp/>
        <stp>BOOK0</stp>
        <stp>OCP</stp>
        <stp>56</stp>
        <tr r="O60" s="1"/>
      </tp>
      <tp>
        <v>0</v>
        <stp/>
        <stp>BOOK1</stp>
        <stp>OCP</stp>
        <stp>56</stp>
        <tr r="U60" s="1"/>
      </tp>
      <tp>
        <v>0</v>
        <stp/>
        <stp>BOOK0</stp>
        <stp>OCP</stp>
        <stp>51</stp>
        <tr r="O55" s="1"/>
      </tp>
      <tp>
        <v>0</v>
        <stp/>
        <stp>BOOK1</stp>
        <stp>OCP</stp>
        <stp>51</stp>
        <tr r="U55" s="1"/>
      </tp>
      <tp>
        <v>0</v>
        <stp/>
        <stp>BOOK0</stp>
        <stp>OCP</stp>
        <stp>50</stp>
        <tr r="O54" s="1"/>
      </tp>
      <tp>
        <v>0</v>
        <stp/>
        <stp>BOOK1</stp>
        <stp>OCP</stp>
        <stp>50</stp>
        <tr r="U54" s="1"/>
      </tp>
      <tp>
        <v>0</v>
        <stp/>
        <stp>BOOK0</stp>
        <stp>OCP</stp>
        <stp>53</stp>
        <tr r="O57" s="1"/>
      </tp>
      <tp>
        <v>0</v>
        <stp/>
        <stp>BOOK1</stp>
        <stp>OCP</stp>
        <stp>53</stp>
        <tr r="U57" s="1"/>
      </tp>
      <tp>
        <v>0</v>
        <stp/>
        <stp>BOOK0</stp>
        <stp>OCP</stp>
        <stp>52</stp>
        <tr r="O56" s="1"/>
      </tp>
      <tp>
        <v>0</v>
        <stp/>
        <stp>BOOK1</stp>
        <stp>OCP</stp>
        <stp>52</stp>
        <tr r="U56" s="1"/>
      </tp>
      <tp>
        <v>0</v>
        <stp/>
        <stp>BOOK0</stp>
        <stp>OVD</stp>
        <stp>68</stp>
        <tr r="P72" s="1"/>
      </tp>
      <tp>
        <v>0</v>
        <stp/>
        <stp>BOOK1</stp>
        <stp>OVD</stp>
        <stp>68</stp>
        <tr r="V72" s="1"/>
      </tp>
      <tp>
        <v>0</v>
        <stp/>
        <stp>BOOK0</stp>
        <stp>OVD</stp>
        <stp>69</stp>
        <tr r="P73" s="1"/>
      </tp>
      <tp>
        <v>0</v>
        <stp/>
        <stp>BOOK1</stp>
        <stp>OVD</stp>
        <stp>69</stp>
        <tr r="V73" s="1"/>
      </tp>
      <tp>
        <v>0</v>
        <stp/>
        <stp>BOOK0</stp>
        <stp>OVD</stp>
        <stp>60</stp>
        <tr r="P64" s="1"/>
      </tp>
      <tp>
        <v>0</v>
        <stp/>
        <stp>BOOK1</stp>
        <stp>OVD</stp>
        <stp>60</stp>
        <tr r="V64" s="1"/>
      </tp>
      <tp>
        <v>0</v>
        <stp/>
        <stp>BOOK0</stp>
        <stp>OVD</stp>
        <stp>61</stp>
        <tr r="P65" s="1"/>
      </tp>
      <tp>
        <v>0</v>
        <stp/>
        <stp>BOOK1</stp>
        <stp>OVD</stp>
        <stp>61</stp>
        <tr r="V65" s="1"/>
      </tp>
      <tp>
        <v>0</v>
        <stp/>
        <stp>BOOK0</stp>
        <stp>OVD</stp>
        <stp>62</stp>
        <tr r="P66" s="1"/>
      </tp>
      <tp>
        <v>0</v>
        <stp/>
        <stp>BOOK1</stp>
        <stp>OVD</stp>
        <stp>62</stp>
        <tr r="V66" s="1"/>
      </tp>
      <tp>
        <v>0</v>
        <stp/>
        <stp>BOOK0</stp>
        <stp>OVD</stp>
        <stp>63</stp>
        <tr r="P67" s="1"/>
      </tp>
      <tp>
        <v>0</v>
        <stp/>
        <stp>BOOK1</stp>
        <stp>OVD</stp>
        <stp>63</stp>
        <tr r="V67" s="1"/>
      </tp>
      <tp>
        <v>0</v>
        <stp/>
        <stp>BOOK0</stp>
        <stp>OVD</stp>
        <stp>64</stp>
        <tr r="P68" s="1"/>
      </tp>
      <tp>
        <v>0</v>
        <stp/>
        <stp>BOOK1</stp>
        <stp>OVD</stp>
        <stp>64</stp>
        <tr r="V68" s="1"/>
      </tp>
      <tp>
        <v>0</v>
        <stp/>
        <stp>BOOK0</stp>
        <stp>OVD</stp>
        <stp>65</stp>
        <tr r="P69" s="1"/>
      </tp>
      <tp>
        <v>0</v>
        <stp/>
        <stp>BOOK1</stp>
        <stp>OVD</stp>
        <stp>65</stp>
        <tr r="V69" s="1"/>
      </tp>
      <tp>
        <v>0</v>
        <stp/>
        <stp>BOOK0</stp>
        <stp>OVD</stp>
        <stp>66</stp>
        <tr r="P70" s="1"/>
      </tp>
      <tp>
        <v>0</v>
        <stp/>
        <stp>BOOK1</stp>
        <stp>OVD</stp>
        <stp>66</stp>
        <tr r="V70" s="1"/>
      </tp>
      <tp>
        <v>0</v>
        <stp/>
        <stp>BOOK0</stp>
        <stp>OVD</stp>
        <stp>67</stp>
        <tr r="P71" s="1"/>
      </tp>
      <tp>
        <v>0</v>
        <stp/>
        <stp>BOOK1</stp>
        <stp>OVD</stp>
        <stp>67</stp>
        <tr r="V71" s="1"/>
      </tp>
      <tp>
        <v>0</v>
        <stp/>
        <stp>BOOK0</stp>
        <stp>OCP</stp>
        <stp>69</stp>
        <tr r="O73" s="1"/>
      </tp>
      <tp>
        <v>0</v>
        <stp/>
        <stp>BOOK1</stp>
        <stp>OCP</stp>
        <stp>69</stp>
        <tr r="U73" s="1"/>
      </tp>
      <tp>
        <v>0</v>
        <stp/>
        <stp>BOOK0</stp>
        <stp>OCP</stp>
        <stp>68</stp>
        <tr r="O72" s="1"/>
      </tp>
      <tp>
        <v>0</v>
        <stp/>
        <stp>BOOK1</stp>
        <stp>OCP</stp>
        <stp>68</stp>
        <tr r="U72" s="1"/>
      </tp>
      <tp>
        <v>0</v>
        <stp/>
        <stp>BOOK0</stp>
        <stp>OCP</stp>
        <stp>65</stp>
        <tr r="O69" s="1"/>
      </tp>
      <tp>
        <v>0</v>
        <stp/>
        <stp>BOOK1</stp>
        <stp>OCP</stp>
        <stp>65</stp>
        <tr r="U69" s="1"/>
      </tp>
      <tp>
        <v>0</v>
        <stp/>
        <stp>BOOK0</stp>
        <stp>OCP</stp>
        <stp>64</stp>
        <tr r="O68" s="1"/>
      </tp>
      <tp>
        <v>0</v>
        <stp/>
        <stp>BOOK1</stp>
        <stp>OCP</stp>
        <stp>64</stp>
        <tr r="U68" s="1"/>
      </tp>
      <tp>
        <v>0</v>
        <stp/>
        <stp>BOOK0</stp>
        <stp>OCP</stp>
        <stp>67</stp>
        <tr r="O71" s="1"/>
      </tp>
      <tp>
        <v>0</v>
        <stp/>
        <stp>BOOK1</stp>
        <stp>OCP</stp>
        <stp>67</stp>
        <tr r="U71" s="1"/>
      </tp>
      <tp>
        <v>0</v>
        <stp/>
        <stp>BOOK0</stp>
        <stp>OCP</stp>
        <stp>66</stp>
        <tr r="O70" s="1"/>
      </tp>
      <tp>
        <v>0</v>
        <stp/>
        <stp>BOOK1</stp>
        <stp>OCP</stp>
        <stp>66</stp>
        <tr r="U70" s="1"/>
      </tp>
      <tp>
        <v>0</v>
        <stp/>
        <stp>BOOK0</stp>
        <stp>OCP</stp>
        <stp>61</stp>
        <tr r="O65" s="1"/>
      </tp>
      <tp>
        <v>0</v>
        <stp/>
        <stp>BOOK1</stp>
        <stp>OCP</stp>
        <stp>61</stp>
        <tr r="U65" s="1"/>
      </tp>
      <tp>
        <v>0</v>
        <stp/>
        <stp>BOOK0</stp>
        <stp>OCP</stp>
        <stp>60</stp>
        <tr r="O64" s="1"/>
      </tp>
      <tp>
        <v>0</v>
        <stp/>
        <stp>BOOK1</stp>
        <stp>OCP</stp>
        <stp>60</stp>
        <tr r="U64" s="1"/>
      </tp>
      <tp>
        <v>0</v>
        <stp/>
        <stp>BOOK0</stp>
        <stp>OCP</stp>
        <stp>63</stp>
        <tr r="O67" s="1"/>
      </tp>
      <tp>
        <v>0</v>
        <stp/>
        <stp>BOOK1</stp>
        <stp>OCP</stp>
        <stp>63</stp>
        <tr r="U67" s="1"/>
      </tp>
      <tp>
        <v>5645</v>
        <stp/>
        <stp>BOOK0</stp>
        <stp>OCP</stp>
        <stp>62</stp>
        <tr r="O66" s="1"/>
      </tp>
      <tp>
        <v>0</v>
        <stp/>
        <stp>BOOK1</stp>
        <stp>OCP</stp>
        <stp>62</stp>
        <tr r="U66" s="1"/>
      </tp>
      <tp>
        <v>0</v>
        <stp/>
        <stp>BOOK0</stp>
        <stp>OVD</stp>
        <stp>78</stp>
        <tr r="P82" s="1"/>
      </tp>
      <tp>
        <v>0</v>
        <stp/>
        <stp>BOOK1</stp>
        <stp>OVD</stp>
        <stp>78</stp>
        <tr r="V82" s="1"/>
      </tp>
      <tp>
        <v>0</v>
        <stp/>
        <stp>BOOK0</stp>
        <stp>OVD</stp>
        <stp>79</stp>
        <tr r="P83" s="1"/>
      </tp>
      <tp>
        <v>0</v>
        <stp/>
        <stp>BOOK1</stp>
        <stp>OVD</stp>
        <stp>79</stp>
        <tr r="V83" s="1"/>
      </tp>
      <tp>
        <v>0</v>
        <stp/>
        <stp>BOOK0</stp>
        <stp>OVD</stp>
        <stp>70</stp>
        <tr r="P74" s="1"/>
      </tp>
      <tp>
        <v>0</v>
        <stp/>
        <stp>BOOK1</stp>
        <stp>OVD</stp>
        <stp>70</stp>
        <tr r="V74" s="1"/>
      </tp>
      <tp>
        <v>0</v>
        <stp/>
        <stp>BOOK0</stp>
        <stp>OVD</stp>
        <stp>71</stp>
        <tr r="P75" s="1"/>
      </tp>
      <tp>
        <v>0</v>
        <stp/>
        <stp>BOOK1</stp>
        <stp>OVD</stp>
        <stp>71</stp>
        <tr r="V75" s="1"/>
      </tp>
      <tp>
        <v>0</v>
        <stp/>
        <stp>BOOK0</stp>
        <stp>OVD</stp>
        <stp>72</stp>
        <tr r="P76" s="1"/>
      </tp>
      <tp>
        <v>0</v>
        <stp/>
        <stp>BOOK1</stp>
        <stp>OVD</stp>
        <stp>72</stp>
        <tr r="V76" s="1"/>
      </tp>
      <tp>
        <v>0</v>
        <stp/>
        <stp>BOOK0</stp>
        <stp>OVD</stp>
        <stp>73</stp>
        <tr r="P77" s="1"/>
      </tp>
      <tp>
        <v>0</v>
        <stp/>
        <stp>BOOK1</stp>
        <stp>OVD</stp>
        <stp>73</stp>
        <tr r="V77" s="1"/>
      </tp>
      <tp>
        <v>0</v>
        <stp/>
        <stp>BOOK0</stp>
        <stp>OVD</stp>
        <stp>74</stp>
        <tr r="P78" s="1"/>
      </tp>
      <tp>
        <v>0</v>
        <stp/>
        <stp>BOOK1</stp>
        <stp>OVD</stp>
        <stp>74</stp>
        <tr r="V78" s="1"/>
      </tp>
      <tp>
        <v>0</v>
        <stp/>
        <stp>BOOK0</stp>
        <stp>OVD</stp>
        <stp>75</stp>
        <tr r="P79" s="1"/>
      </tp>
      <tp>
        <v>0</v>
        <stp/>
        <stp>BOOK1</stp>
        <stp>OVD</stp>
        <stp>75</stp>
        <tr r="V79" s="1"/>
      </tp>
      <tp>
        <v>0</v>
        <stp/>
        <stp>BOOK0</stp>
        <stp>OVD</stp>
        <stp>76</stp>
        <tr r="P80" s="1"/>
      </tp>
      <tp>
        <v>0</v>
        <stp/>
        <stp>BOOK1</stp>
        <stp>OVD</stp>
        <stp>76</stp>
        <tr r="V80" s="1"/>
      </tp>
      <tp>
        <v>0</v>
        <stp/>
        <stp>BOOK0</stp>
        <stp>OVD</stp>
        <stp>77</stp>
        <tr r="P81" s="1"/>
      </tp>
      <tp>
        <v>0</v>
        <stp/>
        <stp>BOOK1</stp>
        <stp>OVD</stp>
        <stp>77</stp>
        <tr r="V81" s="1"/>
      </tp>
      <tp>
        <v>0</v>
        <stp/>
        <stp>BOOK0</stp>
        <stp>OCP</stp>
        <stp>79</stp>
        <tr r="O83" s="1"/>
      </tp>
      <tp>
        <v>0</v>
        <stp/>
        <stp>BOOK1</stp>
        <stp>OCP</stp>
        <stp>79</stp>
        <tr r="U83" s="1"/>
      </tp>
      <tp>
        <v>0</v>
        <stp/>
        <stp>BOOK0</stp>
        <stp>OCP</stp>
        <stp>78</stp>
        <tr r="O82" s="1"/>
      </tp>
      <tp>
        <v>0</v>
        <stp/>
        <stp>BOOK1</stp>
        <stp>OCP</stp>
        <stp>78</stp>
        <tr r="U82" s="1"/>
      </tp>
      <tp>
        <v>0</v>
        <stp/>
        <stp>BOOK0</stp>
        <stp>OCP</stp>
        <stp>75</stp>
        <tr r="O79" s="1"/>
      </tp>
      <tp>
        <v>0</v>
        <stp/>
        <stp>BOOK1</stp>
        <stp>OCP</stp>
        <stp>75</stp>
        <tr r="U79" s="1"/>
      </tp>
      <tp>
        <v>0</v>
        <stp/>
        <stp>BOOK0</stp>
        <stp>OCP</stp>
        <stp>74</stp>
        <tr r="O78" s="1"/>
      </tp>
      <tp>
        <v>0</v>
        <stp/>
        <stp>BOOK1</stp>
        <stp>OCP</stp>
        <stp>74</stp>
        <tr r="U78" s="1"/>
      </tp>
      <tp>
        <v>0</v>
        <stp/>
        <stp>BOOK0</stp>
        <stp>OCP</stp>
        <stp>77</stp>
        <tr r="O81" s="1"/>
      </tp>
      <tp>
        <v>0</v>
        <stp/>
        <stp>BOOK1</stp>
        <stp>OCP</stp>
        <stp>77</stp>
        <tr r="U81" s="1"/>
      </tp>
      <tp>
        <v>0</v>
        <stp/>
        <stp>BOOK0</stp>
        <stp>OCP</stp>
        <stp>76</stp>
        <tr r="O80" s="1"/>
      </tp>
      <tp>
        <v>0</v>
        <stp/>
        <stp>BOOK1</stp>
        <stp>OCP</stp>
        <stp>76</stp>
        <tr r="U80" s="1"/>
      </tp>
      <tp>
        <v>0</v>
        <stp/>
        <stp>BOOK0</stp>
        <stp>OCP</stp>
        <stp>71</stp>
        <tr r="O75" s="1"/>
      </tp>
      <tp>
        <v>0</v>
        <stp/>
        <stp>BOOK1</stp>
        <stp>OCP</stp>
        <stp>71</stp>
        <tr r="U75" s="1"/>
      </tp>
      <tp>
        <v>0</v>
        <stp/>
        <stp>BOOK0</stp>
        <stp>OCP</stp>
        <stp>70</stp>
        <tr r="O74" s="1"/>
      </tp>
      <tp>
        <v>0</v>
        <stp/>
        <stp>BOOK1</stp>
        <stp>OCP</stp>
        <stp>70</stp>
        <tr r="U74" s="1"/>
      </tp>
      <tp>
        <v>0</v>
        <stp/>
        <stp>BOOK0</stp>
        <stp>OCP</stp>
        <stp>73</stp>
        <tr r="O77" s="1"/>
      </tp>
      <tp>
        <v>0</v>
        <stp/>
        <stp>BOOK1</stp>
        <stp>OCP</stp>
        <stp>73</stp>
        <tr r="U77" s="1"/>
      </tp>
      <tp>
        <v>0</v>
        <stp/>
        <stp>BOOK0</stp>
        <stp>OCP</stp>
        <stp>72</stp>
        <tr r="O76" s="1"/>
      </tp>
      <tp>
        <v>0</v>
        <stp/>
        <stp>BOOK1</stp>
        <stp>OCP</stp>
        <stp>72</stp>
        <tr r="U76" s="1"/>
      </tp>
      <tp t="s">
        <v>Ordem Original</v>
        <stp/>
        <stp>T&amp;T1</stp>
        <stp>INFO</stp>
        <stp>TAB</stp>
        <tr r="I2" s="1"/>
      </tp>
      <tp t="s">
        <v>Ordem Original</v>
        <stp/>
        <stp>T&amp;T0</stp>
        <stp>INFO</stp>
        <stp>TAB</stp>
        <tr r="C2" s="1"/>
      </tp>
      <tp t="s">
        <v>WDOFUT</v>
        <stp/>
        <stp>T&amp;T0</stp>
        <stp>INFO</stp>
        <stp>ATV</stp>
        <tr r="B2" s="1"/>
      </tp>
      <tp t="s">
        <v>DOLFUT</v>
        <stp/>
        <stp>T&amp;T1</stp>
        <stp>INFO</stp>
        <stp>ATV</stp>
        <tr r="H2" s="1"/>
      </tp>
      <tp t="s">
        <v>Ofertas</v>
        <stp/>
        <stp>BOOK1</stp>
        <stp>INFO</stp>
        <stp>TAB</stp>
        <tr r="U2" s="1"/>
      </tp>
      <tp t="s">
        <v>Ofertas</v>
        <stp/>
        <stp>BOOK0</stp>
        <stp>INFO</stp>
        <stp>TAB</stp>
        <tr r="O2" s="1"/>
      </tp>
      <tp>
        <v>71</v>
        <stp/>
        <stp>T&amp;T0</stp>
        <stp>QUL</stp>
        <stp>99</stp>
        <tr r="E103" s="1"/>
      </tp>
      <tp>
        <v>10</v>
        <stp/>
        <stp>T&amp;T1</stp>
        <stp>QUL</stp>
        <stp>99</stp>
        <tr r="K103" s="1"/>
      </tp>
      <tp>
        <v>101</v>
        <stp/>
        <stp>T&amp;T0</stp>
        <stp>QUL</stp>
        <stp>98</stp>
        <tr r="E102" s="1"/>
      </tp>
      <tp>
        <v>60</v>
        <stp/>
        <stp>T&amp;T1</stp>
        <stp>QUL</stp>
        <stp>98</stp>
        <tr r="K102" s="1"/>
      </tp>
      <tp>
        <v>5718</v>
        <stp/>
        <stp>T&amp;T1</stp>
        <stp>PRE</stp>
        <stp>88</stp>
        <tr r="J92" s="1"/>
      </tp>
      <tp>
        <v>5716</v>
        <stp/>
        <stp>T&amp;T0</stp>
        <stp>PRE</stp>
        <stp>88</stp>
        <tr r="D92" s="1"/>
      </tp>
      <tp>
        <v>5718</v>
        <stp/>
        <stp>T&amp;T1</stp>
        <stp>PRE</stp>
        <stp>89</stp>
        <tr r="J93" s="1"/>
      </tp>
      <tp>
        <v>5716</v>
        <stp/>
        <stp>T&amp;T0</stp>
        <stp>PRE</stp>
        <stp>89</stp>
        <tr r="D93" s="1"/>
      </tp>
      <tp>
        <v>5717.5</v>
        <stp/>
        <stp>T&amp;T1</stp>
        <stp>PRE</stp>
        <stp>86</stp>
        <tr r="J90" s="1"/>
      </tp>
      <tp>
        <v>5716</v>
        <stp/>
        <stp>T&amp;T0</stp>
        <stp>PRE</stp>
        <stp>86</stp>
        <tr r="D90" s="1"/>
      </tp>
      <tp>
        <v>51</v>
        <stp/>
        <stp>T&amp;T0</stp>
        <stp>QUL</stp>
        <stp>91</stp>
        <tr r="E95" s="1"/>
      </tp>
      <tp>
        <v>5</v>
        <stp/>
        <stp>T&amp;T1</stp>
        <stp>QUL</stp>
        <stp>91</stp>
        <tr r="K95" s="1"/>
      </tp>
      <tp>
        <v>5718</v>
        <stp/>
        <stp>T&amp;T1</stp>
        <stp>PRE</stp>
        <stp>87</stp>
        <tr r="J91" s="1"/>
      </tp>
      <tp>
        <v>5716</v>
        <stp/>
        <stp>T&amp;T0</stp>
        <stp>PRE</stp>
        <stp>87</stp>
        <tr r="D91" s="1"/>
      </tp>
      <tp>
        <v>158</v>
        <stp/>
        <stp>T&amp;T0</stp>
        <stp>QUL</stp>
        <stp>90</stp>
        <tr r="E94" s="1"/>
      </tp>
      <tp>
        <v>5</v>
        <stp/>
        <stp>T&amp;T1</stp>
        <stp>QUL</stp>
        <stp>90</stp>
        <tr r="K94" s="1"/>
      </tp>
      <tp>
        <v>5717</v>
        <stp/>
        <stp>T&amp;T1</stp>
        <stp>PRE</stp>
        <stp>84</stp>
        <tr r="J88" s="1"/>
      </tp>
      <tp>
        <v>5715</v>
        <stp/>
        <stp>T&amp;T0</stp>
        <stp>PRE</stp>
        <stp>84</stp>
        <tr r="D88" s="1"/>
      </tp>
      <tp>
        <v>70</v>
        <stp/>
        <stp>T&amp;T0</stp>
        <stp>QUL</stp>
        <stp>93</stp>
        <tr r="E97" s="1"/>
      </tp>
      <tp>
        <v>10</v>
        <stp/>
        <stp>T&amp;T1</stp>
        <stp>QUL</stp>
        <stp>93</stp>
        <tr r="K97" s="1"/>
      </tp>
      <tp>
        <v>5717.5</v>
        <stp/>
        <stp>T&amp;T1</stp>
        <stp>PRE</stp>
        <stp>85</stp>
        <tr r="J89" s="1"/>
      </tp>
      <tp>
        <v>5715.5</v>
        <stp/>
        <stp>T&amp;T0</stp>
        <stp>PRE</stp>
        <stp>85</stp>
        <tr r="D89" s="1"/>
      </tp>
      <tp>
        <v>112</v>
        <stp/>
        <stp>T&amp;T0</stp>
        <stp>QUL</stp>
        <stp>92</stp>
        <tr r="E96" s="1"/>
      </tp>
      <tp>
        <v>20</v>
        <stp/>
        <stp>T&amp;T1</stp>
        <stp>QUL</stp>
        <stp>92</stp>
        <tr r="K96" s="1"/>
      </tp>
      <tp>
        <v>5717</v>
        <stp/>
        <stp>T&amp;T1</stp>
        <stp>PRE</stp>
        <stp>82</stp>
        <tr r="J86" s="1"/>
      </tp>
      <tp>
        <v>5715</v>
        <stp/>
        <stp>T&amp;T0</stp>
        <stp>PRE</stp>
        <stp>82</stp>
        <tr r="D86" s="1"/>
      </tp>
      <tp>
        <v>154</v>
        <stp/>
        <stp>T&amp;T0</stp>
        <stp>QUL</stp>
        <stp>95</stp>
        <tr r="E99" s="1"/>
      </tp>
      <tp>
        <v>5</v>
        <stp/>
        <stp>T&amp;T1</stp>
        <stp>QUL</stp>
        <stp>95</stp>
        <tr r="K99" s="1"/>
      </tp>
      <tp>
        <v>5717</v>
        <stp/>
        <stp>T&amp;T1</stp>
        <stp>PRE</stp>
        <stp>83</stp>
        <tr r="J87" s="1"/>
      </tp>
      <tp>
        <v>5715</v>
        <stp/>
        <stp>T&amp;T0</stp>
        <stp>PRE</stp>
        <stp>83</stp>
        <tr r="D87" s="1"/>
      </tp>
      <tp>
        <v>500</v>
        <stp/>
        <stp>T&amp;T0</stp>
        <stp>QUL</stp>
        <stp>94</stp>
        <tr r="E98" s="1"/>
      </tp>
      <tp>
        <v>5</v>
        <stp/>
        <stp>T&amp;T1</stp>
        <stp>QUL</stp>
        <stp>94</stp>
        <tr r="K98" s="1"/>
      </tp>
      <tp>
        <v>5717.5</v>
        <stp/>
        <stp>T&amp;T1</stp>
        <stp>PRE</stp>
        <stp>80</stp>
        <tr r="J84" s="1"/>
      </tp>
      <tp>
        <v>5714.5</v>
        <stp/>
        <stp>T&amp;T0</stp>
        <stp>PRE</stp>
        <stp>80</stp>
        <tr r="D84" s="1"/>
      </tp>
      <tp>
        <v>200</v>
        <stp/>
        <stp>T&amp;T0</stp>
        <stp>QUL</stp>
        <stp>97</stp>
        <tr r="E101" s="1"/>
      </tp>
      <tp>
        <v>5</v>
        <stp/>
        <stp>T&amp;T1</stp>
        <stp>QUL</stp>
        <stp>97</stp>
        <tr r="K101" s="1"/>
      </tp>
      <tp>
        <v>5717</v>
        <stp/>
        <stp>T&amp;T1</stp>
        <stp>PRE</stp>
        <stp>81</stp>
        <tr r="J85" s="1"/>
      </tp>
      <tp>
        <v>5714.5</v>
        <stp/>
        <stp>T&amp;T0</stp>
        <stp>PRE</stp>
        <stp>81</stp>
        <tr r="D85" s="1"/>
      </tp>
      <tp>
        <v>99</v>
        <stp/>
        <stp>T&amp;T0</stp>
        <stp>QUL</stp>
        <stp>96</stp>
        <tr r="E100" s="1"/>
      </tp>
      <tp>
        <v>40</v>
        <stp/>
        <stp>T&amp;T1</stp>
        <stp>QUL</stp>
        <stp>96</stp>
        <tr r="K100" s="1"/>
      </tp>
      <tp>
        <v>60</v>
        <stp/>
        <stp>T&amp;T0</stp>
        <stp>QUL</stp>
        <stp>89</stp>
        <tr r="E93" s="1"/>
      </tp>
      <tp>
        <v>45</v>
        <stp/>
        <stp>T&amp;T1</stp>
        <stp>QUL</stp>
        <stp>89</stp>
        <tr r="K93" s="1"/>
      </tp>
      <tp>
        <v>160</v>
        <stp/>
        <stp>T&amp;T0</stp>
        <stp>QUL</stp>
        <stp>88</stp>
        <tr r="E92" s="1"/>
      </tp>
      <tp>
        <v>55</v>
        <stp/>
        <stp>T&amp;T1</stp>
        <stp>QUL</stp>
        <stp>88</stp>
        <tr r="K92" s="1"/>
      </tp>
      <tp>
        <v>5719</v>
        <stp/>
        <stp>T&amp;T1</stp>
        <stp>PRE</stp>
        <stp>98</stp>
        <tr r="J102" s="1"/>
      </tp>
      <tp>
        <v>5716</v>
        <stp/>
        <stp>T&amp;T0</stp>
        <stp>PRE</stp>
        <stp>98</stp>
        <tr r="D102" s="1"/>
      </tp>
      <tp>
        <v>5719</v>
        <stp/>
        <stp>T&amp;T1</stp>
        <stp>PRE</stp>
        <stp>99</stp>
        <tr r="J103" s="1"/>
      </tp>
      <tp>
        <v>5716.5</v>
        <stp/>
        <stp>T&amp;T0</stp>
        <stp>PRE</stp>
        <stp>99</stp>
        <tr r="D103" s="1"/>
      </tp>
      <tp>
        <v>5718.5</v>
        <stp/>
        <stp>T&amp;T1</stp>
        <stp>PRE</stp>
        <stp>96</stp>
        <tr r="J100" s="1"/>
      </tp>
      <tp>
        <v>5716</v>
        <stp/>
        <stp>T&amp;T0</stp>
        <stp>PRE</stp>
        <stp>96</stp>
        <tr r="D100" s="1"/>
      </tp>
      <tp>
        <v>200</v>
        <stp/>
        <stp>T&amp;T0</stp>
        <stp>QUL</stp>
        <stp>81</stp>
        <tr r="E85" s="1"/>
      </tp>
      <tp>
        <v>5</v>
        <stp/>
        <stp>T&amp;T1</stp>
        <stp>QUL</stp>
        <stp>81</stp>
        <tr r="K85" s="1"/>
      </tp>
      <tp>
        <v>5718.5</v>
        <stp/>
        <stp>T&amp;T1</stp>
        <stp>PRE</stp>
        <stp>97</stp>
        <tr r="J101" s="1"/>
      </tp>
      <tp>
        <v>5717</v>
        <stp/>
        <stp>T&amp;T0</stp>
        <stp>PRE</stp>
        <stp>97</stp>
        <tr r="D101" s="1"/>
      </tp>
      <tp>
        <v>50</v>
        <stp/>
        <stp>T&amp;T0</stp>
        <stp>QUL</stp>
        <stp>80</stp>
        <tr r="E84" s="1"/>
      </tp>
      <tp>
        <v>5</v>
        <stp/>
        <stp>T&amp;T1</stp>
        <stp>QUL</stp>
        <stp>80</stp>
        <tr r="K84" s="1"/>
      </tp>
      <tp>
        <v>5719</v>
        <stp/>
        <stp>T&amp;T1</stp>
        <stp>PRE</stp>
        <stp>94</stp>
        <tr r="J98" s="1"/>
      </tp>
      <tp>
        <v>5716</v>
        <stp/>
        <stp>T&amp;T0</stp>
        <stp>PRE</stp>
        <stp>94</stp>
        <tr r="D98" s="1"/>
      </tp>
      <tp>
        <v>30</v>
        <stp/>
        <stp>T&amp;T0</stp>
        <stp>QUL</stp>
        <stp>83</stp>
        <tr r="E87" s="1"/>
      </tp>
      <tp>
        <v>10</v>
        <stp/>
        <stp>T&amp;T1</stp>
        <stp>QUL</stp>
        <stp>83</stp>
        <tr r="K87" s="1"/>
      </tp>
      <tp>
        <v>5718.5</v>
        <stp/>
        <stp>T&amp;T1</stp>
        <stp>PRE</stp>
        <stp>95</stp>
        <tr r="J99" s="1"/>
      </tp>
      <tp>
        <v>5716</v>
        <stp/>
        <stp>T&amp;T0</stp>
        <stp>PRE</stp>
        <stp>95</stp>
        <tr r="D99" s="1"/>
      </tp>
      <tp>
        <v>104</v>
        <stp/>
        <stp>T&amp;T0</stp>
        <stp>QUL</stp>
        <stp>82</stp>
        <tr r="E86" s="1"/>
      </tp>
      <tp>
        <v>15</v>
        <stp/>
        <stp>T&amp;T1</stp>
        <stp>QUL</stp>
        <stp>82</stp>
        <tr r="K86" s="1"/>
      </tp>
      <tp>
        <v>5720</v>
        <stp/>
        <stp>T&amp;T1</stp>
        <stp>PRE</stp>
        <stp>92</stp>
        <tr r="J96" s="1"/>
      </tp>
      <tp>
        <v>5715.5</v>
        <stp/>
        <stp>T&amp;T0</stp>
        <stp>PRE</stp>
        <stp>92</stp>
        <tr r="D96" s="1"/>
      </tp>
      <tp>
        <v>126</v>
        <stp/>
        <stp>T&amp;T0</stp>
        <stp>QUL</stp>
        <stp>85</stp>
        <tr r="E89" s="1"/>
      </tp>
      <tp>
        <v>5</v>
        <stp/>
        <stp>T&amp;T1</stp>
        <stp>QUL</stp>
        <stp>85</stp>
        <tr r="K89" s="1"/>
      </tp>
      <tp>
        <v>5720</v>
        <stp/>
        <stp>T&amp;T1</stp>
        <stp>PRE</stp>
        <stp>93</stp>
        <tr r="J97" s="1"/>
      </tp>
      <tp>
        <v>5716</v>
        <stp/>
        <stp>T&amp;T0</stp>
        <stp>PRE</stp>
        <stp>93</stp>
        <tr r="D97" s="1"/>
      </tp>
      <tp>
        <v>54</v>
        <stp/>
        <stp>T&amp;T0</stp>
        <stp>QUL</stp>
        <stp>84</stp>
        <tr r="E88" s="1"/>
      </tp>
      <tp>
        <v>70</v>
        <stp/>
        <stp>T&amp;T1</stp>
        <stp>QUL</stp>
        <stp>84</stp>
        <tr r="K88" s="1"/>
      </tp>
      <tp>
        <v>5719</v>
        <stp/>
        <stp>T&amp;T1</stp>
        <stp>PRE</stp>
        <stp>90</stp>
        <tr r="J94" s="1"/>
      </tp>
      <tp>
        <v>5716</v>
        <stp/>
        <stp>T&amp;T0</stp>
        <stp>PRE</stp>
        <stp>90</stp>
        <tr r="D94" s="1"/>
      </tp>
      <tp>
        <v>40</v>
        <stp/>
        <stp>T&amp;T0</stp>
        <stp>QUL</stp>
        <stp>87</stp>
        <tr r="E91" s="1"/>
      </tp>
      <tp>
        <v>5</v>
        <stp/>
        <stp>T&amp;T1</stp>
        <stp>QUL</stp>
        <stp>87</stp>
        <tr r="K91" s="1"/>
      </tp>
      <tp>
        <v>5719.5</v>
        <stp/>
        <stp>T&amp;T1</stp>
        <stp>PRE</stp>
        <stp>91</stp>
        <tr r="J95" s="1"/>
      </tp>
      <tp>
        <v>5715</v>
        <stp/>
        <stp>T&amp;T0</stp>
        <stp>PRE</stp>
        <stp>91</stp>
        <tr r="D95" s="1"/>
      </tp>
      <tp>
        <v>88</v>
        <stp/>
        <stp>T&amp;T0</stp>
        <stp>QUL</stp>
        <stp>86</stp>
        <tr r="E90" s="1"/>
      </tp>
      <tp>
        <v>30</v>
        <stp/>
        <stp>T&amp;T1</stp>
        <stp>QUL</stp>
        <stp>86</stp>
        <tr r="K90" s="1"/>
      </tp>
      <tp>
        <v>85</v>
        <stp/>
        <stp>T&amp;T0</stp>
        <stp>QUL</stp>
        <stp>39</stp>
        <tr r="E43" s="1"/>
      </tp>
      <tp>
        <v>5</v>
        <stp/>
        <stp>T&amp;T1</stp>
        <stp>QUL</stp>
        <stp>39</stp>
        <tr r="K43" s="1"/>
      </tp>
      <tp>
        <v>209</v>
        <stp/>
        <stp>T&amp;T0</stp>
        <stp>QUL</stp>
        <stp>38</stp>
        <tr r="E42" s="1"/>
      </tp>
      <tp>
        <v>25</v>
        <stp/>
        <stp>T&amp;T1</stp>
        <stp>QUL</stp>
        <stp>38</stp>
        <tr r="K42" s="1"/>
      </tp>
      <tp>
        <v>5715</v>
        <stp/>
        <stp>T&amp;T1</stp>
        <stp>PRE</stp>
        <stp>28</stp>
        <tr r="J32" s="1"/>
      </tp>
      <tp>
        <v>5713</v>
        <stp/>
        <stp>T&amp;T0</stp>
        <stp>PRE</stp>
        <stp>28</stp>
        <tr r="D32" s="1"/>
      </tp>
      <tp>
        <v>5715</v>
        <stp/>
        <stp>T&amp;T1</stp>
        <stp>PRE</stp>
        <stp>29</stp>
        <tr r="J33" s="1"/>
      </tp>
      <tp>
        <v>5712.5</v>
        <stp/>
        <stp>T&amp;T0</stp>
        <stp>PRE</stp>
        <stp>29</stp>
        <tr r="D33" s="1"/>
      </tp>
      <tp>
        <v>5714</v>
        <stp/>
        <stp>T&amp;T1</stp>
        <stp>PRE</stp>
        <stp>26</stp>
        <tr r="J30" s="1"/>
      </tp>
      <tp>
        <v>5713.5</v>
        <stp/>
        <stp>T&amp;T0</stp>
        <stp>PRE</stp>
        <stp>26</stp>
        <tr r="D30" s="1"/>
      </tp>
      <tp>
        <v>50</v>
        <stp/>
        <stp>T&amp;T0</stp>
        <stp>QUL</stp>
        <stp>31</stp>
        <tr r="E35" s="1"/>
      </tp>
      <tp>
        <v>100</v>
        <stp/>
        <stp>T&amp;T1</stp>
        <stp>QUL</stp>
        <stp>31</stp>
        <tr r="K35" s="1"/>
      </tp>
      <tp>
        <v>5714</v>
        <stp/>
        <stp>T&amp;T1</stp>
        <stp>PRE</stp>
        <stp>27</stp>
        <tr r="J31" s="1"/>
      </tp>
      <tp>
        <v>5712.5</v>
        <stp/>
        <stp>T&amp;T0</stp>
        <stp>PRE</stp>
        <stp>27</stp>
        <tr r="D31" s="1"/>
      </tp>
      <tp>
        <v>100</v>
        <stp/>
        <stp>T&amp;T0</stp>
        <stp>QUL</stp>
        <stp>30</stp>
        <tr r="E34" s="1"/>
      </tp>
      <tp>
        <v>25</v>
        <stp/>
        <stp>T&amp;T1</stp>
        <stp>QUL</stp>
        <stp>30</stp>
        <tr r="K34" s="1"/>
      </tp>
      <tp>
        <v>5713.5</v>
        <stp/>
        <stp>T&amp;T1</stp>
        <stp>PRE</stp>
        <stp>24</stp>
        <tr r="J28" s="1"/>
      </tp>
      <tp>
        <v>5714.5</v>
        <stp/>
        <stp>T&amp;T0</stp>
        <stp>PRE</stp>
        <stp>24</stp>
        <tr r="D28" s="1"/>
      </tp>
      <tp>
        <v>253</v>
        <stp/>
        <stp>T&amp;T0</stp>
        <stp>QUL</stp>
        <stp>33</stp>
        <tr r="E37" s="1"/>
      </tp>
      <tp>
        <v>85</v>
        <stp/>
        <stp>T&amp;T1</stp>
        <stp>QUL</stp>
        <stp>33</stp>
        <tr r="K37" s="1"/>
      </tp>
      <tp>
        <v>5713.5</v>
        <stp/>
        <stp>T&amp;T1</stp>
        <stp>PRE</stp>
        <stp>25</stp>
        <tr r="J29" s="1"/>
      </tp>
      <tp>
        <v>5714</v>
        <stp/>
        <stp>T&amp;T0</stp>
        <stp>PRE</stp>
        <stp>25</stp>
        <tr r="D29" s="1"/>
      </tp>
      <tp>
        <v>140</v>
        <stp/>
        <stp>T&amp;T0</stp>
        <stp>QUL</stp>
        <stp>32</stp>
        <tr r="E36" s="1"/>
      </tp>
      <tp>
        <v>10</v>
        <stp/>
        <stp>T&amp;T1</stp>
        <stp>QUL</stp>
        <stp>32</stp>
        <tr r="K36" s="1"/>
      </tp>
      <tp>
        <v>5715.5</v>
        <stp/>
        <stp>T&amp;T1</stp>
        <stp>PRE</stp>
        <stp>22</stp>
        <tr r="J26" s="1"/>
      </tp>
      <tp>
        <v>5714.5</v>
        <stp/>
        <stp>T&amp;T0</stp>
        <stp>PRE</stp>
        <stp>22</stp>
        <tr r="D26" s="1"/>
      </tp>
      <tp>
        <v>356</v>
        <stp/>
        <stp>T&amp;T0</stp>
        <stp>QUL</stp>
        <stp>35</stp>
        <tr r="E39" s="1"/>
      </tp>
      <tp>
        <v>5</v>
        <stp/>
        <stp>T&amp;T1</stp>
        <stp>QUL</stp>
        <stp>35</stp>
        <tr r="K39" s="1"/>
      </tp>
      <tp>
        <v>5715</v>
        <stp/>
        <stp>T&amp;T1</stp>
        <stp>PRE</stp>
        <stp>23</stp>
        <tr r="J27" s="1"/>
      </tp>
      <tp>
        <v>5714</v>
        <stp/>
        <stp>T&amp;T0</stp>
        <stp>PRE</stp>
        <stp>23</stp>
        <tr r="D27" s="1"/>
      </tp>
      <tp>
        <v>87</v>
        <stp/>
        <stp>T&amp;T0</stp>
        <stp>QUL</stp>
        <stp>34</stp>
        <tr r="E38" s="1"/>
      </tp>
      <tp>
        <v>15</v>
        <stp/>
        <stp>T&amp;T1</stp>
        <stp>QUL</stp>
        <stp>34</stp>
        <tr r="K38" s="1"/>
      </tp>
      <tp>
        <v>5714.5</v>
        <stp/>
        <stp>T&amp;T1</stp>
        <stp>PRE</stp>
        <stp>20</stp>
        <tr r="J24" s="1"/>
      </tp>
      <tp>
        <v>5715</v>
        <stp/>
        <stp>T&amp;T0</stp>
        <stp>PRE</stp>
        <stp>20</stp>
        <tr r="D24" s="1"/>
      </tp>
      <tp>
        <v>35</v>
        <stp/>
        <stp>T&amp;T0</stp>
        <stp>QUL</stp>
        <stp>37</stp>
        <tr r="E41" s="1"/>
      </tp>
      <tp>
        <v>5</v>
        <stp/>
        <stp>T&amp;T1</stp>
        <stp>QUL</stp>
        <stp>37</stp>
        <tr r="K41" s="1"/>
      </tp>
      <tp>
        <v>5715</v>
        <stp/>
        <stp>T&amp;T1</stp>
        <stp>PRE</stp>
        <stp>21</stp>
        <tr r="J25" s="1"/>
      </tp>
      <tp>
        <v>5714.5</v>
        <stp/>
        <stp>T&amp;T0</stp>
        <stp>PRE</stp>
        <stp>21</stp>
        <tr r="D25" s="1"/>
      </tp>
      <tp>
        <v>79</v>
        <stp/>
        <stp>T&amp;T0</stp>
        <stp>QUL</stp>
        <stp>36</stp>
        <tr r="E40" s="1"/>
      </tp>
      <tp>
        <v>5</v>
        <stp/>
        <stp>T&amp;T1</stp>
        <stp>QUL</stp>
        <stp>36</stp>
        <tr r="K40" s="1"/>
      </tp>
      <tp>
        <v>59</v>
        <stp/>
        <stp>T&amp;T0</stp>
        <stp>QUL</stp>
        <stp>29</stp>
        <tr r="E33" s="1"/>
      </tp>
      <tp>
        <v>5</v>
        <stp/>
        <stp>T&amp;T1</stp>
        <stp>QUL</stp>
        <stp>29</stp>
        <tr r="K33" s="1"/>
      </tp>
      <tp>
        <v>59</v>
        <stp/>
        <stp>T&amp;T0</stp>
        <stp>QUL</stp>
        <stp>28</stp>
        <tr r="E32" s="1"/>
      </tp>
      <tp>
        <v>5</v>
        <stp/>
        <stp>T&amp;T1</stp>
        <stp>QUL</stp>
        <stp>28</stp>
        <tr r="K32" s="1"/>
      </tp>
      <tp>
        <v>5713</v>
        <stp/>
        <stp>T&amp;T1</stp>
        <stp>PRE</stp>
        <stp>38</stp>
        <tr r="J42" s="1"/>
      </tp>
      <tp>
        <v>5715</v>
        <stp/>
        <stp>T&amp;T0</stp>
        <stp>PRE</stp>
        <stp>38</stp>
        <tr r="D42" s="1"/>
      </tp>
      <tp>
        <v>5713</v>
        <stp/>
        <stp>T&amp;T1</stp>
        <stp>PRE</stp>
        <stp>39</stp>
        <tr r="J43" s="1"/>
      </tp>
      <tp>
        <v>5715.5</v>
        <stp/>
        <stp>T&amp;T0</stp>
        <stp>PRE</stp>
        <stp>39</stp>
        <tr r="D43" s="1"/>
      </tp>
      <tp>
        <v>5713</v>
        <stp/>
        <stp>T&amp;T1</stp>
        <stp>PRE</stp>
        <stp>36</stp>
        <tr r="J40" s="1"/>
      </tp>
      <tp>
        <v>5714</v>
        <stp/>
        <stp>T&amp;T0</stp>
        <stp>PRE</stp>
        <stp>36</stp>
        <tr r="D40" s="1"/>
      </tp>
      <tp>
        <v>45</v>
        <stp/>
        <stp>T&amp;T0</stp>
        <stp>QUL</stp>
        <stp>21</stp>
        <tr r="E25" s="1"/>
      </tp>
      <tp>
        <v>10</v>
        <stp/>
        <stp>T&amp;T1</stp>
        <stp>QUL</stp>
        <stp>21</stp>
        <tr r="K25" s="1"/>
      </tp>
      <tp>
        <v>5714</v>
        <stp/>
        <stp>T&amp;T1</stp>
        <stp>PRE</stp>
        <stp>37</stp>
        <tr r="J41" s="1"/>
      </tp>
      <tp>
        <v>5714.5</v>
        <stp/>
        <stp>T&amp;T0</stp>
        <stp>PRE</stp>
        <stp>37</stp>
        <tr r="D41" s="1"/>
      </tp>
      <tp>
        <v>45</v>
        <stp/>
        <stp>T&amp;T0</stp>
        <stp>QUL</stp>
        <stp>20</stp>
        <tr r="E24" s="1"/>
      </tp>
      <tp>
        <v>20</v>
        <stp/>
        <stp>T&amp;T1</stp>
        <stp>QUL</stp>
        <stp>20</stp>
        <tr r="K24" s="1"/>
      </tp>
      <tp>
        <v>5714</v>
        <stp/>
        <stp>T&amp;T1</stp>
        <stp>PRE</stp>
        <stp>34</stp>
        <tr r="J38" s="1"/>
      </tp>
      <tp>
        <v>5713.5</v>
        <stp/>
        <stp>T&amp;T0</stp>
        <stp>PRE</stp>
        <stp>34</stp>
        <tr r="D38" s="1"/>
      </tp>
      <tp>
        <v>49</v>
        <stp/>
        <stp>T&amp;T0</stp>
        <stp>QUL</stp>
        <stp>23</stp>
        <tr r="E27" s="1"/>
      </tp>
      <tp>
        <v>25</v>
        <stp/>
        <stp>T&amp;T1</stp>
        <stp>QUL</stp>
        <stp>23</stp>
        <tr r="K27" s="1"/>
      </tp>
      <tp>
        <v>5714</v>
        <stp/>
        <stp>T&amp;T1</stp>
        <stp>PRE</stp>
        <stp>35</stp>
        <tr r="J39" s="1"/>
      </tp>
      <tp>
        <v>5713.5</v>
        <stp/>
        <stp>T&amp;T0</stp>
        <stp>PRE</stp>
        <stp>35</stp>
        <tr r="D39" s="1"/>
      </tp>
      <tp>
        <v>86</v>
        <stp/>
        <stp>T&amp;T0</stp>
        <stp>QUL</stp>
        <stp>22</stp>
        <tr r="E26" s="1"/>
      </tp>
      <tp>
        <v>15</v>
        <stp/>
        <stp>T&amp;T1</stp>
        <stp>QUL</stp>
        <stp>22</stp>
        <tr r="K26" s="1"/>
      </tp>
      <tp>
        <v>5714.5</v>
        <stp/>
        <stp>T&amp;T1</stp>
        <stp>PRE</stp>
        <stp>32</stp>
        <tr r="J36" s="1"/>
      </tp>
      <tp>
        <v>5713.5</v>
        <stp/>
        <stp>T&amp;T0</stp>
        <stp>PRE</stp>
        <stp>32</stp>
        <tr r="D36" s="1"/>
      </tp>
      <tp>
        <v>123</v>
        <stp/>
        <stp>T&amp;T0</stp>
        <stp>QUL</stp>
        <stp>25</stp>
        <tr r="E29" s="1"/>
      </tp>
      <tp>
        <v>5</v>
        <stp/>
        <stp>T&amp;T1</stp>
        <stp>QUL</stp>
        <stp>25</stp>
        <tr r="K29" s="1"/>
      </tp>
      <tp>
        <v>5714.5</v>
        <stp/>
        <stp>T&amp;T1</stp>
        <stp>PRE</stp>
        <stp>33</stp>
        <tr r="J37" s="1"/>
      </tp>
      <tp>
        <v>5713</v>
        <stp/>
        <stp>T&amp;T0</stp>
        <stp>PRE</stp>
        <stp>33</stp>
        <tr r="D37" s="1"/>
      </tp>
      <tp>
        <v>71</v>
        <stp/>
        <stp>T&amp;T0</stp>
        <stp>QUL</stp>
        <stp>24</stp>
        <tr r="E28" s="1"/>
      </tp>
      <tp>
        <v>5</v>
        <stp/>
        <stp>T&amp;T1</stp>
        <stp>QUL</stp>
        <stp>24</stp>
        <tr r="K28" s="1"/>
      </tp>
      <tp>
        <v>5715</v>
        <stp/>
        <stp>T&amp;T1</stp>
        <stp>PRE</stp>
        <stp>30</stp>
        <tr r="J34" s="1"/>
      </tp>
      <tp>
        <v>5712.5</v>
        <stp/>
        <stp>T&amp;T0</stp>
        <stp>PRE</stp>
        <stp>30</stp>
        <tr r="D34" s="1"/>
      </tp>
      <tp>
        <v>109</v>
        <stp/>
        <stp>T&amp;T0</stp>
        <stp>QUL</stp>
        <stp>27</stp>
        <tr r="E31" s="1"/>
      </tp>
      <tp>
        <v>20</v>
        <stp/>
        <stp>T&amp;T1</stp>
        <stp>QUL</stp>
        <stp>27</stp>
        <tr r="K31" s="1"/>
      </tp>
      <tp>
        <v>5716</v>
        <stp/>
        <stp>T&amp;T1</stp>
        <stp>PRE</stp>
        <stp>31</stp>
        <tr r="J35" s="1"/>
      </tp>
      <tp>
        <v>5712.5</v>
        <stp/>
        <stp>T&amp;T0</stp>
        <stp>PRE</stp>
        <stp>31</stp>
        <tr r="D35" s="1"/>
      </tp>
      <tp>
        <v>54</v>
        <stp/>
        <stp>T&amp;T0</stp>
        <stp>QUL</stp>
        <stp>26</stp>
        <tr r="E30" s="1"/>
      </tp>
      <tp>
        <v>5</v>
        <stp/>
        <stp>T&amp;T1</stp>
        <stp>QUL</stp>
        <stp>26</stp>
        <tr r="K30" s="1"/>
      </tp>
      <tp>
        <v>92</v>
        <stp/>
        <stp>T&amp;T0</stp>
        <stp>QUL</stp>
        <stp>19</stp>
        <tr r="E23" s="1"/>
      </tp>
      <tp>
        <v>15</v>
        <stp/>
        <stp>T&amp;T1</stp>
        <stp>QUL</stp>
        <stp>19</stp>
        <tr r="K23" s="1"/>
      </tp>
      <tp>
        <v>34</v>
        <stp/>
        <stp>T&amp;T0</stp>
        <stp>QUL</stp>
        <stp>18</stp>
        <tr r="E22" s="1"/>
      </tp>
      <tp>
        <v>20</v>
        <stp/>
        <stp>T&amp;T1</stp>
        <stp>QUL</stp>
        <stp>18</stp>
        <tr r="K22" s="1"/>
      </tp>
      <tp>
        <v>100</v>
        <stp/>
        <stp>T&amp;T0</stp>
        <stp>QUL</stp>
        <stp>11</stp>
        <tr r="E15" s="1"/>
      </tp>
      <tp>
        <v>5</v>
        <stp/>
        <stp>T&amp;T1</stp>
        <stp>QUL</stp>
        <stp>11</stp>
        <tr r="K15" s="1"/>
      </tp>
      <tp>
        <v>74</v>
        <stp/>
        <stp>T&amp;T0</stp>
        <stp>QUL</stp>
        <stp>10</stp>
        <tr r="E14" s="1"/>
      </tp>
      <tp>
        <v>5</v>
        <stp/>
        <stp>T&amp;T1</stp>
        <stp>QUL</stp>
        <stp>10</stp>
        <tr r="K14" s="1"/>
      </tp>
      <tp>
        <v>58</v>
        <stp/>
        <stp>T&amp;T0</stp>
        <stp>QUL</stp>
        <stp>13</stp>
        <tr r="E17" s="1"/>
      </tp>
      <tp>
        <v>5</v>
        <stp/>
        <stp>T&amp;T1</stp>
        <stp>QUL</stp>
        <stp>13</stp>
        <tr r="K17" s="1"/>
      </tp>
      <tp>
        <v>54</v>
        <stp/>
        <stp>T&amp;T0</stp>
        <stp>QUL</stp>
        <stp>12</stp>
        <tr r="E16" s="1"/>
      </tp>
      <tp>
        <v>5</v>
        <stp/>
        <stp>T&amp;T1</stp>
        <stp>QUL</stp>
        <stp>12</stp>
        <tr r="K16" s="1"/>
      </tp>
      <tp>
        <v>138</v>
        <stp/>
        <stp>T&amp;T0</stp>
        <stp>QUL</stp>
        <stp>15</stp>
        <tr r="E19" s="1"/>
      </tp>
      <tp>
        <v>5</v>
        <stp/>
        <stp>T&amp;T1</stp>
        <stp>QUL</stp>
        <stp>15</stp>
        <tr r="K19" s="1"/>
      </tp>
      <tp>
        <v>157</v>
        <stp/>
        <stp>T&amp;T0</stp>
        <stp>QUL</stp>
        <stp>14</stp>
        <tr r="E18" s="1"/>
      </tp>
      <tp>
        <v>5</v>
        <stp/>
        <stp>T&amp;T1</stp>
        <stp>QUL</stp>
        <stp>14</stp>
        <tr r="K18" s="1"/>
      </tp>
      <tp>
        <v>98</v>
        <stp/>
        <stp>T&amp;T0</stp>
        <stp>QUL</stp>
        <stp>17</stp>
        <tr r="E21" s="1"/>
      </tp>
      <tp>
        <v>5</v>
        <stp/>
        <stp>T&amp;T1</stp>
        <stp>QUL</stp>
        <stp>17</stp>
        <tr r="K21" s="1"/>
      </tp>
      <tp>
        <v>30</v>
        <stp/>
        <stp>T&amp;T0</stp>
        <stp>QUL</stp>
        <stp>16</stp>
        <tr r="E20" s="1"/>
      </tp>
      <tp>
        <v>5</v>
        <stp/>
        <stp>T&amp;T1</stp>
        <stp>QUL</stp>
        <stp>16</stp>
        <tr r="K20" s="1"/>
      </tp>
      <tp>
        <v>5712.5</v>
        <stp/>
        <stp>T&amp;T1</stp>
        <stp>PRE</stp>
        <stp>18</stp>
        <tr r="J22" s="1"/>
      </tp>
      <tp>
        <v>5715.5</v>
        <stp/>
        <stp>T&amp;T0</stp>
        <stp>PRE</stp>
        <stp>18</stp>
        <tr r="D22" s="1"/>
      </tp>
      <tp>
        <v>5713.5</v>
        <stp/>
        <stp>T&amp;T1</stp>
        <stp>PRE</stp>
        <stp>19</stp>
        <tr r="J23" s="1"/>
      </tp>
      <tp>
        <v>5715</v>
        <stp/>
        <stp>T&amp;T0</stp>
        <stp>PRE</stp>
        <stp>19</stp>
        <tr r="D23" s="1"/>
      </tp>
      <tp>
        <v>5714</v>
        <stp/>
        <stp>T&amp;T1</stp>
        <stp>PRE</stp>
        <stp>16</stp>
        <tr r="J20" s="1"/>
      </tp>
      <tp>
        <v>5716</v>
        <stp/>
        <stp>T&amp;T0</stp>
        <stp>PRE</stp>
        <stp>16</stp>
        <tr r="D20" s="1"/>
      </tp>
      <tp>
        <v>5713.5</v>
        <stp/>
        <stp>T&amp;T1</stp>
        <stp>PRE</stp>
        <stp>17</stp>
        <tr r="J21" s="1"/>
      </tp>
      <tp>
        <v>5715.5</v>
        <stp/>
        <stp>T&amp;T0</stp>
        <stp>PRE</stp>
        <stp>17</stp>
        <tr r="D21" s="1"/>
      </tp>
      <tp>
        <v>5715.5</v>
        <stp/>
        <stp>T&amp;T1</stp>
        <stp>PRE</stp>
        <stp>14</stp>
        <tr r="J18" s="1"/>
      </tp>
      <tp>
        <v>5715</v>
        <stp/>
        <stp>T&amp;T0</stp>
        <stp>PRE</stp>
        <stp>14</stp>
        <tr r="D18" s="1"/>
      </tp>
      <tp>
        <v>5715</v>
        <stp/>
        <stp>T&amp;T1</stp>
        <stp>PRE</stp>
        <stp>15</stp>
        <tr r="J19" s="1"/>
      </tp>
      <tp>
        <v>5715.5</v>
        <stp/>
        <stp>T&amp;T0</stp>
        <stp>PRE</stp>
        <stp>15</stp>
        <tr r="D19" s="1"/>
      </tp>
      <tp>
        <v>5715</v>
        <stp/>
        <stp>T&amp;T1</stp>
        <stp>PRE</stp>
        <stp>12</stp>
        <tr r="J16" s="1"/>
      </tp>
      <tp>
        <v>5713.5</v>
        <stp/>
        <stp>T&amp;T0</stp>
        <stp>PRE</stp>
        <stp>12</stp>
        <tr r="D16" s="1"/>
      </tp>
      <tp>
        <v>5715.5</v>
        <stp/>
        <stp>T&amp;T1</stp>
        <stp>PRE</stp>
        <stp>13</stp>
        <tr r="J17" s="1"/>
      </tp>
      <tp>
        <v>5715</v>
        <stp/>
        <stp>T&amp;T0</stp>
        <stp>PRE</stp>
        <stp>13</stp>
        <tr r="D17" s="1"/>
      </tp>
      <tp>
        <v>5714.5</v>
        <stp/>
        <stp>T&amp;T1</stp>
        <stp>PRE</stp>
        <stp>10</stp>
        <tr r="J14" s="1"/>
      </tp>
      <tp>
        <v>5714.5</v>
        <stp/>
        <stp>T&amp;T0</stp>
        <stp>PRE</stp>
        <stp>10</stp>
        <tr r="D14" s="1"/>
      </tp>
      <tp>
        <v>5714.5</v>
        <stp/>
        <stp>T&amp;T1</stp>
        <stp>PRE</stp>
        <stp>11</stp>
        <tr r="J15" s="1"/>
      </tp>
      <tp>
        <v>5714</v>
        <stp/>
        <stp>T&amp;T0</stp>
        <stp>PRE</stp>
        <stp>11</stp>
        <tr r="D15" s="1"/>
      </tp>
      <tp>
        <v>177</v>
        <stp/>
        <stp>T&amp;T0</stp>
        <stp>QUL</stp>
        <stp>79</stp>
        <tr r="E83" s="1"/>
      </tp>
      <tp>
        <v>5</v>
        <stp/>
        <stp>T&amp;T1</stp>
        <stp>QUL</stp>
        <stp>79</stp>
        <tr r="K83" s="1"/>
      </tp>
      <tp>
        <v>46</v>
        <stp/>
        <stp>T&amp;T0</stp>
        <stp>QUL</stp>
        <stp>78</stp>
        <tr r="E82" s="1"/>
      </tp>
      <tp>
        <v>5</v>
        <stp/>
        <stp>T&amp;T1</stp>
        <stp>QUL</stp>
        <stp>78</stp>
        <tr r="K82" s="1"/>
      </tp>
      <tp>
        <v>5717</v>
        <stp/>
        <stp>T&amp;T1</stp>
        <stp>PRE</stp>
        <stp>68</stp>
        <tr r="J72" s="1"/>
      </tp>
      <tp>
        <v>5714</v>
        <stp/>
        <stp>T&amp;T0</stp>
        <stp>PRE</stp>
        <stp>68</stp>
        <tr r="D72" s="1"/>
      </tp>
      <tp>
        <v>5719</v>
        <stp/>
        <stp>T&amp;T1</stp>
        <stp>PRE</stp>
        <stp>69</stp>
        <tr r="J73" s="1"/>
      </tp>
      <tp>
        <v>5714.5</v>
        <stp/>
        <stp>T&amp;T0</stp>
        <stp>PRE</stp>
        <stp>69</stp>
        <tr r="D73" s="1"/>
      </tp>
      <tp>
        <v>5716.5</v>
        <stp/>
        <stp>T&amp;T1</stp>
        <stp>PRE</stp>
        <stp>66</stp>
        <tr r="J70" s="1"/>
      </tp>
      <tp>
        <v>5713</v>
        <stp/>
        <stp>T&amp;T0</stp>
        <stp>PRE</stp>
        <stp>66</stp>
        <tr r="D70" s="1"/>
      </tp>
      <tp>
        <v>186</v>
        <stp/>
        <stp>T&amp;T0</stp>
        <stp>QUL</stp>
        <stp>71</stp>
        <tr r="E75" s="1"/>
      </tp>
      <tp>
        <v>10</v>
        <stp/>
        <stp>T&amp;T1</stp>
        <stp>QUL</stp>
        <stp>71</stp>
        <tr r="K75" s="1"/>
      </tp>
      <tp>
        <v>5717.5</v>
        <stp/>
        <stp>T&amp;T1</stp>
        <stp>PRE</stp>
        <stp>67</stp>
        <tr r="J71" s="1"/>
      </tp>
      <tp>
        <v>5714</v>
        <stp/>
        <stp>T&amp;T0</stp>
        <stp>PRE</stp>
        <stp>67</stp>
        <tr r="D71" s="1"/>
      </tp>
      <tp>
        <v>150</v>
        <stp/>
        <stp>T&amp;T0</stp>
        <stp>QUL</stp>
        <stp>70</stp>
        <tr r="E74" s="1"/>
      </tp>
      <tp>
        <v>15</v>
        <stp/>
        <stp>T&amp;T1</stp>
        <stp>QUL</stp>
        <stp>70</stp>
        <tr r="K74" s="1"/>
      </tp>
      <tp>
        <v>5716.5</v>
        <stp/>
        <stp>T&amp;T1</stp>
        <stp>PRE</stp>
        <stp>64</stp>
        <tr r="J68" s="1"/>
      </tp>
      <tp>
        <v>5713</v>
        <stp/>
        <stp>T&amp;T0</stp>
        <stp>PRE</stp>
        <stp>64</stp>
        <tr r="D68" s="1"/>
      </tp>
      <tp>
        <v>49</v>
        <stp/>
        <stp>T&amp;T0</stp>
        <stp>QUL</stp>
        <stp>73</stp>
        <tr r="E77" s="1"/>
      </tp>
      <tp>
        <v>5</v>
        <stp/>
        <stp>T&amp;T1</stp>
        <stp>QUL</stp>
        <stp>73</stp>
        <tr r="K77" s="1"/>
      </tp>
      <tp>
        <v>5716</v>
        <stp/>
        <stp>T&amp;T1</stp>
        <stp>PRE</stp>
        <stp>65</stp>
        <tr r="J69" s="1"/>
      </tp>
      <tp>
        <v>5713</v>
        <stp/>
        <stp>T&amp;T0</stp>
        <stp>PRE</stp>
        <stp>65</stp>
        <tr r="D69" s="1"/>
      </tp>
      <tp>
        <v>54</v>
        <stp/>
        <stp>T&amp;T0</stp>
        <stp>QUL</stp>
        <stp>72</stp>
        <tr r="E76" s="1"/>
      </tp>
      <tp>
        <v>5</v>
        <stp/>
        <stp>T&amp;T1</stp>
        <stp>QUL</stp>
        <stp>72</stp>
        <tr r="K76" s="1"/>
      </tp>
      <tp>
        <v>5715.5</v>
        <stp/>
        <stp>T&amp;T1</stp>
        <stp>PRE</stp>
        <stp>62</stp>
        <tr r="J66" s="1"/>
      </tp>
      <tp>
        <v>5714</v>
        <stp/>
        <stp>T&amp;T0</stp>
        <stp>PRE</stp>
        <stp>62</stp>
        <tr r="D66" s="1"/>
      </tp>
      <tp>
        <v>32</v>
        <stp/>
        <stp>T&amp;T0</stp>
        <stp>QUL</stp>
        <stp>75</stp>
        <tr r="E79" s="1"/>
      </tp>
      <tp>
        <v>5</v>
        <stp/>
        <stp>T&amp;T1</stp>
        <stp>QUL</stp>
        <stp>75</stp>
        <tr r="K79" s="1"/>
      </tp>
      <tp>
        <v>5716.5</v>
        <stp/>
        <stp>T&amp;T1</stp>
        <stp>PRE</stp>
        <stp>63</stp>
        <tr r="J67" s="1"/>
      </tp>
      <tp>
        <v>5713.5</v>
        <stp/>
        <stp>T&amp;T0</stp>
        <stp>PRE</stp>
        <stp>63</stp>
        <tr r="D67" s="1"/>
      </tp>
      <tp>
        <v>33</v>
        <stp/>
        <stp>T&amp;T0</stp>
        <stp>QUL</stp>
        <stp>74</stp>
        <tr r="E78" s="1"/>
      </tp>
      <tp>
        <v>100</v>
        <stp/>
        <stp>T&amp;T1</stp>
        <stp>QUL</stp>
        <stp>74</stp>
        <tr r="K78" s="1"/>
      </tp>
      <tp>
        <v>5716</v>
        <stp/>
        <stp>T&amp;T1</stp>
        <stp>PRE</stp>
        <stp>60</stp>
        <tr r="J64" s="1"/>
      </tp>
      <tp>
        <v>5714</v>
        <stp/>
        <stp>T&amp;T0</stp>
        <stp>PRE</stp>
        <stp>60</stp>
        <tr r="D64" s="1"/>
      </tp>
      <tp>
        <v>40</v>
        <stp/>
        <stp>T&amp;T0</stp>
        <stp>QUL</stp>
        <stp>77</stp>
        <tr r="E81" s="1"/>
      </tp>
      <tp>
        <v>5</v>
        <stp/>
        <stp>T&amp;T1</stp>
        <stp>QUL</stp>
        <stp>77</stp>
        <tr r="K81" s="1"/>
      </tp>
      <tp>
        <v>5717</v>
        <stp/>
        <stp>T&amp;T1</stp>
        <stp>PRE</stp>
        <stp>61</stp>
        <tr r="J65" s="1"/>
      </tp>
      <tp>
        <v>5714</v>
        <stp/>
        <stp>T&amp;T0</stp>
        <stp>PRE</stp>
        <stp>61</stp>
        <tr r="D65" s="1"/>
      </tp>
      <tp>
        <v>94</v>
        <stp/>
        <stp>T&amp;T0</stp>
        <stp>QUL</stp>
        <stp>76</stp>
        <tr r="E80" s="1"/>
      </tp>
      <tp>
        <v>5</v>
        <stp/>
        <stp>T&amp;T1</stp>
        <stp>QUL</stp>
        <stp>76</stp>
        <tr r="K80" s="1"/>
      </tp>
      <tp>
        <v>67</v>
        <stp/>
        <stp>T&amp;T0</stp>
        <stp>QUL</stp>
        <stp>69</stp>
        <tr r="E73" s="1"/>
      </tp>
      <tp>
        <v>5</v>
        <stp/>
        <stp>T&amp;T1</stp>
        <stp>QUL</stp>
        <stp>69</stp>
        <tr r="K73" s="1"/>
      </tp>
      <tp>
        <v>63</v>
        <stp/>
        <stp>T&amp;T0</stp>
        <stp>QUL</stp>
        <stp>68</stp>
        <tr r="E72" s="1"/>
      </tp>
      <tp>
        <v>100</v>
        <stp/>
        <stp>T&amp;T1</stp>
        <stp>QUL</stp>
        <stp>68</stp>
        <tr r="K72" s="1"/>
      </tp>
      <tp>
        <v>5717</v>
        <stp/>
        <stp>T&amp;T1</stp>
        <stp>PRE</stp>
        <stp>78</stp>
        <tr r="J82" s="1"/>
      </tp>
      <tp>
        <v>5715.5</v>
        <stp/>
        <stp>T&amp;T0</stp>
        <stp>PRE</stp>
        <stp>78</stp>
        <tr r="D82" s="1"/>
      </tp>
      <tp>
        <v>5717</v>
        <stp/>
        <stp>T&amp;T1</stp>
        <stp>PRE</stp>
        <stp>79</stp>
        <tr r="J83" s="1"/>
      </tp>
      <tp>
        <v>5715</v>
        <stp/>
        <stp>T&amp;T0</stp>
        <stp>PRE</stp>
        <stp>79</stp>
        <tr r="D83" s="1"/>
      </tp>
      <tp>
        <v>5716.5</v>
        <stp/>
        <stp>T&amp;T1</stp>
        <stp>PRE</stp>
        <stp>76</stp>
        <tr r="J80" s="1"/>
      </tp>
      <tp>
        <v>5715</v>
        <stp/>
        <stp>T&amp;T0</stp>
        <stp>PRE</stp>
        <stp>76</stp>
        <tr r="D80" s="1"/>
      </tp>
      <tp>
        <v>35</v>
        <stp/>
        <stp>T&amp;T0</stp>
        <stp>QUL</stp>
        <stp>61</stp>
        <tr r="E65" s="1"/>
      </tp>
      <tp>
        <v>100</v>
        <stp/>
        <stp>T&amp;T1</stp>
        <stp>QUL</stp>
        <stp>61</stp>
        <tr r="K65" s="1"/>
      </tp>
      <tp>
        <v>5716</v>
        <stp/>
        <stp>T&amp;T1</stp>
        <stp>PRE</stp>
        <stp>77</stp>
        <tr r="J81" s="1"/>
      </tp>
      <tp>
        <v>5715.5</v>
        <stp/>
        <stp>T&amp;T0</stp>
        <stp>PRE</stp>
        <stp>77</stp>
        <tr r="D81" s="1"/>
      </tp>
      <tp>
        <v>64</v>
        <stp/>
        <stp>T&amp;T0</stp>
        <stp>QUL</stp>
        <stp>60</stp>
        <tr r="E64" s="1"/>
      </tp>
      <tp>
        <v>5</v>
        <stp/>
        <stp>T&amp;T1</stp>
        <stp>QUL</stp>
        <stp>60</stp>
        <tr r="K64" s="1"/>
      </tp>
      <tp>
        <v>5719</v>
        <stp/>
        <stp>T&amp;T1</stp>
        <stp>PRE</stp>
        <stp>74</stp>
        <tr r="J78" s="1"/>
      </tp>
      <tp>
        <v>5715.5</v>
        <stp/>
        <stp>T&amp;T0</stp>
        <stp>PRE</stp>
        <stp>74</stp>
        <tr r="D78" s="1"/>
      </tp>
      <tp>
        <v>49</v>
        <stp/>
        <stp>T&amp;T0</stp>
        <stp>QUL</stp>
        <stp>63</stp>
        <tr r="E67" s="1"/>
      </tp>
      <tp>
        <v>10</v>
        <stp/>
        <stp>T&amp;T1</stp>
        <stp>QUL</stp>
        <stp>63</stp>
        <tr r="K67" s="1"/>
      </tp>
      <tp>
        <v>5717</v>
        <stp/>
        <stp>T&amp;T1</stp>
        <stp>PRE</stp>
        <stp>75</stp>
        <tr r="J79" s="1"/>
      </tp>
      <tp>
        <v>5715.5</v>
        <stp/>
        <stp>T&amp;T0</stp>
        <stp>PRE</stp>
        <stp>75</stp>
        <tr r="D79" s="1"/>
      </tp>
      <tp>
        <v>49</v>
        <stp/>
        <stp>T&amp;T0</stp>
        <stp>QUL</stp>
        <stp>62</stp>
        <tr r="E66" s="1"/>
      </tp>
      <tp>
        <v>10</v>
        <stp/>
        <stp>T&amp;T1</stp>
        <stp>QUL</stp>
        <stp>62</stp>
        <tr r="K66" s="1"/>
      </tp>
      <tp>
        <v>5718.5</v>
        <stp/>
        <stp>T&amp;T1</stp>
        <stp>PRE</stp>
        <stp>72</stp>
        <tr r="J76" s="1"/>
      </tp>
      <tp>
        <v>5715</v>
        <stp/>
        <stp>T&amp;T0</stp>
        <stp>PRE</stp>
        <stp>72</stp>
        <tr r="D76" s="1"/>
      </tp>
      <tp>
        <v>50</v>
        <stp/>
        <stp>T&amp;T0</stp>
        <stp>QUL</stp>
        <stp>65</stp>
        <tr r="E69" s="1"/>
      </tp>
      <tp>
        <v>25</v>
        <stp/>
        <stp>T&amp;T1</stp>
        <stp>QUL</stp>
        <stp>65</stp>
        <tr r="K69" s="1"/>
      </tp>
      <tp>
        <v>5718</v>
        <stp/>
        <stp>T&amp;T1</stp>
        <stp>PRE</stp>
        <stp>73</stp>
        <tr r="J77" s="1"/>
      </tp>
      <tp>
        <v>5715.5</v>
        <stp/>
        <stp>T&amp;T0</stp>
        <stp>PRE</stp>
        <stp>73</stp>
        <tr r="D77" s="1"/>
      </tp>
      <tp>
        <v>100</v>
        <stp/>
        <stp>T&amp;T0</stp>
        <stp>QUL</stp>
        <stp>64</stp>
        <tr r="E68" s="1"/>
      </tp>
      <tp>
        <v>5</v>
        <stp/>
        <stp>T&amp;T1</stp>
        <stp>QUL</stp>
        <stp>64</stp>
        <tr r="K68" s="1"/>
      </tp>
      <tp>
        <v>5719</v>
        <stp/>
        <stp>T&amp;T1</stp>
        <stp>PRE</stp>
        <stp>70</stp>
        <tr r="J74" s="1"/>
      </tp>
      <tp>
        <v>5715.5</v>
        <stp/>
        <stp>T&amp;T0</stp>
        <stp>PRE</stp>
        <stp>70</stp>
        <tr r="D74" s="1"/>
      </tp>
      <tp>
        <v>35</v>
        <stp/>
        <stp>T&amp;T0</stp>
        <stp>QUL</stp>
        <stp>67</stp>
        <tr r="E71" s="1"/>
      </tp>
      <tp>
        <v>5</v>
        <stp/>
        <stp>T&amp;T1</stp>
        <stp>QUL</stp>
        <stp>67</stp>
        <tr r="K71" s="1"/>
      </tp>
      <tp>
        <v>5718.5</v>
        <stp/>
        <stp>T&amp;T1</stp>
        <stp>PRE</stp>
        <stp>71</stp>
        <tr r="J75" s="1"/>
      </tp>
      <tp>
        <v>5715</v>
        <stp/>
        <stp>T&amp;T0</stp>
        <stp>PRE</stp>
        <stp>71</stp>
        <tr r="D75" s="1"/>
      </tp>
      <tp>
        <v>202</v>
        <stp/>
        <stp>T&amp;T0</stp>
        <stp>QUL</stp>
        <stp>66</stp>
        <tr r="E70" s="1"/>
      </tp>
      <tp>
        <v>5</v>
        <stp/>
        <stp>T&amp;T1</stp>
        <stp>QUL</stp>
        <stp>66</stp>
        <tr r="K70" s="1"/>
      </tp>
      <tp>
        <v>116</v>
        <stp/>
        <stp>T&amp;T0</stp>
        <stp>QUL</stp>
        <stp>59</stp>
        <tr r="E63" s="1"/>
      </tp>
      <tp>
        <v>25</v>
        <stp/>
        <stp>T&amp;T1</stp>
        <stp>QUL</stp>
        <stp>59</stp>
        <tr r="K63" s="1"/>
      </tp>
      <tp>
        <v>300</v>
        <stp/>
        <stp>T&amp;T0</stp>
        <stp>QUL</stp>
        <stp>58</stp>
        <tr r="E62" s="1"/>
      </tp>
      <tp>
        <v>10</v>
        <stp/>
        <stp>T&amp;T1</stp>
        <stp>QUL</stp>
        <stp>58</stp>
        <tr r="K62" s="1"/>
      </tp>
      <tp>
        <v>5715.5</v>
        <stp/>
        <stp>T&amp;T1</stp>
        <stp>PRE</stp>
        <stp>48</stp>
        <tr r="J52" s="1"/>
      </tp>
      <tp>
        <v>5715.5</v>
        <stp/>
        <stp>T&amp;T0</stp>
        <stp>PRE</stp>
        <stp>48</stp>
        <tr r="D52" s="1"/>
      </tp>
      <tp>
        <v>5715.5</v>
        <stp/>
        <stp>T&amp;T1</stp>
        <stp>PRE</stp>
        <stp>49</stp>
        <tr r="J53" s="1"/>
      </tp>
      <tp>
        <v>5715.5</v>
        <stp/>
        <stp>T&amp;T0</stp>
        <stp>PRE</stp>
        <stp>49</stp>
        <tr r="D53" s="1"/>
      </tp>
      <tp>
        <v>5715.5</v>
        <stp/>
        <stp>T&amp;T1</stp>
        <stp>PRE</stp>
        <stp>46</stp>
        <tr r="J50" s="1"/>
      </tp>
      <tp>
        <v>5715</v>
        <stp/>
        <stp>T&amp;T0</stp>
        <stp>PRE</stp>
        <stp>46</stp>
        <tr r="D50" s="1"/>
      </tp>
      <tp>
        <v>259</v>
        <stp/>
        <stp>T&amp;T0</stp>
        <stp>QUL</stp>
        <stp>51</stp>
        <tr r="E55" s="1"/>
      </tp>
      <tp>
        <v>45</v>
        <stp/>
        <stp>T&amp;T1</stp>
        <stp>QUL</stp>
        <stp>51</stp>
        <tr r="K55" s="1"/>
      </tp>
      <tp>
        <v>5715.5</v>
        <stp/>
        <stp>T&amp;T1</stp>
        <stp>PRE</stp>
        <stp>47</stp>
        <tr r="J51" s="1"/>
      </tp>
      <tp>
        <v>5715.5</v>
        <stp/>
        <stp>T&amp;T0</stp>
        <stp>PRE</stp>
        <stp>47</stp>
        <tr r="D51" s="1"/>
      </tp>
      <tp>
        <v>94</v>
        <stp/>
        <stp>T&amp;T0</stp>
        <stp>QUL</stp>
        <stp>50</stp>
        <tr r="E54" s="1"/>
      </tp>
      <tp>
        <v>5</v>
        <stp/>
        <stp>T&amp;T1</stp>
        <stp>QUL</stp>
        <stp>50</stp>
        <tr r="K54" s="1"/>
      </tp>
      <tp>
        <v>5715</v>
        <stp/>
        <stp>T&amp;T1</stp>
        <stp>PRE</stp>
        <stp>44</stp>
        <tr r="J48" s="1"/>
      </tp>
      <tp>
        <v>5714</v>
        <stp/>
        <stp>T&amp;T0</stp>
        <stp>PRE</stp>
        <stp>44</stp>
        <tr r="D48" s="1"/>
      </tp>
      <tp>
        <v>51</v>
        <stp/>
        <stp>T&amp;T0</stp>
        <stp>QUL</stp>
        <stp>53</stp>
        <tr r="E57" s="1"/>
      </tp>
      <tp>
        <v>5</v>
        <stp/>
        <stp>T&amp;T1</stp>
        <stp>QUL</stp>
        <stp>53</stp>
        <tr r="K57" s="1"/>
      </tp>
      <tp>
        <v>5715.5</v>
        <stp/>
        <stp>T&amp;T1</stp>
        <stp>PRE</stp>
        <stp>45</stp>
        <tr r="J49" s="1"/>
      </tp>
      <tp>
        <v>5714.5</v>
        <stp/>
        <stp>T&amp;T0</stp>
        <stp>PRE</stp>
        <stp>45</stp>
        <tr r="D49" s="1"/>
      </tp>
      <tp>
        <v>44</v>
        <stp/>
        <stp>T&amp;T0</stp>
        <stp>QUL</stp>
        <stp>52</stp>
        <tr r="E56" s="1"/>
      </tp>
      <tp>
        <v>10</v>
        <stp/>
        <stp>T&amp;T1</stp>
        <stp>QUL</stp>
        <stp>52</stp>
        <tr r="K56" s="1"/>
      </tp>
      <tp>
        <v>5714.5</v>
        <stp/>
        <stp>T&amp;T1</stp>
        <stp>PRE</stp>
        <stp>42</stp>
        <tr r="J46" s="1"/>
      </tp>
      <tp>
        <v>5715</v>
        <stp/>
        <stp>T&amp;T0</stp>
        <stp>PRE</stp>
        <stp>42</stp>
        <tr r="D46" s="1"/>
      </tp>
      <tp>
        <v>69</v>
        <stp/>
        <stp>T&amp;T0</stp>
        <stp>QUL</stp>
        <stp>55</stp>
        <tr r="E59" s="1"/>
      </tp>
      <tp>
        <v>5</v>
        <stp/>
        <stp>T&amp;T1</stp>
        <stp>QUL</stp>
        <stp>55</stp>
        <tr r="K59" s="1"/>
      </tp>
      <tp>
        <v>5714.5</v>
        <stp/>
        <stp>T&amp;T1</stp>
        <stp>PRE</stp>
        <stp>43</stp>
        <tr r="J47" s="1"/>
      </tp>
      <tp>
        <v>5714</v>
        <stp/>
        <stp>T&amp;T0</stp>
        <stp>PRE</stp>
        <stp>43</stp>
        <tr r="D47" s="1"/>
      </tp>
      <tp>
        <v>35</v>
        <stp/>
        <stp>T&amp;T0</stp>
        <stp>QUL</stp>
        <stp>54</stp>
        <tr r="E58" s="1"/>
      </tp>
      <tp>
        <v>5</v>
        <stp/>
        <stp>T&amp;T1</stp>
        <stp>QUL</stp>
        <stp>54</stp>
        <tr r="K58" s="1"/>
      </tp>
      <tp>
        <v>5713.5</v>
        <stp/>
        <stp>T&amp;T1</stp>
        <stp>PRE</stp>
        <stp>40</stp>
        <tr r="J44" s="1"/>
      </tp>
      <tp>
        <v>5715.5</v>
        <stp/>
        <stp>T&amp;T0</stp>
        <stp>PRE</stp>
        <stp>40</stp>
        <tr r="D44" s="1"/>
      </tp>
      <tp>
        <v>40</v>
        <stp/>
        <stp>T&amp;T0</stp>
        <stp>QUL</stp>
        <stp>57</stp>
        <tr r="E61" s="1"/>
      </tp>
      <tp>
        <v>10</v>
        <stp/>
        <stp>T&amp;T1</stp>
        <stp>QUL</stp>
        <stp>57</stp>
        <tr r="K61" s="1"/>
      </tp>
      <tp>
        <v>5714</v>
        <stp/>
        <stp>T&amp;T1</stp>
        <stp>PRE</stp>
        <stp>41</stp>
        <tr r="J45" s="1"/>
      </tp>
      <tp>
        <v>5715.5</v>
        <stp/>
        <stp>T&amp;T0</stp>
        <stp>PRE</stp>
        <stp>41</stp>
        <tr r="D45" s="1"/>
      </tp>
      <tp>
        <v>53</v>
        <stp/>
        <stp>T&amp;T0</stp>
        <stp>QUL</stp>
        <stp>56</stp>
        <tr r="E60" s="1"/>
      </tp>
      <tp>
        <v>10</v>
        <stp/>
        <stp>T&amp;T1</stp>
        <stp>QUL</stp>
        <stp>56</stp>
        <tr r="K60" s="1"/>
      </tp>
      <tp>
        <v>64</v>
        <stp/>
        <stp>T&amp;T0</stp>
        <stp>QUL</stp>
        <stp>49</stp>
        <tr r="E53" s="1"/>
      </tp>
      <tp>
        <v>25</v>
        <stp/>
        <stp>T&amp;T1</stp>
        <stp>QUL</stp>
        <stp>49</stp>
        <tr r="K53" s="1"/>
      </tp>
      <tp>
        <v>49</v>
        <stp/>
        <stp>T&amp;T0</stp>
        <stp>QUL</stp>
        <stp>48</stp>
        <tr r="E52" s="1"/>
      </tp>
      <tp>
        <v>10</v>
        <stp/>
        <stp>T&amp;T1</stp>
        <stp>QUL</stp>
        <stp>48</stp>
        <tr r="K52" s="1"/>
      </tp>
      <tp>
        <v>5715</v>
        <stp/>
        <stp>T&amp;T1</stp>
        <stp>PRE</stp>
        <stp>58</stp>
        <tr r="J62" s="1"/>
      </tp>
      <tp>
        <v>5713.5</v>
        <stp/>
        <stp>T&amp;T0</stp>
        <stp>PRE</stp>
        <stp>58</stp>
        <tr r="D62" s="1"/>
      </tp>
      <tp>
        <v>5715.5</v>
        <stp/>
        <stp>T&amp;T1</stp>
        <stp>PRE</stp>
        <stp>59</stp>
        <tr r="J63" s="1"/>
      </tp>
      <tp>
        <v>5714.5</v>
        <stp/>
        <stp>T&amp;T0</stp>
        <stp>PRE</stp>
        <stp>59</stp>
        <tr r="D63" s="1"/>
      </tp>
      <tp>
        <v>5714.5</v>
        <stp/>
        <stp>T&amp;T1</stp>
        <stp>PRE</stp>
        <stp>56</stp>
        <tr r="J60" s="1"/>
      </tp>
      <tp>
        <v>5714</v>
        <stp/>
        <stp>T&amp;T0</stp>
        <stp>PRE</stp>
        <stp>56</stp>
        <tr r="D60" s="1"/>
      </tp>
      <tp>
        <v>253</v>
        <stp/>
        <stp>T&amp;T0</stp>
        <stp>QUL</stp>
        <stp>41</stp>
        <tr r="E45" s="1"/>
      </tp>
      <tp>
        <v>15</v>
        <stp/>
        <stp>T&amp;T1</stp>
        <stp>QUL</stp>
        <stp>41</stp>
        <tr r="K45" s="1"/>
      </tp>
      <tp>
        <v>5715</v>
        <stp/>
        <stp>T&amp;T1</stp>
        <stp>PRE</stp>
        <stp>57</stp>
        <tr r="J61" s="1"/>
      </tp>
      <tp>
        <v>5714</v>
        <stp/>
        <stp>T&amp;T0</stp>
        <stp>PRE</stp>
        <stp>57</stp>
        <tr r="D61" s="1"/>
      </tp>
      <tp>
        <v>171</v>
        <stp/>
        <stp>T&amp;T0</stp>
        <stp>QUL</stp>
        <stp>40</stp>
        <tr r="E44" s="1"/>
      </tp>
      <tp>
        <v>15</v>
        <stp/>
        <stp>T&amp;T1</stp>
        <stp>QUL</stp>
        <stp>40</stp>
        <tr r="K44" s="1"/>
      </tp>
      <tp>
        <v>5715</v>
        <stp/>
        <stp>T&amp;T1</stp>
        <stp>PRE</stp>
        <stp>54</stp>
        <tr r="J58" s="1"/>
      </tp>
      <tp>
        <v>5714.5</v>
        <stp/>
        <stp>T&amp;T0</stp>
        <stp>PRE</stp>
        <stp>54</stp>
        <tr r="D58" s="1"/>
      </tp>
      <tp>
        <v>35</v>
        <stp/>
        <stp>T&amp;T0</stp>
        <stp>QUL</stp>
        <stp>43</stp>
        <tr r="E47" s="1"/>
      </tp>
      <tp>
        <v>5</v>
        <stp/>
        <stp>T&amp;T1</stp>
        <stp>QUL</stp>
        <stp>43</stp>
        <tr r="K47" s="1"/>
      </tp>
      <tp>
        <v>5714.5</v>
        <stp/>
        <stp>T&amp;T1</stp>
        <stp>PRE</stp>
        <stp>55</stp>
        <tr r="J59" s="1"/>
      </tp>
      <tp>
        <v>5714.5</v>
        <stp/>
        <stp>T&amp;T0</stp>
        <stp>PRE</stp>
        <stp>55</stp>
        <tr r="D59" s="1"/>
      </tp>
      <tp>
        <v>262</v>
        <stp/>
        <stp>T&amp;T0</stp>
        <stp>QUL</stp>
        <stp>42</stp>
        <tr r="E46" s="1"/>
      </tp>
      <tp>
        <v>10</v>
        <stp/>
        <stp>T&amp;T1</stp>
        <stp>QUL</stp>
        <stp>42</stp>
        <tr r="K46" s="1"/>
      </tp>
      <tp>
        <v>5715.5</v>
        <stp/>
        <stp>T&amp;T1</stp>
        <stp>PRE</stp>
        <stp>52</stp>
        <tr r="J56" s="1"/>
      </tp>
      <tp>
        <v>5714.5</v>
        <stp/>
        <stp>T&amp;T0</stp>
        <stp>PRE</stp>
        <stp>52</stp>
        <tr r="D56" s="1"/>
      </tp>
      <tp>
        <v>53</v>
        <stp/>
        <stp>T&amp;T0</stp>
        <stp>QUL</stp>
        <stp>45</stp>
        <tr r="E49" s="1"/>
      </tp>
      <tp>
        <v>5</v>
        <stp/>
        <stp>T&amp;T1</stp>
        <stp>QUL</stp>
        <stp>45</stp>
        <tr r="K49" s="1"/>
      </tp>
      <tp>
        <v>5715</v>
        <stp/>
        <stp>T&amp;T1</stp>
        <stp>PRE</stp>
        <stp>53</stp>
        <tr r="J57" s="1"/>
      </tp>
      <tp>
        <v>5714.5</v>
        <stp/>
        <stp>T&amp;T0</stp>
        <stp>PRE</stp>
        <stp>53</stp>
        <tr r="D57" s="1"/>
      </tp>
      <tp>
        <v>88</v>
        <stp/>
        <stp>T&amp;T0</stp>
        <stp>QUL</stp>
        <stp>44</stp>
        <tr r="E48" s="1"/>
      </tp>
      <tp>
        <v>20</v>
        <stp/>
        <stp>T&amp;T1</stp>
        <stp>QUL</stp>
        <stp>44</stp>
        <tr r="K48" s="1"/>
      </tp>
      <tp>
        <v>5714.5</v>
        <stp/>
        <stp>T&amp;T1</stp>
        <stp>PRE</stp>
        <stp>50</stp>
        <tr r="J54" s="1"/>
      </tp>
      <tp>
        <v>5715.5</v>
        <stp/>
        <stp>T&amp;T0</stp>
        <stp>PRE</stp>
        <stp>50</stp>
        <tr r="D54" s="1"/>
      </tp>
      <tp>
        <v>74</v>
        <stp/>
        <stp>T&amp;T0</stp>
        <stp>QUL</stp>
        <stp>47</stp>
        <tr r="E51" s="1"/>
      </tp>
      <tp>
        <v>10</v>
        <stp/>
        <stp>T&amp;T1</stp>
        <stp>QUL</stp>
        <stp>47</stp>
        <tr r="K51" s="1"/>
      </tp>
      <tp>
        <v>5715.5</v>
        <stp/>
        <stp>T&amp;T1</stp>
        <stp>PRE</stp>
        <stp>51</stp>
        <tr r="J55" s="1"/>
      </tp>
      <tp>
        <v>5715</v>
        <stp/>
        <stp>T&amp;T0</stp>
        <stp>PRE</stp>
        <stp>51</stp>
        <tr r="D55" s="1"/>
      </tp>
      <tp>
        <v>120</v>
        <stp/>
        <stp>T&amp;T0</stp>
        <stp>QUL</stp>
        <stp>46</stp>
        <tr r="E50" s="1"/>
      </tp>
      <tp>
        <v>5</v>
        <stp/>
        <stp>T&amp;T1</stp>
        <stp>QUL</stp>
        <stp>46</stp>
        <tr r="K50" s="1"/>
      </tp>
      <tp t="s">
        <v>Comprador</v>
        <stp/>
        <stp>T&amp;T0</stp>
        <stp>AGR</stp>
        <stp>99</stp>
        <tr r="C103" s="1"/>
      </tp>
      <tp t="s">
        <v>Comprador</v>
        <stp/>
        <stp>T&amp;T1</stp>
        <stp>AGR</stp>
        <stp>99</stp>
        <tr r="I103" s="1"/>
      </tp>
      <tp t="s">
        <v>Vendedor</v>
        <stp/>
        <stp>T&amp;T0</stp>
        <stp>AGR</stp>
        <stp>98</stp>
        <tr r="C102" s="1"/>
      </tp>
      <tp t="s">
        <v>Comprador</v>
        <stp/>
        <stp>T&amp;T1</stp>
        <stp>AGR</stp>
        <stp>98</stp>
        <tr r="I102" s="1"/>
      </tp>
      <tp t="s">
        <v>Comprador</v>
        <stp/>
        <stp>T&amp;T0</stp>
        <stp>AGR</stp>
        <stp>93</stp>
        <tr r="C97" s="1"/>
      </tp>
      <tp t="s">
        <v>Comprador</v>
        <stp/>
        <stp>T&amp;T1</stp>
        <stp>AGR</stp>
        <stp>93</stp>
        <tr r="I97" s="1"/>
      </tp>
      <tp t="s">
        <v>Vendedor</v>
        <stp/>
        <stp>T&amp;T0</stp>
        <stp>AGR</stp>
        <stp>92</stp>
        <tr r="C96" s="1"/>
      </tp>
      <tp t="s">
        <v>Vendedor</v>
        <stp/>
        <stp>T&amp;T1</stp>
        <stp>AGR</stp>
        <stp>92</stp>
        <tr r="I96" s="1"/>
      </tp>
      <tp t="s">
        <v>Vendedor</v>
        <stp/>
        <stp>T&amp;T0</stp>
        <stp>AGR</stp>
        <stp>91</stp>
        <tr r="C95" s="1"/>
      </tp>
      <tp t="s">
        <v>Vendedor</v>
        <stp/>
        <stp>T&amp;T1</stp>
        <stp>AGR</stp>
        <stp>91</stp>
        <tr r="I95" s="1"/>
      </tp>
      <tp t="s">
        <v>Comprador</v>
        <stp/>
        <stp>T&amp;T0</stp>
        <stp>AGR</stp>
        <stp>90</stp>
        <tr r="C94" s="1"/>
      </tp>
      <tp t="s">
        <v>Vendedor</v>
        <stp/>
        <stp>T&amp;T1</stp>
        <stp>AGR</stp>
        <stp>90</stp>
        <tr r="I94" s="1"/>
      </tp>
      <tp t="s">
        <v>Comprador</v>
        <stp/>
        <stp>T&amp;T0</stp>
        <stp>AGR</stp>
        <stp>97</stp>
        <tr r="C101" s="1"/>
      </tp>
      <tp t="s">
        <v>Vendedor</v>
        <stp/>
        <stp>T&amp;T1</stp>
        <stp>AGR</stp>
        <stp>97</stp>
        <tr r="I101" s="1"/>
      </tp>
      <tp t="s">
        <v>Vendedor</v>
        <stp/>
        <stp>T&amp;T0</stp>
        <stp>AGR</stp>
        <stp>96</stp>
        <tr r="C100" s="1"/>
      </tp>
      <tp t="s">
        <v>Vendedor</v>
        <stp/>
        <stp>T&amp;T1</stp>
        <stp>AGR</stp>
        <stp>96</stp>
        <tr r="I100" s="1"/>
      </tp>
      <tp t="s">
        <v>Vendedor</v>
        <stp/>
        <stp>T&amp;T0</stp>
        <stp>AGR</stp>
        <stp>95</stp>
        <tr r="C99" s="1"/>
      </tp>
      <tp t="s">
        <v>Comprador</v>
        <stp/>
        <stp>T&amp;T1</stp>
        <stp>AGR</stp>
        <stp>95</stp>
        <tr r="I99" s="1"/>
      </tp>
      <tp t="s">
        <v>Comprador</v>
        <stp/>
        <stp>T&amp;T0</stp>
        <stp>AGR</stp>
        <stp>94</stp>
        <tr r="C98" s="1"/>
      </tp>
      <tp t="s">
        <v>Vendedor</v>
        <stp/>
        <stp>T&amp;T1</stp>
        <stp>AGR</stp>
        <stp>94</stp>
        <tr r="I98" s="1"/>
      </tp>
      <tp t="s">
        <v>Comprador</v>
        <stp/>
        <stp>T&amp;T0</stp>
        <stp>AGR</stp>
        <stp>89</stp>
        <tr r="C93" s="1"/>
      </tp>
      <tp t="s">
        <v>Vendedor</v>
        <stp/>
        <stp>T&amp;T1</stp>
        <stp>AGR</stp>
        <stp>89</stp>
        <tr r="I93" s="1"/>
      </tp>
      <tp t="s">
        <v>Comprador</v>
        <stp/>
        <stp>T&amp;T0</stp>
        <stp>AGR</stp>
        <stp>88</stp>
        <tr r="C92" s="1"/>
      </tp>
      <tp t="s">
        <v>Comprador</v>
        <stp/>
        <stp>T&amp;T1</stp>
        <stp>AGR</stp>
        <stp>88</stp>
        <tr r="I92" s="1"/>
      </tp>
      <tp t="s">
        <v>Vendedor</v>
        <stp/>
        <stp>T&amp;T0</stp>
        <stp>AGR</stp>
        <stp>83</stp>
        <tr r="C87" s="1"/>
      </tp>
      <tp t="s">
        <v>Comprador</v>
        <stp/>
        <stp>T&amp;T1</stp>
        <stp>AGR</stp>
        <stp>83</stp>
        <tr r="I87" s="1"/>
      </tp>
      <tp t="s">
        <v>Vendedor</v>
        <stp/>
        <stp>T&amp;T0</stp>
        <stp>AGR</stp>
        <stp>82</stp>
        <tr r="C86" s="1"/>
      </tp>
      <tp t="s">
        <v>Comprador</v>
        <stp/>
        <stp>T&amp;T1</stp>
        <stp>AGR</stp>
        <stp>82</stp>
        <tr r="I86" s="1"/>
      </tp>
      <tp t="s">
        <v>Vendedor</v>
        <stp/>
        <stp>T&amp;T0</stp>
        <stp>AGR</stp>
        <stp>81</stp>
        <tr r="C85" s="1"/>
      </tp>
      <tp t="s">
        <v>Comprador</v>
        <stp/>
        <stp>T&amp;T1</stp>
        <stp>AGR</stp>
        <stp>81</stp>
        <tr r="I85" s="1"/>
      </tp>
      <tp t="s">
        <v>Vendedor</v>
        <stp/>
        <stp>T&amp;T0</stp>
        <stp>AGR</stp>
        <stp>80</stp>
        <tr r="C84" s="1"/>
      </tp>
      <tp t="s">
        <v>Comprador</v>
        <stp/>
        <stp>T&amp;T1</stp>
        <stp>AGR</stp>
        <stp>80</stp>
        <tr r="I84" s="1"/>
      </tp>
      <tp t="s">
        <v>Comprador</v>
        <stp/>
        <stp>T&amp;T0</stp>
        <stp>AGR</stp>
        <stp>87</stp>
        <tr r="C91" s="1"/>
      </tp>
      <tp t="s">
        <v>Vendedor</v>
        <stp/>
        <stp>T&amp;T1</stp>
        <stp>AGR</stp>
        <stp>87</stp>
        <tr r="I91" s="1"/>
      </tp>
      <tp t="s">
        <v>Comprador</v>
        <stp/>
        <stp>T&amp;T0</stp>
        <stp>AGR</stp>
        <stp>86</stp>
        <tr r="C90" s="1"/>
      </tp>
      <tp t="s">
        <v>Vendedor</v>
        <stp/>
        <stp>T&amp;T1</stp>
        <stp>AGR</stp>
        <stp>86</stp>
        <tr r="I90" s="1"/>
      </tp>
      <tp t="s">
        <v>Vendedor</v>
        <stp/>
        <stp>T&amp;T0</stp>
        <stp>AGR</stp>
        <stp>85</stp>
        <tr r="C89" s="1"/>
      </tp>
      <tp t="s">
        <v>Vendedor</v>
        <stp/>
        <stp>T&amp;T1</stp>
        <stp>AGR</stp>
        <stp>85</stp>
        <tr r="I89" s="1"/>
      </tp>
      <tp t="s">
        <v>Vendedor</v>
        <stp/>
        <stp>T&amp;T0</stp>
        <stp>AGR</stp>
        <stp>84</stp>
        <tr r="C88" s="1"/>
      </tp>
      <tp t="s">
        <v>Vendedor</v>
        <stp/>
        <stp>T&amp;T1</stp>
        <stp>AGR</stp>
        <stp>84</stp>
        <tr r="I88" s="1"/>
      </tp>
      <tp t="s">
        <v>11:25:06</v>
        <stp/>
        <stp>T&amp;T0</stp>
        <stp>DAT</stp>
        <stp>89</stp>
        <tr r="B93" s="1"/>
      </tp>
      <tp t="s">
        <v>11:24:29</v>
        <stp/>
        <stp>T&amp;T1</stp>
        <stp>DAT</stp>
        <stp>89</stp>
        <tr r="H93" s="1"/>
      </tp>
      <tp t="s">
        <v>11:25:06</v>
        <stp/>
        <stp>T&amp;T0</stp>
        <stp>DAT</stp>
        <stp>88</stp>
        <tr r="B92" s="1"/>
      </tp>
      <tp t="s">
        <v>11:24:29</v>
        <stp/>
        <stp>T&amp;T1</stp>
        <stp>DAT</stp>
        <stp>88</stp>
        <tr r="H92" s="1"/>
      </tp>
      <tp t="s">
        <v>11:25:06</v>
        <stp/>
        <stp>T&amp;T0</stp>
        <stp>DAT</stp>
        <stp>85</stp>
        <tr r="B89" s="1"/>
      </tp>
      <tp t="s">
        <v>11:24:32</v>
        <stp/>
        <stp>T&amp;T1</stp>
        <stp>DAT</stp>
        <stp>85</stp>
        <tr r="H89" s="1"/>
      </tp>
      <tp t="s">
        <v>11:25:06</v>
        <stp/>
        <stp>T&amp;T0</stp>
        <stp>DAT</stp>
        <stp>84</stp>
        <tr r="B88" s="1"/>
      </tp>
      <tp t="s">
        <v>11:24:37</v>
        <stp/>
        <stp>T&amp;T1</stp>
        <stp>DAT</stp>
        <stp>84</stp>
        <tr r="H88" s="1"/>
      </tp>
      <tp t="s">
        <v>11:25:06</v>
        <stp/>
        <stp>T&amp;T0</stp>
        <stp>DAT</stp>
        <stp>87</stp>
        <tr r="B91" s="1"/>
      </tp>
      <tp t="s">
        <v>11:24:32</v>
        <stp/>
        <stp>T&amp;T1</stp>
        <stp>DAT</stp>
        <stp>87</stp>
        <tr r="H91" s="1"/>
      </tp>
      <tp t="s">
        <v>11:25:06</v>
        <stp/>
        <stp>T&amp;T0</stp>
        <stp>DAT</stp>
        <stp>86</stp>
        <tr r="B90" s="1"/>
      </tp>
      <tp t="s">
        <v>11:24:32</v>
        <stp/>
        <stp>T&amp;T1</stp>
        <stp>DAT</stp>
        <stp>86</stp>
        <tr r="H90" s="1"/>
      </tp>
      <tp t="s">
        <v>11:25:06</v>
        <stp/>
        <stp>T&amp;T0</stp>
        <stp>DAT</stp>
        <stp>81</stp>
        <tr r="B85" s="1"/>
      </tp>
      <tp t="s">
        <v>11:24:37</v>
        <stp/>
        <stp>T&amp;T1</stp>
        <stp>DAT</stp>
        <stp>81</stp>
        <tr r="H85" s="1"/>
      </tp>
      <tp t="s">
        <v>11:25:06</v>
        <stp/>
        <stp>T&amp;T0</stp>
        <stp>DAT</stp>
        <stp>80</stp>
        <tr r="B84" s="1"/>
      </tp>
      <tp t="s">
        <v>11:24:38</v>
        <stp/>
        <stp>T&amp;T1</stp>
        <stp>DAT</stp>
        <stp>80</stp>
        <tr r="H84" s="1"/>
      </tp>
      <tp t="s">
        <v>11:25:06</v>
        <stp/>
        <stp>T&amp;T0</stp>
        <stp>DAT</stp>
        <stp>83</stp>
        <tr r="B87" s="1"/>
      </tp>
      <tp t="s">
        <v>11:24:37</v>
        <stp/>
        <stp>T&amp;T1</stp>
        <stp>DAT</stp>
        <stp>83</stp>
        <tr r="H87" s="1"/>
      </tp>
      <tp t="s">
        <v>11:25:06</v>
        <stp/>
        <stp>T&amp;T0</stp>
        <stp>DAT</stp>
        <stp>82</stp>
        <tr r="B86" s="1"/>
      </tp>
      <tp t="s">
        <v>11:24:37</v>
        <stp/>
        <stp>T&amp;T1</stp>
        <stp>DAT</stp>
        <stp>82</stp>
        <tr r="H86" s="1"/>
      </tp>
      <tp t="s">
        <v>11:25:01</v>
        <stp/>
        <stp>T&amp;T0</stp>
        <stp>DAT</stp>
        <stp>99</stp>
        <tr r="B103" s="1"/>
      </tp>
      <tp t="s">
        <v>11:23:51</v>
        <stp/>
        <stp>T&amp;T1</stp>
        <stp>DAT</stp>
        <stp>99</stp>
        <tr r="H103" s="1"/>
      </tp>
      <tp t="s">
        <v>11:25:02</v>
        <stp/>
        <stp>T&amp;T0</stp>
        <stp>DAT</stp>
        <stp>98</stp>
        <tr r="B102" s="1"/>
      </tp>
      <tp t="s">
        <v>11:23:51</v>
        <stp/>
        <stp>T&amp;T1</stp>
        <stp>DAT</stp>
        <stp>98</stp>
        <tr r="H102" s="1"/>
      </tp>
      <tp t="s">
        <v>11:25:05</v>
        <stp/>
        <stp>T&amp;T0</stp>
        <stp>DAT</stp>
        <stp>95</stp>
        <tr r="B99" s="1"/>
      </tp>
      <tp t="s">
        <v>11:23:56</v>
        <stp/>
        <stp>T&amp;T1</stp>
        <stp>DAT</stp>
        <stp>95</stp>
        <tr r="H99" s="1"/>
      </tp>
      <tp t="s">
        <v>11:25:05</v>
        <stp/>
        <stp>T&amp;T0</stp>
        <stp>DAT</stp>
        <stp>94</stp>
        <tr r="B98" s="1"/>
      </tp>
      <tp t="s">
        <v>11:23:57</v>
        <stp/>
        <stp>T&amp;T1</stp>
        <stp>DAT</stp>
        <stp>94</stp>
        <tr r="H98" s="1"/>
      </tp>
      <tp t="s">
        <v>11:25:03</v>
        <stp/>
        <stp>T&amp;T0</stp>
        <stp>DAT</stp>
        <stp>97</stp>
        <tr r="B101" s="1"/>
      </tp>
      <tp t="s">
        <v>11:23:56</v>
        <stp/>
        <stp>T&amp;T1</stp>
        <stp>DAT</stp>
        <stp>97</stp>
        <tr r="H101" s="1"/>
      </tp>
      <tp t="s">
        <v>11:25:03</v>
        <stp/>
        <stp>T&amp;T0</stp>
        <stp>DAT</stp>
        <stp>96</stp>
        <tr r="B100" s="1"/>
      </tp>
      <tp t="s">
        <v>11:23:56</v>
        <stp/>
        <stp>T&amp;T1</stp>
        <stp>DAT</stp>
        <stp>96</stp>
        <tr r="H100" s="1"/>
      </tp>
      <tp t="s">
        <v>11:25:05</v>
        <stp/>
        <stp>T&amp;T0</stp>
        <stp>DAT</stp>
        <stp>91</stp>
        <tr r="B95" s="1"/>
      </tp>
      <tp t="s">
        <v>11:24:21</v>
        <stp/>
        <stp>T&amp;T1</stp>
        <stp>DAT</stp>
        <stp>91</stp>
        <tr r="H95" s="1"/>
      </tp>
      <tp t="s">
        <v>11:25:06</v>
        <stp/>
        <stp>T&amp;T0</stp>
        <stp>DAT</stp>
        <stp>90</stp>
        <tr r="B94" s="1"/>
      </tp>
      <tp t="s">
        <v>11:24:22</v>
        <stp/>
        <stp>T&amp;T1</stp>
        <stp>DAT</stp>
        <stp>90</stp>
        <tr r="H94" s="1"/>
      </tp>
      <tp t="s">
        <v>11:25:05</v>
        <stp/>
        <stp>T&amp;T0</stp>
        <stp>DAT</stp>
        <stp>93</stp>
        <tr r="B97" s="1"/>
      </tp>
      <tp t="s">
        <v>11:24:16</v>
        <stp/>
        <stp>T&amp;T1</stp>
        <stp>DAT</stp>
        <stp>93</stp>
        <tr r="H97" s="1"/>
      </tp>
      <tp t="s">
        <v>11:25:05</v>
        <stp/>
        <stp>T&amp;T0</stp>
        <stp>DAT</stp>
        <stp>92</stp>
        <tr r="B96" s="1"/>
      </tp>
      <tp t="s">
        <v>11:24:20</v>
        <stp/>
        <stp>T&amp;T1</stp>
        <stp>DAT</stp>
        <stp>92</stp>
        <tr r="H96" s="1"/>
      </tp>
      <tp t="s">
        <v>Comprador</v>
        <stp/>
        <stp>T&amp;T0</stp>
        <stp>AGR</stp>
        <stp>39</stp>
        <tr r="C43" s="1"/>
      </tp>
      <tp t="s">
        <v>Vendedor</v>
        <stp/>
        <stp>T&amp;T1</stp>
        <stp>AGR</stp>
        <stp>39</stp>
        <tr r="I43" s="1"/>
      </tp>
      <tp t="s">
        <v>Vendedor</v>
        <stp/>
        <stp>T&amp;T0</stp>
        <stp>AGR</stp>
        <stp>38</stp>
        <tr r="C42" s="1"/>
      </tp>
      <tp t="s">
        <v>Vendedor</v>
        <stp/>
        <stp>T&amp;T1</stp>
        <stp>AGR</stp>
        <stp>38</stp>
        <tr r="I42" s="1"/>
      </tp>
      <tp t="s">
        <v>11:25:30</v>
        <stp/>
        <stp>T&amp;T0</stp>
        <stp>DAT</stp>
        <stp>69</stp>
        <tr r="B73" s="1"/>
      </tp>
      <tp t="s">
        <v>11:24:53</v>
        <stp/>
        <stp>T&amp;T1</stp>
        <stp>DAT</stp>
        <stp>69</stp>
        <tr r="H73" s="1"/>
      </tp>
      <tp t="s">
        <v>11:25:33</v>
        <stp/>
        <stp>T&amp;T0</stp>
        <stp>DAT</stp>
        <stp>68</stp>
        <tr r="B72" s="1"/>
      </tp>
      <tp t="s">
        <v>11:24:54</v>
        <stp/>
        <stp>T&amp;T1</stp>
        <stp>DAT</stp>
        <stp>68</stp>
        <tr r="H72" s="1"/>
      </tp>
      <tp t="s">
        <v>11:25:34</v>
        <stp/>
        <stp>T&amp;T0</stp>
        <stp>DAT</stp>
        <stp>65</stp>
        <tr r="B69" s="1"/>
      </tp>
      <tp t="s">
        <v>11:25:01</v>
        <stp/>
        <stp>T&amp;T1</stp>
        <stp>DAT</stp>
        <stp>65</stp>
        <tr r="H69" s="1"/>
      </tp>
      <tp t="s">
        <v>Vendedor</v>
        <stp/>
        <stp>T&amp;T0</stp>
        <stp>AGR</stp>
        <stp>33</stp>
        <tr r="C37" s="1"/>
      </tp>
      <tp t="s">
        <v>Comprador</v>
        <stp/>
        <stp>T&amp;T1</stp>
        <stp>AGR</stp>
        <stp>33</stp>
        <tr r="I37" s="1"/>
      </tp>
      <tp t="s">
        <v>11:25:34</v>
        <stp/>
        <stp>T&amp;T0</stp>
        <stp>DAT</stp>
        <stp>64</stp>
        <tr r="B68" s="1"/>
      </tp>
      <tp t="s">
        <v>11:25:01</v>
        <stp/>
        <stp>T&amp;T1</stp>
        <stp>DAT</stp>
        <stp>64</stp>
        <tr r="H68" s="1"/>
      </tp>
      <tp t="s">
        <v>Comprador</v>
        <stp/>
        <stp>T&amp;T0</stp>
        <stp>AGR</stp>
        <stp>32</stp>
        <tr r="C36" s="1"/>
      </tp>
      <tp t="s">
        <v>Vendedor</v>
        <stp/>
        <stp>T&amp;T1</stp>
        <stp>AGR</stp>
        <stp>32</stp>
        <tr r="I36" s="1"/>
      </tp>
      <tp t="s">
        <v>11:25:33</v>
        <stp/>
        <stp>T&amp;T0</stp>
        <stp>DAT</stp>
        <stp>67</stp>
        <tr r="B71" s="1"/>
      </tp>
      <tp t="s">
        <v>11:24:55</v>
        <stp/>
        <stp>T&amp;T1</stp>
        <stp>DAT</stp>
        <stp>67</stp>
        <tr r="H71" s="1"/>
      </tp>
      <tp t="s">
        <v>Vendedor</v>
        <stp/>
        <stp>T&amp;T0</stp>
        <stp>AGR</stp>
        <stp>31</stp>
        <tr r="C35" s="1"/>
      </tp>
      <tp t="s">
        <v>Comprador</v>
        <stp/>
        <stp>T&amp;T1</stp>
        <stp>AGR</stp>
        <stp>31</stp>
        <tr r="I35" s="1"/>
      </tp>
      <tp t="s">
        <v>11:25:34</v>
        <stp/>
        <stp>T&amp;T0</stp>
        <stp>DAT</stp>
        <stp>66</stp>
        <tr r="B70" s="1"/>
      </tp>
      <tp t="s">
        <v>11:24:57</v>
        <stp/>
        <stp>T&amp;T1</stp>
        <stp>DAT</stp>
        <stp>66</stp>
        <tr r="H70" s="1"/>
      </tp>
      <tp t="s">
        <v>Vendedor</v>
        <stp/>
        <stp>T&amp;T0</stp>
        <stp>AGR</stp>
        <stp>30</stp>
        <tr r="C34" s="1"/>
      </tp>
      <tp t="s">
        <v>Vendedor</v>
        <stp/>
        <stp>T&amp;T1</stp>
        <stp>AGR</stp>
        <stp>30</stp>
        <tr r="I34" s="1"/>
      </tp>
      <tp t="s">
        <v>11:25:38</v>
        <stp/>
        <stp>T&amp;T0</stp>
        <stp>DAT</stp>
        <stp>61</stp>
        <tr r="B65" s="1"/>
      </tp>
      <tp t="s">
        <v>11:25:06</v>
        <stp/>
        <stp>T&amp;T1</stp>
        <stp>DAT</stp>
        <stp>61</stp>
        <tr r="H65" s="1"/>
      </tp>
      <tp t="s">
        <v>Comprador</v>
        <stp/>
        <stp>T&amp;T0</stp>
        <stp>AGR</stp>
        <stp>37</stp>
        <tr r="C41" s="1"/>
      </tp>
      <tp t="s">
        <v>Comprador</v>
        <stp/>
        <stp>T&amp;T1</stp>
        <stp>AGR</stp>
        <stp>37</stp>
        <tr r="I41" s="1"/>
      </tp>
      <tp t="s">
        <v>11:25:43</v>
        <stp/>
        <stp>T&amp;T0</stp>
        <stp>DAT</stp>
        <stp>60</stp>
        <tr r="B64" s="1"/>
      </tp>
      <tp t="s">
        <v>11:25:06</v>
        <stp/>
        <stp>T&amp;T1</stp>
        <stp>DAT</stp>
        <stp>60</stp>
        <tr r="H64" s="1"/>
      </tp>
      <tp t="s">
        <v>Vendedor</v>
        <stp/>
        <stp>T&amp;T0</stp>
        <stp>AGR</stp>
        <stp>36</stp>
        <tr r="C40" s="1"/>
      </tp>
      <tp t="s">
        <v>Vendedor</v>
        <stp/>
        <stp>T&amp;T1</stp>
        <stp>AGR</stp>
        <stp>36</stp>
        <tr r="I40" s="1"/>
      </tp>
      <tp t="s">
        <v>11:25:37</v>
        <stp/>
        <stp>T&amp;T0</stp>
        <stp>DAT</stp>
        <stp>63</stp>
        <tr r="B67" s="1"/>
      </tp>
      <tp t="s">
        <v>11:25:03</v>
        <stp/>
        <stp>T&amp;T1</stp>
        <stp>DAT</stp>
        <stp>63</stp>
        <tr r="H67" s="1"/>
      </tp>
      <tp t="s">
        <v>Vendedor</v>
        <stp/>
        <stp>T&amp;T0</stp>
        <stp>AGR</stp>
        <stp>35</stp>
        <tr r="C39" s="1"/>
      </tp>
      <tp t="s">
        <v>Vendedor</v>
        <stp/>
        <stp>T&amp;T1</stp>
        <stp>AGR</stp>
        <stp>35</stp>
        <tr r="I39" s="1"/>
      </tp>
      <tp t="s">
        <v>11:25:38</v>
        <stp/>
        <stp>T&amp;T0</stp>
        <stp>DAT</stp>
        <stp>62</stp>
        <tr r="B66" s="1"/>
      </tp>
      <tp t="s">
        <v>11:25:05</v>
        <stp/>
        <stp>T&amp;T1</stp>
        <stp>DAT</stp>
        <stp>62</stp>
        <tr r="H66" s="1"/>
      </tp>
      <tp t="s">
        <v>Comprador</v>
        <stp/>
        <stp>T&amp;T0</stp>
        <stp>AGR</stp>
        <stp>34</stp>
        <tr r="C38" s="1"/>
      </tp>
      <tp t="s">
        <v>Comprador</v>
        <stp/>
        <stp>T&amp;T1</stp>
        <stp>AGR</stp>
        <stp>34</stp>
        <tr r="I38" s="1"/>
      </tp>
      <tp t="s">
        <v>Vendedor</v>
        <stp/>
        <stp>T&amp;T0</stp>
        <stp>AGR</stp>
        <stp>29</stp>
        <tr r="C33" s="1"/>
      </tp>
      <tp t="s">
        <v>Vendedor</v>
        <stp/>
        <stp>T&amp;T1</stp>
        <stp>AGR</stp>
        <stp>29</stp>
        <tr r="I33" s="1"/>
      </tp>
      <tp t="s">
        <v>Vendedor</v>
        <stp/>
        <stp>T&amp;T0</stp>
        <stp>AGR</stp>
        <stp>28</stp>
        <tr r="C32" s="1"/>
      </tp>
      <tp t="s">
        <v>Comprador</v>
        <stp/>
        <stp>T&amp;T1</stp>
        <stp>AGR</stp>
        <stp>28</stp>
        <tr r="I32" s="1"/>
      </tp>
      <tp t="s">
        <v>11:25:09</v>
        <stp/>
        <stp>T&amp;T0</stp>
        <stp>DAT</stp>
        <stp>79</stp>
        <tr r="B83" s="1"/>
      </tp>
      <tp t="s">
        <v>11:24:39</v>
        <stp/>
        <stp>T&amp;T1</stp>
        <stp>DAT</stp>
        <stp>79</stp>
        <tr r="H83" s="1"/>
      </tp>
      <tp t="s">
        <v>11:25:10</v>
        <stp/>
        <stp>T&amp;T0</stp>
        <stp>DAT</stp>
        <stp>78</stp>
        <tr r="B82" s="1"/>
      </tp>
      <tp t="s">
        <v>11:24:39</v>
        <stp/>
        <stp>T&amp;T1</stp>
        <stp>DAT</stp>
        <stp>78</stp>
        <tr r="H82" s="1"/>
      </tp>
      <tp t="s">
        <v>11:25:14</v>
        <stp/>
        <stp>T&amp;T0</stp>
        <stp>DAT</stp>
        <stp>75</stp>
        <tr r="B79" s="1"/>
      </tp>
      <tp t="s">
        <v>11:24:46</v>
        <stp/>
        <stp>T&amp;T1</stp>
        <stp>DAT</stp>
        <stp>75</stp>
        <tr r="H79" s="1"/>
      </tp>
      <tp t="s">
        <v>Comprador</v>
        <stp/>
        <stp>T&amp;T0</stp>
        <stp>AGR</stp>
        <stp>23</stp>
        <tr r="C27" s="1"/>
      </tp>
      <tp t="s">
        <v>Comprador</v>
        <stp/>
        <stp>T&amp;T1</stp>
        <stp>AGR</stp>
        <stp>23</stp>
        <tr r="I27" s="1"/>
      </tp>
      <tp t="s">
        <v>11:25:21</v>
        <stp/>
        <stp>T&amp;T0</stp>
        <stp>DAT</stp>
        <stp>74</stp>
        <tr r="B78" s="1"/>
      </tp>
      <tp t="s">
        <v>11:24:50</v>
        <stp/>
        <stp>T&amp;T1</stp>
        <stp>DAT</stp>
        <stp>74</stp>
        <tr r="H78" s="1"/>
      </tp>
      <tp t="s">
        <v>Comprador</v>
        <stp/>
        <stp>T&amp;T0</stp>
        <stp>AGR</stp>
        <stp>22</stp>
        <tr r="C26" s="1"/>
      </tp>
      <tp t="s">
        <v>Comprador</v>
        <stp/>
        <stp>T&amp;T1</stp>
        <stp>AGR</stp>
        <stp>22</stp>
        <tr r="I26" s="1"/>
      </tp>
      <tp t="s">
        <v>11:25:10</v>
        <stp/>
        <stp>T&amp;T0</stp>
        <stp>DAT</stp>
        <stp>77</stp>
        <tr r="B81" s="1"/>
      </tp>
      <tp t="s">
        <v>11:24:44</v>
        <stp/>
        <stp>T&amp;T1</stp>
        <stp>DAT</stp>
        <stp>77</stp>
        <tr r="H81" s="1"/>
      </tp>
      <tp t="s">
        <v>Vendedor</v>
        <stp/>
        <stp>T&amp;T0</stp>
        <stp>AGR</stp>
        <stp>21</stp>
        <tr r="C25" s="1"/>
      </tp>
      <tp t="s">
        <v>Vendedor</v>
        <stp/>
        <stp>T&amp;T1</stp>
        <stp>AGR</stp>
        <stp>21</stp>
        <tr r="I25" s="1"/>
      </tp>
      <tp t="s">
        <v>11:25:12</v>
        <stp/>
        <stp>T&amp;T0</stp>
        <stp>DAT</stp>
        <stp>76</stp>
        <tr r="B80" s="1"/>
      </tp>
      <tp t="s">
        <v>11:24:46</v>
        <stp/>
        <stp>T&amp;T1</stp>
        <stp>DAT</stp>
        <stp>76</stp>
        <tr r="H80" s="1"/>
      </tp>
      <tp t="s">
        <v>Comprador</v>
        <stp/>
        <stp>T&amp;T0</stp>
        <stp>AGR</stp>
        <stp>20</stp>
        <tr r="C24" s="1"/>
      </tp>
      <tp t="s">
        <v>Vendedor</v>
        <stp/>
        <stp>T&amp;T1</stp>
        <stp>AGR</stp>
        <stp>20</stp>
        <tr r="I24" s="1"/>
      </tp>
      <tp t="s">
        <v>11:25:21</v>
        <stp/>
        <stp>T&amp;T0</stp>
        <stp>DAT</stp>
        <stp>71</stp>
        <tr r="B75" s="1"/>
      </tp>
      <tp t="s">
        <v>11:24:51</v>
        <stp/>
        <stp>T&amp;T1</stp>
        <stp>DAT</stp>
        <stp>71</stp>
        <tr r="H75" s="1"/>
      </tp>
      <tp t="s">
        <v>Vendedor</v>
        <stp/>
        <stp>T&amp;T0</stp>
        <stp>AGR</stp>
        <stp>27</stp>
        <tr r="C31" s="1"/>
      </tp>
      <tp t="s">
        <v>Vendedor</v>
        <stp/>
        <stp>T&amp;T1</stp>
        <stp>AGR</stp>
        <stp>27</stp>
        <tr r="I31" s="1"/>
      </tp>
      <tp t="s">
        <v>11:25:29</v>
        <stp/>
        <stp>T&amp;T0</stp>
        <stp>DAT</stp>
        <stp>70</stp>
        <tr r="B74" s="1"/>
      </tp>
      <tp t="s">
        <v>11:24:51</v>
        <stp/>
        <stp>T&amp;T1</stp>
        <stp>DAT</stp>
        <stp>70</stp>
        <tr r="H74" s="1"/>
      </tp>
      <tp t="s">
        <v>Comprador</v>
        <stp/>
        <stp>T&amp;T0</stp>
        <stp>AGR</stp>
        <stp>26</stp>
        <tr r="C30" s="1"/>
      </tp>
      <tp t="s">
        <v>Vendedor</v>
        <stp/>
        <stp>T&amp;T1</stp>
        <stp>AGR</stp>
        <stp>26</stp>
        <tr r="I30" s="1"/>
      </tp>
      <tp t="s">
        <v>11:25:21</v>
        <stp/>
        <stp>T&amp;T0</stp>
        <stp>DAT</stp>
        <stp>73</stp>
        <tr r="B77" s="1"/>
      </tp>
      <tp t="s">
        <v>11:24:50</v>
        <stp/>
        <stp>T&amp;T1</stp>
        <stp>DAT</stp>
        <stp>73</stp>
        <tr r="H77" s="1"/>
      </tp>
      <tp t="s">
        <v>Comprador</v>
        <stp/>
        <stp>T&amp;T0</stp>
        <stp>AGR</stp>
        <stp>25</stp>
        <tr r="C29" s="1"/>
      </tp>
      <tp t="s">
        <v>Vendedor</v>
        <stp/>
        <stp>T&amp;T1</stp>
        <stp>AGR</stp>
        <stp>25</stp>
        <tr r="I29" s="1"/>
      </tp>
      <tp t="s">
        <v>11:25:21</v>
        <stp/>
        <stp>T&amp;T0</stp>
        <stp>DAT</stp>
        <stp>72</stp>
        <tr r="B76" s="1"/>
      </tp>
      <tp t="s">
        <v>11:24:50</v>
        <stp/>
        <stp>T&amp;T1</stp>
        <stp>DAT</stp>
        <stp>72</stp>
        <tr r="H76" s="1"/>
      </tp>
      <tp t="s">
        <v>Comprador</v>
        <stp/>
        <stp>T&amp;T0</stp>
        <stp>AGR</stp>
        <stp>24</stp>
        <tr r="C28" s="1"/>
      </tp>
      <tp t="s">
        <v>Vendedor</v>
        <stp/>
        <stp>T&amp;T1</stp>
        <stp>AGR</stp>
        <stp>24</stp>
        <tr r="I28" s="1"/>
      </tp>
      <tp t="s">
        <v>Comprador</v>
        <stp/>
        <stp>T&amp;T0</stp>
        <stp>AGR</stp>
        <stp>19</stp>
        <tr r="C23" s="1"/>
      </tp>
      <tp t="s">
        <v>Vendedor</v>
        <stp/>
        <stp>T&amp;T1</stp>
        <stp>AGR</stp>
        <stp>19</stp>
        <tr r="I23" s="1"/>
      </tp>
      <tp t="s">
        <v>Comprador</v>
        <stp/>
        <stp>T&amp;T0</stp>
        <stp>AGR</stp>
        <stp>18</stp>
        <tr r="C22" s="1"/>
      </tp>
      <tp t="s">
        <v>Vendedor</v>
        <stp/>
        <stp>T&amp;T1</stp>
        <stp>AGR</stp>
        <stp>18</stp>
        <tr r="I22" s="1"/>
      </tp>
      <tp t="s">
        <v>11:26:17</v>
        <stp/>
        <stp>T&amp;T0</stp>
        <stp>DAT</stp>
        <stp>49</stp>
        <tr r="B53" s="1"/>
      </tp>
      <tp t="s">
        <v>11:25:14</v>
        <stp/>
        <stp>T&amp;T1</stp>
        <stp>DAT</stp>
        <stp>49</stp>
        <tr r="H53" s="1"/>
      </tp>
      <tp t="s">
        <v>11:26:17</v>
        <stp/>
        <stp>T&amp;T0</stp>
        <stp>DAT</stp>
        <stp>48</stp>
        <tr r="B52" s="1"/>
      </tp>
      <tp t="s">
        <v>11:25:14</v>
        <stp/>
        <stp>T&amp;T1</stp>
        <stp>DAT</stp>
        <stp>48</stp>
        <tr r="H52" s="1"/>
      </tp>
      <tp t="s">
        <v>11:26:19</v>
        <stp/>
        <stp>T&amp;T0</stp>
        <stp>DAT</stp>
        <stp>45</stp>
        <tr r="B49" s="1"/>
      </tp>
      <tp t="s">
        <v>11:25:21</v>
        <stp/>
        <stp>T&amp;T1</stp>
        <stp>DAT</stp>
        <stp>45</stp>
        <tr r="H49" s="1"/>
      </tp>
      <tp t="s">
        <v>Comprador</v>
        <stp/>
        <stp>T&amp;T0</stp>
        <stp>AGR</stp>
        <stp>13</stp>
        <tr r="C17" s="1"/>
      </tp>
      <tp t="s">
        <v>Vendedor</v>
        <stp/>
        <stp>T&amp;T1</stp>
        <stp>AGR</stp>
        <stp>13</stp>
        <tr r="I17" s="1"/>
      </tp>
      <tp t="s">
        <v>11:26:23</v>
        <stp/>
        <stp>T&amp;T0</stp>
        <stp>DAT</stp>
        <stp>44</stp>
        <tr r="B48" s="1"/>
      </tp>
      <tp t="s">
        <v>11:25:21</v>
        <stp/>
        <stp>T&amp;T1</stp>
        <stp>DAT</stp>
        <stp>44</stp>
        <tr r="H48" s="1"/>
      </tp>
      <tp t="s">
        <v>Vendedor</v>
        <stp/>
        <stp>T&amp;T0</stp>
        <stp>AGR</stp>
        <stp>12</stp>
        <tr r="C16" s="1"/>
      </tp>
      <tp t="s">
        <v>Vendedor</v>
        <stp/>
        <stp>T&amp;T1</stp>
        <stp>AGR</stp>
        <stp>12</stp>
        <tr r="I16" s="1"/>
      </tp>
      <tp t="s">
        <v>11:26:17</v>
        <stp/>
        <stp>T&amp;T0</stp>
        <stp>DAT</stp>
        <stp>47</stp>
        <tr r="B51" s="1"/>
      </tp>
      <tp t="s">
        <v>11:25:14</v>
        <stp/>
        <stp>T&amp;T1</stp>
        <stp>DAT</stp>
        <stp>47</stp>
        <tr r="H51" s="1"/>
      </tp>
      <tp t="s">
        <v>Comprador</v>
        <stp/>
        <stp>T&amp;T0</stp>
        <stp>AGR</stp>
        <stp>11</stp>
        <tr r="C15" s="1"/>
      </tp>
      <tp t="s">
        <v>Comprador</v>
        <stp/>
        <stp>T&amp;T1</stp>
        <stp>AGR</stp>
        <stp>11</stp>
        <tr r="I15" s="1"/>
      </tp>
      <tp t="s">
        <v>11:26:17</v>
        <stp/>
        <stp>T&amp;T0</stp>
        <stp>DAT</stp>
        <stp>46</stp>
        <tr r="B50" s="1"/>
      </tp>
      <tp t="s">
        <v>11:25:21</v>
        <stp/>
        <stp>T&amp;T1</stp>
        <stp>DAT</stp>
        <stp>46</stp>
        <tr r="H50" s="1"/>
      </tp>
      <tp t="s">
        <v>Comprador</v>
        <stp/>
        <stp>T&amp;T0</stp>
        <stp>AGR</stp>
        <stp>10</stp>
        <tr r="C14" s="1"/>
      </tp>
      <tp t="s">
        <v>Vendedor</v>
        <stp/>
        <stp>T&amp;T1</stp>
        <stp>AGR</stp>
        <stp>10</stp>
        <tr r="I14" s="1"/>
      </tp>
      <tp t="s">
        <v>11:27:03</v>
        <stp/>
        <stp>T&amp;T0</stp>
        <stp>DAT</stp>
        <stp>41</stp>
        <tr r="B45" s="1"/>
      </tp>
      <tp t="s">
        <v>11:25:33</v>
        <stp/>
        <stp>T&amp;T1</stp>
        <stp>DAT</stp>
        <stp>41</stp>
        <tr r="H45" s="1"/>
      </tp>
      <tp t="s">
        <v>Comprador</v>
        <stp/>
        <stp>T&amp;T0</stp>
        <stp>AGR</stp>
        <stp>17</stp>
        <tr r="C21" s="1"/>
      </tp>
      <tp t="s">
        <v>Comprador</v>
        <stp/>
        <stp>T&amp;T1</stp>
        <stp>AGR</stp>
        <stp>17</stp>
        <tr r="I21" s="1"/>
      </tp>
      <tp t="s">
        <v>11:27:03</v>
        <stp/>
        <stp>T&amp;T0</stp>
        <stp>DAT</stp>
        <stp>40</stp>
        <tr r="B44" s="1"/>
      </tp>
      <tp t="s">
        <v>11:25:34</v>
        <stp/>
        <stp>T&amp;T1</stp>
        <stp>DAT</stp>
        <stp>40</stp>
        <tr r="H44" s="1"/>
      </tp>
      <tp t="s">
        <v>Comprador</v>
        <stp/>
        <stp>T&amp;T0</stp>
        <stp>AGR</stp>
        <stp>16</stp>
        <tr r="C20" s="1"/>
      </tp>
      <tp t="s">
        <v>Comprador</v>
        <stp/>
        <stp>T&amp;T1</stp>
        <stp>AGR</stp>
        <stp>16</stp>
        <tr r="I20" s="1"/>
      </tp>
      <tp t="s">
        <v>11:26:44</v>
        <stp/>
        <stp>T&amp;T0</stp>
        <stp>DAT</stp>
        <stp>43</stp>
        <tr r="B47" s="1"/>
      </tp>
      <tp t="s">
        <v>11:25:25</v>
        <stp/>
        <stp>T&amp;T1</stp>
        <stp>DAT</stp>
        <stp>43</stp>
        <tr r="H47" s="1"/>
      </tp>
      <tp t="s">
        <v>Vendedor</v>
        <stp/>
        <stp>T&amp;T0</stp>
        <stp>AGR</stp>
        <stp>15</stp>
        <tr r="C19" s="1"/>
      </tp>
      <tp t="s">
        <v>Comprador</v>
        <stp/>
        <stp>T&amp;T1</stp>
        <stp>AGR</stp>
        <stp>15</stp>
        <tr r="I19" s="1"/>
      </tp>
      <tp t="s">
        <v>11:27:03</v>
        <stp/>
        <stp>T&amp;T0</stp>
        <stp>DAT</stp>
        <stp>42</stp>
        <tr r="B46" s="1"/>
      </tp>
      <tp t="s">
        <v>11:25:30</v>
        <stp/>
        <stp>T&amp;T1</stp>
        <stp>DAT</stp>
        <stp>42</stp>
        <tr r="H46" s="1"/>
      </tp>
      <tp t="s">
        <v>Vendedor</v>
        <stp/>
        <stp>T&amp;T0</stp>
        <stp>AGR</stp>
        <stp>14</stp>
        <tr r="C18" s="1"/>
      </tp>
      <tp t="s">
        <v>Vendedor</v>
        <stp/>
        <stp>T&amp;T1</stp>
        <stp>AGR</stp>
        <stp>14</stp>
        <tr r="I18" s="1"/>
      </tp>
      <tp t="s">
        <v>11:25:43</v>
        <stp/>
        <stp>T&amp;T0</stp>
        <stp>DAT</stp>
        <stp>59</stp>
        <tr r="B63" s="1"/>
      </tp>
      <tp t="s">
        <v>11:25:06</v>
        <stp/>
        <stp>T&amp;T1</stp>
        <stp>DAT</stp>
        <stp>59</stp>
        <tr r="H63" s="1"/>
      </tp>
      <tp t="s">
        <v>11:25:44</v>
        <stp/>
        <stp>T&amp;T0</stp>
        <stp>DAT</stp>
        <stp>58</stp>
        <tr r="B62" s="1"/>
      </tp>
      <tp t="s">
        <v>11:25:06</v>
        <stp/>
        <stp>T&amp;T1</stp>
        <stp>DAT</stp>
        <stp>58</stp>
        <tr r="H62" s="1"/>
      </tp>
      <tp t="s">
        <v>11:26:02</v>
        <stp/>
        <stp>T&amp;T0</stp>
        <stp>DAT</stp>
        <stp>55</stp>
        <tr r="B59" s="1"/>
      </tp>
      <tp t="s">
        <v>11:25:06</v>
        <stp/>
        <stp>T&amp;T1</stp>
        <stp>DAT</stp>
        <stp>55</stp>
        <tr r="H59" s="1"/>
      </tp>
      <tp t="s">
        <v>11:26:06</v>
        <stp/>
        <stp>T&amp;T0</stp>
        <stp>DAT</stp>
        <stp>54</stp>
        <tr r="B58" s="1"/>
      </tp>
      <tp t="s">
        <v>11:25:07</v>
        <stp/>
        <stp>T&amp;T1</stp>
        <stp>DAT</stp>
        <stp>54</stp>
        <tr r="H58" s="1"/>
      </tp>
      <tp t="s">
        <v>11:25:58</v>
        <stp/>
        <stp>T&amp;T0</stp>
        <stp>DAT</stp>
        <stp>57</stp>
        <tr r="B61" s="1"/>
      </tp>
      <tp t="s">
        <v>11:25:06</v>
        <stp/>
        <stp>T&amp;T1</stp>
        <stp>DAT</stp>
        <stp>57</stp>
        <tr r="H61" s="1"/>
      </tp>
      <tp t="s">
        <v>11:25:58</v>
        <stp/>
        <stp>T&amp;T0</stp>
        <stp>DAT</stp>
        <stp>56</stp>
        <tr r="B60" s="1"/>
      </tp>
      <tp t="s">
        <v>11:25:06</v>
        <stp/>
        <stp>T&amp;T1</stp>
        <stp>DAT</stp>
        <stp>56</stp>
        <tr r="H60" s="1"/>
      </tp>
      <tp t="s">
        <v>11:26:17</v>
        <stp/>
        <stp>T&amp;T0</stp>
        <stp>DAT</stp>
        <stp>51</stp>
        <tr r="B55" s="1"/>
      </tp>
      <tp t="s">
        <v>11:25:10</v>
        <stp/>
        <stp>T&amp;T1</stp>
        <stp>DAT</stp>
        <stp>51</stp>
        <tr r="H55" s="1"/>
      </tp>
      <tp t="s">
        <v>11:26:17</v>
        <stp/>
        <stp>T&amp;T0</stp>
        <stp>DAT</stp>
        <stp>50</stp>
        <tr r="B54" s="1"/>
      </tp>
      <tp t="s">
        <v>11:25:12</v>
        <stp/>
        <stp>T&amp;T1</stp>
        <stp>DAT</stp>
        <stp>50</stp>
        <tr r="H54" s="1"/>
      </tp>
      <tp t="s">
        <v>11:26:10</v>
        <stp/>
        <stp>T&amp;T0</stp>
        <stp>DAT</stp>
        <stp>53</stp>
        <tr r="B57" s="1"/>
      </tp>
      <tp t="s">
        <v>11:25:09</v>
        <stp/>
        <stp>T&amp;T1</stp>
        <stp>DAT</stp>
        <stp>53</stp>
        <tr r="H57" s="1"/>
      </tp>
      <tp t="s">
        <v>11:26:12</v>
        <stp/>
        <stp>T&amp;T0</stp>
        <stp>DAT</stp>
        <stp>52</stp>
        <tr r="B56" s="1"/>
      </tp>
      <tp t="s">
        <v>11:25:10</v>
        <stp/>
        <stp>T&amp;T1</stp>
        <stp>DAT</stp>
        <stp>52</stp>
        <tr r="H56" s="1"/>
      </tp>
      <tp t="s">
        <v>Comprador</v>
        <stp/>
        <stp>T&amp;T0</stp>
        <stp>AGR</stp>
        <stp>79</stp>
        <tr r="C83" s="1"/>
      </tp>
      <tp t="s">
        <v>Vendedor</v>
        <stp/>
        <stp>T&amp;T1</stp>
        <stp>AGR</stp>
        <stp>79</stp>
        <tr r="I83" s="1"/>
      </tp>
      <tp t="s">
        <v>Comprador</v>
        <stp/>
        <stp>T&amp;T0</stp>
        <stp>AGR</stp>
        <stp>78</stp>
        <tr r="C82" s="1"/>
      </tp>
      <tp t="s">
        <v>Comprador</v>
        <stp/>
        <stp>T&amp;T1</stp>
        <stp>AGR</stp>
        <stp>78</stp>
        <tr r="I82" s="1"/>
      </tp>
      <tp t="s">
        <v>11:27:16</v>
        <stp/>
        <stp>T&amp;T0</stp>
        <stp>DAT</stp>
        <stp>29</stp>
        <tr r="B33" s="1"/>
      </tp>
      <tp t="s">
        <v>11:26:17</v>
        <stp/>
        <stp>T&amp;T1</stp>
        <stp>DAT</stp>
        <stp>29</stp>
        <tr r="H33" s="1"/>
      </tp>
      <tp t="s">
        <v>11:27:21</v>
        <stp/>
        <stp>T&amp;T0</stp>
        <stp>DAT</stp>
        <stp>28</stp>
        <tr r="B32" s="1"/>
      </tp>
      <tp t="s">
        <v>11:26:18</v>
        <stp/>
        <stp>T&amp;T1</stp>
        <stp>DAT</stp>
        <stp>28</stp>
        <tr r="H32" s="1"/>
      </tp>
      <tp t="s">
        <v>11:27:27</v>
        <stp/>
        <stp>T&amp;T0</stp>
        <stp>DAT</stp>
        <stp>25</stp>
        <tr r="B29" s="1"/>
      </tp>
      <tp t="s">
        <v>11:26:35</v>
        <stp/>
        <stp>T&amp;T1</stp>
        <stp>DAT</stp>
        <stp>25</stp>
        <tr r="H29" s="1"/>
      </tp>
      <tp t="s">
        <v>Vendedor</v>
        <stp/>
        <stp>T&amp;T0</stp>
        <stp>AGR</stp>
        <stp>73</stp>
        <tr r="C77" s="1"/>
      </tp>
      <tp t="s">
        <v>Vendedor</v>
        <stp/>
        <stp>T&amp;T1</stp>
        <stp>AGR</stp>
        <stp>73</stp>
        <tr r="I77" s="1"/>
      </tp>
      <tp t="s">
        <v>11:27:27</v>
        <stp/>
        <stp>T&amp;T0</stp>
        <stp>DAT</stp>
        <stp>24</stp>
        <tr r="B28" s="1"/>
      </tp>
      <tp t="s">
        <v>11:26:40</v>
        <stp/>
        <stp>T&amp;T1</stp>
        <stp>DAT</stp>
        <stp>24</stp>
        <tr r="H28" s="1"/>
      </tp>
      <tp t="s">
        <v>Vendedor</v>
        <stp/>
        <stp>T&amp;T0</stp>
        <stp>AGR</stp>
        <stp>72</stp>
        <tr r="C76" s="1"/>
      </tp>
      <tp t="s">
        <v>Comprador</v>
        <stp/>
        <stp>T&amp;T1</stp>
        <stp>AGR</stp>
        <stp>72</stp>
        <tr r="I76" s="1"/>
      </tp>
      <tp t="s">
        <v>11:27:25</v>
        <stp/>
        <stp>T&amp;T0</stp>
        <stp>DAT</stp>
        <stp>27</stp>
        <tr r="B31" s="1"/>
      </tp>
      <tp t="s">
        <v>11:26:19</v>
        <stp/>
        <stp>T&amp;T1</stp>
        <stp>DAT</stp>
        <stp>27</stp>
        <tr r="H31" s="1"/>
      </tp>
      <tp t="s">
        <v>Vendedor</v>
        <stp/>
        <stp>T&amp;T0</stp>
        <stp>AGR</stp>
        <stp>71</stp>
        <tr r="C75" s="1"/>
      </tp>
      <tp t="s">
        <v>Comprador</v>
        <stp/>
        <stp>T&amp;T1</stp>
        <stp>AGR</stp>
        <stp>71</stp>
        <tr r="I75" s="1"/>
      </tp>
      <tp t="s">
        <v>11:27:27</v>
        <stp/>
        <stp>T&amp;T0</stp>
        <stp>DAT</stp>
        <stp>26</stp>
        <tr r="B30" s="1"/>
      </tp>
      <tp t="s">
        <v>11:26:23</v>
        <stp/>
        <stp>T&amp;T1</stp>
        <stp>DAT</stp>
        <stp>26</stp>
        <tr r="H30" s="1"/>
      </tp>
      <tp t="s">
        <v>Comprador</v>
        <stp/>
        <stp>T&amp;T0</stp>
        <stp>AGR</stp>
        <stp>70</stp>
        <tr r="C74" s="1"/>
      </tp>
      <tp t="s">
        <v>Comprador</v>
        <stp/>
        <stp>T&amp;T1</stp>
        <stp>AGR</stp>
        <stp>70</stp>
        <tr r="I74" s="1"/>
      </tp>
      <tp t="s">
        <v>11:27:32</v>
        <stp/>
        <stp>T&amp;T0</stp>
        <stp>DAT</stp>
        <stp>21</stp>
        <tr r="B25" s="1"/>
      </tp>
      <tp t="s">
        <v>11:27:03</v>
        <stp/>
        <stp>T&amp;T1</stp>
        <stp>DAT</stp>
        <stp>21</stp>
        <tr r="H25" s="1"/>
      </tp>
      <tp t="s">
        <v>Vendedor</v>
        <stp/>
        <stp>T&amp;T0</stp>
        <stp>AGR</stp>
        <stp>77</stp>
        <tr r="C81" s="1"/>
      </tp>
      <tp t="s">
        <v>Vendedor</v>
        <stp/>
        <stp>T&amp;T1</stp>
        <stp>AGR</stp>
        <stp>77</stp>
        <tr r="I81" s="1"/>
      </tp>
      <tp t="s">
        <v>11:27:36</v>
        <stp/>
        <stp>T&amp;T0</stp>
        <stp>DAT</stp>
        <stp>20</stp>
        <tr r="B24" s="1"/>
      </tp>
      <tp t="s">
        <v>11:27:05</v>
        <stp/>
        <stp>T&amp;T1</stp>
        <stp>DAT</stp>
        <stp>20</stp>
        <tr r="H24" s="1"/>
      </tp>
      <tp t="s">
        <v>Vendedor</v>
        <stp/>
        <stp>T&amp;T0</stp>
        <stp>AGR</stp>
        <stp>76</stp>
        <tr r="C80" s="1"/>
      </tp>
      <tp t="s">
        <v>Vendedor</v>
        <stp/>
        <stp>T&amp;T1</stp>
        <stp>AGR</stp>
        <stp>76</stp>
        <tr r="I80" s="1"/>
      </tp>
      <tp t="s">
        <v>11:27:28</v>
        <stp/>
        <stp>T&amp;T0</stp>
        <stp>DAT</stp>
        <stp>23</stp>
        <tr r="B27" s="1"/>
      </tp>
      <tp t="s">
        <v>11:27:03</v>
        <stp/>
        <stp>T&amp;T1</stp>
        <stp>DAT</stp>
        <stp>23</stp>
        <tr r="H27" s="1"/>
      </tp>
      <tp t="s">
        <v>Comprador</v>
        <stp/>
        <stp>T&amp;T0</stp>
        <stp>AGR</stp>
        <stp>75</stp>
        <tr r="C79" s="1"/>
      </tp>
      <tp t="s">
        <v>Comprador</v>
        <stp/>
        <stp>T&amp;T1</stp>
        <stp>AGR</stp>
        <stp>75</stp>
        <tr r="I79" s="1"/>
      </tp>
      <tp t="s">
        <v>11:27:29</v>
        <stp/>
        <stp>T&amp;T0</stp>
        <stp>DAT</stp>
        <stp>22</stp>
        <tr r="B26" s="1"/>
      </tp>
      <tp t="s">
        <v>11:27:03</v>
        <stp/>
        <stp>T&amp;T1</stp>
        <stp>DAT</stp>
        <stp>22</stp>
        <tr r="H26" s="1"/>
      </tp>
      <tp t="s">
        <v>Vendedor</v>
        <stp/>
        <stp>T&amp;T0</stp>
        <stp>AGR</stp>
        <stp>74</stp>
        <tr r="C78" s="1"/>
      </tp>
      <tp t="s">
        <v>Comprador</v>
        <stp/>
        <stp>T&amp;T1</stp>
        <stp>AGR</stp>
        <stp>74</stp>
        <tr r="I78" s="1"/>
      </tp>
      <tp t="s">
        <v>Vendedor</v>
        <stp/>
        <stp>T&amp;T0</stp>
        <stp>AGR</stp>
        <stp>69</stp>
        <tr r="C73" s="1"/>
      </tp>
      <tp t="s">
        <v>Comprador</v>
        <stp/>
        <stp>T&amp;T1</stp>
        <stp>AGR</stp>
        <stp>69</stp>
        <tr r="I73" s="1"/>
      </tp>
      <tp t="s">
        <v>Vendedor</v>
        <stp/>
        <stp>T&amp;T0</stp>
        <stp>AGR</stp>
        <stp>68</stp>
        <tr r="C72" s="1"/>
      </tp>
      <tp t="s">
        <v>Vendedor</v>
        <stp/>
        <stp>T&amp;T1</stp>
        <stp>AGR</stp>
        <stp>68</stp>
        <tr r="I72" s="1"/>
      </tp>
      <tp t="s">
        <v>11:27:03</v>
        <stp/>
        <stp>T&amp;T0</stp>
        <stp>DAT</stp>
        <stp>39</stp>
        <tr r="B43" s="1"/>
      </tp>
      <tp t="s">
        <v>11:25:35</v>
        <stp/>
        <stp>T&amp;T1</stp>
        <stp>DAT</stp>
        <stp>39</stp>
        <tr r="H43" s="1"/>
      </tp>
      <tp t="s">
        <v>11:27:05</v>
        <stp/>
        <stp>T&amp;T0</stp>
        <stp>DAT</stp>
        <stp>38</stp>
        <tr r="B42" s="1"/>
      </tp>
      <tp t="s">
        <v>11:25:37</v>
        <stp/>
        <stp>T&amp;T1</stp>
        <stp>DAT</stp>
        <stp>38</stp>
        <tr r="H42" s="1"/>
      </tp>
      <tp t="s">
        <v>11:27:08</v>
        <stp/>
        <stp>T&amp;T0</stp>
        <stp>DAT</stp>
        <stp>35</stp>
        <tr r="B39" s="1"/>
      </tp>
      <tp t="s">
        <v>11:25:38</v>
        <stp/>
        <stp>T&amp;T1</stp>
        <stp>DAT</stp>
        <stp>35</stp>
        <tr r="H39" s="1"/>
      </tp>
      <tp t="s">
        <v>Vendedor</v>
        <stp/>
        <stp>T&amp;T0</stp>
        <stp>AGR</stp>
        <stp>63</stp>
        <tr r="C67" s="1"/>
      </tp>
      <tp t="s">
        <v>Comprador</v>
        <stp/>
        <stp>T&amp;T1</stp>
        <stp>AGR</stp>
        <stp>63</stp>
        <tr r="I67" s="1"/>
      </tp>
      <tp t="s">
        <v>11:27:08</v>
        <stp/>
        <stp>T&amp;T0</stp>
        <stp>DAT</stp>
        <stp>34</stp>
        <tr r="B38" s="1"/>
      </tp>
      <tp t="s">
        <v>11:25:43</v>
        <stp/>
        <stp>T&amp;T1</stp>
        <stp>DAT</stp>
        <stp>34</stp>
        <tr r="H38" s="1"/>
      </tp>
      <tp t="s">
        <v>Comprador</v>
        <stp/>
        <stp>T&amp;T0</stp>
        <stp>AGR</stp>
        <stp>62</stp>
        <tr r="C66" s="1"/>
      </tp>
      <tp t="s">
        <v>Vendedor</v>
        <stp/>
        <stp>T&amp;T1</stp>
        <stp>AGR</stp>
        <stp>62</stp>
        <tr r="I66" s="1"/>
      </tp>
      <tp t="s">
        <v>11:27:05</v>
        <stp/>
        <stp>T&amp;T0</stp>
        <stp>DAT</stp>
        <stp>37</stp>
        <tr r="B41" s="1"/>
      </tp>
      <tp t="s">
        <v>11:25:38</v>
        <stp/>
        <stp>T&amp;T1</stp>
        <stp>DAT</stp>
        <stp>37</stp>
        <tr r="H41" s="1"/>
      </tp>
      <tp t="s">
        <v>Comprador</v>
        <stp/>
        <stp>T&amp;T0</stp>
        <stp>AGR</stp>
        <stp>61</stp>
        <tr r="C65" s="1"/>
      </tp>
      <tp t="s">
        <v>Comprador</v>
        <stp/>
        <stp>T&amp;T1</stp>
        <stp>AGR</stp>
        <stp>61</stp>
        <tr r="I65" s="1"/>
      </tp>
      <tp t="s">
        <v>11:27:06</v>
        <stp/>
        <stp>T&amp;T0</stp>
        <stp>DAT</stp>
        <stp>36</stp>
        <tr r="B40" s="1"/>
      </tp>
      <tp t="s">
        <v>11:25:38</v>
        <stp/>
        <stp>T&amp;T1</stp>
        <stp>DAT</stp>
        <stp>36</stp>
        <tr r="H40" s="1"/>
      </tp>
      <tp t="s">
        <v>Vendedor</v>
        <stp/>
        <stp>T&amp;T0</stp>
        <stp>AGR</stp>
        <stp>60</stp>
        <tr r="C64" s="1"/>
      </tp>
      <tp t="s">
        <v>Vendedor</v>
        <stp/>
        <stp>T&amp;T1</stp>
        <stp>AGR</stp>
        <stp>60</stp>
        <tr r="I64" s="1"/>
      </tp>
      <tp t="s">
        <v>11:27:13</v>
        <stp/>
        <stp>T&amp;T0</stp>
        <stp>DAT</stp>
        <stp>31</stp>
        <tr r="B35" s="1"/>
      </tp>
      <tp t="s">
        <v>11:26:17</v>
        <stp/>
        <stp>T&amp;T1</stp>
        <stp>DAT</stp>
        <stp>31</stp>
        <tr r="H35" s="1"/>
      </tp>
      <tp t="s">
        <v>Comprador</v>
        <stp/>
        <stp>T&amp;T0</stp>
        <stp>AGR</stp>
        <stp>67</stp>
        <tr r="C71" s="1"/>
      </tp>
      <tp t="s">
        <v>Vendedor</v>
        <stp/>
        <stp>T&amp;T1</stp>
        <stp>AGR</stp>
        <stp>67</stp>
        <tr r="I71" s="1"/>
      </tp>
      <tp t="s">
        <v>11:27:15</v>
        <stp/>
        <stp>T&amp;T0</stp>
        <stp>DAT</stp>
        <stp>30</stp>
        <tr r="B34" s="1"/>
      </tp>
      <tp t="s">
        <v>11:26:17</v>
        <stp/>
        <stp>T&amp;T1</stp>
        <stp>DAT</stp>
        <stp>30</stp>
        <tr r="H34" s="1"/>
      </tp>
      <tp t="s">
        <v>Vendedor</v>
        <stp/>
        <stp>T&amp;T0</stp>
        <stp>AGR</stp>
        <stp>66</stp>
        <tr r="C70" s="1"/>
      </tp>
      <tp t="s">
        <v>Vendedor</v>
        <stp/>
        <stp>T&amp;T1</stp>
        <stp>AGR</stp>
        <stp>66</stp>
        <tr r="I70" s="1"/>
      </tp>
      <tp t="s">
        <v>11:27:08</v>
        <stp/>
        <stp>T&amp;T0</stp>
        <stp>DAT</stp>
        <stp>33</stp>
        <tr r="B37" s="1"/>
      </tp>
      <tp t="s">
        <v>11:25:43</v>
        <stp/>
        <stp>T&amp;T1</stp>
        <stp>DAT</stp>
        <stp>33</stp>
        <tr r="H37" s="1"/>
      </tp>
      <tp t="s">
        <v>Vendedor</v>
        <stp/>
        <stp>T&amp;T0</stp>
        <stp>AGR</stp>
        <stp>65</stp>
        <tr r="C69" s="1"/>
      </tp>
      <tp t="s">
        <v>Vendedor</v>
        <stp/>
        <stp>T&amp;T1</stp>
        <stp>AGR</stp>
        <stp>65</stp>
        <tr r="I69" s="1"/>
      </tp>
      <tp t="s">
        <v>11:27:08</v>
        <stp/>
        <stp>T&amp;T0</stp>
        <stp>DAT</stp>
        <stp>32</stp>
        <tr r="B36" s="1"/>
      </tp>
      <tp t="s">
        <v>11:25:43</v>
        <stp/>
        <stp>T&amp;T1</stp>
        <stp>DAT</stp>
        <stp>32</stp>
        <tr r="H36" s="1"/>
      </tp>
      <tp t="s">
        <v>Vendedor</v>
        <stp/>
        <stp>T&amp;T0</stp>
        <stp>AGR</stp>
        <stp>64</stp>
        <tr r="C68" s="1"/>
      </tp>
      <tp t="s">
        <v>Comprador</v>
        <stp/>
        <stp>T&amp;T1</stp>
        <stp>AGR</stp>
        <stp>64</stp>
        <tr r="I68" s="1"/>
      </tp>
      <tp t="s">
        <v>Comprador</v>
        <stp/>
        <stp>T&amp;T0</stp>
        <stp>AGR</stp>
        <stp>59</stp>
        <tr r="C63" s="1"/>
      </tp>
      <tp t="s">
        <v>Vendedor</v>
        <stp/>
        <stp>T&amp;T1</stp>
        <stp>AGR</stp>
        <stp>59</stp>
        <tr r="I63" s="1"/>
      </tp>
      <tp t="s">
        <v>Vendedor</v>
        <stp/>
        <stp>T&amp;T0</stp>
        <stp>AGR</stp>
        <stp>58</stp>
        <tr r="C62" s="1"/>
      </tp>
      <tp t="s">
        <v>Vendedor</v>
        <stp/>
        <stp>T&amp;T1</stp>
        <stp>AGR</stp>
        <stp>58</stp>
        <tr r="I62" s="1"/>
      </tp>
      <tp t="s">
        <v>Comprador</v>
        <stp/>
        <stp>T&amp;T0</stp>
        <stp>AGR</stp>
        <stp>53</stp>
        <tr r="C57" s="1"/>
      </tp>
      <tp t="s">
        <v>Comprador</v>
        <stp/>
        <stp>T&amp;T1</stp>
        <stp>AGR</stp>
        <stp>53</stp>
        <tr r="I57" s="1"/>
      </tp>
      <tp t="s">
        <v>Comprador</v>
        <stp/>
        <stp>T&amp;T0</stp>
        <stp>AGR</stp>
        <stp>52</stp>
        <tr r="C56" s="1"/>
      </tp>
      <tp t="s">
        <v>Comprador</v>
        <stp/>
        <stp>T&amp;T1</stp>
        <stp>AGR</stp>
        <stp>52</stp>
        <tr r="I56" s="1"/>
      </tp>
      <tp t="s">
        <v>Comprador</v>
        <stp/>
        <stp>T&amp;T0</stp>
        <stp>AGR</stp>
        <stp>51</stp>
        <tr r="C55" s="1"/>
      </tp>
      <tp t="s">
        <v>Comprador</v>
        <stp/>
        <stp>T&amp;T1</stp>
        <stp>AGR</stp>
        <stp>51</stp>
        <tr r="I55" s="1"/>
      </tp>
      <tp t="s">
        <v>Comprador</v>
        <stp/>
        <stp>T&amp;T0</stp>
        <stp>AGR</stp>
        <stp>50</stp>
        <tr r="C54" s="1"/>
      </tp>
      <tp t="s">
        <v>Vendedor</v>
        <stp/>
        <stp>T&amp;T1</stp>
        <stp>AGR</stp>
        <stp>50</stp>
        <tr r="I54" s="1"/>
      </tp>
      <tp t="s">
        <v>Vendedor</v>
        <stp/>
        <stp>T&amp;T0</stp>
        <stp>AGR</stp>
        <stp>57</stp>
        <tr r="C61" s="1"/>
      </tp>
      <tp t="s">
        <v>Vendedor</v>
        <stp/>
        <stp>T&amp;T1</stp>
        <stp>AGR</stp>
        <stp>57</stp>
        <tr r="I61" s="1"/>
      </tp>
      <tp t="s">
        <v>Vendedor</v>
        <stp/>
        <stp>T&amp;T0</stp>
        <stp>AGR</stp>
        <stp>56</stp>
        <tr r="C60" s="1"/>
      </tp>
      <tp t="s">
        <v>Vendedor</v>
        <stp/>
        <stp>T&amp;T1</stp>
        <stp>AGR</stp>
        <stp>56</stp>
        <tr r="I60" s="1"/>
      </tp>
      <tp t="s">
        <v>Comprador</v>
        <stp/>
        <stp>T&amp;T0</stp>
        <stp>AGR</stp>
        <stp>55</stp>
        <tr r="C59" s="1"/>
      </tp>
      <tp t="s">
        <v>Vendedor</v>
        <stp/>
        <stp>T&amp;T1</stp>
        <stp>AGR</stp>
        <stp>55</stp>
        <tr r="I59" s="1"/>
      </tp>
      <tp t="s">
        <v>Vendedor</v>
        <stp/>
        <stp>T&amp;T0</stp>
        <stp>AGR</stp>
        <stp>54</stp>
        <tr r="C58" s="1"/>
      </tp>
      <tp t="s">
        <v>Comprador</v>
        <stp/>
        <stp>T&amp;T1</stp>
        <stp>AGR</stp>
        <stp>54</stp>
        <tr r="I58" s="1"/>
      </tp>
      <tp t="s">
        <v>Comprador</v>
        <stp/>
        <stp>T&amp;T0</stp>
        <stp>AGR</stp>
        <stp>49</stp>
        <tr r="C53" s="1"/>
      </tp>
      <tp t="s">
        <v>Comprador</v>
        <stp/>
        <stp>T&amp;T1</stp>
        <stp>AGR</stp>
        <stp>49</stp>
        <tr r="I53" s="1"/>
      </tp>
      <tp t="s">
        <v>Comprador</v>
        <stp/>
        <stp>T&amp;T0</stp>
        <stp>AGR</stp>
        <stp>48</stp>
        <tr r="C52" s="1"/>
      </tp>
      <tp t="s">
        <v>Comprador</v>
        <stp/>
        <stp>T&amp;T1</stp>
        <stp>AGR</stp>
        <stp>48</stp>
        <tr r="I52" s="1"/>
      </tp>
      <tp t="s">
        <v>11:27:37</v>
        <stp/>
        <stp>T&amp;T0</stp>
        <stp>DAT</stp>
        <stp>19</stp>
        <tr r="B23" s="1"/>
      </tp>
      <tp t="s">
        <v>11:27:08</v>
        <stp/>
        <stp>T&amp;T1</stp>
        <stp>DAT</stp>
        <stp>19</stp>
        <tr r="H23" s="1"/>
      </tp>
      <tp t="s">
        <v>11:27:37</v>
        <stp/>
        <stp>T&amp;T0</stp>
        <stp>DAT</stp>
        <stp>18</stp>
        <tr r="B22" s="1"/>
      </tp>
      <tp t="s">
        <v>11:27:09</v>
        <stp/>
        <stp>T&amp;T1</stp>
        <stp>DAT</stp>
        <stp>18</stp>
        <tr r="H22" s="1"/>
      </tp>
      <tp t="s">
        <v>11:27:49</v>
        <stp/>
        <stp>T&amp;T0</stp>
        <stp>DAT</stp>
        <stp>15</stp>
        <tr r="B19" s="1"/>
      </tp>
      <tp t="s">
        <v>11:27:37</v>
        <stp/>
        <stp>T&amp;T1</stp>
        <stp>DAT</stp>
        <stp>15</stp>
        <tr r="H19" s="1"/>
      </tp>
      <tp t="s">
        <v>Comprador</v>
        <stp/>
        <stp>T&amp;T0</stp>
        <stp>AGR</stp>
        <stp>43</stp>
        <tr r="C47" s="1"/>
      </tp>
      <tp t="s">
        <v>Vendedor</v>
        <stp/>
        <stp>T&amp;T1</stp>
        <stp>AGR</stp>
        <stp>43</stp>
        <tr r="I47" s="1"/>
      </tp>
      <tp t="s">
        <v>11:27:53</v>
        <stp/>
        <stp>T&amp;T0</stp>
        <stp>DAT</stp>
        <stp>14</stp>
        <tr r="B18" s="1"/>
      </tp>
      <tp t="s">
        <v>11:27:45</v>
        <stp/>
        <stp>T&amp;T1</stp>
        <stp>DAT</stp>
        <stp>14</stp>
        <tr r="H18" s="1"/>
      </tp>
      <tp t="s">
        <v>Comprador</v>
        <stp/>
        <stp>T&amp;T0</stp>
        <stp>AGR</stp>
        <stp>42</stp>
        <tr r="C46" s="1"/>
      </tp>
      <tp t="s">
        <v>Vendedor</v>
        <stp/>
        <stp>T&amp;T1</stp>
        <stp>AGR</stp>
        <stp>42</stp>
        <tr r="I46" s="1"/>
      </tp>
      <tp t="s">
        <v>11:27:45</v>
        <stp/>
        <stp>T&amp;T0</stp>
        <stp>DAT</stp>
        <stp>17</stp>
        <tr r="B21" s="1"/>
      </tp>
      <tp t="s">
        <v>11:27:14</v>
        <stp/>
        <stp>T&amp;T1</stp>
        <stp>DAT</stp>
        <stp>17</stp>
        <tr r="H21" s="1"/>
      </tp>
      <tp t="s">
        <v>Comprador</v>
        <stp/>
        <stp>T&amp;T0</stp>
        <stp>AGR</stp>
        <stp>41</stp>
        <tr r="C45" s="1"/>
      </tp>
      <tp t="s">
        <v>Vendedor</v>
        <stp/>
        <stp>T&amp;T1</stp>
        <stp>AGR</stp>
        <stp>41</stp>
        <tr r="I45" s="1"/>
      </tp>
      <tp t="s">
        <v>11:27:48</v>
        <stp/>
        <stp>T&amp;T0</stp>
        <stp>DAT</stp>
        <stp>16</stp>
        <tr r="B20" s="1"/>
      </tp>
      <tp t="s">
        <v>11:27:27</v>
        <stp/>
        <stp>T&amp;T1</stp>
        <stp>DAT</stp>
        <stp>16</stp>
        <tr r="H20" s="1"/>
      </tp>
      <tp t="s">
        <v>Comprador</v>
        <stp/>
        <stp>T&amp;T0</stp>
        <stp>AGR</stp>
        <stp>40</stp>
        <tr r="C44" s="1"/>
      </tp>
      <tp t="s">
        <v>Vendedor</v>
        <stp/>
        <stp>T&amp;T1</stp>
        <stp>AGR</stp>
        <stp>40</stp>
        <tr r="I44" s="1"/>
      </tp>
      <tp t="s">
        <v>11:28:15</v>
        <stp/>
        <stp>T&amp;T0</stp>
        <stp>DAT</stp>
        <stp>11</stp>
        <tr r="B15" s="1"/>
      </tp>
      <tp t="s">
        <v>11:28:04</v>
        <stp/>
        <stp>T&amp;T1</stp>
        <stp>DAT</stp>
        <stp>11</stp>
        <tr r="H15" s="1"/>
      </tp>
      <tp t="s">
        <v>Comprador</v>
        <stp/>
        <stp>T&amp;T0</stp>
        <stp>AGR</stp>
        <stp>47</stp>
        <tr r="C51" s="1"/>
      </tp>
      <tp t="s">
        <v>Comprador</v>
        <stp/>
        <stp>T&amp;T1</stp>
        <stp>AGR</stp>
        <stp>47</stp>
        <tr r="I51" s="1"/>
      </tp>
      <tp t="s">
        <v>11:28:37</v>
        <stp/>
        <stp>T&amp;T0</stp>
        <stp>DAT</stp>
        <stp>10</stp>
        <tr r="B14" s="1"/>
      </tp>
      <tp t="s">
        <v>11:28:04</v>
        <stp/>
        <stp>T&amp;T1</stp>
        <stp>DAT</stp>
        <stp>10</stp>
        <tr r="H14" s="1"/>
      </tp>
      <tp t="s">
        <v>Vendedor</v>
        <stp/>
        <stp>T&amp;T0</stp>
        <stp>AGR</stp>
        <stp>46</stp>
        <tr r="C50" s="1"/>
      </tp>
      <tp t="s">
        <v>Vendedor</v>
        <stp/>
        <stp>T&amp;T1</stp>
        <stp>AGR</stp>
        <stp>46</stp>
        <tr r="I50" s="1"/>
      </tp>
      <tp t="s">
        <v>11:27:53</v>
        <stp/>
        <stp>T&amp;T0</stp>
        <stp>DAT</stp>
        <stp>13</stp>
        <tr r="B17" s="1"/>
      </tp>
      <tp t="s">
        <v>11:27:49</v>
        <stp/>
        <stp>T&amp;T1</stp>
        <stp>DAT</stp>
        <stp>13</stp>
        <tr r="H17" s="1"/>
      </tp>
      <tp t="s">
        <v>Vendedor</v>
        <stp/>
        <stp>T&amp;T0</stp>
        <stp>AGR</stp>
        <stp>45</stp>
        <tr r="C49" s="1"/>
      </tp>
      <tp t="s">
        <v>Comprador</v>
        <stp/>
        <stp>T&amp;T1</stp>
        <stp>AGR</stp>
        <stp>45</stp>
        <tr r="I49" s="1"/>
      </tp>
      <tp t="s">
        <v>11:28:12</v>
        <stp/>
        <stp>T&amp;T0</stp>
        <stp>DAT</stp>
        <stp>12</stp>
        <tr r="B16" s="1"/>
      </tp>
      <tp t="s">
        <v>11:27:50</v>
        <stp/>
        <stp>T&amp;T1</stp>
        <stp>DAT</stp>
        <stp>12</stp>
        <tr r="H16" s="1"/>
      </tp>
      <tp t="s">
        <v>Vendedor</v>
        <stp/>
        <stp>T&amp;T0</stp>
        <stp>AGR</stp>
        <stp>44</stp>
        <tr r="C48" s="1"/>
      </tp>
      <tp t="s">
        <v>Vendedor</v>
        <stp/>
        <stp>T&amp;T1</stp>
        <stp>AGR</stp>
        <stp>44</stp>
        <tr r="I48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A07D-D6C2-4A86-B0CC-DD2D643FACFC}">
  <dimension ref="A1:W103"/>
  <sheetViews>
    <sheetView tabSelected="1" zoomScale="70" zoomScaleNormal="70" workbookViewId="0">
      <selection activeCell="K5" sqref="K5"/>
    </sheetView>
  </sheetViews>
  <sheetFormatPr defaultColWidth="8.140625" defaultRowHeight="15" x14ac:dyDescent="0.25"/>
  <cols>
    <col min="2" max="2" width="10.140625" bestFit="1" customWidth="1"/>
    <col min="3" max="3" width="15.28515625" bestFit="1" customWidth="1"/>
    <col min="4" max="4" width="8.7109375" bestFit="1" customWidth="1"/>
    <col min="5" max="5" width="12.5703125" bestFit="1" customWidth="1"/>
    <col min="8" max="8" width="9.5703125" bestFit="1" customWidth="1"/>
    <col min="9" max="9" width="15.28515625" bestFit="1" customWidth="1"/>
    <col min="10" max="10" width="8.7109375" bestFit="1" customWidth="1"/>
    <col min="11" max="11" width="12.5703125" bestFit="1" customWidth="1"/>
    <col min="14" max="14" width="10.140625" bestFit="1" customWidth="1"/>
    <col min="15" max="16" width="8.7109375" bestFit="1" customWidth="1"/>
    <col min="17" max="17" width="6" bestFit="1" customWidth="1"/>
    <col min="20" max="20" width="9.5703125" bestFit="1" customWidth="1"/>
    <col min="21" max="22" width="8.7109375" bestFit="1" customWidth="1"/>
    <col min="23" max="23" width="6" bestFit="1" customWidth="1"/>
  </cols>
  <sheetData>
    <row r="1" spans="1:23" x14ac:dyDescent="0.25">
      <c r="A1" t="s">
        <v>9</v>
      </c>
      <c r="B1" s="2" t="s">
        <v>10</v>
      </c>
      <c r="C1" s="2"/>
      <c r="D1" s="2"/>
      <c r="E1" s="2"/>
      <c r="F1" s="1"/>
      <c r="H1" s="2" t="s">
        <v>11</v>
      </c>
      <c r="I1" s="2"/>
      <c r="J1" s="2"/>
      <c r="K1" s="2"/>
      <c r="L1" s="1"/>
      <c r="N1" s="2" t="s">
        <v>7</v>
      </c>
      <c r="O1" s="2"/>
      <c r="P1" s="2"/>
      <c r="Q1" s="2"/>
      <c r="R1" s="1"/>
      <c r="T1" s="2" t="s">
        <v>8</v>
      </c>
      <c r="U1" s="2"/>
      <c r="V1" s="2"/>
      <c r="W1" s="2"/>
    </row>
    <row r="2" spans="1:23" x14ac:dyDescent="0.25">
      <c r="B2" t="str">
        <f>RTD("rtdtrading.rtdserver",, "T&amp;T0", "INFO", "ATV")</f>
        <v>WDOFUT</v>
      </c>
      <c r="C2" t="str">
        <f>RTD("rtdtrading.rtdserver",, "T&amp;T0", "INFO", "TAB")</f>
        <v>Ordem Original</v>
      </c>
      <c r="H2" t="str">
        <f>RTD("rtdtrading.rtdserver",, "T&amp;T1", "INFO", "ATV")</f>
        <v>DOLFUT</v>
      </c>
      <c r="I2" t="str">
        <f>RTD("rtdtrading.rtdserver",, "T&amp;T1", "INFO", "TAB")</f>
        <v>Ordem Original</v>
      </c>
      <c r="N2" t="str">
        <f>RTD("rtdtrading.rtdserver",, "BOOK0", "INFO", "ATV")</f>
        <v>WDOFUT</v>
      </c>
      <c r="O2" t="str">
        <f>RTD("rtdtrading.rtdserver",, "BOOK0", "INFO", "TAB")</f>
        <v>Ofertas</v>
      </c>
      <c r="T2" t="str">
        <f>RTD("rtdtrading.rtdserver",, "BOOK1", "INFO", "ATV")</f>
        <v>DOLFUT</v>
      </c>
      <c r="U2" t="str">
        <f>RTD("rtdtrading.rtdserver",, "BOOK1", "INFO", "TAB")</f>
        <v>Ofertas</v>
      </c>
    </row>
    <row r="3" spans="1:23" x14ac:dyDescent="0.25">
      <c r="B3" t="s">
        <v>0</v>
      </c>
      <c r="C3" t="s">
        <v>1</v>
      </c>
      <c r="D3" t="s">
        <v>2</v>
      </c>
      <c r="E3" t="s">
        <v>3</v>
      </c>
      <c r="H3" t="s">
        <v>0</v>
      </c>
      <c r="I3" t="s">
        <v>1</v>
      </c>
      <c r="J3" t="s">
        <v>2</v>
      </c>
      <c r="K3" t="s">
        <v>3</v>
      </c>
      <c r="N3" t="s">
        <v>4</v>
      </c>
      <c r="O3" t="s">
        <v>5</v>
      </c>
      <c r="P3" t="s">
        <v>6</v>
      </c>
      <c r="Q3" t="s">
        <v>4</v>
      </c>
      <c r="T3" t="s">
        <v>4</v>
      </c>
      <c r="U3" t="s">
        <v>5</v>
      </c>
      <c r="V3" t="s">
        <v>6</v>
      </c>
      <c r="W3" t="s">
        <v>4</v>
      </c>
    </row>
    <row r="4" spans="1:23" x14ac:dyDescent="0.25">
      <c r="B4" t="str">
        <f>RTD("rtdtrading.rtdserver",, "T&amp;T0", "DAT", 0)</f>
        <v>11:28:46</v>
      </c>
      <c r="C4" t="str">
        <f>RTD("rtdtrading.rtdserver",, "T&amp;T0", "AGR", 0)</f>
        <v>Vendedor</v>
      </c>
      <c r="D4">
        <f>RTD("rtdtrading.rtdserver",, "T&amp;T0", "PRE", 0)</f>
        <v>5715</v>
      </c>
      <c r="E4">
        <f>RTD("rtdtrading.rtdserver",, "T&amp;T0", "QUL", 0)</f>
        <v>75</v>
      </c>
      <c r="H4" t="str">
        <f>RTD("rtdtrading.rtdserver",, "T&amp;T1", "DAT", 0)</f>
        <v>11:28:46</v>
      </c>
      <c r="I4" t="str">
        <f>RTD("rtdtrading.rtdserver",, "T&amp;T1", "AGR", 0)</f>
        <v>Vendedor</v>
      </c>
      <c r="J4">
        <f>RTD("rtdtrading.rtdserver",, "T&amp;T1", "PRE", 0)</f>
        <v>5715</v>
      </c>
      <c r="K4">
        <f>RTD("rtdtrading.rtdserver",, "T&amp;T1", "QUL", 0)</f>
        <v>5</v>
      </c>
      <c r="N4">
        <f>RTD("rtdtrading.rtdserver",, "BOOK0", "VOC", 0)</f>
        <v>50</v>
      </c>
      <c r="O4">
        <f>RTD("rtdtrading.rtdserver",, "BOOK0", "OCP", 0)</f>
        <v>5712.5</v>
      </c>
      <c r="P4">
        <f>RTD("rtdtrading.rtdserver",, "BOOK0", "OVD", 0)</f>
        <v>5716</v>
      </c>
      <c r="Q4">
        <f>RTD("rtdtrading.rtdserver",, "BOOK0", "VOV", 0)</f>
        <v>50</v>
      </c>
      <c r="T4">
        <f>RTD("rtdtrading.rtdserver",, "BOOK1", "VOC", 0)</f>
        <v>10</v>
      </c>
      <c r="U4">
        <f>RTD("rtdtrading.rtdserver",, "BOOK1", "OCP", 0)</f>
        <v>5712.5</v>
      </c>
      <c r="V4">
        <f>RTD("rtdtrading.rtdserver",, "BOOK1", "OVD", 0)</f>
        <v>5717</v>
      </c>
      <c r="W4">
        <f>RTD("rtdtrading.rtdserver",, "BOOK1", "VOV", 0)</f>
        <v>25</v>
      </c>
    </row>
    <row r="5" spans="1:23" x14ac:dyDescent="0.25">
      <c r="B5" t="str">
        <f>RTD("rtdtrading.rtdserver",, "T&amp;T0", "DAT", 1)</f>
        <v>11:28:46</v>
      </c>
      <c r="C5" t="str">
        <f>RTD("rtdtrading.rtdserver",, "T&amp;T0", "AGR", 1)</f>
        <v>Comprador</v>
      </c>
      <c r="D5">
        <f>RTD("rtdtrading.rtdserver",, "T&amp;T0", "PRE", 1)</f>
        <v>5715.5</v>
      </c>
      <c r="E5">
        <f>RTD("rtdtrading.rtdserver",, "T&amp;T0", "QUL", 1)</f>
        <v>346</v>
      </c>
      <c r="H5" t="str">
        <f>RTD("rtdtrading.rtdserver",, "T&amp;T1", "DAT", 1)</f>
        <v>11:28:45</v>
      </c>
      <c r="I5" t="str">
        <f>RTD("rtdtrading.rtdserver",, "T&amp;T1", "AGR", 1)</f>
        <v>Vendedor</v>
      </c>
      <c r="J5">
        <f>RTD("rtdtrading.rtdserver",, "T&amp;T1", "PRE", 1)</f>
        <v>5715</v>
      </c>
      <c r="K5">
        <f>RTD("rtdtrading.rtdserver",, "T&amp;T1", "QUL", 1)</f>
        <v>5</v>
      </c>
      <c r="N5">
        <f>RTD("rtdtrading.rtdserver",, "BOOK0", "VOC", 1)</f>
        <v>100</v>
      </c>
      <c r="O5">
        <f>RTD("rtdtrading.rtdserver",, "BOOK0", "OCP", 1)</f>
        <v>5712</v>
      </c>
      <c r="P5">
        <f>RTD("rtdtrading.rtdserver",, "BOOK0", "OVD", 1)</f>
        <v>5717</v>
      </c>
      <c r="Q5">
        <f>RTD("rtdtrading.rtdserver",, "BOOK0", "VOV", 1)</f>
        <v>50</v>
      </c>
      <c r="T5">
        <f>RTD("rtdtrading.rtdserver",, "BOOK1", "VOC", 1)</f>
        <v>25</v>
      </c>
      <c r="U5">
        <f>RTD("rtdtrading.rtdserver",, "BOOK1", "OCP", 1)</f>
        <v>5703</v>
      </c>
      <c r="V5">
        <f>RTD("rtdtrading.rtdserver",, "BOOK1", "OVD", 1)</f>
        <v>5718</v>
      </c>
      <c r="W5">
        <f>RTD("rtdtrading.rtdserver",, "BOOK1", "VOV", 1)</f>
        <v>40</v>
      </c>
    </row>
    <row r="6" spans="1:23" x14ac:dyDescent="0.25">
      <c r="B6" t="str">
        <f>RTD("rtdtrading.rtdserver",, "T&amp;T0", "DAT", 2)</f>
        <v>11:28:45</v>
      </c>
      <c r="C6" t="str">
        <f>RTD("rtdtrading.rtdserver",, "T&amp;T0", "AGR", 2)</f>
        <v>Comprador</v>
      </c>
      <c r="D6">
        <f>RTD("rtdtrading.rtdserver",, "T&amp;T0", "PRE", 2)</f>
        <v>5715</v>
      </c>
      <c r="E6">
        <f>RTD("rtdtrading.rtdserver",, "T&amp;T0", "QUL", 2)</f>
        <v>36</v>
      </c>
      <c r="H6" t="str">
        <f>RTD("rtdtrading.rtdserver",, "T&amp;T1", "DAT", 2)</f>
        <v>11:28:45</v>
      </c>
      <c r="I6" t="str">
        <f>RTD("rtdtrading.rtdserver",, "T&amp;T1", "AGR", 2)</f>
        <v>Vendedor</v>
      </c>
      <c r="J6">
        <f>RTD("rtdtrading.rtdserver",, "T&amp;T1", "PRE", 2)</f>
        <v>5715</v>
      </c>
      <c r="K6">
        <f>RTD("rtdtrading.rtdserver",, "T&amp;T1", "QUL", 2)</f>
        <v>15</v>
      </c>
      <c r="N6">
        <f>RTD("rtdtrading.rtdserver",, "BOOK0", "VOC", 2)</f>
        <v>50</v>
      </c>
      <c r="O6">
        <f>RTD("rtdtrading.rtdserver",, "BOOK0", "OCP", 2)</f>
        <v>5711.5</v>
      </c>
      <c r="P6">
        <f>RTD("rtdtrading.rtdserver",, "BOOK0", "OVD", 2)</f>
        <v>5720</v>
      </c>
      <c r="Q6">
        <f>RTD("rtdtrading.rtdserver",, "BOOK0", "VOV", 2)</f>
        <v>249</v>
      </c>
      <c r="T6">
        <f>RTD("rtdtrading.rtdserver",, "BOOK1", "VOC", 2)</f>
        <v>10</v>
      </c>
      <c r="U6">
        <f>RTD("rtdtrading.rtdserver",, "BOOK1", "OCP", 2)</f>
        <v>5703</v>
      </c>
      <c r="V6">
        <f>RTD("rtdtrading.rtdserver",, "BOOK1", "OVD", 2)</f>
        <v>5720</v>
      </c>
      <c r="W6">
        <f>RTD("rtdtrading.rtdserver",, "BOOK1", "VOV", 2)</f>
        <v>50</v>
      </c>
    </row>
    <row r="7" spans="1:23" x14ac:dyDescent="0.25">
      <c r="B7" t="str">
        <f>RTD("rtdtrading.rtdserver",, "T&amp;T0", "DAT", 3)</f>
        <v>11:28:45</v>
      </c>
      <c r="C7" t="str">
        <f>RTD("rtdtrading.rtdserver",, "T&amp;T0", "AGR", 3)</f>
        <v>Comprador</v>
      </c>
      <c r="D7">
        <f>RTD("rtdtrading.rtdserver",, "T&amp;T0", "PRE", 3)</f>
        <v>5714.5</v>
      </c>
      <c r="E7">
        <f>RTD("rtdtrading.rtdserver",, "T&amp;T0", "QUL", 3)</f>
        <v>50</v>
      </c>
      <c r="H7" t="str">
        <f>RTD("rtdtrading.rtdserver",, "T&amp;T1", "DAT", 3)</f>
        <v>11:28:45</v>
      </c>
      <c r="I7" t="str">
        <f>RTD("rtdtrading.rtdserver",, "T&amp;T1", "AGR", 3)</f>
        <v>Vendedor</v>
      </c>
      <c r="J7">
        <f>RTD("rtdtrading.rtdserver",, "T&amp;T1", "PRE", 3)</f>
        <v>5715</v>
      </c>
      <c r="K7">
        <f>RTD("rtdtrading.rtdserver",, "T&amp;T1", "QUL", 3)</f>
        <v>10</v>
      </c>
      <c r="N7">
        <f>RTD("rtdtrading.rtdserver",, "BOOK0", "VOC", 3)</f>
        <v>50</v>
      </c>
      <c r="O7">
        <f>RTD("rtdtrading.rtdserver",, "BOOK0", "OCP", 3)</f>
        <v>5710</v>
      </c>
      <c r="P7">
        <f>RTD("rtdtrading.rtdserver",, "BOOK0", "OVD", 3)</f>
        <v>5720</v>
      </c>
      <c r="Q7">
        <f>RTD("rtdtrading.rtdserver",, "BOOK0", "VOV", 3)</f>
        <v>450</v>
      </c>
      <c r="T7">
        <f>RTD("rtdtrading.rtdserver",, "BOOK1", "VOC", 3)</f>
        <v>20</v>
      </c>
      <c r="U7">
        <f>RTD("rtdtrading.rtdserver",, "BOOK1", "OCP", 3)</f>
        <v>5701</v>
      </c>
      <c r="V7">
        <f>RTD("rtdtrading.rtdserver",, "BOOK1", "OVD", 3)</f>
        <v>5721</v>
      </c>
      <c r="W7">
        <f>RTD("rtdtrading.rtdserver",, "BOOK1", "VOV", 3)</f>
        <v>10</v>
      </c>
    </row>
    <row r="8" spans="1:23" x14ac:dyDescent="0.25">
      <c r="B8" t="str">
        <f>RTD("rtdtrading.rtdserver",, "T&amp;T0", "DAT", 4)</f>
        <v>11:28:45</v>
      </c>
      <c r="C8" t="str">
        <f>RTD("rtdtrading.rtdserver",, "T&amp;T0", "AGR", 4)</f>
        <v>Comprador</v>
      </c>
      <c r="D8">
        <f>RTD("rtdtrading.rtdserver",, "T&amp;T0", "PRE", 4)</f>
        <v>5714</v>
      </c>
      <c r="E8">
        <f>RTD("rtdtrading.rtdserver",, "T&amp;T0", "QUL", 4)</f>
        <v>37</v>
      </c>
      <c r="H8" t="str">
        <f>RTD("rtdtrading.rtdserver",, "T&amp;T1", "DAT", 4)</f>
        <v>11:28:45</v>
      </c>
      <c r="I8" t="str">
        <f>RTD("rtdtrading.rtdserver",, "T&amp;T1", "AGR", 4)</f>
        <v>Vendedor</v>
      </c>
      <c r="J8">
        <f>RTD("rtdtrading.rtdserver",, "T&amp;T1", "PRE", 4)</f>
        <v>5715</v>
      </c>
      <c r="K8">
        <f>RTD("rtdtrading.rtdserver",, "T&amp;T1", "QUL", 4)</f>
        <v>10</v>
      </c>
      <c r="N8">
        <f>RTD("rtdtrading.rtdserver",, "BOOK0", "VOC", 4)</f>
        <v>50</v>
      </c>
      <c r="O8">
        <f>RTD("rtdtrading.rtdserver",, "BOOK0", "OCP", 4)</f>
        <v>5710</v>
      </c>
      <c r="P8">
        <f>RTD("rtdtrading.rtdserver",, "BOOK0", "OVD", 4)</f>
        <v>5722</v>
      </c>
      <c r="Q8">
        <f>RTD("rtdtrading.rtdserver",, "BOOK0", "VOV", 4)</f>
        <v>50</v>
      </c>
      <c r="T8">
        <f>RTD("rtdtrading.rtdserver",, "BOOK1", "VOC", 4)</f>
        <v>25</v>
      </c>
      <c r="U8">
        <f>RTD("rtdtrading.rtdserver",, "BOOK1", "OCP", 4)</f>
        <v>5700</v>
      </c>
      <c r="V8">
        <f>RTD("rtdtrading.rtdserver",, "BOOK1", "OVD", 4)</f>
        <v>5721.5</v>
      </c>
      <c r="W8">
        <f>RTD("rtdtrading.rtdserver",, "BOOK1", "VOV", 4)</f>
        <v>25</v>
      </c>
    </row>
    <row r="9" spans="1:23" x14ac:dyDescent="0.25">
      <c r="B9" t="str">
        <f>RTD("rtdtrading.rtdserver",, "T&amp;T0", "DAT", 5)</f>
        <v>11:28:37</v>
      </c>
      <c r="C9" t="str">
        <f>RTD("rtdtrading.rtdserver",, "T&amp;T0", "AGR", 5)</f>
        <v>Vendedor</v>
      </c>
      <c r="D9">
        <f>RTD("rtdtrading.rtdserver",, "T&amp;T0", "PRE", 5)</f>
        <v>5714</v>
      </c>
      <c r="E9">
        <f>RTD("rtdtrading.rtdserver",, "T&amp;T0", "QUL", 5)</f>
        <v>51</v>
      </c>
      <c r="H9" t="str">
        <f>RTD("rtdtrading.rtdserver",, "T&amp;T1", "DAT", 5)</f>
        <v>11:28:45</v>
      </c>
      <c r="I9" t="str">
        <f>RTD("rtdtrading.rtdserver",, "T&amp;T1", "AGR", 5)</f>
        <v>Comprador</v>
      </c>
      <c r="J9">
        <f>RTD("rtdtrading.rtdserver",, "T&amp;T1", "PRE", 5)</f>
        <v>5715</v>
      </c>
      <c r="K9">
        <f>RTD("rtdtrading.rtdserver",, "T&amp;T1", "QUL", 5)</f>
        <v>65</v>
      </c>
      <c r="N9">
        <f>RTD("rtdtrading.rtdserver",, "BOOK0", "VOC", 5)</f>
        <v>50</v>
      </c>
      <c r="O9">
        <f>RTD("rtdtrading.rtdserver",, "BOOK0", "OCP", 5)</f>
        <v>5710</v>
      </c>
      <c r="P9">
        <f>RTD("rtdtrading.rtdserver",, "BOOK0", "OVD", 5)</f>
        <v>5723</v>
      </c>
      <c r="Q9">
        <f>RTD("rtdtrading.rtdserver",, "BOOK0", "VOV", 5)</f>
        <v>50</v>
      </c>
      <c r="T9">
        <f>RTD("rtdtrading.rtdserver",, "BOOK1", "VOC", 5)</f>
        <v>20</v>
      </c>
      <c r="U9">
        <f>RTD("rtdtrading.rtdserver",, "BOOK1", "OCP", 5)</f>
        <v>5700</v>
      </c>
      <c r="V9">
        <f>RTD("rtdtrading.rtdserver",, "BOOK1", "OVD", 5)</f>
        <v>5723.5</v>
      </c>
      <c r="W9">
        <f>RTD("rtdtrading.rtdserver",, "BOOK1", "VOV", 5)</f>
        <v>15</v>
      </c>
    </row>
    <row r="10" spans="1:23" x14ac:dyDescent="0.25">
      <c r="B10" t="str">
        <f>RTD("rtdtrading.rtdserver",, "T&amp;T0", "DAT", 6)</f>
        <v>11:28:37</v>
      </c>
      <c r="C10" t="str">
        <f>RTD("rtdtrading.rtdserver",, "T&amp;T0", "AGR", 6)</f>
        <v>Comprador</v>
      </c>
      <c r="D10">
        <f>RTD("rtdtrading.rtdserver",, "T&amp;T0", "PRE", 6)</f>
        <v>5714.5</v>
      </c>
      <c r="E10">
        <f>RTD("rtdtrading.rtdserver",, "T&amp;T0", "QUL", 6)</f>
        <v>109</v>
      </c>
      <c r="H10" t="str">
        <f>RTD("rtdtrading.rtdserver",, "T&amp;T1", "DAT", 6)</f>
        <v>11:28:37</v>
      </c>
      <c r="I10" t="str">
        <f>RTD("rtdtrading.rtdserver",, "T&amp;T1", "AGR", 6)</f>
        <v>Vendedor</v>
      </c>
      <c r="J10">
        <f>RTD("rtdtrading.rtdserver",, "T&amp;T1", "PRE", 6)</f>
        <v>5714</v>
      </c>
      <c r="K10">
        <f>RTD("rtdtrading.rtdserver",, "T&amp;T1", "QUL", 6)</f>
        <v>15</v>
      </c>
      <c r="N10">
        <f>RTD("rtdtrading.rtdserver",, "BOOK0", "VOC", 6)</f>
        <v>50</v>
      </c>
      <c r="O10">
        <f>RTD("rtdtrading.rtdserver",, "BOOK0", "OCP", 6)</f>
        <v>5709</v>
      </c>
      <c r="P10">
        <f>RTD("rtdtrading.rtdserver",, "BOOK0", "OVD", 6)</f>
        <v>5723</v>
      </c>
      <c r="Q10">
        <f>RTD("rtdtrading.rtdserver",, "BOOK0", "VOV", 6)</f>
        <v>80</v>
      </c>
      <c r="T10">
        <f>RTD("rtdtrading.rtdserver",, "BOOK1", "VOC", 6)</f>
        <v>20</v>
      </c>
      <c r="U10">
        <f>RTD("rtdtrading.rtdserver",, "BOOK1", "OCP", 6)</f>
        <v>5698</v>
      </c>
      <c r="V10">
        <f>RTD("rtdtrading.rtdserver",, "BOOK1", "OVD", 6)</f>
        <v>5725</v>
      </c>
      <c r="W10">
        <f>RTD("rtdtrading.rtdserver",, "BOOK1", "VOV", 6)</f>
        <v>10</v>
      </c>
    </row>
    <row r="11" spans="1:23" x14ac:dyDescent="0.25">
      <c r="B11" t="str">
        <f>RTD("rtdtrading.rtdserver",, "T&amp;T0", "DAT", 7)</f>
        <v>11:28:37</v>
      </c>
      <c r="C11" t="str">
        <f>RTD("rtdtrading.rtdserver",, "T&amp;T0", "AGR", 7)</f>
        <v>Comprador</v>
      </c>
      <c r="D11">
        <f>RTD("rtdtrading.rtdserver",, "T&amp;T0", "PRE", 7)</f>
        <v>5714.5</v>
      </c>
      <c r="E11">
        <f>RTD("rtdtrading.rtdserver",, "T&amp;T0", "QUL", 7)</f>
        <v>88</v>
      </c>
      <c r="H11" t="str">
        <f>RTD("rtdtrading.rtdserver",, "T&amp;T1", "DAT", 7)</f>
        <v>11:28:37</v>
      </c>
      <c r="I11" t="str">
        <f>RTD("rtdtrading.rtdserver",, "T&amp;T1", "AGR", 7)</f>
        <v>Comprador</v>
      </c>
      <c r="J11">
        <f>RTD("rtdtrading.rtdserver",, "T&amp;T1", "PRE", 7)</f>
        <v>5714.5</v>
      </c>
      <c r="K11">
        <f>RTD("rtdtrading.rtdserver",, "T&amp;T1", "QUL", 7)</f>
        <v>5</v>
      </c>
      <c r="N11">
        <f>RTD("rtdtrading.rtdserver",, "BOOK0", "VOC", 7)</f>
        <v>100</v>
      </c>
      <c r="O11">
        <f>RTD("rtdtrading.rtdserver",, "BOOK0", "OCP", 7)</f>
        <v>5709</v>
      </c>
      <c r="P11">
        <f>RTD("rtdtrading.rtdserver",, "BOOK0", "OVD", 7)</f>
        <v>5724</v>
      </c>
      <c r="Q11">
        <f>RTD("rtdtrading.rtdserver",, "BOOK0", "VOV", 7)</f>
        <v>50</v>
      </c>
      <c r="T11">
        <f>RTD("rtdtrading.rtdserver",, "BOOK1", "VOC", 7)</f>
        <v>10</v>
      </c>
      <c r="U11">
        <f>RTD("rtdtrading.rtdserver",, "BOOK1", "OCP", 7)</f>
        <v>5697.5</v>
      </c>
      <c r="V11">
        <f>RTD("rtdtrading.rtdserver",, "BOOK1", "OVD", 7)</f>
        <v>5726</v>
      </c>
      <c r="W11">
        <f>RTD("rtdtrading.rtdserver",, "BOOK1", "VOV", 7)</f>
        <v>10</v>
      </c>
    </row>
    <row r="12" spans="1:23" x14ac:dyDescent="0.25">
      <c r="B12" t="str">
        <f>RTD("rtdtrading.rtdserver",, "T&amp;T0", "DAT", 8)</f>
        <v>11:28:37</v>
      </c>
      <c r="C12" t="str">
        <f>RTD("rtdtrading.rtdserver",, "T&amp;T0", "AGR", 8)</f>
        <v>Comprador</v>
      </c>
      <c r="D12">
        <f>RTD("rtdtrading.rtdserver",, "T&amp;T0", "PRE", 8)</f>
        <v>5714.5</v>
      </c>
      <c r="E12">
        <f>RTD("rtdtrading.rtdserver",, "T&amp;T0", "QUL", 8)</f>
        <v>160</v>
      </c>
      <c r="H12" t="str">
        <f>RTD("rtdtrading.rtdserver",, "T&amp;T1", "DAT", 8)</f>
        <v>11:28:15</v>
      </c>
      <c r="I12" t="str">
        <f>RTD("rtdtrading.rtdserver",, "T&amp;T1", "AGR", 8)</f>
        <v>Vendedor</v>
      </c>
      <c r="J12">
        <f>RTD("rtdtrading.rtdserver",, "T&amp;T1", "PRE", 8)</f>
        <v>5714</v>
      </c>
      <c r="K12">
        <f>RTD("rtdtrading.rtdserver",, "T&amp;T1", "QUL", 8)</f>
        <v>5</v>
      </c>
      <c r="N12">
        <f>RTD("rtdtrading.rtdserver",, "BOOK0", "VOC", 8)</f>
        <v>50</v>
      </c>
      <c r="O12">
        <f>RTD("rtdtrading.rtdserver",, "BOOK0", "OCP", 8)</f>
        <v>5708.5</v>
      </c>
      <c r="P12">
        <f>RTD("rtdtrading.rtdserver",, "BOOK0", "OVD", 8)</f>
        <v>5724.5</v>
      </c>
      <c r="Q12">
        <f>RTD("rtdtrading.rtdserver",, "BOOK0", "VOV", 8)</f>
        <v>100</v>
      </c>
      <c r="T12">
        <f>RTD("rtdtrading.rtdserver",, "BOOK1", "VOC", 8)</f>
        <v>10</v>
      </c>
      <c r="U12">
        <f>RTD("rtdtrading.rtdserver",, "BOOK1", "OCP", 8)</f>
        <v>5697</v>
      </c>
      <c r="V12">
        <f>RTD("rtdtrading.rtdserver",, "BOOK1", "OVD", 8)</f>
        <v>5727</v>
      </c>
      <c r="W12">
        <f>RTD("rtdtrading.rtdserver",, "BOOK1", "VOV", 8)</f>
        <v>20</v>
      </c>
    </row>
    <row r="13" spans="1:23" x14ac:dyDescent="0.25">
      <c r="B13" t="str">
        <f>RTD("rtdtrading.rtdserver",, "T&amp;T0", "DAT", 9)</f>
        <v>11:28:37</v>
      </c>
      <c r="C13" t="str">
        <f>RTD("rtdtrading.rtdserver",, "T&amp;T0", "AGR", 9)</f>
        <v>Comprador</v>
      </c>
      <c r="D13">
        <f>RTD("rtdtrading.rtdserver",, "T&amp;T0", "PRE", 9)</f>
        <v>5714.5</v>
      </c>
      <c r="E13">
        <f>RTD("rtdtrading.rtdserver",, "T&amp;T0", "QUL", 9)</f>
        <v>111</v>
      </c>
      <c r="H13" t="str">
        <f>RTD("rtdtrading.rtdserver",, "T&amp;T1", "DAT", 9)</f>
        <v>11:28:15</v>
      </c>
      <c r="I13" t="str">
        <f>RTD("rtdtrading.rtdserver",, "T&amp;T1", "AGR", 9)</f>
        <v>Comprador</v>
      </c>
      <c r="J13">
        <f>RTD("rtdtrading.rtdserver",, "T&amp;T1", "PRE", 9)</f>
        <v>5714</v>
      </c>
      <c r="K13">
        <f>RTD("rtdtrading.rtdserver",, "T&amp;T1", "QUL", 9)</f>
        <v>10</v>
      </c>
      <c r="N13">
        <f>RTD("rtdtrading.rtdserver",, "BOOK0", "VOC", 9)</f>
        <v>100</v>
      </c>
      <c r="O13">
        <f>RTD("rtdtrading.rtdserver",, "BOOK0", "OCP", 9)</f>
        <v>5708.5</v>
      </c>
      <c r="P13">
        <f>RTD("rtdtrading.rtdserver",, "BOOK0", "OVD", 9)</f>
        <v>5725.5</v>
      </c>
      <c r="Q13">
        <f>RTD("rtdtrading.rtdserver",, "BOOK0", "VOV", 9)</f>
        <v>75</v>
      </c>
      <c r="T13">
        <f>RTD("rtdtrading.rtdserver",, "BOOK1", "VOC", 9)</f>
        <v>30</v>
      </c>
      <c r="U13">
        <f>RTD("rtdtrading.rtdserver",, "BOOK1", "OCP", 9)</f>
        <v>5697</v>
      </c>
      <c r="V13">
        <f>RTD("rtdtrading.rtdserver",, "BOOK1", "OVD", 9)</f>
        <v>5727</v>
      </c>
      <c r="W13">
        <f>RTD("rtdtrading.rtdserver",, "BOOK1", "VOV", 9)</f>
        <v>20</v>
      </c>
    </row>
    <row r="14" spans="1:23" x14ac:dyDescent="0.25">
      <c r="B14" t="str">
        <f>RTD("rtdtrading.rtdserver",, "T&amp;T0", "DAT", 10)</f>
        <v>11:28:37</v>
      </c>
      <c r="C14" t="str">
        <f>RTD("rtdtrading.rtdserver",, "T&amp;T0", "AGR", 10)</f>
        <v>Comprador</v>
      </c>
      <c r="D14">
        <f>RTD("rtdtrading.rtdserver",, "T&amp;T0", "PRE", 10)</f>
        <v>5714.5</v>
      </c>
      <c r="E14">
        <f>RTD("rtdtrading.rtdserver",, "T&amp;T0", "QUL", 10)</f>
        <v>74</v>
      </c>
      <c r="H14" t="str">
        <f>RTD("rtdtrading.rtdserver",, "T&amp;T1", "DAT", 10)</f>
        <v>11:28:04</v>
      </c>
      <c r="I14" t="str">
        <f>RTD("rtdtrading.rtdserver",, "T&amp;T1", "AGR", 10)</f>
        <v>Vendedor</v>
      </c>
      <c r="J14">
        <f>RTD("rtdtrading.rtdserver",, "T&amp;T1", "PRE", 10)</f>
        <v>5714.5</v>
      </c>
      <c r="K14">
        <f>RTD("rtdtrading.rtdserver",, "T&amp;T1", "QUL", 10)</f>
        <v>5</v>
      </c>
      <c r="N14">
        <f>RTD("rtdtrading.rtdserver",, "BOOK0", "VOC", 10)</f>
        <v>70</v>
      </c>
      <c r="O14">
        <f>RTD("rtdtrading.rtdserver",, "BOOK0", "OCP", 10)</f>
        <v>5708</v>
      </c>
      <c r="P14">
        <f>RTD("rtdtrading.rtdserver",, "BOOK0", "OVD", 10)</f>
        <v>5726</v>
      </c>
      <c r="Q14">
        <f>RTD("rtdtrading.rtdserver",, "BOOK0", "VOV", 10)</f>
        <v>200</v>
      </c>
      <c r="T14">
        <f>RTD("rtdtrading.rtdserver",, "BOOK1", "VOC", 10)</f>
        <v>20</v>
      </c>
      <c r="U14">
        <f>RTD("rtdtrading.rtdserver",, "BOOK1", "OCP", 10)</f>
        <v>5695</v>
      </c>
      <c r="V14">
        <f>RTD("rtdtrading.rtdserver",, "BOOK1", "OVD", 10)</f>
        <v>5727.5</v>
      </c>
      <c r="W14">
        <f>RTD("rtdtrading.rtdserver",, "BOOK1", "VOV", 10)</f>
        <v>20</v>
      </c>
    </row>
    <row r="15" spans="1:23" x14ac:dyDescent="0.25">
      <c r="B15" t="str">
        <f>RTD("rtdtrading.rtdserver",, "T&amp;T0", "DAT", 11)</f>
        <v>11:28:15</v>
      </c>
      <c r="C15" t="str">
        <f>RTD("rtdtrading.rtdserver",, "T&amp;T0", "AGR", 11)</f>
        <v>Comprador</v>
      </c>
      <c r="D15">
        <f>RTD("rtdtrading.rtdserver",, "T&amp;T0", "PRE", 11)</f>
        <v>5714</v>
      </c>
      <c r="E15">
        <f>RTD("rtdtrading.rtdserver",, "T&amp;T0", "QUL", 11)</f>
        <v>100</v>
      </c>
      <c r="H15" t="str">
        <f>RTD("rtdtrading.rtdserver",, "T&amp;T1", "DAT", 11)</f>
        <v>11:28:04</v>
      </c>
      <c r="I15" t="str">
        <f>RTD("rtdtrading.rtdserver",, "T&amp;T1", "AGR", 11)</f>
        <v>Comprador</v>
      </c>
      <c r="J15">
        <f>RTD("rtdtrading.rtdserver",, "T&amp;T1", "PRE", 11)</f>
        <v>5714.5</v>
      </c>
      <c r="K15">
        <f>RTD("rtdtrading.rtdserver",, "T&amp;T1", "QUL", 11)</f>
        <v>5</v>
      </c>
      <c r="N15">
        <f>RTD("rtdtrading.rtdserver",, "BOOK0", "VOC", 11)</f>
        <v>62</v>
      </c>
      <c r="O15">
        <f>RTD("rtdtrading.rtdserver",, "BOOK0", "OCP", 11)</f>
        <v>5707.5</v>
      </c>
      <c r="P15">
        <f>RTD("rtdtrading.rtdserver",, "BOOK0", "OVD", 11)</f>
        <v>5728.5</v>
      </c>
      <c r="Q15">
        <f>RTD("rtdtrading.rtdserver",, "BOOK0", "VOV", 11)</f>
        <v>50</v>
      </c>
      <c r="T15">
        <f>RTD("rtdtrading.rtdserver",, "BOOK1", "VOC", 11)</f>
        <v>50</v>
      </c>
      <c r="U15">
        <f>RTD("rtdtrading.rtdserver",, "BOOK1", "OCP", 11)</f>
        <v>5694</v>
      </c>
      <c r="V15">
        <f>RTD("rtdtrading.rtdserver",, "BOOK1", "OVD", 11)</f>
        <v>5727.5</v>
      </c>
      <c r="W15">
        <f>RTD("rtdtrading.rtdserver",, "BOOK1", "VOV", 11)</f>
        <v>20</v>
      </c>
    </row>
    <row r="16" spans="1:23" x14ac:dyDescent="0.25">
      <c r="B16" t="str">
        <f>RTD("rtdtrading.rtdserver",, "T&amp;T0", "DAT", 12)</f>
        <v>11:28:12</v>
      </c>
      <c r="C16" t="str">
        <f>RTD("rtdtrading.rtdserver",, "T&amp;T0", "AGR", 12)</f>
        <v>Vendedor</v>
      </c>
      <c r="D16">
        <f>RTD("rtdtrading.rtdserver",, "T&amp;T0", "PRE", 12)</f>
        <v>5713.5</v>
      </c>
      <c r="E16">
        <f>RTD("rtdtrading.rtdserver",, "T&amp;T0", "QUL", 12)</f>
        <v>54</v>
      </c>
      <c r="H16" t="str">
        <f>RTD("rtdtrading.rtdserver",, "T&amp;T1", "DAT", 12)</f>
        <v>11:27:50</v>
      </c>
      <c r="I16" t="str">
        <f>RTD("rtdtrading.rtdserver",, "T&amp;T1", "AGR", 12)</f>
        <v>Vendedor</v>
      </c>
      <c r="J16">
        <f>RTD("rtdtrading.rtdserver",, "T&amp;T1", "PRE", 12)</f>
        <v>5715</v>
      </c>
      <c r="K16">
        <f>RTD("rtdtrading.rtdserver",, "T&amp;T1", "QUL", 12)</f>
        <v>5</v>
      </c>
      <c r="N16">
        <f>RTD("rtdtrading.rtdserver",, "BOOK0", "VOC", 12)</f>
        <v>50</v>
      </c>
      <c r="O16">
        <f>RTD("rtdtrading.rtdserver",, "BOOK0", "OCP", 12)</f>
        <v>5706.5</v>
      </c>
      <c r="P16">
        <f>RTD("rtdtrading.rtdserver",, "BOOK0", "OVD", 12)</f>
        <v>5728.5</v>
      </c>
      <c r="Q16">
        <f>RTD("rtdtrading.rtdserver",, "BOOK0", "VOV", 12)</f>
        <v>50</v>
      </c>
      <c r="T16">
        <f>RTD("rtdtrading.rtdserver",, "BOOK1", "VOC", 12)</f>
        <v>10</v>
      </c>
      <c r="U16">
        <f>RTD("rtdtrading.rtdserver",, "BOOK1", "OCP", 12)</f>
        <v>5692</v>
      </c>
      <c r="V16">
        <f>RTD("rtdtrading.rtdserver",, "BOOK1", "OVD", 12)</f>
        <v>5728</v>
      </c>
      <c r="W16">
        <f>RTD("rtdtrading.rtdserver",, "BOOK1", "VOV", 12)</f>
        <v>20</v>
      </c>
    </row>
    <row r="17" spans="2:23" x14ac:dyDescent="0.25">
      <c r="B17" t="str">
        <f>RTD("rtdtrading.rtdserver",, "T&amp;T0", "DAT", 13)</f>
        <v>11:27:53</v>
      </c>
      <c r="C17" t="str">
        <f>RTD("rtdtrading.rtdserver",, "T&amp;T0", "AGR", 13)</f>
        <v>Comprador</v>
      </c>
      <c r="D17">
        <f>RTD("rtdtrading.rtdserver",, "T&amp;T0", "PRE", 13)</f>
        <v>5715</v>
      </c>
      <c r="E17">
        <f>RTD("rtdtrading.rtdserver",, "T&amp;T0", "QUL", 13)</f>
        <v>58</v>
      </c>
      <c r="H17" t="str">
        <f>RTD("rtdtrading.rtdserver",, "T&amp;T1", "DAT", 13)</f>
        <v>11:27:49</v>
      </c>
      <c r="I17" t="str">
        <f>RTD("rtdtrading.rtdserver",, "T&amp;T1", "AGR", 13)</f>
        <v>Vendedor</v>
      </c>
      <c r="J17">
        <f>RTD("rtdtrading.rtdserver",, "T&amp;T1", "PRE", 13)</f>
        <v>5715.5</v>
      </c>
      <c r="K17">
        <f>RTD("rtdtrading.rtdserver",, "T&amp;T1", "QUL", 13)</f>
        <v>5</v>
      </c>
      <c r="N17">
        <f>RTD("rtdtrading.rtdserver",, "BOOK0", "VOC", 13)</f>
        <v>75</v>
      </c>
      <c r="O17">
        <f>RTD("rtdtrading.rtdserver",, "BOOK0", "OCP", 13)</f>
        <v>5706.5</v>
      </c>
      <c r="P17">
        <f>RTD("rtdtrading.rtdserver",, "BOOK0", "OVD", 13)</f>
        <v>0</v>
      </c>
      <c r="Q17">
        <f>RTD("rtdtrading.rtdserver",, "BOOK0", "VOV", 13)</f>
        <v>0</v>
      </c>
      <c r="T17">
        <f>RTD("rtdtrading.rtdserver",, "BOOK1", "VOC", 13)</f>
        <v>0</v>
      </c>
      <c r="U17">
        <f>RTD("rtdtrading.rtdserver",, "BOOK1", "OCP", 13)</f>
        <v>0</v>
      </c>
      <c r="V17">
        <f>RTD("rtdtrading.rtdserver",, "BOOK1", "OVD", 13)</f>
        <v>5728</v>
      </c>
      <c r="W17">
        <f>RTD("rtdtrading.rtdserver",, "BOOK1", "VOV", 13)</f>
        <v>10</v>
      </c>
    </row>
    <row r="18" spans="2:23" x14ac:dyDescent="0.25">
      <c r="B18" t="str">
        <f>RTD("rtdtrading.rtdserver",, "T&amp;T0", "DAT", 14)</f>
        <v>11:27:53</v>
      </c>
      <c r="C18" t="str">
        <f>RTD("rtdtrading.rtdserver",, "T&amp;T0", "AGR", 14)</f>
        <v>Vendedor</v>
      </c>
      <c r="D18">
        <f>RTD("rtdtrading.rtdserver",, "T&amp;T0", "PRE", 14)</f>
        <v>5715</v>
      </c>
      <c r="E18">
        <f>RTD("rtdtrading.rtdserver",, "T&amp;T0", "QUL", 14)</f>
        <v>157</v>
      </c>
      <c r="H18" t="str">
        <f>RTD("rtdtrading.rtdserver",, "T&amp;T1", "DAT", 14)</f>
        <v>11:27:45</v>
      </c>
      <c r="I18" t="str">
        <f>RTD("rtdtrading.rtdserver",, "T&amp;T1", "AGR", 14)</f>
        <v>Vendedor</v>
      </c>
      <c r="J18">
        <f>RTD("rtdtrading.rtdserver",, "T&amp;T1", "PRE", 14)</f>
        <v>5715.5</v>
      </c>
      <c r="K18">
        <f>RTD("rtdtrading.rtdserver",, "T&amp;T1", "QUL", 14)</f>
        <v>5</v>
      </c>
      <c r="N18">
        <f>RTD("rtdtrading.rtdserver",, "BOOK0", "VOC", 14)</f>
        <v>0</v>
      </c>
      <c r="O18">
        <f>RTD("rtdtrading.rtdserver",, "BOOK0", "OCP", 14)</f>
        <v>0</v>
      </c>
      <c r="P18">
        <f>RTD("rtdtrading.rtdserver",, "BOOK0", "OVD", 14)</f>
        <v>0</v>
      </c>
      <c r="Q18">
        <f>RTD("rtdtrading.rtdserver",, "BOOK0", "VOV", 14)</f>
        <v>0</v>
      </c>
      <c r="T18">
        <f>RTD("rtdtrading.rtdserver",, "BOOK1", "VOC", 14)</f>
        <v>0</v>
      </c>
      <c r="U18">
        <f>RTD("rtdtrading.rtdserver",, "BOOK1", "OCP", 14)</f>
        <v>0</v>
      </c>
      <c r="V18">
        <f>RTD("rtdtrading.rtdserver",, "BOOK1", "OVD", 14)</f>
        <v>5728</v>
      </c>
      <c r="W18">
        <f>RTD("rtdtrading.rtdserver",, "BOOK1", "VOV", 14)</f>
        <v>20</v>
      </c>
    </row>
    <row r="19" spans="2:23" x14ac:dyDescent="0.25">
      <c r="B19" t="str">
        <f>RTD("rtdtrading.rtdserver",, "T&amp;T0", "DAT", 15)</f>
        <v>11:27:49</v>
      </c>
      <c r="C19" t="str">
        <f>RTD("rtdtrading.rtdserver",, "T&amp;T0", "AGR", 15)</f>
        <v>Vendedor</v>
      </c>
      <c r="D19">
        <f>RTD("rtdtrading.rtdserver",, "T&amp;T0", "PRE", 15)</f>
        <v>5715.5</v>
      </c>
      <c r="E19">
        <f>RTD("rtdtrading.rtdserver",, "T&amp;T0", "QUL", 15)</f>
        <v>138</v>
      </c>
      <c r="H19" t="str">
        <f>RTD("rtdtrading.rtdserver",, "T&amp;T1", "DAT", 15)</f>
        <v>11:27:37</v>
      </c>
      <c r="I19" t="str">
        <f>RTD("rtdtrading.rtdserver",, "T&amp;T1", "AGR", 15)</f>
        <v>Comprador</v>
      </c>
      <c r="J19">
        <f>RTD("rtdtrading.rtdserver",, "T&amp;T1", "PRE", 15)</f>
        <v>5715</v>
      </c>
      <c r="K19">
        <f>RTD("rtdtrading.rtdserver",, "T&amp;T1", "QUL", 15)</f>
        <v>5</v>
      </c>
      <c r="N19">
        <f>RTD("rtdtrading.rtdserver",, "BOOK0", "VOC", 15)</f>
        <v>0</v>
      </c>
      <c r="O19">
        <f>RTD("rtdtrading.rtdserver",, "BOOK0", "OCP", 15)</f>
        <v>0</v>
      </c>
      <c r="P19">
        <f>RTD("rtdtrading.rtdserver",, "BOOK0", "OVD", 15)</f>
        <v>0</v>
      </c>
      <c r="Q19">
        <f>RTD("rtdtrading.rtdserver",, "BOOK0", "VOV", 15)</f>
        <v>0</v>
      </c>
      <c r="T19">
        <f>RTD("rtdtrading.rtdserver",, "BOOK1", "VOC", 15)</f>
        <v>0</v>
      </c>
      <c r="U19">
        <f>RTD("rtdtrading.rtdserver",, "BOOK1", "OCP", 15)</f>
        <v>0</v>
      </c>
      <c r="V19">
        <f>RTD("rtdtrading.rtdserver",, "BOOK1", "OVD", 15)</f>
        <v>5728</v>
      </c>
      <c r="W19">
        <f>RTD("rtdtrading.rtdserver",, "BOOK1", "VOV", 15)</f>
        <v>10</v>
      </c>
    </row>
    <row r="20" spans="2:23" x14ac:dyDescent="0.25">
      <c r="B20" t="str">
        <f>RTD("rtdtrading.rtdserver",, "T&amp;T0", "DAT", 16)</f>
        <v>11:27:48</v>
      </c>
      <c r="C20" t="str">
        <f>RTD("rtdtrading.rtdserver",, "T&amp;T0", "AGR", 16)</f>
        <v>Comprador</v>
      </c>
      <c r="D20">
        <f>RTD("rtdtrading.rtdserver",, "T&amp;T0", "PRE", 16)</f>
        <v>5716</v>
      </c>
      <c r="E20">
        <f>RTD("rtdtrading.rtdserver",, "T&amp;T0", "QUL", 16)</f>
        <v>30</v>
      </c>
      <c r="H20" t="str">
        <f>RTD("rtdtrading.rtdserver",, "T&amp;T1", "DAT", 16)</f>
        <v>11:27:27</v>
      </c>
      <c r="I20" t="str">
        <f>RTD("rtdtrading.rtdserver",, "T&amp;T1", "AGR", 16)</f>
        <v>Comprador</v>
      </c>
      <c r="J20">
        <f>RTD("rtdtrading.rtdserver",, "T&amp;T1", "PRE", 16)</f>
        <v>5714</v>
      </c>
      <c r="K20">
        <f>RTD("rtdtrading.rtdserver",, "T&amp;T1", "QUL", 16)</f>
        <v>5</v>
      </c>
      <c r="N20">
        <f>RTD("rtdtrading.rtdserver",, "BOOK0", "VOC", 16)</f>
        <v>0</v>
      </c>
      <c r="O20">
        <f>RTD("rtdtrading.rtdserver",, "BOOK0", "OCP", 16)</f>
        <v>0</v>
      </c>
      <c r="P20">
        <f>RTD("rtdtrading.rtdserver",, "BOOK0", "OVD", 16)</f>
        <v>0</v>
      </c>
      <c r="Q20">
        <f>RTD("rtdtrading.rtdserver",, "BOOK0", "VOV", 16)</f>
        <v>0</v>
      </c>
      <c r="T20">
        <f>RTD("rtdtrading.rtdserver",, "BOOK1", "VOC", 16)</f>
        <v>0</v>
      </c>
      <c r="U20">
        <f>RTD("rtdtrading.rtdserver",, "BOOK1", "OCP", 16)</f>
        <v>0</v>
      </c>
      <c r="V20">
        <f>RTD("rtdtrading.rtdserver",, "BOOK1", "OVD", 16)</f>
        <v>5728</v>
      </c>
      <c r="W20">
        <f>RTD("rtdtrading.rtdserver",, "BOOK1", "VOV", 16)</f>
        <v>25</v>
      </c>
    </row>
    <row r="21" spans="2:23" x14ac:dyDescent="0.25">
      <c r="B21" t="str">
        <f>RTD("rtdtrading.rtdserver",, "T&amp;T0", "DAT", 17)</f>
        <v>11:27:45</v>
      </c>
      <c r="C21" t="str">
        <f>RTD("rtdtrading.rtdserver",, "T&amp;T0", "AGR", 17)</f>
        <v>Comprador</v>
      </c>
      <c r="D21">
        <f>RTD("rtdtrading.rtdserver",, "T&amp;T0", "PRE", 17)</f>
        <v>5715.5</v>
      </c>
      <c r="E21">
        <f>RTD("rtdtrading.rtdserver",, "T&amp;T0", "QUL", 17)</f>
        <v>98</v>
      </c>
      <c r="H21" t="str">
        <f>RTD("rtdtrading.rtdserver",, "T&amp;T1", "DAT", 17)</f>
        <v>11:27:14</v>
      </c>
      <c r="I21" t="str">
        <f>RTD("rtdtrading.rtdserver",, "T&amp;T1", "AGR", 17)</f>
        <v>Comprador</v>
      </c>
      <c r="J21">
        <f>RTD("rtdtrading.rtdserver",, "T&amp;T1", "PRE", 17)</f>
        <v>5713.5</v>
      </c>
      <c r="K21">
        <f>RTD("rtdtrading.rtdserver",, "T&amp;T1", "QUL", 17)</f>
        <v>5</v>
      </c>
      <c r="N21">
        <f>RTD("rtdtrading.rtdserver",, "BOOK0", "VOC", 17)</f>
        <v>0</v>
      </c>
      <c r="O21">
        <f>RTD("rtdtrading.rtdserver",, "BOOK0", "OCP", 17)</f>
        <v>0</v>
      </c>
      <c r="P21">
        <f>RTD("rtdtrading.rtdserver",, "BOOK0", "OVD", 17)</f>
        <v>0</v>
      </c>
      <c r="Q21">
        <f>RTD("rtdtrading.rtdserver",, "BOOK0", "VOV", 17)</f>
        <v>0</v>
      </c>
      <c r="T21">
        <f>RTD("rtdtrading.rtdserver",, "BOOK1", "VOC", 17)</f>
        <v>0</v>
      </c>
      <c r="U21">
        <f>RTD("rtdtrading.rtdserver",, "BOOK1", "OCP", 17)</f>
        <v>0</v>
      </c>
      <c r="V21">
        <f>RTD("rtdtrading.rtdserver",, "BOOK1", "OVD", 17)</f>
        <v>0</v>
      </c>
      <c r="W21">
        <f>RTD("rtdtrading.rtdserver",, "BOOK1", "VOV", 17)</f>
        <v>0</v>
      </c>
    </row>
    <row r="22" spans="2:23" x14ac:dyDescent="0.25">
      <c r="B22" t="str">
        <f>RTD("rtdtrading.rtdserver",, "T&amp;T0", "DAT", 18)</f>
        <v>11:27:37</v>
      </c>
      <c r="C22" t="str">
        <f>RTD("rtdtrading.rtdserver",, "T&amp;T0", "AGR", 18)</f>
        <v>Comprador</v>
      </c>
      <c r="D22">
        <f>RTD("rtdtrading.rtdserver",, "T&amp;T0", "PRE", 18)</f>
        <v>5715.5</v>
      </c>
      <c r="E22">
        <f>RTD("rtdtrading.rtdserver",, "T&amp;T0", "QUL", 18)</f>
        <v>34</v>
      </c>
      <c r="H22" t="str">
        <f>RTD("rtdtrading.rtdserver",, "T&amp;T1", "DAT", 18)</f>
        <v>11:27:09</v>
      </c>
      <c r="I22" t="str">
        <f>RTD("rtdtrading.rtdserver",, "T&amp;T1", "AGR", 18)</f>
        <v>Vendedor</v>
      </c>
      <c r="J22">
        <f>RTD("rtdtrading.rtdserver",, "T&amp;T1", "PRE", 18)</f>
        <v>5712.5</v>
      </c>
      <c r="K22">
        <f>RTD("rtdtrading.rtdserver",, "T&amp;T1", "QUL", 18)</f>
        <v>20</v>
      </c>
      <c r="N22">
        <f>RTD("rtdtrading.rtdserver",, "BOOK0", "VOC", 18)</f>
        <v>0</v>
      </c>
      <c r="O22">
        <f>RTD("rtdtrading.rtdserver",, "BOOK0", "OCP", 18)</f>
        <v>0</v>
      </c>
      <c r="P22">
        <f>RTD("rtdtrading.rtdserver",, "BOOK0", "OVD", 18)</f>
        <v>0</v>
      </c>
      <c r="Q22">
        <f>RTD("rtdtrading.rtdserver",, "BOOK0", "VOV", 18)</f>
        <v>0</v>
      </c>
      <c r="T22">
        <f>RTD("rtdtrading.rtdserver",, "BOOK1", "VOC", 18)</f>
        <v>0</v>
      </c>
      <c r="U22">
        <f>RTD("rtdtrading.rtdserver",, "BOOK1", "OCP", 18)</f>
        <v>0</v>
      </c>
      <c r="V22">
        <f>RTD("rtdtrading.rtdserver",, "BOOK1", "OVD", 18)</f>
        <v>0</v>
      </c>
      <c r="W22">
        <f>RTD("rtdtrading.rtdserver",, "BOOK1", "VOV", 18)</f>
        <v>0</v>
      </c>
    </row>
    <row r="23" spans="2:23" x14ac:dyDescent="0.25">
      <c r="B23" t="str">
        <f>RTD("rtdtrading.rtdserver",, "T&amp;T0", "DAT", 19)</f>
        <v>11:27:37</v>
      </c>
      <c r="C23" t="str">
        <f>RTD("rtdtrading.rtdserver",, "T&amp;T0", "AGR", 19)</f>
        <v>Comprador</v>
      </c>
      <c r="D23">
        <f>RTD("rtdtrading.rtdserver",, "T&amp;T0", "PRE", 19)</f>
        <v>5715</v>
      </c>
      <c r="E23">
        <f>RTD("rtdtrading.rtdserver",, "T&amp;T0", "QUL", 19)</f>
        <v>92</v>
      </c>
      <c r="H23" t="str">
        <f>RTD("rtdtrading.rtdserver",, "T&amp;T1", "DAT", 19)</f>
        <v>11:27:08</v>
      </c>
      <c r="I23" t="str">
        <f>RTD("rtdtrading.rtdserver",, "T&amp;T1", "AGR", 19)</f>
        <v>Vendedor</v>
      </c>
      <c r="J23">
        <f>RTD("rtdtrading.rtdserver",, "T&amp;T1", "PRE", 19)</f>
        <v>5713.5</v>
      </c>
      <c r="K23">
        <f>RTD("rtdtrading.rtdserver",, "T&amp;T1", "QUL", 19)</f>
        <v>15</v>
      </c>
      <c r="N23">
        <f>RTD("rtdtrading.rtdserver",, "BOOK0", "VOC", 19)</f>
        <v>0</v>
      </c>
      <c r="O23">
        <f>RTD("rtdtrading.rtdserver",, "BOOK0", "OCP", 19)</f>
        <v>0</v>
      </c>
      <c r="P23">
        <f>RTD("rtdtrading.rtdserver",, "BOOK0", "OVD", 19)</f>
        <v>0</v>
      </c>
      <c r="Q23">
        <f>RTD("rtdtrading.rtdserver",, "BOOK0", "VOV", 19)</f>
        <v>0</v>
      </c>
      <c r="T23">
        <f>RTD("rtdtrading.rtdserver",, "BOOK1", "VOC", 19)</f>
        <v>0</v>
      </c>
      <c r="U23">
        <f>RTD("rtdtrading.rtdserver",, "BOOK1", "OCP", 19)</f>
        <v>0</v>
      </c>
      <c r="V23">
        <f>RTD("rtdtrading.rtdserver",, "BOOK1", "OVD", 19)</f>
        <v>0</v>
      </c>
      <c r="W23">
        <f>RTD("rtdtrading.rtdserver",, "BOOK1", "VOV", 19)</f>
        <v>0</v>
      </c>
    </row>
    <row r="24" spans="2:23" x14ac:dyDescent="0.25">
      <c r="B24" t="str">
        <f>RTD("rtdtrading.rtdserver",, "T&amp;T0", "DAT", 20)</f>
        <v>11:27:36</v>
      </c>
      <c r="C24" t="str">
        <f>RTD("rtdtrading.rtdserver",, "T&amp;T0", "AGR", 20)</f>
        <v>Comprador</v>
      </c>
      <c r="D24">
        <f>RTD("rtdtrading.rtdserver",, "T&amp;T0", "PRE", 20)</f>
        <v>5715</v>
      </c>
      <c r="E24">
        <f>RTD("rtdtrading.rtdserver",, "T&amp;T0", "QUL", 20)</f>
        <v>45</v>
      </c>
      <c r="H24" t="str">
        <f>RTD("rtdtrading.rtdserver",, "T&amp;T1", "DAT", 20)</f>
        <v>11:27:05</v>
      </c>
      <c r="I24" t="str">
        <f>RTD("rtdtrading.rtdserver",, "T&amp;T1", "AGR", 20)</f>
        <v>Vendedor</v>
      </c>
      <c r="J24">
        <f>RTD("rtdtrading.rtdserver",, "T&amp;T1", "PRE", 20)</f>
        <v>5714.5</v>
      </c>
      <c r="K24">
        <f>RTD("rtdtrading.rtdserver",, "T&amp;T1", "QUL", 20)</f>
        <v>20</v>
      </c>
      <c r="N24">
        <f>RTD("rtdtrading.rtdserver",, "BOOK0", "VOC", 20)</f>
        <v>0</v>
      </c>
      <c r="O24">
        <f>RTD("rtdtrading.rtdserver",, "BOOK0", "OCP", 20)</f>
        <v>0</v>
      </c>
      <c r="P24">
        <f>RTD("rtdtrading.rtdserver",, "BOOK0", "OVD", 20)</f>
        <v>0</v>
      </c>
      <c r="Q24">
        <f>RTD("rtdtrading.rtdserver",, "BOOK0", "VOV", 20)</f>
        <v>0</v>
      </c>
      <c r="T24">
        <f>RTD("rtdtrading.rtdserver",, "BOOK1", "VOC", 20)</f>
        <v>0</v>
      </c>
      <c r="U24">
        <f>RTD("rtdtrading.rtdserver",, "BOOK1", "OCP", 20)</f>
        <v>0</v>
      </c>
      <c r="V24">
        <f>RTD("rtdtrading.rtdserver",, "BOOK1", "OVD", 20)</f>
        <v>0</v>
      </c>
      <c r="W24">
        <f>RTD("rtdtrading.rtdserver",, "BOOK1", "VOV", 20)</f>
        <v>0</v>
      </c>
    </row>
    <row r="25" spans="2:23" x14ac:dyDescent="0.25">
      <c r="B25" t="str">
        <f>RTD("rtdtrading.rtdserver",, "T&amp;T0", "DAT", 21)</f>
        <v>11:27:32</v>
      </c>
      <c r="C25" t="str">
        <f>RTD("rtdtrading.rtdserver",, "T&amp;T0", "AGR", 21)</f>
        <v>Vendedor</v>
      </c>
      <c r="D25">
        <f>RTD("rtdtrading.rtdserver",, "T&amp;T0", "PRE", 21)</f>
        <v>5714.5</v>
      </c>
      <c r="E25">
        <f>RTD("rtdtrading.rtdserver",, "T&amp;T0", "QUL", 21)</f>
        <v>45</v>
      </c>
      <c r="H25" t="str">
        <f>RTD("rtdtrading.rtdserver",, "T&amp;T1", "DAT", 21)</f>
        <v>11:27:03</v>
      </c>
      <c r="I25" t="str">
        <f>RTD("rtdtrading.rtdserver",, "T&amp;T1", "AGR", 21)</f>
        <v>Vendedor</v>
      </c>
      <c r="J25">
        <f>RTD("rtdtrading.rtdserver",, "T&amp;T1", "PRE", 21)</f>
        <v>5715</v>
      </c>
      <c r="K25">
        <f>RTD("rtdtrading.rtdserver",, "T&amp;T1", "QUL", 21)</f>
        <v>10</v>
      </c>
      <c r="N25">
        <f>RTD("rtdtrading.rtdserver",, "BOOK0", "VOC", 21)</f>
        <v>0</v>
      </c>
      <c r="O25">
        <f>RTD("rtdtrading.rtdserver",, "BOOK0", "OCP", 21)</f>
        <v>0</v>
      </c>
      <c r="P25">
        <f>RTD("rtdtrading.rtdserver",, "BOOK0", "OVD", 21)</f>
        <v>0</v>
      </c>
      <c r="Q25">
        <f>RTD("rtdtrading.rtdserver",, "BOOK0", "VOV", 21)</f>
        <v>0</v>
      </c>
      <c r="T25">
        <f>RTD("rtdtrading.rtdserver",, "BOOK1", "VOC", 21)</f>
        <v>0</v>
      </c>
      <c r="U25">
        <f>RTD("rtdtrading.rtdserver",, "BOOK1", "OCP", 21)</f>
        <v>0</v>
      </c>
      <c r="V25">
        <f>RTD("rtdtrading.rtdserver",, "BOOK1", "OVD", 21)</f>
        <v>0</v>
      </c>
      <c r="W25">
        <f>RTD("rtdtrading.rtdserver",, "BOOK1", "VOV", 21)</f>
        <v>0</v>
      </c>
    </row>
    <row r="26" spans="2:23" x14ac:dyDescent="0.25">
      <c r="B26" t="str">
        <f>RTD("rtdtrading.rtdserver",, "T&amp;T0", "DAT", 22)</f>
        <v>11:27:29</v>
      </c>
      <c r="C26" t="str">
        <f>RTD("rtdtrading.rtdserver",, "T&amp;T0", "AGR", 22)</f>
        <v>Comprador</v>
      </c>
      <c r="D26">
        <f>RTD("rtdtrading.rtdserver",, "T&amp;T0", "PRE", 22)</f>
        <v>5714.5</v>
      </c>
      <c r="E26">
        <f>RTD("rtdtrading.rtdserver",, "T&amp;T0", "QUL", 22)</f>
        <v>86</v>
      </c>
      <c r="H26" t="str">
        <f>RTD("rtdtrading.rtdserver",, "T&amp;T1", "DAT", 22)</f>
        <v>11:27:03</v>
      </c>
      <c r="I26" t="str">
        <f>RTD("rtdtrading.rtdserver",, "T&amp;T1", "AGR", 22)</f>
        <v>Comprador</v>
      </c>
      <c r="J26">
        <f>RTD("rtdtrading.rtdserver",, "T&amp;T1", "PRE", 22)</f>
        <v>5715.5</v>
      </c>
      <c r="K26">
        <f>RTD("rtdtrading.rtdserver",, "T&amp;T1", "QUL", 22)</f>
        <v>15</v>
      </c>
      <c r="N26">
        <f>RTD("rtdtrading.rtdserver",, "BOOK0", "VOC", 22)</f>
        <v>0</v>
      </c>
      <c r="O26">
        <f>RTD("rtdtrading.rtdserver",, "BOOK0", "OCP", 22)</f>
        <v>0</v>
      </c>
      <c r="P26">
        <f>RTD("rtdtrading.rtdserver",, "BOOK0", "OVD", 22)</f>
        <v>0</v>
      </c>
      <c r="Q26">
        <f>RTD("rtdtrading.rtdserver",, "BOOK0", "VOV", 22)</f>
        <v>0</v>
      </c>
      <c r="T26">
        <f>RTD("rtdtrading.rtdserver",, "BOOK1", "VOC", 22)</f>
        <v>0</v>
      </c>
      <c r="U26">
        <f>RTD("rtdtrading.rtdserver",, "BOOK1", "OCP", 22)</f>
        <v>0</v>
      </c>
      <c r="V26">
        <f>RTD("rtdtrading.rtdserver",, "BOOK1", "OVD", 22)</f>
        <v>0</v>
      </c>
      <c r="W26">
        <f>RTD("rtdtrading.rtdserver",, "BOOK1", "VOV", 22)</f>
        <v>0</v>
      </c>
    </row>
    <row r="27" spans="2:23" x14ac:dyDescent="0.25">
      <c r="B27" t="str">
        <f>RTD("rtdtrading.rtdserver",, "T&amp;T0", "DAT", 23)</f>
        <v>11:27:28</v>
      </c>
      <c r="C27" t="str">
        <f>RTD("rtdtrading.rtdserver",, "T&amp;T0", "AGR", 23)</f>
        <v>Comprador</v>
      </c>
      <c r="D27">
        <f>RTD("rtdtrading.rtdserver",, "T&amp;T0", "PRE", 23)</f>
        <v>5714</v>
      </c>
      <c r="E27">
        <f>RTD("rtdtrading.rtdserver",, "T&amp;T0", "QUL", 23)</f>
        <v>49</v>
      </c>
      <c r="H27" t="str">
        <f>RTD("rtdtrading.rtdserver",, "T&amp;T1", "DAT", 23)</f>
        <v>11:27:03</v>
      </c>
      <c r="I27" t="str">
        <f>RTD("rtdtrading.rtdserver",, "T&amp;T1", "AGR", 23)</f>
        <v>Comprador</v>
      </c>
      <c r="J27">
        <f>RTD("rtdtrading.rtdserver",, "T&amp;T1", "PRE", 23)</f>
        <v>5715</v>
      </c>
      <c r="K27">
        <f>RTD("rtdtrading.rtdserver",, "T&amp;T1", "QUL", 23)</f>
        <v>25</v>
      </c>
      <c r="N27">
        <f>RTD("rtdtrading.rtdserver",, "BOOK0", "VOC", 23)</f>
        <v>0</v>
      </c>
      <c r="O27">
        <f>RTD("rtdtrading.rtdserver",, "BOOK0", "OCP", 23)</f>
        <v>0</v>
      </c>
      <c r="P27">
        <f>RTD("rtdtrading.rtdserver",, "BOOK0", "OVD", 23)</f>
        <v>0</v>
      </c>
      <c r="Q27">
        <f>RTD("rtdtrading.rtdserver",, "BOOK0", "VOV", 23)</f>
        <v>0</v>
      </c>
      <c r="T27">
        <f>RTD("rtdtrading.rtdserver",, "BOOK1", "VOC", 23)</f>
        <v>0</v>
      </c>
      <c r="U27">
        <f>RTD("rtdtrading.rtdserver",, "BOOK1", "OCP", 23)</f>
        <v>0</v>
      </c>
      <c r="V27">
        <f>RTD("rtdtrading.rtdserver",, "BOOK1", "OVD", 23)</f>
        <v>0</v>
      </c>
      <c r="W27">
        <f>RTD("rtdtrading.rtdserver",, "BOOK1", "VOV", 23)</f>
        <v>0</v>
      </c>
    </row>
    <row r="28" spans="2:23" x14ac:dyDescent="0.25">
      <c r="B28" t="str">
        <f>RTD("rtdtrading.rtdserver",, "T&amp;T0", "DAT", 24)</f>
        <v>11:27:27</v>
      </c>
      <c r="C28" t="str">
        <f>RTD("rtdtrading.rtdserver",, "T&amp;T0", "AGR", 24)</f>
        <v>Comprador</v>
      </c>
      <c r="D28">
        <f>RTD("rtdtrading.rtdserver",, "T&amp;T0", "PRE", 24)</f>
        <v>5714.5</v>
      </c>
      <c r="E28">
        <f>RTD("rtdtrading.rtdserver",, "T&amp;T0", "QUL", 24)</f>
        <v>71</v>
      </c>
      <c r="H28" t="str">
        <f>RTD("rtdtrading.rtdserver",, "T&amp;T1", "DAT", 24)</f>
        <v>11:26:40</v>
      </c>
      <c r="I28" t="str">
        <f>RTD("rtdtrading.rtdserver",, "T&amp;T1", "AGR", 24)</f>
        <v>Vendedor</v>
      </c>
      <c r="J28">
        <f>RTD("rtdtrading.rtdserver",, "T&amp;T1", "PRE", 24)</f>
        <v>5713.5</v>
      </c>
      <c r="K28">
        <f>RTD("rtdtrading.rtdserver",, "T&amp;T1", "QUL", 24)</f>
        <v>5</v>
      </c>
      <c r="N28">
        <f>RTD("rtdtrading.rtdserver",, "BOOK0", "VOC", 24)</f>
        <v>0</v>
      </c>
      <c r="O28">
        <f>RTD("rtdtrading.rtdserver",, "BOOK0", "OCP", 24)</f>
        <v>0</v>
      </c>
      <c r="P28">
        <f>RTD("rtdtrading.rtdserver",, "BOOK0", "OVD", 24)</f>
        <v>0</v>
      </c>
      <c r="Q28">
        <f>RTD("rtdtrading.rtdserver",, "BOOK0", "VOV", 24)</f>
        <v>0</v>
      </c>
      <c r="T28">
        <f>RTD("rtdtrading.rtdserver",, "BOOK1", "VOC", 24)</f>
        <v>0</v>
      </c>
      <c r="U28">
        <f>RTD("rtdtrading.rtdserver",, "BOOK1", "OCP", 24)</f>
        <v>0</v>
      </c>
      <c r="V28">
        <f>RTD("rtdtrading.rtdserver",, "BOOK1", "OVD", 24)</f>
        <v>0</v>
      </c>
      <c r="W28">
        <f>RTD("rtdtrading.rtdserver",, "BOOK1", "VOV", 24)</f>
        <v>0</v>
      </c>
    </row>
    <row r="29" spans="2:23" x14ac:dyDescent="0.25">
      <c r="B29" t="str">
        <f>RTD("rtdtrading.rtdserver",, "T&amp;T0", "DAT", 25)</f>
        <v>11:27:27</v>
      </c>
      <c r="C29" t="str">
        <f>RTD("rtdtrading.rtdserver",, "T&amp;T0", "AGR", 25)</f>
        <v>Comprador</v>
      </c>
      <c r="D29">
        <f>RTD("rtdtrading.rtdserver",, "T&amp;T0", "PRE", 25)</f>
        <v>5714</v>
      </c>
      <c r="E29">
        <f>RTD("rtdtrading.rtdserver",, "T&amp;T0", "QUL", 25)</f>
        <v>123</v>
      </c>
      <c r="H29" t="str">
        <f>RTD("rtdtrading.rtdserver",, "T&amp;T1", "DAT", 25)</f>
        <v>11:26:35</v>
      </c>
      <c r="I29" t="str">
        <f>RTD("rtdtrading.rtdserver",, "T&amp;T1", "AGR", 25)</f>
        <v>Vendedor</v>
      </c>
      <c r="J29">
        <f>RTD("rtdtrading.rtdserver",, "T&amp;T1", "PRE", 25)</f>
        <v>5713.5</v>
      </c>
      <c r="K29">
        <f>RTD("rtdtrading.rtdserver",, "T&amp;T1", "QUL", 25)</f>
        <v>5</v>
      </c>
      <c r="N29">
        <f>RTD("rtdtrading.rtdserver",, "BOOK0", "VOC", 25)</f>
        <v>0</v>
      </c>
      <c r="O29">
        <f>RTD("rtdtrading.rtdserver",, "BOOK0", "OCP", 25)</f>
        <v>0</v>
      </c>
      <c r="P29">
        <f>RTD("rtdtrading.rtdserver",, "BOOK0", "OVD", 25)</f>
        <v>0</v>
      </c>
      <c r="Q29">
        <f>RTD("rtdtrading.rtdserver",, "BOOK0", "VOV", 25)</f>
        <v>0</v>
      </c>
      <c r="T29">
        <f>RTD("rtdtrading.rtdserver",, "BOOK1", "VOC", 25)</f>
        <v>0</v>
      </c>
      <c r="U29">
        <f>RTD("rtdtrading.rtdserver",, "BOOK1", "OCP", 25)</f>
        <v>0</v>
      </c>
      <c r="V29">
        <f>RTD("rtdtrading.rtdserver",, "BOOK1", "OVD", 25)</f>
        <v>0</v>
      </c>
      <c r="W29">
        <f>RTD("rtdtrading.rtdserver",, "BOOK1", "VOV", 25)</f>
        <v>0</v>
      </c>
    </row>
    <row r="30" spans="2:23" x14ac:dyDescent="0.25">
      <c r="B30" t="str">
        <f>RTD("rtdtrading.rtdserver",, "T&amp;T0", "DAT", 26)</f>
        <v>11:27:27</v>
      </c>
      <c r="C30" t="str">
        <f>RTD("rtdtrading.rtdserver",, "T&amp;T0", "AGR", 26)</f>
        <v>Comprador</v>
      </c>
      <c r="D30">
        <f>RTD("rtdtrading.rtdserver",, "T&amp;T0", "PRE", 26)</f>
        <v>5713.5</v>
      </c>
      <c r="E30">
        <f>RTD("rtdtrading.rtdserver",, "T&amp;T0", "QUL", 26)</f>
        <v>54</v>
      </c>
      <c r="H30" t="str">
        <f>RTD("rtdtrading.rtdserver",, "T&amp;T1", "DAT", 26)</f>
        <v>11:26:23</v>
      </c>
      <c r="I30" t="str">
        <f>RTD("rtdtrading.rtdserver",, "T&amp;T1", "AGR", 26)</f>
        <v>Vendedor</v>
      </c>
      <c r="J30">
        <f>RTD("rtdtrading.rtdserver",, "T&amp;T1", "PRE", 26)</f>
        <v>5714</v>
      </c>
      <c r="K30">
        <f>RTD("rtdtrading.rtdserver",, "T&amp;T1", "QUL", 26)</f>
        <v>5</v>
      </c>
      <c r="N30">
        <f>RTD("rtdtrading.rtdserver",, "BOOK0", "VOC", 26)</f>
        <v>0</v>
      </c>
      <c r="O30">
        <f>RTD("rtdtrading.rtdserver",, "BOOK0", "OCP", 26)</f>
        <v>0</v>
      </c>
      <c r="P30">
        <f>RTD("rtdtrading.rtdserver",, "BOOK0", "OVD", 26)</f>
        <v>0</v>
      </c>
      <c r="Q30">
        <f>RTD("rtdtrading.rtdserver",, "BOOK0", "VOV", 26)</f>
        <v>0</v>
      </c>
      <c r="T30">
        <f>RTD("rtdtrading.rtdserver",, "BOOK1", "VOC", 26)</f>
        <v>10</v>
      </c>
      <c r="U30">
        <f>RTD("rtdtrading.rtdserver",, "BOOK1", "OCP", 26)</f>
        <v>5682.5</v>
      </c>
      <c r="V30">
        <f>RTD("rtdtrading.rtdserver",, "BOOK1", "OVD", 26)</f>
        <v>0</v>
      </c>
      <c r="W30">
        <f>RTD("rtdtrading.rtdserver",, "BOOK1", "VOV", 26)</f>
        <v>0</v>
      </c>
    </row>
    <row r="31" spans="2:23" x14ac:dyDescent="0.25">
      <c r="B31" t="str">
        <f>RTD("rtdtrading.rtdserver",, "T&amp;T0", "DAT", 27)</f>
        <v>11:27:25</v>
      </c>
      <c r="C31" t="str">
        <f>RTD("rtdtrading.rtdserver",, "T&amp;T0", "AGR", 27)</f>
        <v>Vendedor</v>
      </c>
      <c r="D31">
        <f>RTD("rtdtrading.rtdserver",, "T&amp;T0", "PRE", 27)</f>
        <v>5712.5</v>
      </c>
      <c r="E31">
        <f>RTD("rtdtrading.rtdserver",, "T&amp;T0", "QUL", 27)</f>
        <v>109</v>
      </c>
      <c r="H31" t="str">
        <f>RTD("rtdtrading.rtdserver",, "T&amp;T1", "DAT", 27)</f>
        <v>11:26:19</v>
      </c>
      <c r="I31" t="str">
        <f>RTD("rtdtrading.rtdserver",, "T&amp;T1", "AGR", 27)</f>
        <v>Vendedor</v>
      </c>
      <c r="J31">
        <f>RTD("rtdtrading.rtdserver",, "T&amp;T1", "PRE", 27)</f>
        <v>5714</v>
      </c>
      <c r="K31">
        <f>RTD("rtdtrading.rtdserver",, "T&amp;T1", "QUL", 27)</f>
        <v>20</v>
      </c>
      <c r="N31">
        <f>RTD("rtdtrading.rtdserver",, "BOOK0", "VOC", 27)</f>
        <v>0</v>
      </c>
      <c r="O31">
        <f>RTD("rtdtrading.rtdserver",, "BOOK0", "OCP", 27)</f>
        <v>0</v>
      </c>
      <c r="P31">
        <f>RTD("rtdtrading.rtdserver",, "BOOK0", "OVD", 27)</f>
        <v>0</v>
      </c>
      <c r="Q31">
        <f>RTD("rtdtrading.rtdserver",, "BOOK0", "VOV", 27)</f>
        <v>0</v>
      </c>
      <c r="T31">
        <f>RTD("rtdtrading.rtdserver",, "BOOK1", "VOC", 27)</f>
        <v>0</v>
      </c>
      <c r="U31">
        <f>RTD("rtdtrading.rtdserver",, "BOOK1", "OCP", 27)</f>
        <v>0</v>
      </c>
      <c r="V31">
        <f>RTD("rtdtrading.rtdserver",, "BOOK1", "OVD", 27)</f>
        <v>0</v>
      </c>
      <c r="W31">
        <f>RTD("rtdtrading.rtdserver",, "BOOK1", "VOV", 27)</f>
        <v>0</v>
      </c>
    </row>
    <row r="32" spans="2:23" x14ac:dyDescent="0.25">
      <c r="B32" t="str">
        <f>RTD("rtdtrading.rtdserver",, "T&amp;T0", "DAT", 28)</f>
        <v>11:27:21</v>
      </c>
      <c r="C32" t="str">
        <f>RTD("rtdtrading.rtdserver",, "T&amp;T0", "AGR", 28)</f>
        <v>Vendedor</v>
      </c>
      <c r="D32">
        <f>RTD("rtdtrading.rtdserver",, "T&amp;T0", "PRE", 28)</f>
        <v>5713</v>
      </c>
      <c r="E32">
        <f>RTD("rtdtrading.rtdserver",, "T&amp;T0", "QUL", 28)</f>
        <v>59</v>
      </c>
      <c r="H32" t="str">
        <f>RTD("rtdtrading.rtdserver",, "T&amp;T1", "DAT", 28)</f>
        <v>11:26:18</v>
      </c>
      <c r="I32" t="str">
        <f>RTD("rtdtrading.rtdserver",, "T&amp;T1", "AGR", 28)</f>
        <v>Comprador</v>
      </c>
      <c r="J32">
        <f>RTD("rtdtrading.rtdserver",, "T&amp;T1", "PRE", 28)</f>
        <v>5715</v>
      </c>
      <c r="K32">
        <f>RTD("rtdtrading.rtdserver",, "T&amp;T1", "QUL", 28)</f>
        <v>5</v>
      </c>
      <c r="N32">
        <f>RTD("rtdtrading.rtdserver",, "BOOK0", "VOC", 28)</f>
        <v>0</v>
      </c>
      <c r="O32">
        <f>RTD("rtdtrading.rtdserver",, "BOOK0", "OCP", 28)</f>
        <v>0</v>
      </c>
      <c r="P32">
        <f>RTD("rtdtrading.rtdserver",, "BOOK0", "OVD", 28)</f>
        <v>0</v>
      </c>
      <c r="Q32">
        <f>RTD("rtdtrading.rtdserver",, "BOOK0", "VOV", 28)</f>
        <v>0</v>
      </c>
      <c r="T32">
        <f>RTD("rtdtrading.rtdserver",, "BOOK1", "VOC", 28)</f>
        <v>0</v>
      </c>
      <c r="U32">
        <f>RTD("rtdtrading.rtdserver",, "BOOK1", "OCP", 28)</f>
        <v>0</v>
      </c>
      <c r="V32">
        <f>RTD("rtdtrading.rtdserver",, "BOOK1", "OVD", 28)</f>
        <v>0</v>
      </c>
      <c r="W32">
        <f>RTD("rtdtrading.rtdserver",, "BOOK1", "VOV", 28)</f>
        <v>0</v>
      </c>
    </row>
    <row r="33" spans="2:23" x14ac:dyDescent="0.25">
      <c r="B33" t="str">
        <f>RTD("rtdtrading.rtdserver",, "T&amp;T0", "DAT", 29)</f>
        <v>11:27:16</v>
      </c>
      <c r="C33" t="str">
        <f>RTD("rtdtrading.rtdserver",, "T&amp;T0", "AGR", 29)</f>
        <v>Vendedor</v>
      </c>
      <c r="D33">
        <f>RTD("rtdtrading.rtdserver",, "T&amp;T0", "PRE", 29)</f>
        <v>5712.5</v>
      </c>
      <c r="E33">
        <f>RTD("rtdtrading.rtdserver",, "T&amp;T0", "QUL", 29)</f>
        <v>59</v>
      </c>
      <c r="H33" t="str">
        <f>RTD("rtdtrading.rtdserver",, "T&amp;T1", "DAT", 29)</f>
        <v>11:26:17</v>
      </c>
      <c r="I33" t="str">
        <f>RTD("rtdtrading.rtdserver",, "T&amp;T1", "AGR", 29)</f>
        <v>Vendedor</v>
      </c>
      <c r="J33">
        <f>RTD("rtdtrading.rtdserver",, "T&amp;T1", "PRE", 29)</f>
        <v>5715</v>
      </c>
      <c r="K33">
        <f>RTD("rtdtrading.rtdserver",, "T&amp;T1", "QUL", 29)</f>
        <v>5</v>
      </c>
      <c r="N33">
        <f>RTD("rtdtrading.rtdserver",, "BOOK0", "VOC", 29)</f>
        <v>50</v>
      </c>
      <c r="O33">
        <f>RTD("rtdtrading.rtdserver",, "BOOK0", "OCP", 29)</f>
        <v>5669</v>
      </c>
      <c r="P33">
        <f>RTD("rtdtrading.rtdserver",, "BOOK0", "OVD", 29)</f>
        <v>0</v>
      </c>
      <c r="Q33">
        <f>RTD("rtdtrading.rtdserver",, "BOOK0", "VOV", 29)</f>
        <v>0</v>
      </c>
      <c r="T33">
        <f>RTD("rtdtrading.rtdserver",, "BOOK1", "VOC", 29)</f>
        <v>0</v>
      </c>
      <c r="U33">
        <f>RTD("rtdtrading.rtdserver",, "BOOK1", "OCP", 29)</f>
        <v>0</v>
      </c>
      <c r="V33">
        <f>RTD("rtdtrading.rtdserver",, "BOOK1", "OVD", 29)</f>
        <v>0</v>
      </c>
      <c r="W33">
        <f>RTD("rtdtrading.rtdserver",, "BOOK1", "VOV", 29)</f>
        <v>0</v>
      </c>
    </row>
    <row r="34" spans="2:23" x14ac:dyDescent="0.25">
      <c r="B34" t="str">
        <f>RTD("rtdtrading.rtdserver",, "T&amp;T0", "DAT", 30)</f>
        <v>11:27:15</v>
      </c>
      <c r="C34" t="str">
        <f>RTD("rtdtrading.rtdserver",, "T&amp;T0", "AGR", 30)</f>
        <v>Vendedor</v>
      </c>
      <c r="D34">
        <f>RTD("rtdtrading.rtdserver",, "T&amp;T0", "PRE", 30)</f>
        <v>5712.5</v>
      </c>
      <c r="E34">
        <f>RTD("rtdtrading.rtdserver",, "T&amp;T0", "QUL", 30)</f>
        <v>100</v>
      </c>
      <c r="H34" t="str">
        <f>RTD("rtdtrading.rtdserver",, "T&amp;T1", "DAT", 30)</f>
        <v>11:26:17</v>
      </c>
      <c r="I34" t="str">
        <f>RTD("rtdtrading.rtdserver",, "T&amp;T1", "AGR", 30)</f>
        <v>Vendedor</v>
      </c>
      <c r="J34">
        <f>RTD("rtdtrading.rtdserver",, "T&amp;T1", "PRE", 30)</f>
        <v>5715</v>
      </c>
      <c r="K34">
        <f>RTD("rtdtrading.rtdserver",, "T&amp;T1", "QUL", 30)</f>
        <v>25</v>
      </c>
      <c r="N34">
        <f>RTD("rtdtrading.rtdserver",, "BOOK0", "VOC", 30)</f>
        <v>300</v>
      </c>
      <c r="O34">
        <f>RTD("rtdtrading.rtdserver",, "BOOK0", "OCP", 30)</f>
        <v>5677</v>
      </c>
      <c r="P34">
        <f>RTD("rtdtrading.rtdserver",, "BOOK0", "OVD", 30)</f>
        <v>0</v>
      </c>
      <c r="Q34">
        <f>RTD("rtdtrading.rtdserver",, "BOOK0", "VOV", 30)</f>
        <v>0</v>
      </c>
      <c r="T34">
        <f>RTD("rtdtrading.rtdserver",, "BOOK1", "VOC", 30)</f>
        <v>0</v>
      </c>
      <c r="U34">
        <f>RTD("rtdtrading.rtdserver",, "BOOK1", "OCP", 30)</f>
        <v>0</v>
      </c>
      <c r="V34">
        <f>RTD("rtdtrading.rtdserver",, "BOOK1", "OVD", 30)</f>
        <v>0</v>
      </c>
      <c r="W34">
        <f>RTD("rtdtrading.rtdserver",, "BOOK1", "VOV", 30)</f>
        <v>0</v>
      </c>
    </row>
    <row r="35" spans="2:23" x14ac:dyDescent="0.25">
      <c r="B35" t="str">
        <f>RTD("rtdtrading.rtdserver",, "T&amp;T0", "DAT", 31)</f>
        <v>11:27:13</v>
      </c>
      <c r="C35" t="str">
        <f>RTD("rtdtrading.rtdserver",, "T&amp;T0", "AGR", 31)</f>
        <v>Vendedor</v>
      </c>
      <c r="D35">
        <f>RTD("rtdtrading.rtdserver",, "T&amp;T0", "PRE", 31)</f>
        <v>5712.5</v>
      </c>
      <c r="E35">
        <f>RTD("rtdtrading.rtdserver",, "T&amp;T0", "QUL", 31)</f>
        <v>50</v>
      </c>
      <c r="H35" t="str">
        <f>RTD("rtdtrading.rtdserver",, "T&amp;T1", "DAT", 31)</f>
        <v>11:26:17</v>
      </c>
      <c r="I35" t="str">
        <f>RTD("rtdtrading.rtdserver",, "T&amp;T1", "AGR", 31)</f>
        <v>Comprador</v>
      </c>
      <c r="J35">
        <f>RTD("rtdtrading.rtdserver",, "T&amp;T1", "PRE", 31)</f>
        <v>5716</v>
      </c>
      <c r="K35">
        <f>RTD("rtdtrading.rtdserver",, "T&amp;T1", "QUL", 31)</f>
        <v>100</v>
      </c>
      <c r="N35">
        <f>RTD("rtdtrading.rtdserver",, "BOOK0", "VOC", 31)</f>
        <v>0</v>
      </c>
      <c r="O35">
        <f>RTD("rtdtrading.rtdserver",, "BOOK0", "OCP", 31)</f>
        <v>0</v>
      </c>
      <c r="P35">
        <f>RTD("rtdtrading.rtdserver",, "BOOK0", "OVD", 31)</f>
        <v>0</v>
      </c>
      <c r="Q35">
        <f>RTD("rtdtrading.rtdserver",, "BOOK0", "VOV", 31)</f>
        <v>0</v>
      </c>
      <c r="T35">
        <f>RTD("rtdtrading.rtdserver",, "BOOK1", "VOC", 31)</f>
        <v>0</v>
      </c>
      <c r="U35">
        <f>RTD("rtdtrading.rtdserver",, "BOOK1", "OCP", 31)</f>
        <v>0</v>
      </c>
      <c r="V35">
        <f>RTD("rtdtrading.rtdserver",, "BOOK1", "OVD", 31)</f>
        <v>0</v>
      </c>
      <c r="W35">
        <f>RTD("rtdtrading.rtdserver",, "BOOK1", "VOV", 31)</f>
        <v>0</v>
      </c>
    </row>
    <row r="36" spans="2:23" x14ac:dyDescent="0.25">
      <c r="B36" t="str">
        <f>RTD("rtdtrading.rtdserver",, "T&amp;T0", "DAT", 32)</f>
        <v>11:27:08</v>
      </c>
      <c r="C36" t="str">
        <f>RTD("rtdtrading.rtdserver",, "T&amp;T0", "AGR", 32)</f>
        <v>Comprador</v>
      </c>
      <c r="D36">
        <f>RTD("rtdtrading.rtdserver",, "T&amp;T0", "PRE", 32)</f>
        <v>5713.5</v>
      </c>
      <c r="E36">
        <f>RTD("rtdtrading.rtdserver",, "T&amp;T0", "QUL", 32)</f>
        <v>140</v>
      </c>
      <c r="H36" t="str">
        <f>RTD("rtdtrading.rtdserver",, "T&amp;T1", "DAT", 32)</f>
        <v>11:25:43</v>
      </c>
      <c r="I36" t="str">
        <f>RTD("rtdtrading.rtdserver",, "T&amp;T1", "AGR", 32)</f>
        <v>Vendedor</v>
      </c>
      <c r="J36">
        <f>RTD("rtdtrading.rtdserver",, "T&amp;T1", "PRE", 32)</f>
        <v>5714.5</v>
      </c>
      <c r="K36">
        <f>RTD("rtdtrading.rtdserver",, "T&amp;T1", "QUL", 32)</f>
        <v>10</v>
      </c>
      <c r="N36">
        <f>RTD("rtdtrading.rtdserver",, "BOOK0", "VOC", 32)</f>
        <v>0</v>
      </c>
      <c r="O36">
        <f>RTD("rtdtrading.rtdserver",, "BOOK0", "OCP", 32)</f>
        <v>0</v>
      </c>
      <c r="P36">
        <f>RTD("rtdtrading.rtdserver",, "BOOK0", "OVD", 32)</f>
        <v>0</v>
      </c>
      <c r="Q36">
        <f>RTD("rtdtrading.rtdserver",, "BOOK0", "VOV", 32)</f>
        <v>0</v>
      </c>
      <c r="T36">
        <f>RTD("rtdtrading.rtdserver",, "BOOK1", "VOC", 32)</f>
        <v>0</v>
      </c>
      <c r="U36">
        <f>RTD("rtdtrading.rtdserver",, "BOOK1", "OCP", 32)</f>
        <v>0</v>
      </c>
      <c r="V36">
        <f>RTD("rtdtrading.rtdserver",, "BOOK1", "OVD", 32)</f>
        <v>0</v>
      </c>
      <c r="W36">
        <f>RTD("rtdtrading.rtdserver",, "BOOK1", "VOV", 32)</f>
        <v>0</v>
      </c>
    </row>
    <row r="37" spans="2:23" x14ac:dyDescent="0.25">
      <c r="B37" t="str">
        <f>RTD("rtdtrading.rtdserver",, "T&amp;T0", "DAT", 33)</f>
        <v>11:27:08</v>
      </c>
      <c r="C37" t="str">
        <f>RTD("rtdtrading.rtdserver",, "T&amp;T0", "AGR", 33)</f>
        <v>Vendedor</v>
      </c>
      <c r="D37">
        <f>RTD("rtdtrading.rtdserver",, "T&amp;T0", "PRE", 33)</f>
        <v>5713</v>
      </c>
      <c r="E37">
        <f>RTD("rtdtrading.rtdserver",, "T&amp;T0", "QUL", 33)</f>
        <v>253</v>
      </c>
      <c r="H37" t="str">
        <f>RTD("rtdtrading.rtdserver",, "T&amp;T1", "DAT", 33)</f>
        <v>11:25:43</v>
      </c>
      <c r="I37" t="str">
        <f>RTD("rtdtrading.rtdserver",, "T&amp;T1", "AGR", 33)</f>
        <v>Comprador</v>
      </c>
      <c r="J37">
        <f>RTD("rtdtrading.rtdserver",, "T&amp;T1", "PRE", 33)</f>
        <v>5714.5</v>
      </c>
      <c r="K37">
        <f>RTD("rtdtrading.rtdserver",, "T&amp;T1", "QUL", 33)</f>
        <v>85</v>
      </c>
      <c r="N37">
        <f>RTD("rtdtrading.rtdserver",, "BOOK0", "VOC", 33)</f>
        <v>0</v>
      </c>
      <c r="O37">
        <f>RTD("rtdtrading.rtdserver",, "BOOK0", "OCP", 33)</f>
        <v>0</v>
      </c>
      <c r="P37">
        <f>RTD("rtdtrading.rtdserver",, "BOOK0", "OVD", 33)</f>
        <v>0</v>
      </c>
      <c r="Q37">
        <f>RTD("rtdtrading.rtdserver",, "BOOK0", "VOV", 33)</f>
        <v>0</v>
      </c>
      <c r="T37">
        <f>RTD("rtdtrading.rtdserver",, "BOOK1", "VOC", 33)</f>
        <v>0</v>
      </c>
      <c r="U37">
        <f>RTD("rtdtrading.rtdserver",, "BOOK1", "OCP", 33)</f>
        <v>0</v>
      </c>
      <c r="V37">
        <f>RTD("rtdtrading.rtdserver",, "BOOK1", "OVD", 33)</f>
        <v>0</v>
      </c>
      <c r="W37">
        <f>RTD("rtdtrading.rtdserver",, "BOOK1", "VOV", 33)</f>
        <v>0</v>
      </c>
    </row>
    <row r="38" spans="2:23" x14ac:dyDescent="0.25">
      <c r="B38" t="str">
        <f>RTD("rtdtrading.rtdserver",, "T&amp;T0", "DAT", 34)</f>
        <v>11:27:08</v>
      </c>
      <c r="C38" t="str">
        <f>RTD("rtdtrading.rtdserver",, "T&amp;T0", "AGR", 34)</f>
        <v>Comprador</v>
      </c>
      <c r="D38">
        <f>RTD("rtdtrading.rtdserver",, "T&amp;T0", "PRE", 34)</f>
        <v>5713.5</v>
      </c>
      <c r="E38">
        <f>RTD("rtdtrading.rtdserver",, "T&amp;T0", "QUL", 34)</f>
        <v>87</v>
      </c>
      <c r="H38" t="str">
        <f>RTD("rtdtrading.rtdserver",, "T&amp;T1", "DAT", 34)</f>
        <v>11:25:43</v>
      </c>
      <c r="I38" t="str">
        <f>RTD("rtdtrading.rtdserver",, "T&amp;T1", "AGR", 34)</f>
        <v>Comprador</v>
      </c>
      <c r="J38">
        <f>RTD("rtdtrading.rtdserver",, "T&amp;T1", "PRE", 34)</f>
        <v>5714</v>
      </c>
      <c r="K38">
        <f>RTD("rtdtrading.rtdserver",, "T&amp;T1", "QUL", 34)</f>
        <v>15</v>
      </c>
      <c r="N38">
        <f>RTD("rtdtrading.rtdserver",, "BOOK0", "VOC", 34)</f>
        <v>0</v>
      </c>
      <c r="O38">
        <f>RTD("rtdtrading.rtdserver",, "BOOK0", "OCP", 34)</f>
        <v>0</v>
      </c>
      <c r="P38">
        <f>RTD("rtdtrading.rtdserver",, "BOOK0", "OVD", 34)</f>
        <v>0</v>
      </c>
      <c r="Q38">
        <f>RTD("rtdtrading.rtdserver",, "BOOK0", "VOV", 34)</f>
        <v>0</v>
      </c>
      <c r="T38">
        <f>RTD("rtdtrading.rtdserver",, "BOOK1", "VOC", 34)</f>
        <v>0</v>
      </c>
      <c r="U38">
        <f>RTD("rtdtrading.rtdserver",, "BOOK1", "OCP", 34)</f>
        <v>0</v>
      </c>
      <c r="V38">
        <f>RTD("rtdtrading.rtdserver",, "BOOK1", "OVD", 34)</f>
        <v>0</v>
      </c>
      <c r="W38">
        <f>RTD("rtdtrading.rtdserver",, "BOOK1", "VOV", 34)</f>
        <v>0</v>
      </c>
    </row>
    <row r="39" spans="2:23" x14ac:dyDescent="0.25">
      <c r="B39" t="str">
        <f>RTD("rtdtrading.rtdserver",, "T&amp;T0", "DAT", 35)</f>
        <v>11:27:08</v>
      </c>
      <c r="C39" t="str">
        <f>RTD("rtdtrading.rtdserver",, "T&amp;T0", "AGR", 35)</f>
        <v>Vendedor</v>
      </c>
      <c r="D39">
        <f>RTD("rtdtrading.rtdserver",, "T&amp;T0", "PRE", 35)</f>
        <v>5713.5</v>
      </c>
      <c r="E39">
        <f>RTD("rtdtrading.rtdserver",, "T&amp;T0", "QUL", 35)</f>
        <v>356</v>
      </c>
      <c r="H39" t="str">
        <f>RTD("rtdtrading.rtdserver",, "T&amp;T1", "DAT", 35)</f>
        <v>11:25:38</v>
      </c>
      <c r="I39" t="str">
        <f>RTD("rtdtrading.rtdserver",, "T&amp;T1", "AGR", 35)</f>
        <v>Vendedor</v>
      </c>
      <c r="J39">
        <f>RTD("rtdtrading.rtdserver",, "T&amp;T1", "PRE", 35)</f>
        <v>5714</v>
      </c>
      <c r="K39">
        <f>RTD("rtdtrading.rtdserver",, "T&amp;T1", "QUL", 35)</f>
        <v>5</v>
      </c>
      <c r="N39">
        <f>RTD("rtdtrading.rtdserver",, "BOOK0", "VOC", 35)</f>
        <v>0</v>
      </c>
      <c r="O39">
        <f>RTD("rtdtrading.rtdserver",, "BOOK0", "OCP", 35)</f>
        <v>0</v>
      </c>
      <c r="P39">
        <f>RTD("rtdtrading.rtdserver",, "BOOK0", "OVD", 35)</f>
        <v>0</v>
      </c>
      <c r="Q39">
        <f>RTD("rtdtrading.rtdserver",, "BOOK0", "VOV", 35)</f>
        <v>0</v>
      </c>
      <c r="T39">
        <f>RTD("rtdtrading.rtdserver",, "BOOK1", "VOC", 35)</f>
        <v>0</v>
      </c>
      <c r="U39">
        <f>RTD("rtdtrading.rtdserver",, "BOOK1", "OCP", 35)</f>
        <v>0</v>
      </c>
      <c r="V39">
        <f>RTD("rtdtrading.rtdserver",, "BOOK1", "OVD", 35)</f>
        <v>0</v>
      </c>
      <c r="W39">
        <f>RTD("rtdtrading.rtdserver",, "BOOK1", "VOV", 35)</f>
        <v>0</v>
      </c>
    </row>
    <row r="40" spans="2:23" x14ac:dyDescent="0.25">
      <c r="B40" t="str">
        <f>RTD("rtdtrading.rtdserver",, "T&amp;T0", "DAT", 36)</f>
        <v>11:27:06</v>
      </c>
      <c r="C40" t="str">
        <f>RTD("rtdtrading.rtdserver",, "T&amp;T0", "AGR", 36)</f>
        <v>Vendedor</v>
      </c>
      <c r="D40">
        <f>RTD("rtdtrading.rtdserver",, "T&amp;T0", "PRE", 36)</f>
        <v>5714</v>
      </c>
      <c r="E40">
        <f>RTD("rtdtrading.rtdserver",, "T&amp;T0", "QUL", 36)</f>
        <v>79</v>
      </c>
      <c r="H40" t="str">
        <f>RTD("rtdtrading.rtdserver",, "T&amp;T1", "DAT", 36)</f>
        <v>11:25:38</v>
      </c>
      <c r="I40" t="str">
        <f>RTD("rtdtrading.rtdserver",, "T&amp;T1", "AGR", 36)</f>
        <v>Vendedor</v>
      </c>
      <c r="J40">
        <f>RTD("rtdtrading.rtdserver",, "T&amp;T1", "PRE", 36)</f>
        <v>5713</v>
      </c>
      <c r="K40">
        <f>RTD("rtdtrading.rtdserver",, "T&amp;T1", "QUL", 36)</f>
        <v>5</v>
      </c>
      <c r="N40">
        <f>RTD("rtdtrading.rtdserver",, "BOOK0", "VOC", 36)</f>
        <v>0</v>
      </c>
      <c r="O40">
        <f>RTD("rtdtrading.rtdserver",, "BOOK0", "OCP", 36)</f>
        <v>0</v>
      </c>
      <c r="P40">
        <f>RTD("rtdtrading.rtdserver",, "BOOK0", "OVD", 36)</f>
        <v>0</v>
      </c>
      <c r="Q40">
        <f>RTD("rtdtrading.rtdserver",, "BOOK0", "VOV", 36)</f>
        <v>0</v>
      </c>
      <c r="T40">
        <f>RTD("rtdtrading.rtdserver",, "BOOK1", "VOC", 36)</f>
        <v>0</v>
      </c>
      <c r="U40">
        <f>RTD("rtdtrading.rtdserver",, "BOOK1", "OCP", 36)</f>
        <v>0</v>
      </c>
      <c r="V40">
        <f>RTD("rtdtrading.rtdserver",, "BOOK1", "OVD", 36)</f>
        <v>0</v>
      </c>
      <c r="W40">
        <f>RTD("rtdtrading.rtdserver",, "BOOK1", "VOV", 36)</f>
        <v>0</v>
      </c>
    </row>
    <row r="41" spans="2:23" x14ac:dyDescent="0.25">
      <c r="B41" t="str">
        <f>RTD("rtdtrading.rtdserver",, "T&amp;T0", "DAT", 37)</f>
        <v>11:27:05</v>
      </c>
      <c r="C41" t="str">
        <f>RTD("rtdtrading.rtdserver",, "T&amp;T0", "AGR", 37)</f>
        <v>Comprador</v>
      </c>
      <c r="D41">
        <f>RTD("rtdtrading.rtdserver",, "T&amp;T0", "PRE", 37)</f>
        <v>5714.5</v>
      </c>
      <c r="E41">
        <f>RTD("rtdtrading.rtdserver",, "T&amp;T0", "QUL", 37)</f>
        <v>35</v>
      </c>
      <c r="H41" t="str">
        <f>RTD("rtdtrading.rtdserver",, "T&amp;T1", "DAT", 37)</f>
        <v>11:25:38</v>
      </c>
      <c r="I41" t="str">
        <f>RTD("rtdtrading.rtdserver",, "T&amp;T1", "AGR", 37)</f>
        <v>Comprador</v>
      </c>
      <c r="J41">
        <f>RTD("rtdtrading.rtdserver",, "T&amp;T1", "PRE", 37)</f>
        <v>5714</v>
      </c>
      <c r="K41">
        <f>RTD("rtdtrading.rtdserver",, "T&amp;T1", "QUL", 37)</f>
        <v>5</v>
      </c>
      <c r="N41">
        <f>RTD("rtdtrading.rtdserver",, "BOOK0", "VOC", 37)</f>
        <v>0</v>
      </c>
      <c r="O41">
        <f>RTD("rtdtrading.rtdserver",, "BOOK0", "OCP", 37)</f>
        <v>0</v>
      </c>
      <c r="P41">
        <f>RTD("rtdtrading.rtdserver",, "BOOK0", "OVD", 37)</f>
        <v>0</v>
      </c>
      <c r="Q41">
        <f>RTD("rtdtrading.rtdserver",, "BOOK0", "VOV", 37)</f>
        <v>0</v>
      </c>
      <c r="T41">
        <f>RTD("rtdtrading.rtdserver",, "BOOK1", "VOC", 37)</f>
        <v>0</v>
      </c>
      <c r="U41">
        <f>RTD("rtdtrading.rtdserver",, "BOOK1", "OCP", 37)</f>
        <v>0</v>
      </c>
      <c r="V41">
        <f>RTD("rtdtrading.rtdserver",, "BOOK1", "OVD", 37)</f>
        <v>0</v>
      </c>
      <c r="W41">
        <f>RTD("rtdtrading.rtdserver",, "BOOK1", "VOV", 37)</f>
        <v>0</v>
      </c>
    </row>
    <row r="42" spans="2:23" x14ac:dyDescent="0.25">
      <c r="B42" t="str">
        <f>RTD("rtdtrading.rtdserver",, "T&amp;T0", "DAT", 38)</f>
        <v>11:27:05</v>
      </c>
      <c r="C42" t="str">
        <f>RTD("rtdtrading.rtdserver",, "T&amp;T0", "AGR", 38)</f>
        <v>Vendedor</v>
      </c>
      <c r="D42">
        <f>RTD("rtdtrading.rtdserver",, "T&amp;T0", "PRE", 38)</f>
        <v>5715</v>
      </c>
      <c r="E42">
        <f>RTD("rtdtrading.rtdserver",, "T&amp;T0", "QUL", 38)</f>
        <v>209</v>
      </c>
      <c r="H42" t="str">
        <f>RTD("rtdtrading.rtdserver",, "T&amp;T1", "DAT", 38)</f>
        <v>11:25:37</v>
      </c>
      <c r="I42" t="str">
        <f>RTD("rtdtrading.rtdserver",, "T&amp;T1", "AGR", 38)</f>
        <v>Vendedor</v>
      </c>
      <c r="J42">
        <f>RTD("rtdtrading.rtdserver",, "T&amp;T1", "PRE", 38)</f>
        <v>5713</v>
      </c>
      <c r="K42">
        <f>RTD("rtdtrading.rtdserver",, "T&amp;T1", "QUL", 38)</f>
        <v>25</v>
      </c>
      <c r="N42">
        <f>RTD("rtdtrading.rtdserver",, "BOOK0", "VOC", 38)</f>
        <v>0</v>
      </c>
      <c r="O42">
        <f>RTD("rtdtrading.rtdserver",, "BOOK0", "OCP", 38)</f>
        <v>0</v>
      </c>
      <c r="P42">
        <f>RTD("rtdtrading.rtdserver",, "BOOK0", "OVD", 38)</f>
        <v>0</v>
      </c>
      <c r="Q42">
        <f>RTD("rtdtrading.rtdserver",, "BOOK0", "VOV", 38)</f>
        <v>0</v>
      </c>
      <c r="T42">
        <f>RTD("rtdtrading.rtdserver",, "BOOK1", "VOC", 38)</f>
        <v>0</v>
      </c>
      <c r="U42">
        <f>RTD("rtdtrading.rtdserver",, "BOOK1", "OCP", 38)</f>
        <v>0</v>
      </c>
      <c r="V42">
        <f>RTD("rtdtrading.rtdserver",, "BOOK1", "OVD", 38)</f>
        <v>0</v>
      </c>
      <c r="W42">
        <f>RTD("rtdtrading.rtdserver",, "BOOK1", "VOV", 38)</f>
        <v>0</v>
      </c>
    </row>
    <row r="43" spans="2:23" x14ac:dyDescent="0.25">
      <c r="B43" t="str">
        <f>RTD("rtdtrading.rtdserver",, "T&amp;T0", "DAT", 39)</f>
        <v>11:27:03</v>
      </c>
      <c r="C43" t="str">
        <f>RTD("rtdtrading.rtdserver",, "T&amp;T0", "AGR", 39)</f>
        <v>Comprador</v>
      </c>
      <c r="D43">
        <f>RTD("rtdtrading.rtdserver",, "T&amp;T0", "PRE", 39)</f>
        <v>5715.5</v>
      </c>
      <c r="E43">
        <f>RTD("rtdtrading.rtdserver",, "T&amp;T0", "QUL", 39)</f>
        <v>85</v>
      </c>
      <c r="H43" t="str">
        <f>RTD("rtdtrading.rtdserver",, "T&amp;T1", "DAT", 39)</f>
        <v>11:25:35</v>
      </c>
      <c r="I43" t="str">
        <f>RTD("rtdtrading.rtdserver",, "T&amp;T1", "AGR", 39)</f>
        <v>Vendedor</v>
      </c>
      <c r="J43">
        <f>RTD("rtdtrading.rtdserver",, "T&amp;T1", "PRE", 39)</f>
        <v>5713</v>
      </c>
      <c r="K43">
        <f>RTD("rtdtrading.rtdserver",, "T&amp;T1", "QUL", 39)</f>
        <v>5</v>
      </c>
      <c r="N43">
        <f>RTD("rtdtrading.rtdserver",, "BOOK0", "VOC", 39)</f>
        <v>0</v>
      </c>
      <c r="O43">
        <f>RTD("rtdtrading.rtdserver",, "BOOK0", "OCP", 39)</f>
        <v>0</v>
      </c>
      <c r="P43">
        <f>RTD("rtdtrading.rtdserver",, "BOOK0", "OVD", 39)</f>
        <v>0</v>
      </c>
      <c r="Q43">
        <f>RTD("rtdtrading.rtdserver",, "BOOK0", "VOV", 39)</f>
        <v>0</v>
      </c>
      <c r="T43">
        <f>RTD("rtdtrading.rtdserver",, "BOOK1", "VOC", 39)</f>
        <v>0</v>
      </c>
      <c r="U43">
        <f>RTD("rtdtrading.rtdserver",, "BOOK1", "OCP", 39)</f>
        <v>0</v>
      </c>
      <c r="V43">
        <f>RTD("rtdtrading.rtdserver",, "BOOK1", "OVD", 39)</f>
        <v>0</v>
      </c>
      <c r="W43">
        <f>RTD("rtdtrading.rtdserver",, "BOOK1", "VOV", 39)</f>
        <v>0</v>
      </c>
    </row>
    <row r="44" spans="2:23" x14ac:dyDescent="0.25">
      <c r="B44" t="str">
        <f>RTD("rtdtrading.rtdserver",, "T&amp;T0", "DAT", 40)</f>
        <v>11:27:03</v>
      </c>
      <c r="C44" t="str">
        <f>RTD("rtdtrading.rtdserver",, "T&amp;T0", "AGR", 40)</f>
        <v>Comprador</v>
      </c>
      <c r="D44">
        <f>RTD("rtdtrading.rtdserver",, "T&amp;T0", "PRE", 40)</f>
        <v>5715.5</v>
      </c>
      <c r="E44">
        <f>RTD("rtdtrading.rtdserver",, "T&amp;T0", "QUL", 40)</f>
        <v>171</v>
      </c>
      <c r="H44" t="str">
        <f>RTD("rtdtrading.rtdserver",, "T&amp;T1", "DAT", 40)</f>
        <v>11:25:34</v>
      </c>
      <c r="I44" t="str">
        <f>RTD("rtdtrading.rtdserver",, "T&amp;T1", "AGR", 40)</f>
        <v>Vendedor</v>
      </c>
      <c r="J44">
        <f>RTD("rtdtrading.rtdserver",, "T&amp;T1", "PRE", 40)</f>
        <v>5713.5</v>
      </c>
      <c r="K44">
        <f>RTD("rtdtrading.rtdserver",, "T&amp;T1", "QUL", 40)</f>
        <v>15</v>
      </c>
      <c r="N44">
        <f>RTD("rtdtrading.rtdserver",, "BOOK0", "VOC", 40)</f>
        <v>0</v>
      </c>
      <c r="O44">
        <f>RTD("rtdtrading.rtdserver",, "BOOK0", "OCP", 40)</f>
        <v>0</v>
      </c>
      <c r="P44">
        <f>RTD("rtdtrading.rtdserver",, "BOOK0", "OVD", 40)</f>
        <v>0</v>
      </c>
      <c r="Q44">
        <f>RTD("rtdtrading.rtdserver",, "BOOK0", "VOV", 40)</f>
        <v>0</v>
      </c>
      <c r="T44">
        <f>RTD("rtdtrading.rtdserver",, "BOOK1", "VOC", 40)</f>
        <v>0</v>
      </c>
      <c r="U44">
        <f>RTD("rtdtrading.rtdserver",, "BOOK1", "OCP", 40)</f>
        <v>0</v>
      </c>
      <c r="V44">
        <f>RTD("rtdtrading.rtdserver",, "BOOK1", "OVD", 40)</f>
        <v>0</v>
      </c>
      <c r="W44">
        <f>RTD("rtdtrading.rtdserver",, "BOOK1", "VOV", 40)</f>
        <v>0</v>
      </c>
    </row>
    <row r="45" spans="2:23" x14ac:dyDescent="0.25">
      <c r="B45" t="str">
        <f>RTD("rtdtrading.rtdserver",, "T&amp;T0", "DAT", 41)</f>
        <v>11:27:03</v>
      </c>
      <c r="C45" t="str">
        <f>RTD("rtdtrading.rtdserver",, "T&amp;T0", "AGR", 41)</f>
        <v>Comprador</v>
      </c>
      <c r="D45">
        <f>RTD("rtdtrading.rtdserver",, "T&amp;T0", "PRE", 41)</f>
        <v>5715.5</v>
      </c>
      <c r="E45">
        <f>RTD("rtdtrading.rtdserver",, "T&amp;T0", "QUL", 41)</f>
        <v>253</v>
      </c>
      <c r="H45" t="str">
        <f>RTD("rtdtrading.rtdserver",, "T&amp;T1", "DAT", 41)</f>
        <v>11:25:33</v>
      </c>
      <c r="I45" t="str">
        <f>RTD("rtdtrading.rtdserver",, "T&amp;T1", "AGR", 41)</f>
        <v>Vendedor</v>
      </c>
      <c r="J45">
        <f>RTD("rtdtrading.rtdserver",, "T&amp;T1", "PRE", 41)</f>
        <v>5714</v>
      </c>
      <c r="K45">
        <f>RTD("rtdtrading.rtdserver",, "T&amp;T1", "QUL", 41)</f>
        <v>15</v>
      </c>
      <c r="N45">
        <f>RTD("rtdtrading.rtdserver",, "BOOK0", "VOC", 41)</f>
        <v>0</v>
      </c>
      <c r="O45">
        <f>RTD("rtdtrading.rtdserver",, "BOOK0", "OCP", 41)</f>
        <v>0</v>
      </c>
      <c r="P45">
        <f>RTD("rtdtrading.rtdserver",, "BOOK0", "OVD", 41)</f>
        <v>0</v>
      </c>
      <c r="Q45">
        <f>RTD("rtdtrading.rtdserver",, "BOOK0", "VOV", 41)</f>
        <v>0</v>
      </c>
      <c r="T45">
        <f>RTD("rtdtrading.rtdserver",, "BOOK1", "VOC", 41)</f>
        <v>100</v>
      </c>
      <c r="U45">
        <f>RTD("rtdtrading.rtdserver",, "BOOK1", "OCP", 41)</f>
        <v>5625</v>
      </c>
      <c r="V45">
        <f>RTD("rtdtrading.rtdserver",, "BOOK1", "OVD", 41)</f>
        <v>0</v>
      </c>
      <c r="W45">
        <f>RTD("rtdtrading.rtdserver",, "BOOK1", "VOV", 41)</f>
        <v>0</v>
      </c>
    </row>
    <row r="46" spans="2:23" x14ac:dyDescent="0.25">
      <c r="B46" t="str">
        <f>RTD("rtdtrading.rtdserver",, "T&amp;T0", "DAT", 42)</f>
        <v>11:27:03</v>
      </c>
      <c r="C46" t="str">
        <f>RTD("rtdtrading.rtdserver",, "T&amp;T0", "AGR", 42)</f>
        <v>Comprador</v>
      </c>
      <c r="D46">
        <f>RTD("rtdtrading.rtdserver",, "T&amp;T0", "PRE", 42)</f>
        <v>5715</v>
      </c>
      <c r="E46">
        <f>RTD("rtdtrading.rtdserver",, "T&amp;T0", "QUL", 42)</f>
        <v>262</v>
      </c>
      <c r="H46" t="str">
        <f>RTD("rtdtrading.rtdserver",, "T&amp;T1", "DAT", 42)</f>
        <v>11:25:30</v>
      </c>
      <c r="I46" t="str">
        <f>RTD("rtdtrading.rtdserver",, "T&amp;T1", "AGR", 42)</f>
        <v>Vendedor</v>
      </c>
      <c r="J46">
        <f>RTD("rtdtrading.rtdserver",, "T&amp;T1", "PRE", 42)</f>
        <v>5714.5</v>
      </c>
      <c r="K46">
        <f>RTD("rtdtrading.rtdserver",, "T&amp;T1", "QUL", 42)</f>
        <v>10</v>
      </c>
      <c r="N46">
        <f>RTD("rtdtrading.rtdserver",, "BOOK0", "VOC", 42)</f>
        <v>0</v>
      </c>
      <c r="O46">
        <f>RTD("rtdtrading.rtdserver",, "BOOK0", "OCP", 42)</f>
        <v>0</v>
      </c>
      <c r="P46">
        <f>RTD("rtdtrading.rtdserver",, "BOOK0", "OVD", 42)</f>
        <v>0</v>
      </c>
      <c r="Q46">
        <f>RTD("rtdtrading.rtdserver",, "BOOK0", "VOV", 42)</f>
        <v>0</v>
      </c>
      <c r="T46">
        <f>RTD("rtdtrading.rtdserver",, "BOOK1", "VOC", 42)</f>
        <v>0</v>
      </c>
      <c r="U46">
        <f>RTD("rtdtrading.rtdserver",, "BOOK1", "OCP", 42)</f>
        <v>0</v>
      </c>
      <c r="V46">
        <f>RTD("rtdtrading.rtdserver",, "BOOK1", "OVD", 42)</f>
        <v>0</v>
      </c>
      <c r="W46">
        <f>RTD("rtdtrading.rtdserver",, "BOOK1", "VOV", 42)</f>
        <v>0</v>
      </c>
    </row>
    <row r="47" spans="2:23" x14ac:dyDescent="0.25">
      <c r="B47" t="str">
        <f>RTD("rtdtrading.rtdserver",, "T&amp;T0", "DAT", 43)</f>
        <v>11:26:44</v>
      </c>
      <c r="C47" t="str">
        <f>RTD("rtdtrading.rtdserver",, "T&amp;T0", "AGR", 43)</f>
        <v>Comprador</v>
      </c>
      <c r="D47">
        <f>RTD("rtdtrading.rtdserver",, "T&amp;T0", "PRE", 43)</f>
        <v>5714</v>
      </c>
      <c r="E47">
        <f>RTD("rtdtrading.rtdserver",, "T&amp;T0", "QUL", 43)</f>
        <v>35</v>
      </c>
      <c r="H47" t="str">
        <f>RTD("rtdtrading.rtdserver",, "T&amp;T1", "DAT", 43)</f>
        <v>11:25:25</v>
      </c>
      <c r="I47" t="str">
        <f>RTD("rtdtrading.rtdserver",, "T&amp;T1", "AGR", 43)</f>
        <v>Vendedor</v>
      </c>
      <c r="J47">
        <f>RTD("rtdtrading.rtdserver",, "T&amp;T1", "PRE", 43)</f>
        <v>5714.5</v>
      </c>
      <c r="K47">
        <f>RTD("rtdtrading.rtdserver",, "T&amp;T1", "QUL", 43)</f>
        <v>5</v>
      </c>
      <c r="N47">
        <f>RTD("rtdtrading.rtdserver",, "BOOK0", "VOC", 43)</f>
        <v>0</v>
      </c>
      <c r="O47">
        <f>RTD("rtdtrading.rtdserver",, "BOOK0", "OCP", 43)</f>
        <v>0</v>
      </c>
      <c r="P47">
        <f>RTD("rtdtrading.rtdserver",, "BOOK0", "OVD", 43)</f>
        <v>0</v>
      </c>
      <c r="Q47">
        <f>RTD("rtdtrading.rtdserver",, "BOOK0", "VOV", 43)</f>
        <v>0</v>
      </c>
      <c r="T47">
        <f>RTD("rtdtrading.rtdserver",, "BOOK1", "VOC", 43)</f>
        <v>0</v>
      </c>
      <c r="U47">
        <f>RTD("rtdtrading.rtdserver",, "BOOK1", "OCP", 43)</f>
        <v>0</v>
      </c>
      <c r="V47">
        <f>RTD("rtdtrading.rtdserver",, "BOOK1", "OVD", 43)</f>
        <v>0</v>
      </c>
      <c r="W47">
        <f>RTD("rtdtrading.rtdserver",, "BOOK1", "VOV", 43)</f>
        <v>0</v>
      </c>
    </row>
    <row r="48" spans="2:23" x14ac:dyDescent="0.25">
      <c r="B48" t="str">
        <f>RTD("rtdtrading.rtdserver",, "T&amp;T0", "DAT", 44)</f>
        <v>11:26:23</v>
      </c>
      <c r="C48" t="str">
        <f>RTD("rtdtrading.rtdserver",, "T&amp;T0", "AGR", 44)</f>
        <v>Vendedor</v>
      </c>
      <c r="D48">
        <f>RTD("rtdtrading.rtdserver",, "T&amp;T0", "PRE", 44)</f>
        <v>5714</v>
      </c>
      <c r="E48">
        <f>RTD("rtdtrading.rtdserver",, "T&amp;T0", "QUL", 44)</f>
        <v>88</v>
      </c>
      <c r="H48" t="str">
        <f>RTD("rtdtrading.rtdserver",, "T&amp;T1", "DAT", 44)</f>
        <v>11:25:21</v>
      </c>
      <c r="I48" t="str">
        <f>RTD("rtdtrading.rtdserver",, "T&amp;T1", "AGR", 44)</f>
        <v>Vendedor</v>
      </c>
      <c r="J48">
        <f>RTD("rtdtrading.rtdserver",, "T&amp;T1", "PRE", 44)</f>
        <v>5715</v>
      </c>
      <c r="K48">
        <f>RTD("rtdtrading.rtdserver",, "T&amp;T1", "QUL", 44)</f>
        <v>20</v>
      </c>
      <c r="N48">
        <f>RTD("rtdtrading.rtdserver",, "BOOK0", "VOC", 44)</f>
        <v>0</v>
      </c>
      <c r="O48">
        <f>RTD("rtdtrading.rtdserver",, "BOOK0", "OCP", 44)</f>
        <v>0</v>
      </c>
      <c r="P48">
        <f>RTD("rtdtrading.rtdserver",, "BOOK0", "OVD", 44)</f>
        <v>0</v>
      </c>
      <c r="Q48">
        <f>RTD("rtdtrading.rtdserver",, "BOOK0", "VOV", 44)</f>
        <v>0</v>
      </c>
      <c r="T48">
        <f>RTD("rtdtrading.rtdserver",, "BOOK1", "VOC", 44)</f>
        <v>0</v>
      </c>
      <c r="U48">
        <f>RTD("rtdtrading.rtdserver",, "BOOK1", "OCP", 44)</f>
        <v>0</v>
      </c>
      <c r="V48">
        <f>RTD("rtdtrading.rtdserver",, "BOOK1", "OVD", 44)</f>
        <v>0</v>
      </c>
      <c r="W48">
        <f>RTD("rtdtrading.rtdserver",, "BOOK1", "VOV", 44)</f>
        <v>0</v>
      </c>
    </row>
    <row r="49" spans="2:23" x14ac:dyDescent="0.25">
      <c r="B49" t="str">
        <f>RTD("rtdtrading.rtdserver",, "T&amp;T0", "DAT", 45)</f>
        <v>11:26:19</v>
      </c>
      <c r="C49" t="str">
        <f>RTD("rtdtrading.rtdserver",, "T&amp;T0", "AGR", 45)</f>
        <v>Vendedor</v>
      </c>
      <c r="D49">
        <f>RTD("rtdtrading.rtdserver",, "T&amp;T0", "PRE", 45)</f>
        <v>5714.5</v>
      </c>
      <c r="E49">
        <f>RTD("rtdtrading.rtdserver",, "T&amp;T0", "QUL", 45)</f>
        <v>53</v>
      </c>
      <c r="H49" t="str">
        <f>RTD("rtdtrading.rtdserver",, "T&amp;T1", "DAT", 45)</f>
        <v>11:25:21</v>
      </c>
      <c r="I49" t="str">
        <f>RTD("rtdtrading.rtdserver",, "T&amp;T1", "AGR", 45)</f>
        <v>Comprador</v>
      </c>
      <c r="J49">
        <f>RTD("rtdtrading.rtdserver",, "T&amp;T1", "PRE", 45)</f>
        <v>5715.5</v>
      </c>
      <c r="K49">
        <f>RTD("rtdtrading.rtdserver",, "T&amp;T1", "QUL", 45)</f>
        <v>5</v>
      </c>
      <c r="N49">
        <f>RTD("rtdtrading.rtdserver",, "BOOK0", "VOC", 45)</f>
        <v>0</v>
      </c>
      <c r="O49">
        <f>RTD("rtdtrading.rtdserver",, "BOOK0", "OCP", 45)</f>
        <v>0</v>
      </c>
      <c r="P49">
        <f>RTD("rtdtrading.rtdserver",, "BOOK0", "OVD", 45)</f>
        <v>0</v>
      </c>
      <c r="Q49">
        <f>RTD("rtdtrading.rtdserver",, "BOOK0", "VOV", 45)</f>
        <v>0</v>
      </c>
      <c r="T49">
        <f>RTD("rtdtrading.rtdserver",, "BOOK1", "VOC", 45)</f>
        <v>0</v>
      </c>
      <c r="U49">
        <f>RTD("rtdtrading.rtdserver",, "BOOK1", "OCP", 45)</f>
        <v>0</v>
      </c>
      <c r="V49">
        <f>RTD("rtdtrading.rtdserver",, "BOOK1", "OVD", 45)</f>
        <v>0</v>
      </c>
      <c r="W49">
        <f>RTD("rtdtrading.rtdserver",, "BOOK1", "VOV", 45)</f>
        <v>0</v>
      </c>
    </row>
    <row r="50" spans="2:23" x14ac:dyDescent="0.25">
      <c r="B50" t="str">
        <f>RTD("rtdtrading.rtdserver",, "T&amp;T0", "DAT", 46)</f>
        <v>11:26:17</v>
      </c>
      <c r="C50" t="str">
        <f>RTD("rtdtrading.rtdserver",, "T&amp;T0", "AGR", 46)</f>
        <v>Vendedor</v>
      </c>
      <c r="D50">
        <f>RTD("rtdtrading.rtdserver",, "T&amp;T0", "PRE", 46)</f>
        <v>5715</v>
      </c>
      <c r="E50">
        <f>RTD("rtdtrading.rtdserver",, "T&amp;T0", "QUL", 46)</f>
        <v>120</v>
      </c>
      <c r="H50" t="str">
        <f>RTD("rtdtrading.rtdserver",, "T&amp;T1", "DAT", 46)</f>
        <v>11:25:21</v>
      </c>
      <c r="I50" t="str">
        <f>RTD("rtdtrading.rtdserver",, "T&amp;T1", "AGR", 46)</f>
        <v>Vendedor</v>
      </c>
      <c r="J50">
        <f>RTD("rtdtrading.rtdserver",, "T&amp;T1", "PRE", 46)</f>
        <v>5715.5</v>
      </c>
      <c r="K50">
        <f>RTD("rtdtrading.rtdserver",, "T&amp;T1", "QUL", 46)</f>
        <v>5</v>
      </c>
      <c r="N50">
        <f>RTD("rtdtrading.rtdserver",, "BOOK0", "VOC", 46)</f>
        <v>0</v>
      </c>
      <c r="O50">
        <f>RTD("rtdtrading.rtdserver",, "BOOK0", "OCP", 46)</f>
        <v>0</v>
      </c>
      <c r="P50">
        <f>RTD("rtdtrading.rtdserver",, "BOOK0", "OVD", 46)</f>
        <v>0</v>
      </c>
      <c r="Q50">
        <f>RTD("rtdtrading.rtdserver",, "BOOK0", "VOV", 46)</f>
        <v>0</v>
      </c>
      <c r="T50">
        <f>RTD("rtdtrading.rtdserver",, "BOOK1", "VOC", 46)</f>
        <v>0</v>
      </c>
      <c r="U50">
        <f>RTD("rtdtrading.rtdserver",, "BOOK1", "OCP", 46)</f>
        <v>0</v>
      </c>
      <c r="V50">
        <f>RTD("rtdtrading.rtdserver",, "BOOK1", "OVD", 46)</f>
        <v>0</v>
      </c>
      <c r="W50">
        <f>RTD("rtdtrading.rtdserver",, "BOOK1", "VOV", 46)</f>
        <v>0</v>
      </c>
    </row>
    <row r="51" spans="2:23" x14ac:dyDescent="0.25">
      <c r="B51" t="str">
        <f>RTD("rtdtrading.rtdserver",, "T&amp;T0", "DAT", 47)</f>
        <v>11:26:17</v>
      </c>
      <c r="C51" t="str">
        <f>RTD("rtdtrading.rtdserver",, "T&amp;T0", "AGR", 47)</f>
        <v>Comprador</v>
      </c>
      <c r="D51">
        <f>RTD("rtdtrading.rtdserver",, "T&amp;T0", "PRE", 47)</f>
        <v>5715.5</v>
      </c>
      <c r="E51">
        <f>RTD("rtdtrading.rtdserver",, "T&amp;T0", "QUL", 47)</f>
        <v>74</v>
      </c>
      <c r="H51" t="str">
        <f>RTD("rtdtrading.rtdserver",, "T&amp;T1", "DAT", 47)</f>
        <v>11:25:14</v>
      </c>
      <c r="I51" t="str">
        <f>RTD("rtdtrading.rtdserver",, "T&amp;T1", "AGR", 47)</f>
        <v>Comprador</v>
      </c>
      <c r="J51">
        <f>RTD("rtdtrading.rtdserver",, "T&amp;T1", "PRE", 47)</f>
        <v>5715.5</v>
      </c>
      <c r="K51">
        <f>RTD("rtdtrading.rtdserver",, "T&amp;T1", "QUL", 47)</f>
        <v>10</v>
      </c>
      <c r="N51">
        <f>RTD("rtdtrading.rtdserver",, "BOOK0", "VOC", 47)</f>
        <v>0</v>
      </c>
      <c r="O51">
        <f>RTD("rtdtrading.rtdserver",, "BOOK0", "OCP", 47)</f>
        <v>0</v>
      </c>
      <c r="P51">
        <f>RTD("rtdtrading.rtdserver",, "BOOK0", "OVD", 47)</f>
        <v>0</v>
      </c>
      <c r="Q51">
        <f>RTD("rtdtrading.rtdserver",, "BOOK0", "VOV", 47)</f>
        <v>0</v>
      </c>
      <c r="T51">
        <f>RTD("rtdtrading.rtdserver",, "BOOK1", "VOC", 47)</f>
        <v>0</v>
      </c>
      <c r="U51">
        <f>RTD("rtdtrading.rtdserver",, "BOOK1", "OCP", 47)</f>
        <v>0</v>
      </c>
      <c r="V51">
        <f>RTD("rtdtrading.rtdserver",, "BOOK1", "OVD", 47)</f>
        <v>0</v>
      </c>
      <c r="W51">
        <f>RTD("rtdtrading.rtdserver",, "BOOK1", "VOV", 47)</f>
        <v>0</v>
      </c>
    </row>
    <row r="52" spans="2:23" x14ac:dyDescent="0.25">
      <c r="B52" t="str">
        <f>RTD("rtdtrading.rtdserver",, "T&amp;T0", "DAT", 48)</f>
        <v>11:26:17</v>
      </c>
      <c r="C52" t="str">
        <f>RTD("rtdtrading.rtdserver",, "T&amp;T0", "AGR", 48)</f>
        <v>Comprador</v>
      </c>
      <c r="D52">
        <f>RTD("rtdtrading.rtdserver",, "T&amp;T0", "PRE", 48)</f>
        <v>5715.5</v>
      </c>
      <c r="E52">
        <f>RTD("rtdtrading.rtdserver",, "T&amp;T0", "QUL", 48)</f>
        <v>49</v>
      </c>
      <c r="H52" t="str">
        <f>RTD("rtdtrading.rtdserver",, "T&amp;T1", "DAT", 48)</f>
        <v>11:25:14</v>
      </c>
      <c r="I52" t="str">
        <f>RTD("rtdtrading.rtdserver",, "T&amp;T1", "AGR", 48)</f>
        <v>Comprador</v>
      </c>
      <c r="J52">
        <f>RTD("rtdtrading.rtdserver",, "T&amp;T1", "PRE", 48)</f>
        <v>5715.5</v>
      </c>
      <c r="K52">
        <f>RTD("rtdtrading.rtdserver",, "T&amp;T1", "QUL", 48)</f>
        <v>10</v>
      </c>
      <c r="N52">
        <f>RTD("rtdtrading.rtdserver",, "BOOK0", "VOC", 48)</f>
        <v>0</v>
      </c>
      <c r="O52">
        <f>RTD("rtdtrading.rtdserver",, "BOOK0", "OCP", 48)</f>
        <v>0</v>
      </c>
      <c r="P52">
        <f>RTD("rtdtrading.rtdserver",, "BOOK0", "OVD", 48)</f>
        <v>0</v>
      </c>
      <c r="Q52">
        <f>RTD("rtdtrading.rtdserver",, "BOOK0", "VOV", 48)</f>
        <v>0</v>
      </c>
      <c r="T52">
        <f>RTD("rtdtrading.rtdserver",, "BOOK1", "VOC", 48)</f>
        <v>0</v>
      </c>
      <c r="U52">
        <f>RTD("rtdtrading.rtdserver",, "BOOK1", "OCP", 48)</f>
        <v>0</v>
      </c>
      <c r="V52">
        <f>RTD("rtdtrading.rtdserver",, "BOOK1", "OVD", 48)</f>
        <v>0</v>
      </c>
      <c r="W52">
        <f>RTD("rtdtrading.rtdserver",, "BOOK1", "VOV", 48)</f>
        <v>0</v>
      </c>
    </row>
    <row r="53" spans="2:23" x14ac:dyDescent="0.25">
      <c r="B53" t="str">
        <f>RTD("rtdtrading.rtdserver",, "T&amp;T0", "DAT", 49)</f>
        <v>11:26:17</v>
      </c>
      <c r="C53" t="str">
        <f>RTD("rtdtrading.rtdserver",, "T&amp;T0", "AGR", 49)</f>
        <v>Comprador</v>
      </c>
      <c r="D53">
        <f>RTD("rtdtrading.rtdserver",, "T&amp;T0", "PRE", 49)</f>
        <v>5715.5</v>
      </c>
      <c r="E53">
        <f>RTD("rtdtrading.rtdserver",, "T&amp;T0", "QUL", 49)</f>
        <v>64</v>
      </c>
      <c r="H53" t="str">
        <f>RTD("rtdtrading.rtdserver",, "T&amp;T1", "DAT", 49)</f>
        <v>11:25:14</v>
      </c>
      <c r="I53" t="str">
        <f>RTD("rtdtrading.rtdserver",, "T&amp;T1", "AGR", 49)</f>
        <v>Comprador</v>
      </c>
      <c r="J53">
        <f>RTD("rtdtrading.rtdserver",, "T&amp;T1", "PRE", 49)</f>
        <v>5715.5</v>
      </c>
      <c r="K53">
        <f>RTD("rtdtrading.rtdserver",, "T&amp;T1", "QUL", 49)</f>
        <v>25</v>
      </c>
      <c r="N53">
        <f>RTD("rtdtrading.rtdserver",, "BOOK0", "VOC", 49)</f>
        <v>0</v>
      </c>
      <c r="O53">
        <f>RTD("rtdtrading.rtdserver",, "BOOK0", "OCP", 49)</f>
        <v>0</v>
      </c>
      <c r="P53">
        <f>RTD("rtdtrading.rtdserver",, "BOOK0", "OVD", 49)</f>
        <v>0</v>
      </c>
      <c r="Q53">
        <f>RTD("rtdtrading.rtdserver",, "BOOK0", "VOV", 49)</f>
        <v>0</v>
      </c>
      <c r="T53">
        <f>RTD("rtdtrading.rtdserver",, "BOOK1", "VOC", 49)</f>
        <v>0</v>
      </c>
      <c r="U53">
        <f>RTD("rtdtrading.rtdserver",, "BOOK1", "OCP", 49)</f>
        <v>0</v>
      </c>
      <c r="V53">
        <f>RTD("rtdtrading.rtdserver",, "BOOK1", "OVD", 49)</f>
        <v>0</v>
      </c>
      <c r="W53">
        <f>RTD("rtdtrading.rtdserver",, "BOOK1", "VOV", 49)</f>
        <v>0</v>
      </c>
    </row>
    <row r="54" spans="2:23" x14ac:dyDescent="0.25">
      <c r="B54" t="str">
        <f>RTD("rtdtrading.rtdserver",, "T&amp;T0", "DAT", 50)</f>
        <v>11:26:17</v>
      </c>
      <c r="C54" t="str">
        <f>RTD("rtdtrading.rtdserver",, "T&amp;T0", "AGR", 50)</f>
        <v>Comprador</v>
      </c>
      <c r="D54">
        <f>RTD("rtdtrading.rtdserver",, "T&amp;T0", "PRE", 50)</f>
        <v>5715.5</v>
      </c>
      <c r="E54">
        <f>RTD("rtdtrading.rtdserver",, "T&amp;T0", "QUL", 50)</f>
        <v>94</v>
      </c>
      <c r="H54" t="str">
        <f>RTD("rtdtrading.rtdserver",, "T&amp;T1", "DAT", 50)</f>
        <v>11:25:12</v>
      </c>
      <c r="I54" t="str">
        <f>RTD("rtdtrading.rtdserver",, "T&amp;T1", "AGR", 50)</f>
        <v>Vendedor</v>
      </c>
      <c r="J54">
        <f>RTD("rtdtrading.rtdserver",, "T&amp;T1", "PRE", 50)</f>
        <v>5714.5</v>
      </c>
      <c r="K54">
        <f>RTD("rtdtrading.rtdserver",, "T&amp;T1", "QUL", 50)</f>
        <v>5</v>
      </c>
      <c r="N54">
        <f>RTD("rtdtrading.rtdserver",, "BOOK0", "VOC", 50)</f>
        <v>0</v>
      </c>
      <c r="O54">
        <f>RTD("rtdtrading.rtdserver",, "BOOK0", "OCP", 50)</f>
        <v>0</v>
      </c>
      <c r="P54">
        <f>RTD("rtdtrading.rtdserver",, "BOOK0", "OVD", 50)</f>
        <v>5745</v>
      </c>
      <c r="Q54">
        <f>RTD("rtdtrading.rtdserver",, "BOOK0", "VOV", 50)</f>
        <v>50</v>
      </c>
      <c r="T54">
        <f>RTD("rtdtrading.rtdserver",, "BOOK1", "VOC", 50)</f>
        <v>0</v>
      </c>
      <c r="U54">
        <f>RTD("rtdtrading.rtdserver",, "BOOK1", "OCP", 50)</f>
        <v>0</v>
      </c>
      <c r="V54">
        <f>RTD("rtdtrading.rtdserver",, "BOOK1", "OVD", 50)</f>
        <v>0</v>
      </c>
      <c r="W54">
        <f>RTD("rtdtrading.rtdserver",, "BOOK1", "VOV", 50)</f>
        <v>0</v>
      </c>
    </row>
    <row r="55" spans="2:23" x14ac:dyDescent="0.25">
      <c r="B55" t="str">
        <f>RTD("rtdtrading.rtdserver",, "T&amp;T0", "DAT", 51)</f>
        <v>11:26:17</v>
      </c>
      <c r="C55" t="str">
        <f>RTD("rtdtrading.rtdserver",, "T&amp;T0", "AGR", 51)</f>
        <v>Comprador</v>
      </c>
      <c r="D55">
        <f>RTD("rtdtrading.rtdserver",, "T&amp;T0", "PRE", 51)</f>
        <v>5715</v>
      </c>
      <c r="E55">
        <f>RTD("rtdtrading.rtdserver",, "T&amp;T0", "QUL", 51)</f>
        <v>259</v>
      </c>
      <c r="H55" t="str">
        <f>RTD("rtdtrading.rtdserver",, "T&amp;T1", "DAT", 51)</f>
        <v>11:25:10</v>
      </c>
      <c r="I55" t="str">
        <f>RTD("rtdtrading.rtdserver",, "T&amp;T1", "AGR", 51)</f>
        <v>Comprador</v>
      </c>
      <c r="J55">
        <f>RTD("rtdtrading.rtdserver",, "T&amp;T1", "PRE", 51)</f>
        <v>5715.5</v>
      </c>
      <c r="K55">
        <f>RTD("rtdtrading.rtdserver",, "T&amp;T1", "QUL", 51)</f>
        <v>45</v>
      </c>
      <c r="N55">
        <f>RTD("rtdtrading.rtdserver",, "BOOK0", "VOC", 51)</f>
        <v>0</v>
      </c>
      <c r="O55">
        <f>RTD("rtdtrading.rtdserver",, "BOOK0", "OCP", 51)</f>
        <v>0</v>
      </c>
      <c r="P55">
        <f>RTD("rtdtrading.rtdserver",, "BOOK0", "OVD", 51)</f>
        <v>0</v>
      </c>
      <c r="Q55">
        <f>RTD("rtdtrading.rtdserver",, "BOOK0", "VOV", 51)</f>
        <v>0</v>
      </c>
      <c r="T55">
        <f>RTD("rtdtrading.rtdserver",, "BOOK1", "VOC", 51)</f>
        <v>0</v>
      </c>
      <c r="U55">
        <f>RTD("rtdtrading.rtdserver",, "BOOK1", "OCP", 51)</f>
        <v>0</v>
      </c>
      <c r="V55">
        <f>RTD("rtdtrading.rtdserver",, "BOOK1", "OVD", 51)</f>
        <v>0</v>
      </c>
      <c r="W55">
        <f>RTD("rtdtrading.rtdserver",, "BOOK1", "VOV", 51)</f>
        <v>0</v>
      </c>
    </row>
    <row r="56" spans="2:23" x14ac:dyDescent="0.25">
      <c r="B56" t="str">
        <f>RTD("rtdtrading.rtdserver",, "T&amp;T0", "DAT", 52)</f>
        <v>11:26:12</v>
      </c>
      <c r="C56" t="str">
        <f>RTD("rtdtrading.rtdserver",, "T&amp;T0", "AGR", 52)</f>
        <v>Comprador</v>
      </c>
      <c r="D56">
        <f>RTD("rtdtrading.rtdserver",, "T&amp;T0", "PRE", 52)</f>
        <v>5714.5</v>
      </c>
      <c r="E56">
        <f>RTD("rtdtrading.rtdserver",, "T&amp;T0", "QUL", 52)</f>
        <v>44</v>
      </c>
      <c r="H56" t="str">
        <f>RTD("rtdtrading.rtdserver",, "T&amp;T1", "DAT", 52)</f>
        <v>11:25:10</v>
      </c>
      <c r="I56" t="str">
        <f>RTD("rtdtrading.rtdserver",, "T&amp;T1", "AGR", 52)</f>
        <v>Comprador</v>
      </c>
      <c r="J56">
        <f>RTD("rtdtrading.rtdserver",, "T&amp;T1", "PRE", 52)</f>
        <v>5715.5</v>
      </c>
      <c r="K56">
        <f>RTD("rtdtrading.rtdserver",, "T&amp;T1", "QUL", 52)</f>
        <v>10</v>
      </c>
      <c r="N56">
        <f>RTD("rtdtrading.rtdserver",, "BOOK0", "VOC", 52)</f>
        <v>0</v>
      </c>
      <c r="O56">
        <f>RTD("rtdtrading.rtdserver",, "BOOK0", "OCP", 52)</f>
        <v>0</v>
      </c>
      <c r="P56">
        <f>RTD("rtdtrading.rtdserver",, "BOOK0", "OVD", 52)</f>
        <v>0</v>
      </c>
      <c r="Q56">
        <f>RTD("rtdtrading.rtdserver",, "BOOK0", "VOV", 52)</f>
        <v>0</v>
      </c>
      <c r="T56">
        <f>RTD("rtdtrading.rtdserver",, "BOOK1", "VOC", 52)</f>
        <v>0</v>
      </c>
      <c r="U56">
        <f>RTD("rtdtrading.rtdserver",, "BOOK1", "OCP", 52)</f>
        <v>0</v>
      </c>
      <c r="V56">
        <f>RTD("rtdtrading.rtdserver",, "BOOK1", "OVD", 52)</f>
        <v>0</v>
      </c>
      <c r="W56">
        <f>RTD("rtdtrading.rtdserver",, "BOOK1", "VOV", 52)</f>
        <v>0</v>
      </c>
    </row>
    <row r="57" spans="2:23" x14ac:dyDescent="0.25">
      <c r="B57" t="str">
        <f>RTD("rtdtrading.rtdserver",, "T&amp;T0", "DAT", 53)</f>
        <v>11:26:10</v>
      </c>
      <c r="C57" t="str">
        <f>RTD("rtdtrading.rtdserver",, "T&amp;T0", "AGR", 53)</f>
        <v>Comprador</v>
      </c>
      <c r="D57">
        <f>RTD("rtdtrading.rtdserver",, "T&amp;T0", "PRE", 53)</f>
        <v>5714.5</v>
      </c>
      <c r="E57">
        <f>RTD("rtdtrading.rtdserver",, "T&amp;T0", "QUL", 53)</f>
        <v>51</v>
      </c>
      <c r="H57" t="str">
        <f>RTD("rtdtrading.rtdserver",, "T&amp;T1", "DAT", 53)</f>
        <v>11:25:09</v>
      </c>
      <c r="I57" t="str">
        <f>RTD("rtdtrading.rtdserver",, "T&amp;T1", "AGR", 53)</f>
        <v>Comprador</v>
      </c>
      <c r="J57">
        <f>RTD("rtdtrading.rtdserver",, "T&amp;T1", "PRE", 53)</f>
        <v>5715</v>
      </c>
      <c r="K57">
        <f>RTD("rtdtrading.rtdserver",, "T&amp;T1", "QUL", 53)</f>
        <v>5</v>
      </c>
      <c r="N57">
        <f>RTD("rtdtrading.rtdserver",, "BOOK0", "VOC", 53)</f>
        <v>0</v>
      </c>
      <c r="O57">
        <f>RTD("rtdtrading.rtdserver",, "BOOK0", "OCP", 53)</f>
        <v>0</v>
      </c>
      <c r="P57">
        <f>RTD("rtdtrading.rtdserver",, "BOOK0", "OVD", 53)</f>
        <v>0</v>
      </c>
      <c r="Q57">
        <f>RTD("rtdtrading.rtdserver",, "BOOK0", "VOV", 53)</f>
        <v>0</v>
      </c>
      <c r="T57">
        <f>RTD("rtdtrading.rtdserver",, "BOOK1", "VOC", 53)</f>
        <v>0</v>
      </c>
      <c r="U57">
        <f>RTD("rtdtrading.rtdserver",, "BOOK1", "OCP", 53)</f>
        <v>0</v>
      </c>
      <c r="V57">
        <f>RTD("rtdtrading.rtdserver",, "BOOK1", "OVD", 53)</f>
        <v>0</v>
      </c>
      <c r="W57">
        <f>RTD("rtdtrading.rtdserver",, "BOOK1", "VOV", 53)</f>
        <v>0</v>
      </c>
    </row>
    <row r="58" spans="2:23" x14ac:dyDescent="0.25">
      <c r="B58" t="str">
        <f>RTD("rtdtrading.rtdserver",, "T&amp;T0", "DAT", 54)</f>
        <v>11:26:06</v>
      </c>
      <c r="C58" t="str">
        <f>RTD("rtdtrading.rtdserver",, "T&amp;T0", "AGR", 54)</f>
        <v>Vendedor</v>
      </c>
      <c r="D58">
        <f>RTD("rtdtrading.rtdserver",, "T&amp;T0", "PRE", 54)</f>
        <v>5714.5</v>
      </c>
      <c r="E58">
        <f>RTD("rtdtrading.rtdserver",, "T&amp;T0", "QUL", 54)</f>
        <v>35</v>
      </c>
      <c r="H58" t="str">
        <f>RTD("rtdtrading.rtdserver",, "T&amp;T1", "DAT", 54)</f>
        <v>11:25:07</v>
      </c>
      <c r="I58" t="str">
        <f>RTD("rtdtrading.rtdserver",, "T&amp;T1", "AGR", 54)</f>
        <v>Comprador</v>
      </c>
      <c r="J58">
        <f>RTD("rtdtrading.rtdserver",, "T&amp;T1", "PRE", 54)</f>
        <v>5715</v>
      </c>
      <c r="K58">
        <f>RTD("rtdtrading.rtdserver",, "T&amp;T1", "QUL", 54)</f>
        <v>5</v>
      </c>
      <c r="N58">
        <f>RTD("rtdtrading.rtdserver",, "BOOK0", "VOC", 54)</f>
        <v>0</v>
      </c>
      <c r="O58">
        <f>RTD("rtdtrading.rtdserver",, "BOOK0", "OCP", 54)</f>
        <v>0</v>
      </c>
      <c r="P58">
        <f>RTD("rtdtrading.rtdserver",, "BOOK0", "OVD", 54)</f>
        <v>0</v>
      </c>
      <c r="Q58">
        <f>RTD("rtdtrading.rtdserver",, "BOOK0", "VOV", 54)</f>
        <v>0</v>
      </c>
      <c r="T58">
        <f>RTD("rtdtrading.rtdserver",, "BOOK1", "VOC", 54)</f>
        <v>0</v>
      </c>
      <c r="U58">
        <f>RTD("rtdtrading.rtdserver",, "BOOK1", "OCP", 54)</f>
        <v>0</v>
      </c>
      <c r="V58">
        <f>RTD("rtdtrading.rtdserver",, "BOOK1", "OVD", 54)</f>
        <v>0</v>
      </c>
      <c r="W58">
        <f>RTD("rtdtrading.rtdserver",, "BOOK1", "VOV", 54)</f>
        <v>0</v>
      </c>
    </row>
    <row r="59" spans="2:23" x14ac:dyDescent="0.25">
      <c r="B59" t="str">
        <f>RTD("rtdtrading.rtdserver",, "T&amp;T0", "DAT", 55)</f>
        <v>11:26:02</v>
      </c>
      <c r="C59" t="str">
        <f>RTD("rtdtrading.rtdserver",, "T&amp;T0", "AGR", 55)</f>
        <v>Comprador</v>
      </c>
      <c r="D59">
        <f>RTD("rtdtrading.rtdserver",, "T&amp;T0", "PRE", 55)</f>
        <v>5714.5</v>
      </c>
      <c r="E59">
        <f>RTD("rtdtrading.rtdserver",, "T&amp;T0", "QUL", 55)</f>
        <v>69</v>
      </c>
      <c r="H59" t="str">
        <f>RTD("rtdtrading.rtdserver",, "T&amp;T1", "DAT", 55)</f>
        <v>11:25:06</v>
      </c>
      <c r="I59" t="str">
        <f>RTD("rtdtrading.rtdserver",, "T&amp;T1", "AGR", 55)</f>
        <v>Vendedor</v>
      </c>
      <c r="J59">
        <f>RTD("rtdtrading.rtdserver",, "T&amp;T1", "PRE", 55)</f>
        <v>5714.5</v>
      </c>
      <c r="K59">
        <f>RTD("rtdtrading.rtdserver",, "T&amp;T1", "QUL", 55)</f>
        <v>5</v>
      </c>
      <c r="N59">
        <f>RTD("rtdtrading.rtdserver",, "BOOK0", "VOC", 55)</f>
        <v>0</v>
      </c>
      <c r="O59">
        <f>RTD("rtdtrading.rtdserver",, "BOOK0", "OCP", 55)</f>
        <v>0</v>
      </c>
      <c r="P59">
        <f>RTD("rtdtrading.rtdserver",, "BOOK0", "OVD", 55)</f>
        <v>5750</v>
      </c>
      <c r="Q59">
        <f>RTD("rtdtrading.rtdserver",, "BOOK0", "VOV", 55)</f>
        <v>50</v>
      </c>
      <c r="T59">
        <f>RTD("rtdtrading.rtdserver",, "BOOK1", "VOC", 55)</f>
        <v>0</v>
      </c>
      <c r="U59">
        <f>RTD("rtdtrading.rtdserver",, "BOOK1", "OCP", 55)</f>
        <v>0</v>
      </c>
      <c r="V59">
        <f>RTD("rtdtrading.rtdserver",, "BOOK1", "OVD", 55)</f>
        <v>0</v>
      </c>
      <c r="W59">
        <f>RTD("rtdtrading.rtdserver",, "BOOK1", "VOV", 55)</f>
        <v>0</v>
      </c>
    </row>
    <row r="60" spans="2:23" x14ac:dyDescent="0.25">
      <c r="B60" t="str">
        <f>RTD("rtdtrading.rtdserver",, "T&amp;T0", "DAT", 56)</f>
        <v>11:25:58</v>
      </c>
      <c r="C60" t="str">
        <f>RTD("rtdtrading.rtdserver",, "T&amp;T0", "AGR", 56)</f>
        <v>Vendedor</v>
      </c>
      <c r="D60">
        <f>RTD("rtdtrading.rtdserver",, "T&amp;T0", "PRE", 56)</f>
        <v>5714</v>
      </c>
      <c r="E60">
        <f>RTD("rtdtrading.rtdserver",, "T&amp;T0", "QUL", 56)</f>
        <v>53</v>
      </c>
      <c r="H60" t="str">
        <f>RTD("rtdtrading.rtdserver",, "T&amp;T1", "DAT", 56)</f>
        <v>11:25:06</v>
      </c>
      <c r="I60" t="str">
        <f>RTD("rtdtrading.rtdserver",, "T&amp;T1", "AGR", 56)</f>
        <v>Vendedor</v>
      </c>
      <c r="J60">
        <f>RTD("rtdtrading.rtdserver",, "T&amp;T1", "PRE", 56)</f>
        <v>5714.5</v>
      </c>
      <c r="K60">
        <f>RTD("rtdtrading.rtdserver",, "T&amp;T1", "QUL", 56)</f>
        <v>10</v>
      </c>
      <c r="N60">
        <f>RTD("rtdtrading.rtdserver",, "BOOK0", "VOC", 56)</f>
        <v>0</v>
      </c>
      <c r="O60">
        <f>RTD("rtdtrading.rtdserver",, "BOOK0", "OCP", 56)</f>
        <v>0</v>
      </c>
      <c r="P60">
        <f>RTD("rtdtrading.rtdserver",, "BOOK0", "OVD", 56)</f>
        <v>0</v>
      </c>
      <c r="Q60">
        <f>RTD("rtdtrading.rtdserver",, "BOOK0", "VOV", 56)</f>
        <v>0</v>
      </c>
      <c r="T60">
        <f>RTD("rtdtrading.rtdserver",, "BOOK1", "VOC", 56)</f>
        <v>0</v>
      </c>
      <c r="U60">
        <f>RTD("rtdtrading.rtdserver",, "BOOK1", "OCP", 56)</f>
        <v>0</v>
      </c>
      <c r="V60">
        <f>RTD("rtdtrading.rtdserver",, "BOOK1", "OVD", 56)</f>
        <v>0</v>
      </c>
      <c r="W60">
        <f>RTD("rtdtrading.rtdserver",, "BOOK1", "VOV", 56)</f>
        <v>0</v>
      </c>
    </row>
    <row r="61" spans="2:23" x14ac:dyDescent="0.25">
      <c r="B61" t="str">
        <f>RTD("rtdtrading.rtdserver",, "T&amp;T0", "DAT", 57)</f>
        <v>11:25:58</v>
      </c>
      <c r="C61" t="str">
        <f>RTD("rtdtrading.rtdserver",, "T&amp;T0", "AGR", 57)</f>
        <v>Vendedor</v>
      </c>
      <c r="D61">
        <f>RTD("rtdtrading.rtdserver",, "T&amp;T0", "PRE", 57)</f>
        <v>5714</v>
      </c>
      <c r="E61">
        <f>RTD("rtdtrading.rtdserver",, "T&amp;T0", "QUL", 57)</f>
        <v>40</v>
      </c>
      <c r="H61" t="str">
        <f>RTD("rtdtrading.rtdserver",, "T&amp;T1", "DAT", 57)</f>
        <v>11:25:06</v>
      </c>
      <c r="I61" t="str">
        <f>RTD("rtdtrading.rtdserver",, "T&amp;T1", "AGR", 57)</f>
        <v>Vendedor</v>
      </c>
      <c r="J61">
        <f>RTD("rtdtrading.rtdserver",, "T&amp;T1", "PRE", 57)</f>
        <v>5715</v>
      </c>
      <c r="K61">
        <f>RTD("rtdtrading.rtdserver",, "T&amp;T1", "QUL", 57)</f>
        <v>10</v>
      </c>
      <c r="N61">
        <f>RTD("rtdtrading.rtdserver",, "BOOK0", "VOC", 57)</f>
        <v>0</v>
      </c>
      <c r="O61">
        <f>RTD("rtdtrading.rtdserver",, "BOOK0", "OCP", 57)</f>
        <v>0</v>
      </c>
      <c r="P61">
        <f>RTD("rtdtrading.rtdserver",, "BOOK0", "OVD", 57)</f>
        <v>0</v>
      </c>
      <c r="Q61">
        <f>RTD("rtdtrading.rtdserver",, "BOOK0", "VOV", 57)</f>
        <v>0</v>
      </c>
      <c r="T61">
        <f>RTD("rtdtrading.rtdserver",, "BOOK1", "VOC", 57)</f>
        <v>0</v>
      </c>
      <c r="U61">
        <f>RTD("rtdtrading.rtdserver",, "BOOK1", "OCP", 57)</f>
        <v>0</v>
      </c>
      <c r="V61">
        <f>RTD("rtdtrading.rtdserver",, "BOOK1", "OVD", 57)</f>
        <v>0</v>
      </c>
      <c r="W61">
        <f>RTD("rtdtrading.rtdserver",, "BOOK1", "VOV", 57)</f>
        <v>0</v>
      </c>
    </row>
    <row r="62" spans="2:23" x14ac:dyDescent="0.25">
      <c r="B62" t="str">
        <f>RTD("rtdtrading.rtdserver",, "T&amp;T0", "DAT", 58)</f>
        <v>11:25:44</v>
      </c>
      <c r="C62" t="str">
        <f>RTD("rtdtrading.rtdserver",, "T&amp;T0", "AGR", 58)</f>
        <v>Vendedor</v>
      </c>
      <c r="D62">
        <f>RTD("rtdtrading.rtdserver",, "T&amp;T0", "PRE", 58)</f>
        <v>5713.5</v>
      </c>
      <c r="E62">
        <f>RTD("rtdtrading.rtdserver",, "T&amp;T0", "QUL", 58)</f>
        <v>300</v>
      </c>
      <c r="H62" t="str">
        <f>RTD("rtdtrading.rtdserver",, "T&amp;T1", "DAT", 58)</f>
        <v>11:25:06</v>
      </c>
      <c r="I62" t="str">
        <f>RTD("rtdtrading.rtdserver",, "T&amp;T1", "AGR", 58)</f>
        <v>Vendedor</v>
      </c>
      <c r="J62">
        <f>RTD("rtdtrading.rtdserver",, "T&amp;T1", "PRE", 58)</f>
        <v>5715</v>
      </c>
      <c r="K62">
        <f>RTD("rtdtrading.rtdserver",, "T&amp;T1", "QUL", 58)</f>
        <v>10</v>
      </c>
      <c r="N62">
        <f>RTD("rtdtrading.rtdserver",, "BOOK0", "VOC", 58)</f>
        <v>0</v>
      </c>
      <c r="O62">
        <f>RTD("rtdtrading.rtdserver",, "BOOK0", "OCP", 58)</f>
        <v>0</v>
      </c>
      <c r="P62">
        <f>RTD("rtdtrading.rtdserver",, "BOOK0", "OVD", 58)</f>
        <v>0</v>
      </c>
      <c r="Q62">
        <f>RTD("rtdtrading.rtdserver",, "BOOK0", "VOV", 58)</f>
        <v>0</v>
      </c>
      <c r="T62">
        <f>RTD("rtdtrading.rtdserver",, "BOOK1", "VOC", 58)</f>
        <v>0</v>
      </c>
      <c r="U62">
        <f>RTD("rtdtrading.rtdserver",, "BOOK1", "OCP", 58)</f>
        <v>0</v>
      </c>
      <c r="V62">
        <f>RTD("rtdtrading.rtdserver",, "BOOK1", "OVD", 58)</f>
        <v>0</v>
      </c>
      <c r="W62">
        <f>RTD("rtdtrading.rtdserver",, "BOOK1", "VOV", 58)</f>
        <v>0</v>
      </c>
    </row>
    <row r="63" spans="2:23" x14ac:dyDescent="0.25">
      <c r="B63" t="str">
        <f>RTD("rtdtrading.rtdserver",, "T&amp;T0", "DAT", 59)</f>
        <v>11:25:43</v>
      </c>
      <c r="C63" t="str">
        <f>RTD("rtdtrading.rtdserver",, "T&amp;T0", "AGR", 59)</f>
        <v>Comprador</v>
      </c>
      <c r="D63">
        <f>RTD("rtdtrading.rtdserver",, "T&amp;T0", "PRE", 59)</f>
        <v>5714.5</v>
      </c>
      <c r="E63">
        <f>RTD("rtdtrading.rtdserver",, "T&amp;T0", "QUL", 59)</f>
        <v>116</v>
      </c>
      <c r="H63" t="str">
        <f>RTD("rtdtrading.rtdserver",, "T&amp;T1", "DAT", 59)</f>
        <v>11:25:06</v>
      </c>
      <c r="I63" t="str">
        <f>RTD("rtdtrading.rtdserver",, "T&amp;T1", "AGR", 59)</f>
        <v>Vendedor</v>
      </c>
      <c r="J63">
        <f>RTD("rtdtrading.rtdserver",, "T&amp;T1", "PRE", 59)</f>
        <v>5715.5</v>
      </c>
      <c r="K63">
        <f>RTD("rtdtrading.rtdserver",, "T&amp;T1", "QUL", 59)</f>
        <v>25</v>
      </c>
      <c r="N63">
        <f>RTD("rtdtrading.rtdserver",, "BOOK0", "VOC", 59)</f>
        <v>0</v>
      </c>
      <c r="O63">
        <f>RTD("rtdtrading.rtdserver",, "BOOK0", "OCP", 59)</f>
        <v>0</v>
      </c>
      <c r="P63">
        <f>RTD("rtdtrading.rtdserver",, "BOOK0", "OVD", 59)</f>
        <v>0</v>
      </c>
      <c r="Q63">
        <f>RTD("rtdtrading.rtdserver",, "BOOK0", "VOV", 59)</f>
        <v>0</v>
      </c>
      <c r="T63">
        <f>RTD("rtdtrading.rtdserver",, "BOOK1", "VOC", 59)</f>
        <v>0</v>
      </c>
      <c r="U63">
        <f>RTD("rtdtrading.rtdserver",, "BOOK1", "OCP", 59)</f>
        <v>0</v>
      </c>
      <c r="V63">
        <f>RTD("rtdtrading.rtdserver",, "BOOK1", "OVD", 59)</f>
        <v>0</v>
      </c>
      <c r="W63">
        <f>RTD("rtdtrading.rtdserver",, "BOOK1", "VOV", 59)</f>
        <v>0</v>
      </c>
    </row>
    <row r="64" spans="2:23" x14ac:dyDescent="0.25">
      <c r="B64" t="str">
        <f>RTD("rtdtrading.rtdserver",, "T&amp;T0", "DAT", 60)</f>
        <v>11:25:43</v>
      </c>
      <c r="C64" t="str">
        <f>RTD("rtdtrading.rtdserver",, "T&amp;T0", "AGR", 60)</f>
        <v>Vendedor</v>
      </c>
      <c r="D64">
        <f>RTD("rtdtrading.rtdserver",, "T&amp;T0", "PRE", 60)</f>
        <v>5714</v>
      </c>
      <c r="E64">
        <f>RTD("rtdtrading.rtdserver",, "T&amp;T0", "QUL", 60)</f>
        <v>64</v>
      </c>
      <c r="H64" t="str">
        <f>RTD("rtdtrading.rtdserver",, "T&amp;T1", "DAT", 60)</f>
        <v>11:25:06</v>
      </c>
      <c r="I64" t="str">
        <f>RTD("rtdtrading.rtdserver",, "T&amp;T1", "AGR", 60)</f>
        <v>Vendedor</v>
      </c>
      <c r="J64">
        <f>RTD("rtdtrading.rtdserver",, "T&amp;T1", "PRE", 60)</f>
        <v>5716</v>
      </c>
      <c r="K64">
        <f>RTD("rtdtrading.rtdserver",, "T&amp;T1", "QUL", 60)</f>
        <v>5</v>
      </c>
      <c r="N64">
        <f>RTD("rtdtrading.rtdserver",, "BOOK0", "VOC", 60)</f>
        <v>0</v>
      </c>
      <c r="O64">
        <f>RTD("rtdtrading.rtdserver",, "BOOK0", "OCP", 60)</f>
        <v>0</v>
      </c>
      <c r="P64">
        <f>RTD("rtdtrading.rtdserver",, "BOOK0", "OVD", 60)</f>
        <v>0</v>
      </c>
      <c r="Q64">
        <f>RTD("rtdtrading.rtdserver",, "BOOK0", "VOV", 60)</f>
        <v>0</v>
      </c>
      <c r="T64">
        <f>RTD("rtdtrading.rtdserver",, "BOOK1", "VOC", 60)</f>
        <v>0</v>
      </c>
      <c r="U64">
        <f>RTD("rtdtrading.rtdserver",, "BOOK1", "OCP", 60)</f>
        <v>0</v>
      </c>
      <c r="V64">
        <f>RTD("rtdtrading.rtdserver",, "BOOK1", "OVD", 60)</f>
        <v>0</v>
      </c>
      <c r="W64">
        <f>RTD("rtdtrading.rtdserver",, "BOOK1", "VOV", 60)</f>
        <v>0</v>
      </c>
    </row>
    <row r="65" spans="2:23" x14ac:dyDescent="0.25">
      <c r="B65" t="str">
        <f>RTD("rtdtrading.rtdserver",, "T&amp;T0", "DAT", 61)</f>
        <v>11:25:38</v>
      </c>
      <c r="C65" t="str">
        <f>RTD("rtdtrading.rtdserver",, "T&amp;T0", "AGR", 61)</f>
        <v>Comprador</v>
      </c>
      <c r="D65">
        <f>RTD("rtdtrading.rtdserver",, "T&amp;T0", "PRE", 61)</f>
        <v>5714</v>
      </c>
      <c r="E65">
        <f>RTD("rtdtrading.rtdserver",, "T&amp;T0", "QUL", 61)</f>
        <v>35</v>
      </c>
      <c r="H65" t="str">
        <f>RTD("rtdtrading.rtdserver",, "T&amp;T1", "DAT", 61)</f>
        <v>11:25:06</v>
      </c>
      <c r="I65" t="str">
        <f>RTD("rtdtrading.rtdserver",, "T&amp;T1", "AGR", 61)</f>
        <v>Comprador</v>
      </c>
      <c r="J65">
        <f>RTD("rtdtrading.rtdserver",, "T&amp;T1", "PRE", 61)</f>
        <v>5717</v>
      </c>
      <c r="K65">
        <f>RTD("rtdtrading.rtdserver",, "T&amp;T1", "QUL", 61)</f>
        <v>100</v>
      </c>
      <c r="N65">
        <f>RTD("rtdtrading.rtdserver",, "BOOK0", "VOC", 61)</f>
        <v>0</v>
      </c>
      <c r="O65">
        <f>RTD("rtdtrading.rtdserver",, "BOOK0", "OCP", 61)</f>
        <v>0</v>
      </c>
      <c r="P65">
        <f>RTD("rtdtrading.rtdserver",, "BOOK0", "OVD", 61)</f>
        <v>0</v>
      </c>
      <c r="Q65">
        <f>RTD("rtdtrading.rtdserver",, "BOOK0", "VOV", 61)</f>
        <v>0</v>
      </c>
      <c r="T65">
        <f>RTD("rtdtrading.rtdserver",, "BOOK1", "VOC", 61)</f>
        <v>0</v>
      </c>
      <c r="U65">
        <f>RTD("rtdtrading.rtdserver",, "BOOK1", "OCP", 61)</f>
        <v>0</v>
      </c>
      <c r="V65">
        <f>RTD("rtdtrading.rtdserver",, "BOOK1", "OVD", 61)</f>
        <v>0</v>
      </c>
      <c r="W65">
        <f>RTD("rtdtrading.rtdserver",, "BOOK1", "VOV", 61)</f>
        <v>0</v>
      </c>
    </row>
    <row r="66" spans="2:23" x14ac:dyDescent="0.25">
      <c r="B66" t="str">
        <f>RTD("rtdtrading.rtdserver",, "T&amp;T0", "DAT", 62)</f>
        <v>11:25:38</v>
      </c>
      <c r="C66" t="str">
        <f>RTD("rtdtrading.rtdserver",, "T&amp;T0", "AGR", 62)</f>
        <v>Comprador</v>
      </c>
      <c r="D66">
        <f>RTD("rtdtrading.rtdserver",, "T&amp;T0", "PRE", 62)</f>
        <v>5714</v>
      </c>
      <c r="E66">
        <f>RTD("rtdtrading.rtdserver",, "T&amp;T0", "QUL", 62)</f>
        <v>49</v>
      </c>
      <c r="H66" t="str">
        <f>RTD("rtdtrading.rtdserver",, "T&amp;T1", "DAT", 62)</f>
        <v>11:25:05</v>
      </c>
      <c r="I66" t="str">
        <f>RTD("rtdtrading.rtdserver",, "T&amp;T1", "AGR", 62)</f>
        <v>Vendedor</v>
      </c>
      <c r="J66">
        <f>RTD("rtdtrading.rtdserver",, "T&amp;T1", "PRE", 62)</f>
        <v>5715.5</v>
      </c>
      <c r="K66">
        <f>RTD("rtdtrading.rtdserver",, "T&amp;T1", "QUL", 62)</f>
        <v>10</v>
      </c>
      <c r="N66">
        <f>RTD("rtdtrading.rtdserver",, "BOOK0", "VOC", 62)</f>
        <v>50</v>
      </c>
      <c r="O66">
        <f>RTD("rtdtrading.rtdserver",, "BOOK0", "OCP", 62)</f>
        <v>5645</v>
      </c>
      <c r="P66">
        <f>RTD("rtdtrading.rtdserver",, "BOOK0", "OVD", 62)</f>
        <v>0</v>
      </c>
      <c r="Q66">
        <f>RTD("rtdtrading.rtdserver",, "BOOK0", "VOV", 62)</f>
        <v>0</v>
      </c>
      <c r="T66">
        <f>RTD("rtdtrading.rtdserver",, "BOOK1", "VOC", 62)</f>
        <v>0</v>
      </c>
      <c r="U66">
        <f>RTD("rtdtrading.rtdserver",, "BOOK1", "OCP", 62)</f>
        <v>0</v>
      </c>
      <c r="V66">
        <f>RTD("rtdtrading.rtdserver",, "BOOK1", "OVD", 62)</f>
        <v>0</v>
      </c>
      <c r="W66">
        <f>RTD("rtdtrading.rtdserver",, "BOOK1", "VOV", 62)</f>
        <v>0</v>
      </c>
    </row>
    <row r="67" spans="2:23" x14ac:dyDescent="0.25">
      <c r="B67" t="str">
        <f>RTD("rtdtrading.rtdserver",, "T&amp;T0", "DAT", 63)</f>
        <v>11:25:37</v>
      </c>
      <c r="C67" t="str">
        <f>RTD("rtdtrading.rtdserver",, "T&amp;T0", "AGR", 63)</f>
        <v>Vendedor</v>
      </c>
      <c r="D67">
        <f>RTD("rtdtrading.rtdserver",, "T&amp;T0", "PRE", 63)</f>
        <v>5713.5</v>
      </c>
      <c r="E67">
        <f>RTD("rtdtrading.rtdserver",, "T&amp;T0", "QUL", 63)</f>
        <v>49</v>
      </c>
      <c r="H67" t="str">
        <f>RTD("rtdtrading.rtdserver",, "T&amp;T1", "DAT", 63)</f>
        <v>11:25:03</v>
      </c>
      <c r="I67" t="str">
        <f>RTD("rtdtrading.rtdserver",, "T&amp;T1", "AGR", 63)</f>
        <v>Comprador</v>
      </c>
      <c r="J67">
        <f>RTD("rtdtrading.rtdserver",, "T&amp;T1", "PRE", 63)</f>
        <v>5716.5</v>
      </c>
      <c r="K67">
        <f>RTD("rtdtrading.rtdserver",, "T&amp;T1", "QUL", 63)</f>
        <v>10</v>
      </c>
      <c r="N67">
        <f>RTD("rtdtrading.rtdserver",, "BOOK0", "VOC", 63)</f>
        <v>0</v>
      </c>
      <c r="O67">
        <f>RTD("rtdtrading.rtdserver",, "BOOK0", "OCP", 63)</f>
        <v>0</v>
      </c>
      <c r="P67">
        <f>RTD("rtdtrading.rtdserver",, "BOOK0", "OVD", 63)</f>
        <v>0</v>
      </c>
      <c r="Q67">
        <f>RTD("rtdtrading.rtdserver",, "BOOK0", "VOV", 63)</f>
        <v>0</v>
      </c>
      <c r="T67">
        <f>RTD("rtdtrading.rtdserver",, "BOOK1", "VOC", 63)</f>
        <v>0</v>
      </c>
      <c r="U67">
        <f>RTD("rtdtrading.rtdserver",, "BOOK1", "OCP", 63)</f>
        <v>0</v>
      </c>
      <c r="V67">
        <f>RTD("rtdtrading.rtdserver",, "BOOK1", "OVD", 63)</f>
        <v>0</v>
      </c>
      <c r="W67">
        <f>RTD("rtdtrading.rtdserver",, "BOOK1", "VOV", 63)</f>
        <v>0</v>
      </c>
    </row>
    <row r="68" spans="2:23" x14ac:dyDescent="0.25">
      <c r="B68" t="str">
        <f>RTD("rtdtrading.rtdserver",, "T&amp;T0", "DAT", 64)</f>
        <v>11:25:34</v>
      </c>
      <c r="C68" t="str">
        <f>RTD("rtdtrading.rtdserver",, "T&amp;T0", "AGR", 64)</f>
        <v>Vendedor</v>
      </c>
      <c r="D68">
        <f>RTD("rtdtrading.rtdserver",, "T&amp;T0", "PRE", 64)</f>
        <v>5713</v>
      </c>
      <c r="E68">
        <f>RTD("rtdtrading.rtdserver",, "T&amp;T0", "QUL", 64)</f>
        <v>100</v>
      </c>
      <c r="H68" t="str">
        <f>RTD("rtdtrading.rtdserver",, "T&amp;T1", "DAT", 64)</f>
        <v>11:25:01</v>
      </c>
      <c r="I68" t="str">
        <f>RTD("rtdtrading.rtdserver",, "T&amp;T1", "AGR", 64)</f>
        <v>Comprador</v>
      </c>
      <c r="J68">
        <f>RTD("rtdtrading.rtdserver",, "T&amp;T1", "PRE", 64)</f>
        <v>5716.5</v>
      </c>
      <c r="K68">
        <f>RTD("rtdtrading.rtdserver",, "T&amp;T1", "QUL", 64)</f>
        <v>5</v>
      </c>
      <c r="N68">
        <f>RTD("rtdtrading.rtdserver",, "BOOK0", "VOC", 64)</f>
        <v>0</v>
      </c>
      <c r="O68">
        <f>RTD("rtdtrading.rtdserver",, "BOOK0", "OCP", 64)</f>
        <v>0</v>
      </c>
      <c r="P68">
        <f>RTD("rtdtrading.rtdserver",, "BOOK0", "OVD", 64)</f>
        <v>0</v>
      </c>
      <c r="Q68">
        <f>RTD("rtdtrading.rtdserver",, "BOOK0", "VOV", 64)</f>
        <v>0</v>
      </c>
      <c r="T68">
        <f>RTD("rtdtrading.rtdserver",, "BOOK1", "VOC", 64)</f>
        <v>0</v>
      </c>
      <c r="U68">
        <f>RTD("rtdtrading.rtdserver",, "BOOK1", "OCP", 64)</f>
        <v>0</v>
      </c>
      <c r="V68">
        <f>RTD("rtdtrading.rtdserver",, "BOOK1", "OVD", 64)</f>
        <v>0</v>
      </c>
      <c r="W68">
        <f>RTD("rtdtrading.rtdserver",, "BOOK1", "VOV", 64)</f>
        <v>0</v>
      </c>
    </row>
    <row r="69" spans="2:23" x14ac:dyDescent="0.25">
      <c r="B69" t="str">
        <f>RTD("rtdtrading.rtdserver",, "T&amp;T0", "DAT", 65)</f>
        <v>11:25:34</v>
      </c>
      <c r="C69" t="str">
        <f>RTD("rtdtrading.rtdserver",, "T&amp;T0", "AGR", 65)</f>
        <v>Vendedor</v>
      </c>
      <c r="D69">
        <f>RTD("rtdtrading.rtdserver",, "T&amp;T0", "PRE", 65)</f>
        <v>5713</v>
      </c>
      <c r="E69">
        <f>RTD("rtdtrading.rtdserver",, "T&amp;T0", "QUL", 65)</f>
        <v>50</v>
      </c>
      <c r="H69" t="str">
        <f>RTD("rtdtrading.rtdserver",, "T&amp;T1", "DAT", 65)</f>
        <v>11:25:01</v>
      </c>
      <c r="I69" t="str">
        <f>RTD("rtdtrading.rtdserver",, "T&amp;T1", "AGR", 65)</f>
        <v>Vendedor</v>
      </c>
      <c r="J69">
        <f>RTD("rtdtrading.rtdserver",, "T&amp;T1", "PRE", 65)</f>
        <v>5716</v>
      </c>
      <c r="K69">
        <f>RTD("rtdtrading.rtdserver",, "T&amp;T1", "QUL", 65)</f>
        <v>25</v>
      </c>
      <c r="N69">
        <f>RTD("rtdtrading.rtdserver",, "BOOK0", "VOC", 65)</f>
        <v>0</v>
      </c>
      <c r="O69">
        <f>RTD("rtdtrading.rtdserver",, "BOOK0", "OCP", 65)</f>
        <v>0</v>
      </c>
      <c r="P69">
        <f>RTD("rtdtrading.rtdserver",, "BOOK0", "OVD", 65)</f>
        <v>0</v>
      </c>
      <c r="Q69">
        <f>RTD("rtdtrading.rtdserver",, "BOOK0", "VOV", 65)</f>
        <v>0</v>
      </c>
      <c r="T69">
        <f>RTD("rtdtrading.rtdserver",, "BOOK1", "VOC", 65)</f>
        <v>0</v>
      </c>
      <c r="U69">
        <f>RTD("rtdtrading.rtdserver",, "BOOK1", "OCP", 65)</f>
        <v>0</v>
      </c>
      <c r="V69">
        <f>RTD("rtdtrading.rtdserver",, "BOOK1", "OVD", 65)</f>
        <v>0</v>
      </c>
      <c r="W69">
        <f>RTD("rtdtrading.rtdserver",, "BOOK1", "VOV", 65)</f>
        <v>0</v>
      </c>
    </row>
    <row r="70" spans="2:23" x14ac:dyDescent="0.25">
      <c r="B70" t="str">
        <f>RTD("rtdtrading.rtdserver",, "T&amp;T0", "DAT", 66)</f>
        <v>11:25:34</v>
      </c>
      <c r="C70" t="str">
        <f>RTD("rtdtrading.rtdserver",, "T&amp;T0", "AGR", 66)</f>
        <v>Vendedor</v>
      </c>
      <c r="D70">
        <f>RTD("rtdtrading.rtdserver",, "T&amp;T0", "PRE", 66)</f>
        <v>5713</v>
      </c>
      <c r="E70">
        <f>RTD("rtdtrading.rtdserver",, "T&amp;T0", "QUL", 66)</f>
        <v>202</v>
      </c>
      <c r="H70" t="str">
        <f>RTD("rtdtrading.rtdserver",, "T&amp;T1", "DAT", 66)</f>
        <v>11:24:57</v>
      </c>
      <c r="I70" t="str">
        <f>RTD("rtdtrading.rtdserver",, "T&amp;T1", "AGR", 66)</f>
        <v>Vendedor</v>
      </c>
      <c r="J70">
        <f>RTD("rtdtrading.rtdserver",, "T&amp;T1", "PRE", 66)</f>
        <v>5716.5</v>
      </c>
      <c r="K70">
        <f>RTD("rtdtrading.rtdserver",, "T&amp;T1", "QUL", 66)</f>
        <v>5</v>
      </c>
      <c r="N70">
        <f>RTD("rtdtrading.rtdserver",, "BOOK0", "VOC", 66)</f>
        <v>0</v>
      </c>
      <c r="O70">
        <f>RTD("rtdtrading.rtdserver",, "BOOK0", "OCP", 66)</f>
        <v>0</v>
      </c>
      <c r="P70">
        <f>RTD("rtdtrading.rtdserver",, "BOOK0", "OVD", 66)</f>
        <v>0</v>
      </c>
      <c r="Q70">
        <f>RTD("rtdtrading.rtdserver",, "BOOK0", "VOV", 66)</f>
        <v>0</v>
      </c>
      <c r="T70">
        <f>RTD("rtdtrading.rtdserver",, "BOOK1", "VOC", 66)</f>
        <v>0</v>
      </c>
      <c r="U70">
        <f>RTD("rtdtrading.rtdserver",, "BOOK1", "OCP", 66)</f>
        <v>0</v>
      </c>
      <c r="V70">
        <f>RTD("rtdtrading.rtdserver",, "BOOK1", "OVD", 66)</f>
        <v>0</v>
      </c>
      <c r="W70">
        <f>RTD("rtdtrading.rtdserver",, "BOOK1", "VOV", 66)</f>
        <v>0</v>
      </c>
    </row>
    <row r="71" spans="2:23" x14ac:dyDescent="0.25">
      <c r="B71" t="str">
        <f>RTD("rtdtrading.rtdserver",, "T&amp;T0", "DAT", 67)</f>
        <v>11:25:33</v>
      </c>
      <c r="C71" t="str">
        <f>RTD("rtdtrading.rtdserver",, "T&amp;T0", "AGR", 67)</f>
        <v>Comprador</v>
      </c>
      <c r="D71">
        <f>RTD("rtdtrading.rtdserver",, "T&amp;T0", "PRE", 67)</f>
        <v>5714</v>
      </c>
      <c r="E71">
        <f>RTD("rtdtrading.rtdserver",, "T&amp;T0", "QUL", 67)</f>
        <v>35</v>
      </c>
      <c r="H71" t="str">
        <f>RTD("rtdtrading.rtdserver",, "T&amp;T1", "DAT", 67)</f>
        <v>11:24:55</v>
      </c>
      <c r="I71" t="str">
        <f>RTD("rtdtrading.rtdserver",, "T&amp;T1", "AGR", 67)</f>
        <v>Vendedor</v>
      </c>
      <c r="J71">
        <f>RTD("rtdtrading.rtdserver",, "T&amp;T1", "PRE", 67)</f>
        <v>5717.5</v>
      </c>
      <c r="K71">
        <f>RTD("rtdtrading.rtdserver",, "T&amp;T1", "QUL", 67)</f>
        <v>5</v>
      </c>
      <c r="N71">
        <f>RTD("rtdtrading.rtdserver",, "BOOK0", "VOC", 67)</f>
        <v>0</v>
      </c>
      <c r="O71">
        <f>RTD("rtdtrading.rtdserver",, "BOOK0", "OCP", 67)</f>
        <v>0</v>
      </c>
      <c r="P71">
        <f>RTD("rtdtrading.rtdserver",, "BOOK0", "OVD", 67)</f>
        <v>0</v>
      </c>
      <c r="Q71">
        <f>RTD("rtdtrading.rtdserver",, "BOOK0", "VOV", 67)</f>
        <v>0</v>
      </c>
      <c r="T71">
        <f>RTD("rtdtrading.rtdserver",, "BOOK1", "VOC", 67)</f>
        <v>0</v>
      </c>
      <c r="U71">
        <f>RTD("rtdtrading.rtdserver",, "BOOK1", "OCP", 67)</f>
        <v>0</v>
      </c>
      <c r="V71">
        <f>RTD("rtdtrading.rtdserver",, "BOOK1", "OVD", 67)</f>
        <v>0</v>
      </c>
      <c r="W71">
        <f>RTD("rtdtrading.rtdserver",, "BOOK1", "VOV", 67)</f>
        <v>0</v>
      </c>
    </row>
    <row r="72" spans="2:23" x14ac:dyDescent="0.25">
      <c r="B72" t="str">
        <f>RTD("rtdtrading.rtdserver",, "T&amp;T0", "DAT", 68)</f>
        <v>11:25:33</v>
      </c>
      <c r="C72" t="str">
        <f>RTD("rtdtrading.rtdserver",, "T&amp;T0", "AGR", 68)</f>
        <v>Vendedor</v>
      </c>
      <c r="D72">
        <f>RTD("rtdtrading.rtdserver",, "T&amp;T0", "PRE", 68)</f>
        <v>5714</v>
      </c>
      <c r="E72">
        <f>RTD("rtdtrading.rtdserver",, "T&amp;T0", "QUL", 68)</f>
        <v>63</v>
      </c>
      <c r="H72" t="str">
        <f>RTD("rtdtrading.rtdserver",, "T&amp;T1", "DAT", 68)</f>
        <v>11:24:54</v>
      </c>
      <c r="I72" t="str">
        <f>RTD("rtdtrading.rtdserver",, "T&amp;T1", "AGR", 68)</f>
        <v>Vendedor</v>
      </c>
      <c r="J72">
        <f>RTD("rtdtrading.rtdserver",, "T&amp;T1", "PRE", 68)</f>
        <v>5717</v>
      </c>
      <c r="K72">
        <f>RTD("rtdtrading.rtdserver",, "T&amp;T1", "QUL", 68)</f>
        <v>100</v>
      </c>
      <c r="N72">
        <f>RTD("rtdtrading.rtdserver",, "BOOK0", "VOC", 68)</f>
        <v>0</v>
      </c>
      <c r="O72">
        <f>RTD("rtdtrading.rtdserver",, "BOOK0", "OCP", 68)</f>
        <v>0</v>
      </c>
      <c r="P72">
        <f>RTD("rtdtrading.rtdserver",, "BOOK0", "OVD", 68)</f>
        <v>0</v>
      </c>
      <c r="Q72">
        <f>RTD("rtdtrading.rtdserver",, "BOOK0", "VOV", 68)</f>
        <v>0</v>
      </c>
      <c r="T72">
        <f>RTD("rtdtrading.rtdserver",, "BOOK1", "VOC", 68)</f>
        <v>0</v>
      </c>
      <c r="U72">
        <f>RTD("rtdtrading.rtdserver",, "BOOK1", "OCP", 68)</f>
        <v>0</v>
      </c>
      <c r="V72">
        <f>RTD("rtdtrading.rtdserver",, "BOOK1", "OVD", 68)</f>
        <v>0</v>
      </c>
      <c r="W72">
        <f>RTD("rtdtrading.rtdserver",, "BOOK1", "VOV", 68)</f>
        <v>0</v>
      </c>
    </row>
    <row r="73" spans="2:23" x14ac:dyDescent="0.25">
      <c r="B73" t="str">
        <f>RTD("rtdtrading.rtdserver",, "T&amp;T0", "DAT", 69)</f>
        <v>11:25:30</v>
      </c>
      <c r="C73" t="str">
        <f>RTD("rtdtrading.rtdserver",, "T&amp;T0", "AGR", 69)</f>
        <v>Vendedor</v>
      </c>
      <c r="D73">
        <f>RTD("rtdtrading.rtdserver",, "T&amp;T0", "PRE", 69)</f>
        <v>5714.5</v>
      </c>
      <c r="E73">
        <f>RTD("rtdtrading.rtdserver",, "T&amp;T0", "QUL", 69)</f>
        <v>67</v>
      </c>
      <c r="H73" t="str">
        <f>RTD("rtdtrading.rtdserver",, "T&amp;T1", "DAT", 69)</f>
        <v>11:24:53</v>
      </c>
      <c r="I73" t="str">
        <f>RTD("rtdtrading.rtdserver",, "T&amp;T1", "AGR", 69)</f>
        <v>Comprador</v>
      </c>
      <c r="J73">
        <f>RTD("rtdtrading.rtdserver",, "T&amp;T1", "PRE", 69)</f>
        <v>5719</v>
      </c>
      <c r="K73">
        <f>RTD("rtdtrading.rtdserver",, "T&amp;T1", "QUL", 69)</f>
        <v>5</v>
      </c>
      <c r="N73">
        <f>RTD("rtdtrading.rtdserver",, "BOOK0", "VOC", 69)</f>
        <v>0</v>
      </c>
      <c r="O73">
        <f>RTD("rtdtrading.rtdserver",, "BOOK0", "OCP", 69)</f>
        <v>0</v>
      </c>
      <c r="P73">
        <f>RTD("rtdtrading.rtdserver",, "BOOK0", "OVD", 69)</f>
        <v>0</v>
      </c>
      <c r="Q73">
        <f>RTD("rtdtrading.rtdserver",, "BOOK0", "VOV", 69)</f>
        <v>0</v>
      </c>
      <c r="T73">
        <f>RTD("rtdtrading.rtdserver",, "BOOK1", "VOC", 69)</f>
        <v>0</v>
      </c>
      <c r="U73">
        <f>RTD("rtdtrading.rtdserver",, "BOOK1", "OCP", 69)</f>
        <v>0</v>
      </c>
      <c r="V73">
        <f>RTD("rtdtrading.rtdserver",, "BOOK1", "OVD", 69)</f>
        <v>0</v>
      </c>
      <c r="W73">
        <f>RTD("rtdtrading.rtdserver",, "BOOK1", "VOV", 69)</f>
        <v>0</v>
      </c>
    </row>
    <row r="74" spans="2:23" x14ac:dyDescent="0.25">
      <c r="B74" t="str">
        <f>RTD("rtdtrading.rtdserver",, "T&amp;T0", "DAT", 70)</f>
        <v>11:25:29</v>
      </c>
      <c r="C74" t="str">
        <f>RTD("rtdtrading.rtdserver",, "T&amp;T0", "AGR", 70)</f>
        <v>Comprador</v>
      </c>
      <c r="D74">
        <f>RTD("rtdtrading.rtdserver",, "T&amp;T0", "PRE", 70)</f>
        <v>5715.5</v>
      </c>
      <c r="E74">
        <f>RTD("rtdtrading.rtdserver",, "T&amp;T0", "QUL", 70)</f>
        <v>150</v>
      </c>
      <c r="H74" t="str">
        <f>RTD("rtdtrading.rtdserver",, "T&amp;T1", "DAT", 70)</f>
        <v>11:24:51</v>
      </c>
      <c r="I74" t="str">
        <f>RTD("rtdtrading.rtdserver",, "T&amp;T1", "AGR", 70)</f>
        <v>Comprador</v>
      </c>
      <c r="J74">
        <f>RTD("rtdtrading.rtdserver",, "T&amp;T1", "PRE", 70)</f>
        <v>5719</v>
      </c>
      <c r="K74">
        <f>RTD("rtdtrading.rtdserver",, "T&amp;T1", "QUL", 70)</f>
        <v>15</v>
      </c>
      <c r="N74">
        <f>RTD("rtdtrading.rtdserver",, "BOOK0", "VOC", 70)</f>
        <v>0</v>
      </c>
      <c r="O74">
        <f>RTD("rtdtrading.rtdserver",, "BOOK0", "OCP", 70)</f>
        <v>0</v>
      </c>
      <c r="P74">
        <f>RTD("rtdtrading.rtdserver",, "BOOK0", "OVD", 70)</f>
        <v>0</v>
      </c>
      <c r="Q74">
        <f>RTD("rtdtrading.rtdserver",, "BOOK0", "VOV", 70)</f>
        <v>0</v>
      </c>
      <c r="T74">
        <f>RTD("rtdtrading.rtdserver",, "BOOK1", "VOC", 70)</f>
        <v>0</v>
      </c>
      <c r="U74">
        <f>RTD("rtdtrading.rtdserver",, "BOOK1", "OCP", 70)</f>
        <v>0</v>
      </c>
      <c r="V74">
        <f>RTD("rtdtrading.rtdserver",, "BOOK1", "OVD", 70)</f>
        <v>0</v>
      </c>
      <c r="W74">
        <f>RTD("rtdtrading.rtdserver",, "BOOK1", "VOV", 70)</f>
        <v>0</v>
      </c>
    </row>
    <row r="75" spans="2:23" x14ac:dyDescent="0.25">
      <c r="B75" t="str">
        <f>RTD("rtdtrading.rtdserver",, "T&amp;T0", "DAT", 71)</f>
        <v>11:25:21</v>
      </c>
      <c r="C75" t="str">
        <f>RTD("rtdtrading.rtdserver",, "T&amp;T0", "AGR", 71)</f>
        <v>Vendedor</v>
      </c>
      <c r="D75">
        <f>RTD("rtdtrading.rtdserver",, "T&amp;T0", "PRE", 71)</f>
        <v>5715</v>
      </c>
      <c r="E75">
        <f>RTD("rtdtrading.rtdserver",, "T&amp;T0", "QUL", 71)</f>
        <v>186</v>
      </c>
      <c r="H75" t="str">
        <f>RTD("rtdtrading.rtdserver",, "T&amp;T1", "DAT", 71)</f>
        <v>11:24:51</v>
      </c>
      <c r="I75" t="str">
        <f>RTD("rtdtrading.rtdserver",, "T&amp;T1", "AGR", 71)</f>
        <v>Comprador</v>
      </c>
      <c r="J75">
        <f>RTD("rtdtrading.rtdserver",, "T&amp;T1", "PRE", 71)</f>
        <v>5718.5</v>
      </c>
      <c r="K75">
        <f>RTD("rtdtrading.rtdserver",, "T&amp;T1", "QUL", 71)</f>
        <v>10</v>
      </c>
      <c r="N75">
        <f>RTD("rtdtrading.rtdserver",, "BOOK0", "VOC", 71)</f>
        <v>0</v>
      </c>
      <c r="O75">
        <f>RTD("rtdtrading.rtdserver",, "BOOK0", "OCP", 71)</f>
        <v>0</v>
      </c>
      <c r="P75">
        <f>RTD("rtdtrading.rtdserver",, "BOOK0", "OVD", 71)</f>
        <v>0</v>
      </c>
      <c r="Q75">
        <f>RTD("rtdtrading.rtdserver",, "BOOK0", "VOV", 71)</f>
        <v>0</v>
      </c>
      <c r="T75">
        <f>RTD("rtdtrading.rtdserver",, "BOOK1", "VOC", 71)</f>
        <v>0</v>
      </c>
      <c r="U75">
        <f>RTD("rtdtrading.rtdserver",, "BOOK1", "OCP", 71)</f>
        <v>0</v>
      </c>
      <c r="V75">
        <f>RTD("rtdtrading.rtdserver",, "BOOK1", "OVD", 71)</f>
        <v>0</v>
      </c>
      <c r="W75">
        <f>RTD("rtdtrading.rtdserver",, "BOOK1", "VOV", 71)</f>
        <v>0</v>
      </c>
    </row>
    <row r="76" spans="2:23" x14ac:dyDescent="0.25">
      <c r="B76" t="str">
        <f>RTD("rtdtrading.rtdserver",, "T&amp;T0", "DAT", 72)</f>
        <v>11:25:21</v>
      </c>
      <c r="C76" t="str">
        <f>RTD("rtdtrading.rtdserver",, "T&amp;T0", "AGR", 72)</f>
        <v>Vendedor</v>
      </c>
      <c r="D76">
        <f>RTD("rtdtrading.rtdserver",, "T&amp;T0", "PRE", 72)</f>
        <v>5715</v>
      </c>
      <c r="E76">
        <f>RTD("rtdtrading.rtdserver",, "T&amp;T0", "QUL", 72)</f>
        <v>54</v>
      </c>
      <c r="H76" t="str">
        <f>RTD("rtdtrading.rtdserver",, "T&amp;T1", "DAT", 72)</f>
        <v>11:24:50</v>
      </c>
      <c r="I76" t="str">
        <f>RTD("rtdtrading.rtdserver",, "T&amp;T1", "AGR", 72)</f>
        <v>Comprador</v>
      </c>
      <c r="J76">
        <f>RTD("rtdtrading.rtdserver",, "T&amp;T1", "PRE", 72)</f>
        <v>5718.5</v>
      </c>
      <c r="K76">
        <f>RTD("rtdtrading.rtdserver",, "T&amp;T1", "QUL", 72)</f>
        <v>5</v>
      </c>
      <c r="N76">
        <f>RTD("rtdtrading.rtdserver",, "BOOK0", "VOC", 72)</f>
        <v>0</v>
      </c>
      <c r="O76">
        <f>RTD("rtdtrading.rtdserver",, "BOOK0", "OCP", 72)</f>
        <v>0</v>
      </c>
      <c r="P76">
        <f>RTD("rtdtrading.rtdserver",, "BOOK0", "OVD", 72)</f>
        <v>0</v>
      </c>
      <c r="Q76">
        <f>RTD("rtdtrading.rtdserver",, "BOOK0", "VOV", 72)</f>
        <v>0</v>
      </c>
      <c r="T76">
        <f>RTD("rtdtrading.rtdserver",, "BOOK1", "VOC", 72)</f>
        <v>0</v>
      </c>
      <c r="U76">
        <f>RTD("rtdtrading.rtdserver",, "BOOK1", "OCP", 72)</f>
        <v>0</v>
      </c>
      <c r="V76">
        <f>RTD("rtdtrading.rtdserver",, "BOOK1", "OVD", 72)</f>
        <v>0</v>
      </c>
      <c r="W76">
        <f>RTD("rtdtrading.rtdserver",, "BOOK1", "VOV", 72)</f>
        <v>0</v>
      </c>
    </row>
    <row r="77" spans="2:23" x14ac:dyDescent="0.25">
      <c r="B77" t="str">
        <f>RTD("rtdtrading.rtdserver",, "T&amp;T0", "DAT", 73)</f>
        <v>11:25:21</v>
      </c>
      <c r="C77" t="str">
        <f>RTD("rtdtrading.rtdserver",, "T&amp;T0", "AGR", 73)</f>
        <v>Vendedor</v>
      </c>
      <c r="D77">
        <f>RTD("rtdtrading.rtdserver",, "T&amp;T0", "PRE", 73)</f>
        <v>5715.5</v>
      </c>
      <c r="E77">
        <f>RTD("rtdtrading.rtdserver",, "T&amp;T0", "QUL", 73)</f>
        <v>49</v>
      </c>
      <c r="H77" t="str">
        <f>RTD("rtdtrading.rtdserver",, "T&amp;T1", "DAT", 73)</f>
        <v>11:24:50</v>
      </c>
      <c r="I77" t="str">
        <f>RTD("rtdtrading.rtdserver",, "T&amp;T1", "AGR", 73)</f>
        <v>Vendedor</v>
      </c>
      <c r="J77">
        <f>RTD("rtdtrading.rtdserver",, "T&amp;T1", "PRE", 73)</f>
        <v>5718</v>
      </c>
      <c r="K77">
        <f>RTD("rtdtrading.rtdserver",, "T&amp;T1", "QUL", 73)</f>
        <v>5</v>
      </c>
      <c r="N77">
        <f>RTD("rtdtrading.rtdserver",, "BOOK0", "VOC", 73)</f>
        <v>0</v>
      </c>
      <c r="O77">
        <f>RTD("rtdtrading.rtdserver",, "BOOK0", "OCP", 73)</f>
        <v>0</v>
      </c>
      <c r="P77">
        <f>RTD("rtdtrading.rtdserver",, "BOOK0", "OVD", 73)</f>
        <v>0</v>
      </c>
      <c r="Q77">
        <f>RTD("rtdtrading.rtdserver",, "BOOK0", "VOV", 73)</f>
        <v>0</v>
      </c>
      <c r="T77">
        <f>RTD("rtdtrading.rtdserver",, "BOOK1", "VOC", 73)</f>
        <v>0</v>
      </c>
      <c r="U77">
        <f>RTD("rtdtrading.rtdserver",, "BOOK1", "OCP", 73)</f>
        <v>0</v>
      </c>
      <c r="V77">
        <f>RTD("rtdtrading.rtdserver",, "BOOK1", "OVD", 73)</f>
        <v>0</v>
      </c>
      <c r="W77">
        <f>RTD("rtdtrading.rtdserver",, "BOOK1", "VOV", 73)</f>
        <v>0</v>
      </c>
    </row>
    <row r="78" spans="2:23" x14ac:dyDescent="0.25">
      <c r="B78" t="str">
        <f>RTD("rtdtrading.rtdserver",, "T&amp;T0", "DAT", 74)</f>
        <v>11:25:21</v>
      </c>
      <c r="C78" t="str">
        <f>RTD("rtdtrading.rtdserver",, "T&amp;T0", "AGR", 74)</f>
        <v>Vendedor</v>
      </c>
      <c r="D78">
        <f>RTD("rtdtrading.rtdserver",, "T&amp;T0", "PRE", 74)</f>
        <v>5715.5</v>
      </c>
      <c r="E78">
        <f>RTD("rtdtrading.rtdserver",, "T&amp;T0", "QUL", 74)</f>
        <v>33</v>
      </c>
      <c r="H78" t="str">
        <f>RTD("rtdtrading.rtdserver",, "T&amp;T1", "DAT", 74)</f>
        <v>11:24:50</v>
      </c>
      <c r="I78" t="str">
        <f>RTD("rtdtrading.rtdserver",, "T&amp;T1", "AGR", 74)</f>
        <v>Comprador</v>
      </c>
      <c r="J78">
        <f>RTD("rtdtrading.rtdserver",, "T&amp;T1", "PRE", 74)</f>
        <v>5719</v>
      </c>
      <c r="K78">
        <f>RTD("rtdtrading.rtdserver",, "T&amp;T1", "QUL", 74)</f>
        <v>100</v>
      </c>
      <c r="N78">
        <f>RTD("rtdtrading.rtdserver",, "BOOK0", "VOC", 74)</f>
        <v>0</v>
      </c>
      <c r="O78">
        <f>RTD("rtdtrading.rtdserver",, "BOOK0", "OCP", 74)</f>
        <v>0</v>
      </c>
      <c r="P78">
        <f>RTD("rtdtrading.rtdserver",, "BOOK0", "OVD", 74)</f>
        <v>0</v>
      </c>
      <c r="Q78">
        <f>RTD("rtdtrading.rtdserver",, "BOOK0", "VOV", 74)</f>
        <v>0</v>
      </c>
      <c r="T78">
        <f>RTD("rtdtrading.rtdserver",, "BOOK1", "VOC", 74)</f>
        <v>0</v>
      </c>
      <c r="U78">
        <f>RTD("rtdtrading.rtdserver",, "BOOK1", "OCP", 74)</f>
        <v>0</v>
      </c>
      <c r="V78">
        <f>RTD("rtdtrading.rtdserver",, "BOOK1", "OVD", 74)</f>
        <v>0</v>
      </c>
      <c r="W78">
        <f>RTD("rtdtrading.rtdserver",, "BOOK1", "VOV", 74)</f>
        <v>0</v>
      </c>
    </row>
    <row r="79" spans="2:23" x14ac:dyDescent="0.25">
      <c r="B79" t="str">
        <f>RTD("rtdtrading.rtdserver",, "T&amp;T0", "DAT", 75)</f>
        <v>11:25:14</v>
      </c>
      <c r="C79" t="str">
        <f>RTD("rtdtrading.rtdserver",, "T&amp;T0", "AGR", 75)</f>
        <v>Comprador</v>
      </c>
      <c r="D79">
        <f>RTD("rtdtrading.rtdserver",, "T&amp;T0", "PRE", 75)</f>
        <v>5715.5</v>
      </c>
      <c r="E79">
        <f>RTD("rtdtrading.rtdserver",, "T&amp;T0", "QUL", 75)</f>
        <v>32</v>
      </c>
      <c r="H79" t="str">
        <f>RTD("rtdtrading.rtdserver",, "T&amp;T1", "DAT", 75)</f>
        <v>11:24:46</v>
      </c>
      <c r="I79" t="str">
        <f>RTD("rtdtrading.rtdserver",, "T&amp;T1", "AGR", 75)</f>
        <v>Comprador</v>
      </c>
      <c r="J79">
        <f>RTD("rtdtrading.rtdserver",, "T&amp;T1", "PRE", 75)</f>
        <v>5717</v>
      </c>
      <c r="K79">
        <f>RTD("rtdtrading.rtdserver",, "T&amp;T1", "QUL", 75)</f>
        <v>5</v>
      </c>
      <c r="N79">
        <f>RTD("rtdtrading.rtdserver",, "BOOK0", "VOC", 75)</f>
        <v>0</v>
      </c>
      <c r="O79">
        <f>RTD("rtdtrading.rtdserver",, "BOOK0", "OCP", 75)</f>
        <v>0</v>
      </c>
      <c r="P79">
        <f>RTD("rtdtrading.rtdserver",, "BOOK0", "OVD", 75)</f>
        <v>0</v>
      </c>
      <c r="Q79">
        <f>RTD("rtdtrading.rtdserver",, "BOOK0", "VOV", 75)</f>
        <v>0</v>
      </c>
      <c r="T79">
        <f>RTD("rtdtrading.rtdserver",, "BOOK1", "VOC", 75)</f>
        <v>0</v>
      </c>
      <c r="U79">
        <f>RTD("rtdtrading.rtdserver",, "BOOK1", "OCP", 75)</f>
        <v>0</v>
      </c>
      <c r="V79">
        <f>RTD("rtdtrading.rtdserver",, "BOOK1", "OVD", 75)</f>
        <v>0</v>
      </c>
      <c r="W79">
        <f>RTD("rtdtrading.rtdserver",, "BOOK1", "VOV", 75)</f>
        <v>0</v>
      </c>
    </row>
    <row r="80" spans="2:23" x14ac:dyDescent="0.25">
      <c r="B80" t="str">
        <f>RTD("rtdtrading.rtdserver",, "T&amp;T0", "DAT", 76)</f>
        <v>11:25:12</v>
      </c>
      <c r="C80" t="str">
        <f>RTD("rtdtrading.rtdserver",, "T&amp;T0", "AGR", 76)</f>
        <v>Vendedor</v>
      </c>
      <c r="D80">
        <f>RTD("rtdtrading.rtdserver",, "T&amp;T0", "PRE", 76)</f>
        <v>5715</v>
      </c>
      <c r="E80">
        <f>RTD("rtdtrading.rtdserver",, "T&amp;T0", "QUL", 76)</f>
        <v>94</v>
      </c>
      <c r="H80" t="str">
        <f>RTD("rtdtrading.rtdserver",, "T&amp;T1", "DAT", 76)</f>
        <v>11:24:46</v>
      </c>
      <c r="I80" t="str">
        <f>RTD("rtdtrading.rtdserver",, "T&amp;T1", "AGR", 76)</f>
        <v>Vendedor</v>
      </c>
      <c r="J80">
        <f>RTD("rtdtrading.rtdserver",, "T&amp;T1", "PRE", 76)</f>
        <v>5716.5</v>
      </c>
      <c r="K80">
        <f>RTD("rtdtrading.rtdserver",, "T&amp;T1", "QUL", 76)</f>
        <v>5</v>
      </c>
      <c r="N80">
        <f>RTD("rtdtrading.rtdserver",, "BOOK0", "VOC", 76)</f>
        <v>0</v>
      </c>
      <c r="O80">
        <f>RTD("rtdtrading.rtdserver",, "BOOK0", "OCP", 76)</f>
        <v>0</v>
      </c>
      <c r="P80">
        <f>RTD("rtdtrading.rtdserver",, "BOOK0", "OVD", 76)</f>
        <v>0</v>
      </c>
      <c r="Q80">
        <f>RTD("rtdtrading.rtdserver",, "BOOK0", "VOV", 76)</f>
        <v>0</v>
      </c>
      <c r="T80">
        <f>RTD("rtdtrading.rtdserver",, "BOOK1", "VOC", 76)</f>
        <v>0</v>
      </c>
      <c r="U80">
        <f>RTD("rtdtrading.rtdserver",, "BOOK1", "OCP", 76)</f>
        <v>0</v>
      </c>
      <c r="V80">
        <f>RTD("rtdtrading.rtdserver",, "BOOK1", "OVD", 76)</f>
        <v>0</v>
      </c>
      <c r="W80">
        <f>RTD("rtdtrading.rtdserver",, "BOOK1", "VOV", 76)</f>
        <v>0</v>
      </c>
    </row>
    <row r="81" spans="2:23" x14ac:dyDescent="0.25">
      <c r="B81" t="str">
        <f>RTD("rtdtrading.rtdserver",, "T&amp;T0", "DAT", 77)</f>
        <v>11:25:10</v>
      </c>
      <c r="C81" t="str">
        <f>RTD("rtdtrading.rtdserver",, "T&amp;T0", "AGR", 77)</f>
        <v>Vendedor</v>
      </c>
      <c r="D81">
        <f>RTD("rtdtrading.rtdserver",, "T&amp;T0", "PRE", 77)</f>
        <v>5715.5</v>
      </c>
      <c r="E81">
        <f>RTD("rtdtrading.rtdserver",, "T&amp;T0", "QUL", 77)</f>
        <v>40</v>
      </c>
      <c r="H81" t="str">
        <f>RTD("rtdtrading.rtdserver",, "T&amp;T1", "DAT", 77)</f>
        <v>11:24:44</v>
      </c>
      <c r="I81" t="str">
        <f>RTD("rtdtrading.rtdserver",, "T&amp;T1", "AGR", 77)</f>
        <v>Vendedor</v>
      </c>
      <c r="J81">
        <f>RTD("rtdtrading.rtdserver",, "T&amp;T1", "PRE", 77)</f>
        <v>5716</v>
      </c>
      <c r="K81">
        <f>RTD("rtdtrading.rtdserver",, "T&amp;T1", "QUL", 77)</f>
        <v>5</v>
      </c>
      <c r="N81">
        <f>RTD("rtdtrading.rtdserver",, "BOOK0", "VOC", 77)</f>
        <v>0</v>
      </c>
      <c r="O81">
        <f>RTD("rtdtrading.rtdserver",, "BOOK0", "OCP", 77)</f>
        <v>0</v>
      </c>
      <c r="P81">
        <f>RTD("rtdtrading.rtdserver",, "BOOK0", "OVD", 77)</f>
        <v>0</v>
      </c>
      <c r="Q81">
        <f>RTD("rtdtrading.rtdserver",, "BOOK0", "VOV", 77)</f>
        <v>0</v>
      </c>
      <c r="T81">
        <f>RTD("rtdtrading.rtdserver",, "BOOK1", "VOC", 77)</f>
        <v>0</v>
      </c>
      <c r="U81">
        <f>RTD("rtdtrading.rtdserver",, "BOOK1", "OCP", 77)</f>
        <v>0</v>
      </c>
      <c r="V81">
        <f>RTD("rtdtrading.rtdserver",, "BOOK1", "OVD", 77)</f>
        <v>0</v>
      </c>
      <c r="W81">
        <f>RTD("rtdtrading.rtdserver",, "BOOK1", "VOV", 77)</f>
        <v>0</v>
      </c>
    </row>
    <row r="82" spans="2:23" x14ac:dyDescent="0.25">
      <c r="B82" t="str">
        <f>RTD("rtdtrading.rtdserver",, "T&amp;T0", "DAT", 78)</f>
        <v>11:25:10</v>
      </c>
      <c r="C82" t="str">
        <f>RTD("rtdtrading.rtdserver",, "T&amp;T0", "AGR", 78)</f>
        <v>Comprador</v>
      </c>
      <c r="D82">
        <f>RTD("rtdtrading.rtdserver",, "T&amp;T0", "PRE", 78)</f>
        <v>5715.5</v>
      </c>
      <c r="E82">
        <f>RTD("rtdtrading.rtdserver",, "T&amp;T0", "QUL", 78)</f>
        <v>46</v>
      </c>
      <c r="H82" t="str">
        <f>RTD("rtdtrading.rtdserver",, "T&amp;T1", "DAT", 78)</f>
        <v>11:24:39</v>
      </c>
      <c r="I82" t="str">
        <f>RTD("rtdtrading.rtdserver",, "T&amp;T1", "AGR", 78)</f>
        <v>Comprador</v>
      </c>
      <c r="J82">
        <f>RTD("rtdtrading.rtdserver",, "T&amp;T1", "PRE", 78)</f>
        <v>5717</v>
      </c>
      <c r="K82">
        <f>RTD("rtdtrading.rtdserver",, "T&amp;T1", "QUL", 78)</f>
        <v>5</v>
      </c>
      <c r="N82">
        <f>RTD("rtdtrading.rtdserver",, "BOOK0", "VOC", 78)</f>
        <v>0</v>
      </c>
      <c r="O82">
        <f>RTD("rtdtrading.rtdserver",, "BOOK0", "OCP", 78)</f>
        <v>0</v>
      </c>
      <c r="P82">
        <f>RTD("rtdtrading.rtdserver",, "BOOK0", "OVD", 78)</f>
        <v>0</v>
      </c>
      <c r="Q82">
        <f>RTD("rtdtrading.rtdserver",, "BOOK0", "VOV", 78)</f>
        <v>0</v>
      </c>
      <c r="T82">
        <f>RTD("rtdtrading.rtdserver",, "BOOK1", "VOC", 78)</f>
        <v>0</v>
      </c>
      <c r="U82">
        <f>RTD("rtdtrading.rtdserver",, "BOOK1", "OCP", 78)</f>
        <v>0</v>
      </c>
      <c r="V82">
        <f>RTD("rtdtrading.rtdserver",, "BOOK1", "OVD", 78)</f>
        <v>0</v>
      </c>
      <c r="W82">
        <f>RTD("rtdtrading.rtdserver",, "BOOK1", "VOV", 78)</f>
        <v>0</v>
      </c>
    </row>
    <row r="83" spans="2:23" x14ac:dyDescent="0.25">
      <c r="B83" t="str">
        <f>RTD("rtdtrading.rtdserver",, "T&amp;T0", "DAT", 79)</f>
        <v>11:25:09</v>
      </c>
      <c r="C83" t="str">
        <f>RTD("rtdtrading.rtdserver",, "T&amp;T0", "AGR", 79)</f>
        <v>Comprador</v>
      </c>
      <c r="D83">
        <f>RTD("rtdtrading.rtdserver",, "T&amp;T0", "PRE", 79)</f>
        <v>5715</v>
      </c>
      <c r="E83">
        <f>RTD("rtdtrading.rtdserver",, "T&amp;T0", "QUL", 79)</f>
        <v>177</v>
      </c>
      <c r="H83" t="str">
        <f>RTD("rtdtrading.rtdserver",, "T&amp;T1", "DAT", 79)</f>
        <v>11:24:39</v>
      </c>
      <c r="I83" t="str">
        <f>RTD("rtdtrading.rtdserver",, "T&amp;T1", "AGR", 79)</f>
        <v>Vendedor</v>
      </c>
      <c r="J83">
        <f>RTD("rtdtrading.rtdserver",, "T&amp;T1", "PRE", 79)</f>
        <v>5717</v>
      </c>
      <c r="K83">
        <f>RTD("rtdtrading.rtdserver",, "T&amp;T1", "QUL", 79)</f>
        <v>5</v>
      </c>
      <c r="N83">
        <f>RTD("rtdtrading.rtdserver",, "BOOK0", "VOC", 79)</f>
        <v>0</v>
      </c>
      <c r="O83">
        <f>RTD("rtdtrading.rtdserver",, "BOOK0", "OCP", 79)</f>
        <v>0</v>
      </c>
      <c r="P83">
        <f>RTD("rtdtrading.rtdserver",, "BOOK0", "OVD", 79)</f>
        <v>0</v>
      </c>
      <c r="Q83">
        <f>RTD("rtdtrading.rtdserver",, "BOOK0", "VOV", 79)</f>
        <v>0</v>
      </c>
      <c r="T83">
        <f>RTD("rtdtrading.rtdserver",, "BOOK1", "VOC", 79)</f>
        <v>0</v>
      </c>
      <c r="U83">
        <f>RTD("rtdtrading.rtdserver",, "BOOK1", "OCP", 79)</f>
        <v>0</v>
      </c>
      <c r="V83">
        <f>RTD("rtdtrading.rtdserver",, "BOOK1", "OVD", 79)</f>
        <v>0</v>
      </c>
      <c r="W83">
        <f>RTD("rtdtrading.rtdserver",, "BOOK1", "VOV", 79)</f>
        <v>0</v>
      </c>
    </row>
    <row r="84" spans="2:23" x14ac:dyDescent="0.25">
      <c r="B84" t="str">
        <f>RTD("rtdtrading.rtdserver",, "T&amp;T0", "DAT", 80)</f>
        <v>11:25:06</v>
      </c>
      <c r="C84" t="str">
        <f>RTD("rtdtrading.rtdserver",, "T&amp;T0", "AGR", 80)</f>
        <v>Vendedor</v>
      </c>
      <c r="D84">
        <f>RTD("rtdtrading.rtdserver",, "T&amp;T0", "PRE", 80)</f>
        <v>5714.5</v>
      </c>
      <c r="E84">
        <f>RTD("rtdtrading.rtdserver",, "T&amp;T0", "QUL", 80)</f>
        <v>50</v>
      </c>
      <c r="H84" t="str">
        <f>RTD("rtdtrading.rtdserver",, "T&amp;T1", "DAT", 80)</f>
        <v>11:24:38</v>
      </c>
      <c r="I84" t="str">
        <f>RTD("rtdtrading.rtdserver",, "T&amp;T1", "AGR", 80)</f>
        <v>Comprador</v>
      </c>
      <c r="J84">
        <f>RTD("rtdtrading.rtdserver",, "T&amp;T1", "PRE", 80)</f>
        <v>5717.5</v>
      </c>
      <c r="K84">
        <f>RTD("rtdtrading.rtdserver",, "T&amp;T1", "QUL", 80)</f>
        <v>5</v>
      </c>
      <c r="N84">
        <f>RTD("rtdtrading.rtdserver",, "BOOK0", "VOC", 80)</f>
        <v>0</v>
      </c>
      <c r="O84">
        <f>RTD("rtdtrading.rtdserver",, "BOOK0", "OCP", 80)</f>
        <v>0</v>
      </c>
      <c r="P84">
        <f>RTD("rtdtrading.rtdserver",, "BOOK0", "OVD", 80)</f>
        <v>0</v>
      </c>
      <c r="Q84">
        <f>RTD("rtdtrading.rtdserver",, "BOOK0", "VOV", 80)</f>
        <v>0</v>
      </c>
      <c r="T84">
        <f>RTD("rtdtrading.rtdserver",, "BOOK1", "VOC", 80)</f>
        <v>0</v>
      </c>
      <c r="U84">
        <f>RTD("rtdtrading.rtdserver",, "BOOK1", "OCP", 80)</f>
        <v>0</v>
      </c>
      <c r="V84">
        <f>RTD("rtdtrading.rtdserver",, "BOOK1", "OVD", 80)</f>
        <v>0</v>
      </c>
      <c r="W84">
        <f>RTD("rtdtrading.rtdserver",, "BOOK1", "VOV", 80)</f>
        <v>0</v>
      </c>
    </row>
    <row r="85" spans="2:23" x14ac:dyDescent="0.25">
      <c r="B85" t="str">
        <f>RTD("rtdtrading.rtdserver",, "T&amp;T0", "DAT", 81)</f>
        <v>11:25:06</v>
      </c>
      <c r="C85" t="str">
        <f>RTD("rtdtrading.rtdserver",, "T&amp;T0", "AGR", 81)</f>
        <v>Vendedor</v>
      </c>
      <c r="D85">
        <f>RTD("rtdtrading.rtdserver",, "T&amp;T0", "PRE", 81)</f>
        <v>5714.5</v>
      </c>
      <c r="E85">
        <f>RTD("rtdtrading.rtdserver",, "T&amp;T0", "QUL", 81)</f>
        <v>200</v>
      </c>
      <c r="H85" t="str">
        <f>RTD("rtdtrading.rtdserver",, "T&amp;T1", "DAT", 81)</f>
        <v>11:24:37</v>
      </c>
      <c r="I85" t="str">
        <f>RTD("rtdtrading.rtdserver",, "T&amp;T1", "AGR", 81)</f>
        <v>Comprador</v>
      </c>
      <c r="J85">
        <f>RTD("rtdtrading.rtdserver",, "T&amp;T1", "PRE", 81)</f>
        <v>5717</v>
      </c>
      <c r="K85">
        <f>RTD("rtdtrading.rtdserver",, "T&amp;T1", "QUL", 81)</f>
        <v>5</v>
      </c>
      <c r="N85">
        <f>RTD("rtdtrading.rtdserver",, "BOOK0", "VOC", 81)</f>
        <v>0</v>
      </c>
      <c r="O85">
        <f>RTD("rtdtrading.rtdserver",, "BOOK0", "OCP", 81)</f>
        <v>0</v>
      </c>
      <c r="P85">
        <f>RTD("rtdtrading.rtdserver",, "BOOK0", "OVD", 81)</f>
        <v>0</v>
      </c>
      <c r="Q85">
        <f>RTD("rtdtrading.rtdserver",, "BOOK0", "VOV", 81)</f>
        <v>0</v>
      </c>
      <c r="T85">
        <f>RTD("rtdtrading.rtdserver",, "BOOK1", "VOC", 81)</f>
        <v>0</v>
      </c>
      <c r="U85">
        <f>RTD("rtdtrading.rtdserver",, "BOOK1", "OCP", 81)</f>
        <v>0</v>
      </c>
      <c r="V85">
        <f>RTD("rtdtrading.rtdserver",, "BOOK1", "OVD", 81)</f>
        <v>0</v>
      </c>
      <c r="W85">
        <f>RTD("rtdtrading.rtdserver",, "BOOK1", "VOV", 81)</f>
        <v>0</v>
      </c>
    </row>
    <row r="86" spans="2:23" x14ac:dyDescent="0.25">
      <c r="B86" t="str">
        <f>RTD("rtdtrading.rtdserver",, "T&amp;T0", "DAT", 82)</f>
        <v>11:25:06</v>
      </c>
      <c r="C86" t="str">
        <f>RTD("rtdtrading.rtdserver",, "T&amp;T0", "AGR", 82)</f>
        <v>Vendedor</v>
      </c>
      <c r="D86">
        <f>RTD("rtdtrading.rtdserver",, "T&amp;T0", "PRE", 82)</f>
        <v>5715</v>
      </c>
      <c r="E86">
        <f>RTD("rtdtrading.rtdserver",, "T&amp;T0", "QUL", 82)</f>
        <v>104</v>
      </c>
      <c r="H86" t="str">
        <f>RTD("rtdtrading.rtdserver",, "T&amp;T1", "DAT", 82)</f>
        <v>11:24:37</v>
      </c>
      <c r="I86" t="str">
        <f>RTD("rtdtrading.rtdserver",, "T&amp;T1", "AGR", 82)</f>
        <v>Comprador</v>
      </c>
      <c r="J86">
        <f>RTD("rtdtrading.rtdserver",, "T&amp;T1", "PRE", 82)</f>
        <v>5717</v>
      </c>
      <c r="K86">
        <f>RTD("rtdtrading.rtdserver",, "T&amp;T1", "QUL", 82)</f>
        <v>15</v>
      </c>
      <c r="N86">
        <f>RTD("rtdtrading.rtdserver",, "BOOK0", "VOC", 82)</f>
        <v>0</v>
      </c>
      <c r="O86">
        <f>RTD("rtdtrading.rtdserver",, "BOOK0", "OCP", 82)</f>
        <v>0</v>
      </c>
      <c r="P86">
        <f>RTD("rtdtrading.rtdserver",, "BOOK0", "OVD", 82)</f>
        <v>0</v>
      </c>
      <c r="Q86">
        <f>RTD("rtdtrading.rtdserver",, "BOOK0", "VOV", 82)</f>
        <v>0</v>
      </c>
      <c r="T86">
        <f>RTD("rtdtrading.rtdserver",, "BOOK1", "VOC", 82)</f>
        <v>0</v>
      </c>
      <c r="U86">
        <f>RTD("rtdtrading.rtdserver",, "BOOK1", "OCP", 82)</f>
        <v>0</v>
      </c>
      <c r="V86">
        <f>RTD("rtdtrading.rtdserver",, "BOOK1", "OVD", 82)</f>
        <v>0</v>
      </c>
      <c r="W86">
        <f>RTD("rtdtrading.rtdserver",, "BOOK1", "VOV", 82)</f>
        <v>0</v>
      </c>
    </row>
    <row r="87" spans="2:23" x14ac:dyDescent="0.25">
      <c r="B87" t="str">
        <f>RTD("rtdtrading.rtdserver",, "T&amp;T0", "DAT", 83)</f>
        <v>11:25:06</v>
      </c>
      <c r="C87" t="str">
        <f>RTD("rtdtrading.rtdserver",, "T&amp;T0", "AGR", 83)</f>
        <v>Vendedor</v>
      </c>
      <c r="D87">
        <f>RTD("rtdtrading.rtdserver",, "T&amp;T0", "PRE", 83)</f>
        <v>5715</v>
      </c>
      <c r="E87">
        <f>RTD("rtdtrading.rtdserver",, "T&amp;T0", "QUL", 83)</f>
        <v>30</v>
      </c>
      <c r="H87" t="str">
        <f>RTD("rtdtrading.rtdserver",, "T&amp;T1", "DAT", 83)</f>
        <v>11:24:37</v>
      </c>
      <c r="I87" t="str">
        <f>RTD("rtdtrading.rtdserver",, "T&amp;T1", "AGR", 83)</f>
        <v>Comprador</v>
      </c>
      <c r="J87">
        <f>RTD("rtdtrading.rtdserver",, "T&amp;T1", "PRE", 83)</f>
        <v>5717</v>
      </c>
      <c r="K87">
        <f>RTD("rtdtrading.rtdserver",, "T&amp;T1", "QUL", 83)</f>
        <v>10</v>
      </c>
      <c r="N87">
        <f>RTD("rtdtrading.rtdserver",, "BOOK0", "VOC", 83)</f>
        <v>0</v>
      </c>
      <c r="O87">
        <f>RTD("rtdtrading.rtdserver",, "BOOK0", "OCP", 83)</f>
        <v>0</v>
      </c>
      <c r="P87">
        <f>RTD("rtdtrading.rtdserver",, "BOOK0", "OVD", 83)</f>
        <v>0</v>
      </c>
      <c r="Q87">
        <f>RTD("rtdtrading.rtdserver",, "BOOK0", "VOV", 83)</f>
        <v>0</v>
      </c>
      <c r="T87">
        <f>RTD("rtdtrading.rtdserver",, "BOOK1", "VOC", 83)</f>
        <v>0</v>
      </c>
      <c r="U87">
        <f>RTD("rtdtrading.rtdserver",, "BOOK1", "OCP", 83)</f>
        <v>0</v>
      </c>
      <c r="V87">
        <f>RTD("rtdtrading.rtdserver",, "BOOK1", "OVD", 83)</f>
        <v>0</v>
      </c>
      <c r="W87">
        <f>RTD("rtdtrading.rtdserver",, "BOOK1", "VOV", 83)</f>
        <v>0</v>
      </c>
    </row>
    <row r="88" spans="2:23" x14ac:dyDescent="0.25">
      <c r="B88" t="str">
        <f>RTD("rtdtrading.rtdserver",, "T&amp;T0", "DAT", 84)</f>
        <v>11:25:06</v>
      </c>
      <c r="C88" t="str">
        <f>RTD("rtdtrading.rtdserver",, "T&amp;T0", "AGR", 84)</f>
        <v>Vendedor</v>
      </c>
      <c r="D88">
        <f>RTD("rtdtrading.rtdserver",, "T&amp;T0", "PRE", 84)</f>
        <v>5715</v>
      </c>
      <c r="E88">
        <f>RTD("rtdtrading.rtdserver",, "T&amp;T0", "QUL", 84)</f>
        <v>54</v>
      </c>
      <c r="H88" t="str">
        <f>RTD("rtdtrading.rtdserver",, "T&amp;T1", "DAT", 84)</f>
        <v>11:24:37</v>
      </c>
      <c r="I88" t="str">
        <f>RTD("rtdtrading.rtdserver",, "T&amp;T1", "AGR", 84)</f>
        <v>Vendedor</v>
      </c>
      <c r="J88">
        <f>RTD("rtdtrading.rtdserver",, "T&amp;T1", "PRE", 84)</f>
        <v>5717</v>
      </c>
      <c r="K88">
        <f>RTD("rtdtrading.rtdserver",, "T&amp;T1", "QUL", 84)</f>
        <v>70</v>
      </c>
      <c r="N88">
        <f>RTD("rtdtrading.rtdserver",, "BOOK0", "VOC", 84)</f>
        <v>0</v>
      </c>
      <c r="O88">
        <f>RTD("rtdtrading.rtdserver",, "BOOK0", "OCP", 84)</f>
        <v>0</v>
      </c>
      <c r="P88">
        <f>RTD("rtdtrading.rtdserver",, "BOOK0", "OVD", 84)</f>
        <v>0</v>
      </c>
      <c r="Q88">
        <f>RTD("rtdtrading.rtdserver",, "BOOK0", "VOV", 84)</f>
        <v>0</v>
      </c>
      <c r="T88">
        <f>RTD("rtdtrading.rtdserver",, "BOOK1", "VOC", 84)</f>
        <v>0</v>
      </c>
      <c r="U88">
        <f>RTD("rtdtrading.rtdserver",, "BOOK1", "OCP", 84)</f>
        <v>0</v>
      </c>
      <c r="V88">
        <f>RTD("rtdtrading.rtdserver",, "BOOK1", "OVD", 84)</f>
        <v>0</v>
      </c>
      <c r="W88">
        <f>RTD("rtdtrading.rtdserver",, "BOOK1", "VOV", 84)</f>
        <v>0</v>
      </c>
    </row>
    <row r="89" spans="2:23" x14ac:dyDescent="0.25">
      <c r="B89" t="str">
        <f>RTD("rtdtrading.rtdserver",, "T&amp;T0", "DAT", 85)</f>
        <v>11:25:06</v>
      </c>
      <c r="C89" t="str">
        <f>RTD("rtdtrading.rtdserver",, "T&amp;T0", "AGR", 85)</f>
        <v>Vendedor</v>
      </c>
      <c r="D89">
        <f>RTD("rtdtrading.rtdserver",, "T&amp;T0", "PRE", 85)</f>
        <v>5715.5</v>
      </c>
      <c r="E89">
        <f>RTD("rtdtrading.rtdserver",, "T&amp;T0", "QUL", 85)</f>
        <v>126</v>
      </c>
      <c r="H89" t="str">
        <f>RTD("rtdtrading.rtdserver",, "T&amp;T1", "DAT", 85)</f>
        <v>11:24:32</v>
      </c>
      <c r="I89" t="str">
        <f>RTD("rtdtrading.rtdserver",, "T&amp;T1", "AGR", 85)</f>
        <v>Vendedor</v>
      </c>
      <c r="J89">
        <f>RTD("rtdtrading.rtdserver",, "T&amp;T1", "PRE", 85)</f>
        <v>5717.5</v>
      </c>
      <c r="K89">
        <f>RTD("rtdtrading.rtdserver",, "T&amp;T1", "QUL", 85)</f>
        <v>5</v>
      </c>
      <c r="N89">
        <f>RTD("rtdtrading.rtdserver",, "BOOK0", "VOC", 85)</f>
        <v>0</v>
      </c>
      <c r="O89">
        <f>RTD("rtdtrading.rtdserver",, "BOOK0", "OCP", 85)</f>
        <v>0</v>
      </c>
      <c r="P89">
        <f>RTD("rtdtrading.rtdserver",, "BOOK0", "OVD", 85)</f>
        <v>0</v>
      </c>
      <c r="Q89">
        <f>RTD("rtdtrading.rtdserver",, "BOOK0", "VOV", 85)</f>
        <v>0</v>
      </c>
      <c r="T89">
        <f>RTD("rtdtrading.rtdserver",, "BOOK1", "VOC", 85)</f>
        <v>0</v>
      </c>
      <c r="U89">
        <f>RTD("rtdtrading.rtdserver",, "BOOK1", "OCP", 85)</f>
        <v>0</v>
      </c>
      <c r="V89">
        <f>RTD("rtdtrading.rtdserver",, "BOOK1", "OVD", 85)</f>
        <v>0</v>
      </c>
      <c r="W89">
        <f>RTD("rtdtrading.rtdserver",, "BOOK1", "VOV", 85)</f>
        <v>0</v>
      </c>
    </row>
    <row r="90" spans="2:23" x14ac:dyDescent="0.25">
      <c r="B90" t="str">
        <f>RTD("rtdtrading.rtdserver",, "T&amp;T0", "DAT", 86)</f>
        <v>11:25:06</v>
      </c>
      <c r="C90" t="str">
        <f>RTD("rtdtrading.rtdserver",, "T&amp;T0", "AGR", 86)</f>
        <v>Comprador</v>
      </c>
      <c r="D90">
        <f>RTD("rtdtrading.rtdserver",, "T&amp;T0", "PRE", 86)</f>
        <v>5716</v>
      </c>
      <c r="E90">
        <f>RTD("rtdtrading.rtdserver",, "T&amp;T0", "QUL", 86)</f>
        <v>88</v>
      </c>
      <c r="H90" t="str">
        <f>RTD("rtdtrading.rtdserver",, "T&amp;T1", "DAT", 86)</f>
        <v>11:24:32</v>
      </c>
      <c r="I90" t="str">
        <f>RTD("rtdtrading.rtdserver",, "T&amp;T1", "AGR", 86)</f>
        <v>Vendedor</v>
      </c>
      <c r="J90">
        <f>RTD("rtdtrading.rtdserver",, "T&amp;T1", "PRE", 86)</f>
        <v>5717.5</v>
      </c>
      <c r="K90">
        <f>RTD("rtdtrading.rtdserver",, "T&amp;T1", "QUL", 86)</f>
        <v>30</v>
      </c>
      <c r="N90">
        <f>RTD("rtdtrading.rtdserver",, "BOOK0", "VOC", 86)</f>
        <v>0</v>
      </c>
      <c r="O90">
        <f>RTD("rtdtrading.rtdserver",, "BOOK0", "OCP", 86)</f>
        <v>0</v>
      </c>
      <c r="P90">
        <f>RTD("rtdtrading.rtdserver",, "BOOK0", "OVD", 86)</f>
        <v>0</v>
      </c>
      <c r="Q90">
        <f>RTD("rtdtrading.rtdserver",, "BOOK0", "VOV", 86)</f>
        <v>0</v>
      </c>
      <c r="T90">
        <f>RTD("rtdtrading.rtdserver",, "BOOK1", "VOC", 86)</f>
        <v>0</v>
      </c>
      <c r="U90">
        <f>RTD("rtdtrading.rtdserver",, "BOOK1", "OCP", 86)</f>
        <v>0</v>
      </c>
      <c r="V90">
        <f>RTD("rtdtrading.rtdserver",, "BOOK1", "OVD", 86)</f>
        <v>0</v>
      </c>
      <c r="W90">
        <f>RTD("rtdtrading.rtdserver",, "BOOK1", "VOV", 86)</f>
        <v>0</v>
      </c>
    </row>
    <row r="91" spans="2:23" x14ac:dyDescent="0.25">
      <c r="B91" t="str">
        <f>RTD("rtdtrading.rtdserver",, "T&amp;T0", "DAT", 87)</f>
        <v>11:25:06</v>
      </c>
      <c r="C91" t="str">
        <f>RTD("rtdtrading.rtdserver",, "T&amp;T0", "AGR", 87)</f>
        <v>Comprador</v>
      </c>
      <c r="D91">
        <f>RTD("rtdtrading.rtdserver",, "T&amp;T0", "PRE", 87)</f>
        <v>5716</v>
      </c>
      <c r="E91">
        <f>RTD("rtdtrading.rtdserver",, "T&amp;T0", "QUL", 87)</f>
        <v>40</v>
      </c>
      <c r="H91" t="str">
        <f>RTD("rtdtrading.rtdserver",, "T&amp;T1", "DAT", 87)</f>
        <v>11:24:32</v>
      </c>
      <c r="I91" t="str">
        <f>RTD("rtdtrading.rtdserver",, "T&amp;T1", "AGR", 87)</f>
        <v>Vendedor</v>
      </c>
      <c r="J91">
        <f>RTD("rtdtrading.rtdserver",, "T&amp;T1", "PRE", 87)</f>
        <v>5718</v>
      </c>
      <c r="K91">
        <f>RTD("rtdtrading.rtdserver",, "T&amp;T1", "QUL", 87)</f>
        <v>5</v>
      </c>
      <c r="N91">
        <f>RTD("rtdtrading.rtdserver",, "BOOK0", "VOC", 87)</f>
        <v>0</v>
      </c>
      <c r="O91">
        <f>RTD("rtdtrading.rtdserver",, "BOOK0", "OCP", 87)</f>
        <v>0</v>
      </c>
      <c r="P91">
        <f>RTD("rtdtrading.rtdserver",, "BOOK0", "OVD", 87)</f>
        <v>0</v>
      </c>
      <c r="Q91">
        <f>RTD("rtdtrading.rtdserver",, "BOOK0", "VOV", 87)</f>
        <v>0</v>
      </c>
      <c r="T91">
        <f>RTD("rtdtrading.rtdserver",, "BOOK1", "VOC", 87)</f>
        <v>0</v>
      </c>
      <c r="U91">
        <f>RTD("rtdtrading.rtdserver",, "BOOK1", "OCP", 87)</f>
        <v>0</v>
      </c>
      <c r="V91">
        <f>RTD("rtdtrading.rtdserver",, "BOOK1", "OVD", 87)</f>
        <v>0</v>
      </c>
      <c r="W91">
        <f>RTD("rtdtrading.rtdserver",, "BOOK1", "VOV", 87)</f>
        <v>0</v>
      </c>
    </row>
    <row r="92" spans="2:23" x14ac:dyDescent="0.25">
      <c r="B92" t="str">
        <f>RTD("rtdtrading.rtdserver",, "T&amp;T0", "DAT", 88)</f>
        <v>11:25:06</v>
      </c>
      <c r="C92" t="str">
        <f>RTD("rtdtrading.rtdserver",, "T&amp;T0", "AGR", 88)</f>
        <v>Comprador</v>
      </c>
      <c r="D92">
        <f>RTD("rtdtrading.rtdserver",, "T&amp;T0", "PRE", 88)</f>
        <v>5716</v>
      </c>
      <c r="E92">
        <f>RTD("rtdtrading.rtdserver",, "T&amp;T0", "QUL", 88)</f>
        <v>160</v>
      </c>
      <c r="H92" t="str">
        <f>RTD("rtdtrading.rtdserver",, "T&amp;T1", "DAT", 88)</f>
        <v>11:24:29</v>
      </c>
      <c r="I92" t="str">
        <f>RTD("rtdtrading.rtdserver",, "T&amp;T1", "AGR", 88)</f>
        <v>Comprador</v>
      </c>
      <c r="J92">
        <f>RTD("rtdtrading.rtdserver",, "T&amp;T1", "PRE", 88)</f>
        <v>5718</v>
      </c>
      <c r="K92">
        <f>RTD("rtdtrading.rtdserver",, "T&amp;T1", "QUL", 88)</f>
        <v>55</v>
      </c>
      <c r="N92">
        <f>RTD("rtdtrading.rtdserver",, "BOOK0", "VOC", 88)</f>
        <v>0</v>
      </c>
      <c r="O92">
        <f>RTD("rtdtrading.rtdserver",, "BOOK0", "OCP", 88)</f>
        <v>0</v>
      </c>
      <c r="P92">
        <f>RTD("rtdtrading.rtdserver",, "BOOK0", "OVD", 88)</f>
        <v>0</v>
      </c>
      <c r="Q92">
        <f>RTD("rtdtrading.rtdserver",, "BOOK0", "VOV", 88)</f>
        <v>0</v>
      </c>
      <c r="T92">
        <f>RTD("rtdtrading.rtdserver",, "BOOK1", "VOC", 88)</f>
        <v>0</v>
      </c>
      <c r="U92">
        <f>RTD("rtdtrading.rtdserver",, "BOOK1", "OCP", 88)</f>
        <v>0</v>
      </c>
      <c r="V92">
        <f>RTD("rtdtrading.rtdserver",, "BOOK1", "OVD", 88)</f>
        <v>0</v>
      </c>
      <c r="W92">
        <f>RTD("rtdtrading.rtdserver",, "BOOK1", "VOV", 88)</f>
        <v>0</v>
      </c>
    </row>
    <row r="93" spans="2:23" x14ac:dyDescent="0.25">
      <c r="B93" t="str">
        <f>RTD("rtdtrading.rtdserver",, "T&amp;T0", "DAT", 89)</f>
        <v>11:25:06</v>
      </c>
      <c r="C93" t="str">
        <f>RTD("rtdtrading.rtdserver",, "T&amp;T0", "AGR", 89)</f>
        <v>Comprador</v>
      </c>
      <c r="D93">
        <f>RTD("rtdtrading.rtdserver",, "T&amp;T0", "PRE", 89)</f>
        <v>5716</v>
      </c>
      <c r="E93">
        <f>RTD("rtdtrading.rtdserver",, "T&amp;T0", "QUL", 89)</f>
        <v>60</v>
      </c>
      <c r="H93" t="str">
        <f>RTD("rtdtrading.rtdserver",, "T&amp;T1", "DAT", 89)</f>
        <v>11:24:29</v>
      </c>
      <c r="I93" t="str">
        <f>RTD("rtdtrading.rtdserver",, "T&amp;T1", "AGR", 89)</f>
        <v>Vendedor</v>
      </c>
      <c r="J93">
        <f>RTD("rtdtrading.rtdserver",, "T&amp;T1", "PRE", 89)</f>
        <v>5718</v>
      </c>
      <c r="K93">
        <f>RTD("rtdtrading.rtdserver",, "T&amp;T1", "QUL", 89)</f>
        <v>45</v>
      </c>
      <c r="N93">
        <f>RTD("rtdtrading.rtdserver",, "BOOK0", "VOC", 89)</f>
        <v>0</v>
      </c>
      <c r="O93">
        <f>RTD("rtdtrading.rtdserver",, "BOOK0", "OCP", 89)</f>
        <v>0</v>
      </c>
      <c r="P93">
        <f>RTD("rtdtrading.rtdserver",, "BOOK0", "OVD", 89)</f>
        <v>0</v>
      </c>
      <c r="Q93">
        <f>RTD("rtdtrading.rtdserver",, "BOOK0", "VOV", 89)</f>
        <v>0</v>
      </c>
      <c r="T93">
        <f>RTD("rtdtrading.rtdserver",, "BOOK1", "VOC", 89)</f>
        <v>0</v>
      </c>
      <c r="U93">
        <f>RTD("rtdtrading.rtdserver",, "BOOK1", "OCP", 89)</f>
        <v>0</v>
      </c>
      <c r="V93">
        <f>RTD("rtdtrading.rtdserver",, "BOOK1", "OVD", 89)</f>
        <v>0</v>
      </c>
      <c r="W93">
        <f>RTD("rtdtrading.rtdserver",, "BOOK1", "VOV", 89)</f>
        <v>0</v>
      </c>
    </row>
    <row r="94" spans="2:23" x14ac:dyDescent="0.25">
      <c r="B94" t="str">
        <f>RTD("rtdtrading.rtdserver",, "T&amp;T0", "DAT", 90)</f>
        <v>11:25:06</v>
      </c>
      <c r="C94" t="str">
        <f>RTD("rtdtrading.rtdserver",, "T&amp;T0", "AGR", 90)</f>
        <v>Comprador</v>
      </c>
      <c r="D94">
        <f>RTD("rtdtrading.rtdserver",, "T&amp;T0", "PRE", 90)</f>
        <v>5716</v>
      </c>
      <c r="E94">
        <f>RTD("rtdtrading.rtdserver",, "T&amp;T0", "QUL", 90)</f>
        <v>158</v>
      </c>
      <c r="H94" t="str">
        <f>RTD("rtdtrading.rtdserver",, "T&amp;T1", "DAT", 90)</f>
        <v>11:24:22</v>
      </c>
      <c r="I94" t="str">
        <f>RTD("rtdtrading.rtdserver",, "T&amp;T1", "AGR", 90)</f>
        <v>Vendedor</v>
      </c>
      <c r="J94">
        <f>RTD("rtdtrading.rtdserver",, "T&amp;T1", "PRE", 90)</f>
        <v>5719</v>
      </c>
      <c r="K94">
        <f>RTD("rtdtrading.rtdserver",, "T&amp;T1", "QUL", 90)</f>
        <v>5</v>
      </c>
      <c r="N94">
        <f>RTD("rtdtrading.rtdserver",, "BOOK0", "VOC", 90)</f>
        <v>0</v>
      </c>
      <c r="O94">
        <f>RTD("rtdtrading.rtdserver",, "BOOK0", "OCP", 90)</f>
        <v>0</v>
      </c>
      <c r="P94">
        <f>RTD("rtdtrading.rtdserver",, "BOOK0", "OVD", 90)</f>
        <v>0</v>
      </c>
      <c r="Q94">
        <f>RTD("rtdtrading.rtdserver",, "BOOK0", "VOV", 90)</f>
        <v>0</v>
      </c>
      <c r="T94">
        <f>RTD("rtdtrading.rtdserver",, "BOOK1", "VOC", 90)</f>
        <v>0</v>
      </c>
      <c r="U94">
        <f>RTD("rtdtrading.rtdserver",, "BOOK1", "OCP", 90)</f>
        <v>0</v>
      </c>
      <c r="V94">
        <f>RTD("rtdtrading.rtdserver",, "BOOK1", "OVD", 90)</f>
        <v>0</v>
      </c>
      <c r="W94">
        <f>RTD("rtdtrading.rtdserver",, "BOOK1", "VOV", 90)</f>
        <v>0</v>
      </c>
    </row>
    <row r="95" spans="2:23" x14ac:dyDescent="0.25">
      <c r="B95" t="str">
        <f>RTD("rtdtrading.rtdserver",, "T&amp;T0", "DAT", 91)</f>
        <v>11:25:05</v>
      </c>
      <c r="C95" t="str">
        <f>RTD("rtdtrading.rtdserver",, "T&amp;T0", "AGR", 91)</f>
        <v>Vendedor</v>
      </c>
      <c r="D95">
        <f>RTD("rtdtrading.rtdserver",, "T&amp;T0", "PRE", 91)</f>
        <v>5715</v>
      </c>
      <c r="E95">
        <f>RTD("rtdtrading.rtdserver",, "T&amp;T0", "QUL", 91)</f>
        <v>51</v>
      </c>
      <c r="H95" t="str">
        <f>RTD("rtdtrading.rtdserver",, "T&amp;T1", "DAT", 91)</f>
        <v>11:24:21</v>
      </c>
      <c r="I95" t="str">
        <f>RTD("rtdtrading.rtdserver",, "T&amp;T1", "AGR", 91)</f>
        <v>Vendedor</v>
      </c>
      <c r="J95">
        <f>RTD("rtdtrading.rtdserver",, "T&amp;T1", "PRE", 91)</f>
        <v>5719.5</v>
      </c>
      <c r="K95">
        <f>RTD("rtdtrading.rtdserver",, "T&amp;T1", "QUL", 91)</f>
        <v>5</v>
      </c>
      <c r="N95">
        <f>RTD("rtdtrading.rtdserver",, "BOOK0", "VOC", 91)</f>
        <v>0</v>
      </c>
      <c r="O95">
        <f>RTD("rtdtrading.rtdserver",, "BOOK0", "OCP", 91)</f>
        <v>0</v>
      </c>
      <c r="P95">
        <f>RTD("rtdtrading.rtdserver",, "BOOK0", "OVD", 91)</f>
        <v>0</v>
      </c>
      <c r="Q95">
        <f>RTD("rtdtrading.rtdserver",, "BOOK0", "VOV", 91)</f>
        <v>0</v>
      </c>
      <c r="T95">
        <f>RTD("rtdtrading.rtdserver",, "BOOK1", "VOC", 91)</f>
        <v>0</v>
      </c>
      <c r="U95">
        <f>RTD("rtdtrading.rtdserver",, "BOOK1", "OCP", 91)</f>
        <v>0</v>
      </c>
      <c r="V95">
        <f>RTD("rtdtrading.rtdserver",, "BOOK1", "OVD", 91)</f>
        <v>0</v>
      </c>
      <c r="W95">
        <f>RTD("rtdtrading.rtdserver",, "BOOK1", "VOV", 91)</f>
        <v>0</v>
      </c>
    </row>
    <row r="96" spans="2:23" x14ac:dyDescent="0.25">
      <c r="B96" t="str">
        <f>RTD("rtdtrading.rtdserver",, "T&amp;T0", "DAT", 92)</f>
        <v>11:25:05</v>
      </c>
      <c r="C96" t="str">
        <f>RTD("rtdtrading.rtdserver",, "T&amp;T0", "AGR", 92)</f>
        <v>Vendedor</v>
      </c>
      <c r="D96">
        <f>RTD("rtdtrading.rtdserver",, "T&amp;T0", "PRE", 92)</f>
        <v>5715.5</v>
      </c>
      <c r="E96">
        <f>RTD("rtdtrading.rtdserver",, "T&amp;T0", "QUL", 92)</f>
        <v>112</v>
      </c>
      <c r="H96" t="str">
        <f>RTD("rtdtrading.rtdserver",, "T&amp;T1", "DAT", 92)</f>
        <v>11:24:20</v>
      </c>
      <c r="I96" t="str">
        <f>RTD("rtdtrading.rtdserver",, "T&amp;T1", "AGR", 92)</f>
        <v>Vendedor</v>
      </c>
      <c r="J96">
        <f>RTD("rtdtrading.rtdserver",, "T&amp;T1", "PRE", 92)</f>
        <v>5720</v>
      </c>
      <c r="K96">
        <f>RTD("rtdtrading.rtdserver",, "T&amp;T1", "QUL", 92)</f>
        <v>20</v>
      </c>
      <c r="N96">
        <f>RTD("rtdtrading.rtdserver",, "BOOK0", "VOC", 92)</f>
        <v>0</v>
      </c>
      <c r="O96">
        <f>RTD("rtdtrading.rtdserver",, "BOOK0", "OCP", 92)</f>
        <v>0</v>
      </c>
      <c r="P96">
        <f>RTD("rtdtrading.rtdserver",, "BOOK0", "OVD", 92)</f>
        <v>0</v>
      </c>
      <c r="Q96">
        <f>RTD("rtdtrading.rtdserver",, "BOOK0", "VOV", 92)</f>
        <v>0</v>
      </c>
      <c r="T96">
        <f>RTD("rtdtrading.rtdserver",, "BOOK1", "VOC", 92)</f>
        <v>0</v>
      </c>
      <c r="U96">
        <f>RTD("rtdtrading.rtdserver",, "BOOK1", "OCP", 92)</f>
        <v>0</v>
      </c>
      <c r="V96">
        <f>RTD("rtdtrading.rtdserver",, "BOOK1", "OVD", 92)</f>
        <v>0</v>
      </c>
      <c r="W96">
        <f>RTD("rtdtrading.rtdserver",, "BOOK1", "VOV", 92)</f>
        <v>0</v>
      </c>
    </row>
    <row r="97" spans="2:23" x14ac:dyDescent="0.25">
      <c r="B97" t="str">
        <f>RTD("rtdtrading.rtdserver",, "T&amp;T0", "DAT", 93)</f>
        <v>11:25:05</v>
      </c>
      <c r="C97" t="str">
        <f>RTD("rtdtrading.rtdserver",, "T&amp;T0", "AGR", 93)</f>
        <v>Comprador</v>
      </c>
      <c r="D97">
        <f>RTD("rtdtrading.rtdserver",, "T&amp;T0", "PRE", 93)</f>
        <v>5716</v>
      </c>
      <c r="E97">
        <f>RTD("rtdtrading.rtdserver",, "T&amp;T0", "QUL", 93)</f>
        <v>70</v>
      </c>
      <c r="H97" t="str">
        <f>RTD("rtdtrading.rtdserver",, "T&amp;T1", "DAT", 93)</f>
        <v>11:24:16</v>
      </c>
      <c r="I97" t="str">
        <f>RTD("rtdtrading.rtdserver",, "T&amp;T1", "AGR", 93)</f>
        <v>Comprador</v>
      </c>
      <c r="J97">
        <f>RTD("rtdtrading.rtdserver",, "T&amp;T1", "PRE", 93)</f>
        <v>5720</v>
      </c>
      <c r="K97">
        <f>RTD("rtdtrading.rtdserver",, "T&amp;T1", "QUL", 93)</f>
        <v>10</v>
      </c>
      <c r="N97">
        <f>RTD("rtdtrading.rtdserver",, "BOOK0", "VOC", 93)</f>
        <v>0</v>
      </c>
      <c r="O97">
        <f>RTD("rtdtrading.rtdserver",, "BOOK0", "OCP", 93)</f>
        <v>0</v>
      </c>
      <c r="P97">
        <f>RTD("rtdtrading.rtdserver",, "BOOK0", "OVD", 93)</f>
        <v>0</v>
      </c>
      <c r="Q97">
        <f>RTD("rtdtrading.rtdserver",, "BOOK0", "VOV", 93)</f>
        <v>0</v>
      </c>
      <c r="T97">
        <f>RTD("rtdtrading.rtdserver",, "BOOK1", "VOC", 93)</f>
        <v>0</v>
      </c>
      <c r="U97">
        <f>RTD("rtdtrading.rtdserver",, "BOOK1", "OCP", 93)</f>
        <v>0</v>
      </c>
      <c r="V97">
        <f>RTD("rtdtrading.rtdserver",, "BOOK1", "OVD", 93)</f>
        <v>0</v>
      </c>
      <c r="W97">
        <f>RTD("rtdtrading.rtdserver",, "BOOK1", "VOV", 93)</f>
        <v>0</v>
      </c>
    </row>
    <row r="98" spans="2:23" x14ac:dyDescent="0.25">
      <c r="B98" t="str">
        <f>RTD("rtdtrading.rtdserver",, "T&amp;T0", "DAT", 94)</f>
        <v>11:25:05</v>
      </c>
      <c r="C98" t="str">
        <f>RTD("rtdtrading.rtdserver",, "T&amp;T0", "AGR", 94)</f>
        <v>Comprador</v>
      </c>
      <c r="D98">
        <f>RTD("rtdtrading.rtdserver",, "T&amp;T0", "PRE", 94)</f>
        <v>5716</v>
      </c>
      <c r="E98">
        <f>RTD("rtdtrading.rtdserver",, "T&amp;T0", "QUL", 94)</f>
        <v>500</v>
      </c>
      <c r="H98" t="str">
        <f>RTD("rtdtrading.rtdserver",, "T&amp;T1", "DAT", 94)</f>
        <v>11:23:57</v>
      </c>
      <c r="I98" t="str">
        <f>RTD("rtdtrading.rtdserver",, "T&amp;T1", "AGR", 94)</f>
        <v>Vendedor</v>
      </c>
      <c r="J98">
        <f>RTD("rtdtrading.rtdserver",, "T&amp;T1", "PRE", 94)</f>
        <v>5719</v>
      </c>
      <c r="K98">
        <f>RTD("rtdtrading.rtdserver",, "T&amp;T1", "QUL", 94)</f>
        <v>5</v>
      </c>
      <c r="N98">
        <f>RTD("rtdtrading.rtdserver",, "BOOK0", "VOC", 94)</f>
        <v>0</v>
      </c>
      <c r="O98">
        <f>RTD("rtdtrading.rtdserver",, "BOOK0", "OCP", 94)</f>
        <v>0</v>
      </c>
      <c r="P98">
        <f>RTD("rtdtrading.rtdserver",, "BOOK0", "OVD", 94)</f>
        <v>0</v>
      </c>
      <c r="Q98">
        <f>RTD("rtdtrading.rtdserver",, "BOOK0", "VOV", 94)</f>
        <v>0</v>
      </c>
      <c r="T98">
        <f>RTD("rtdtrading.rtdserver",, "BOOK1", "VOC", 94)</f>
        <v>0</v>
      </c>
      <c r="U98">
        <f>RTD("rtdtrading.rtdserver",, "BOOK1", "OCP", 94)</f>
        <v>0</v>
      </c>
      <c r="V98">
        <f>RTD("rtdtrading.rtdserver",, "BOOK1", "OVD", 94)</f>
        <v>0</v>
      </c>
      <c r="W98">
        <f>RTD("rtdtrading.rtdserver",, "BOOK1", "VOV", 94)</f>
        <v>0</v>
      </c>
    </row>
    <row r="99" spans="2:23" x14ac:dyDescent="0.25">
      <c r="B99" t="str">
        <f>RTD("rtdtrading.rtdserver",, "T&amp;T0", "DAT", 95)</f>
        <v>11:25:05</v>
      </c>
      <c r="C99" t="str">
        <f>RTD("rtdtrading.rtdserver",, "T&amp;T0", "AGR", 95)</f>
        <v>Vendedor</v>
      </c>
      <c r="D99">
        <f>RTD("rtdtrading.rtdserver",, "T&amp;T0", "PRE", 95)</f>
        <v>5716</v>
      </c>
      <c r="E99">
        <f>RTD("rtdtrading.rtdserver",, "T&amp;T0", "QUL", 95)</f>
        <v>154</v>
      </c>
      <c r="H99" t="str">
        <f>RTD("rtdtrading.rtdserver",, "T&amp;T1", "DAT", 95)</f>
        <v>11:23:56</v>
      </c>
      <c r="I99" t="str">
        <f>RTD("rtdtrading.rtdserver",, "T&amp;T1", "AGR", 95)</f>
        <v>Comprador</v>
      </c>
      <c r="J99">
        <f>RTD("rtdtrading.rtdserver",, "T&amp;T1", "PRE", 95)</f>
        <v>5718.5</v>
      </c>
      <c r="K99">
        <f>RTD("rtdtrading.rtdserver",, "T&amp;T1", "QUL", 95)</f>
        <v>5</v>
      </c>
      <c r="N99">
        <f>RTD("rtdtrading.rtdserver",, "BOOK0", "VOC", 95)</f>
        <v>0</v>
      </c>
      <c r="O99">
        <f>RTD("rtdtrading.rtdserver",, "BOOK0", "OCP", 95)</f>
        <v>0</v>
      </c>
      <c r="P99">
        <f>RTD("rtdtrading.rtdserver",, "BOOK0", "OVD", 95)</f>
        <v>0</v>
      </c>
      <c r="Q99">
        <f>RTD("rtdtrading.rtdserver",, "BOOK0", "VOV", 95)</f>
        <v>0</v>
      </c>
      <c r="T99">
        <f>RTD("rtdtrading.rtdserver",, "BOOK1", "VOC", 95)</f>
        <v>0</v>
      </c>
      <c r="U99">
        <f>RTD("rtdtrading.rtdserver",, "BOOK1", "OCP", 95)</f>
        <v>0</v>
      </c>
      <c r="V99">
        <f>RTD("rtdtrading.rtdserver",, "BOOK1", "OVD", 95)</f>
        <v>0</v>
      </c>
      <c r="W99">
        <f>RTD("rtdtrading.rtdserver",, "BOOK1", "VOV", 95)</f>
        <v>0</v>
      </c>
    </row>
    <row r="100" spans="2:23" x14ac:dyDescent="0.25">
      <c r="B100" t="str">
        <f>RTD("rtdtrading.rtdserver",, "T&amp;T0", "DAT", 96)</f>
        <v>11:25:03</v>
      </c>
      <c r="C100" t="str">
        <f>RTD("rtdtrading.rtdserver",, "T&amp;T0", "AGR", 96)</f>
        <v>Vendedor</v>
      </c>
      <c r="D100">
        <f>RTD("rtdtrading.rtdserver",, "T&amp;T0", "PRE", 96)</f>
        <v>5716</v>
      </c>
      <c r="E100">
        <f>RTD("rtdtrading.rtdserver",, "T&amp;T0", "QUL", 96)</f>
        <v>99</v>
      </c>
      <c r="H100" t="str">
        <f>RTD("rtdtrading.rtdserver",, "T&amp;T1", "DAT", 96)</f>
        <v>11:23:56</v>
      </c>
      <c r="I100" t="str">
        <f>RTD("rtdtrading.rtdserver",, "T&amp;T1", "AGR", 96)</f>
        <v>Vendedor</v>
      </c>
      <c r="J100">
        <f>RTD("rtdtrading.rtdserver",, "T&amp;T1", "PRE", 96)</f>
        <v>5718.5</v>
      </c>
      <c r="K100">
        <f>RTD("rtdtrading.rtdserver",, "T&amp;T1", "QUL", 96)</f>
        <v>40</v>
      </c>
      <c r="N100">
        <f>RTD("rtdtrading.rtdserver",, "BOOK0", "VOC", 96)</f>
        <v>0</v>
      </c>
      <c r="O100">
        <f>RTD("rtdtrading.rtdserver",, "BOOK0", "OCP", 96)</f>
        <v>0</v>
      </c>
      <c r="P100">
        <f>RTD("rtdtrading.rtdserver",, "BOOK0", "OVD", 96)</f>
        <v>0</v>
      </c>
      <c r="Q100">
        <f>RTD("rtdtrading.rtdserver",, "BOOK0", "VOV", 96)</f>
        <v>0</v>
      </c>
      <c r="T100">
        <f>RTD("rtdtrading.rtdserver",, "BOOK1", "VOC", 96)</f>
        <v>0</v>
      </c>
      <c r="U100">
        <f>RTD("rtdtrading.rtdserver",, "BOOK1", "OCP", 96)</f>
        <v>0</v>
      </c>
      <c r="V100">
        <f>RTD("rtdtrading.rtdserver",, "BOOK1", "OVD", 96)</f>
        <v>0</v>
      </c>
      <c r="W100">
        <f>RTD("rtdtrading.rtdserver",, "BOOK1", "VOV", 96)</f>
        <v>0</v>
      </c>
    </row>
    <row r="101" spans="2:23" x14ac:dyDescent="0.25">
      <c r="B101" t="str">
        <f>RTD("rtdtrading.rtdserver",, "T&amp;T0", "DAT", 97)</f>
        <v>11:25:03</v>
      </c>
      <c r="C101" t="str">
        <f>RTD("rtdtrading.rtdserver",, "T&amp;T0", "AGR", 97)</f>
        <v>Comprador</v>
      </c>
      <c r="D101">
        <f>RTD("rtdtrading.rtdserver",, "T&amp;T0", "PRE", 97)</f>
        <v>5717</v>
      </c>
      <c r="E101">
        <f>RTD("rtdtrading.rtdserver",, "T&amp;T0", "QUL", 97)</f>
        <v>200</v>
      </c>
      <c r="H101" t="str">
        <f>RTD("rtdtrading.rtdserver",, "T&amp;T1", "DAT", 97)</f>
        <v>11:23:56</v>
      </c>
      <c r="I101" t="str">
        <f>RTD("rtdtrading.rtdserver",, "T&amp;T1", "AGR", 97)</f>
        <v>Vendedor</v>
      </c>
      <c r="J101">
        <f>RTD("rtdtrading.rtdserver",, "T&amp;T1", "PRE", 97)</f>
        <v>5718.5</v>
      </c>
      <c r="K101">
        <f>RTD("rtdtrading.rtdserver",, "T&amp;T1", "QUL", 97)</f>
        <v>5</v>
      </c>
      <c r="N101">
        <f>RTD("rtdtrading.rtdserver",, "BOOK0", "VOC", 97)</f>
        <v>0</v>
      </c>
      <c r="O101">
        <f>RTD("rtdtrading.rtdserver",, "BOOK0", "OCP", 97)</f>
        <v>0</v>
      </c>
      <c r="P101">
        <f>RTD("rtdtrading.rtdserver",, "BOOK0", "OVD", 97)</f>
        <v>0</v>
      </c>
      <c r="Q101">
        <f>RTD("rtdtrading.rtdserver",, "BOOK0", "VOV", 97)</f>
        <v>0</v>
      </c>
      <c r="T101">
        <f>RTD("rtdtrading.rtdserver",, "BOOK1", "VOC", 97)</f>
        <v>0</v>
      </c>
      <c r="U101">
        <f>RTD("rtdtrading.rtdserver",, "BOOK1", "OCP", 97)</f>
        <v>0</v>
      </c>
      <c r="V101">
        <f>RTD("rtdtrading.rtdserver",, "BOOK1", "OVD", 97)</f>
        <v>0</v>
      </c>
      <c r="W101">
        <f>RTD("rtdtrading.rtdserver",, "BOOK1", "VOV", 97)</f>
        <v>0</v>
      </c>
    </row>
    <row r="102" spans="2:23" x14ac:dyDescent="0.25">
      <c r="B102" t="str">
        <f>RTD("rtdtrading.rtdserver",, "T&amp;T0", "DAT", 98)</f>
        <v>11:25:02</v>
      </c>
      <c r="C102" t="str">
        <f>RTD("rtdtrading.rtdserver",, "T&amp;T0", "AGR", 98)</f>
        <v>Vendedor</v>
      </c>
      <c r="D102">
        <f>RTD("rtdtrading.rtdserver",, "T&amp;T0", "PRE", 98)</f>
        <v>5716</v>
      </c>
      <c r="E102">
        <f>RTD("rtdtrading.rtdserver",, "T&amp;T0", "QUL", 98)</f>
        <v>101</v>
      </c>
      <c r="H102" t="str">
        <f>RTD("rtdtrading.rtdserver",, "T&amp;T1", "DAT", 98)</f>
        <v>11:23:51</v>
      </c>
      <c r="I102" t="str">
        <f>RTD("rtdtrading.rtdserver",, "T&amp;T1", "AGR", 98)</f>
        <v>Comprador</v>
      </c>
      <c r="J102">
        <f>RTD("rtdtrading.rtdserver",, "T&amp;T1", "PRE", 98)</f>
        <v>5719</v>
      </c>
      <c r="K102">
        <f>RTD("rtdtrading.rtdserver",, "T&amp;T1", "QUL", 98)</f>
        <v>60</v>
      </c>
      <c r="N102">
        <f>RTD("rtdtrading.rtdserver",, "BOOK0", "VOC", 98)</f>
        <v>0</v>
      </c>
      <c r="O102">
        <f>RTD("rtdtrading.rtdserver",, "BOOK0", "OCP", 98)</f>
        <v>0</v>
      </c>
      <c r="P102">
        <f>RTD("rtdtrading.rtdserver",, "BOOK0", "OVD", 98)</f>
        <v>0</v>
      </c>
      <c r="Q102">
        <f>RTD("rtdtrading.rtdserver",, "BOOK0", "VOV", 98)</f>
        <v>0</v>
      </c>
      <c r="T102">
        <f>RTD("rtdtrading.rtdserver",, "BOOK1", "VOC", 98)</f>
        <v>0</v>
      </c>
      <c r="U102">
        <f>RTD("rtdtrading.rtdserver",, "BOOK1", "OCP", 98)</f>
        <v>0</v>
      </c>
      <c r="V102">
        <f>RTD("rtdtrading.rtdserver",, "BOOK1", "OVD", 98)</f>
        <v>0</v>
      </c>
      <c r="W102">
        <f>RTD("rtdtrading.rtdserver",, "BOOK1", "VOV", 98)</f>
        <v>0</v>
      </c>
    </row>
    <row r="103" spans="2:23" x14ac:dyDescent="0.25">
      <c r="B103" t="str">
        <f>RTD("rtdtrading.rtdserver",, "T&amp;T0", "DAT", 99)</f>
        <v>11:25:01</v>
      </c>
      <c r="C103" t="str">
        <f>RTD("rtdtrading.rtdserver",, "T&amp;T0", "AGR", 99)</f>
        <v>Comprador</v>
      </c>
      <c r="D103">
        <f>RTD("rtdtrading.rtdserver",, "T&amp;T0", "PRE", 99)</f>
        <v>5716.5</v>
      </c>
      <c r="E103">
        <f>RTD("rtdtrading.rtdserver",, "T&amp;T0", "QUL", 99)</f>
        <v>71</v>
      </c>
      <c r="H103" t="str">
        <f>RTD("rtdtrading.rtdserver",, "T&amp;T1", "DAT", 99)</f>
        <v>11:23:51</v>
      </c>
      <c r="I103" t="str">
        <f>RTD("rtdtrading.rtdserver",, "T&amp;T1", "AGR", 99)</f>
        <v>Comprador</v>
      </c>
      <c r="J103">
        <f>RTD("rtdtrading.rtdserver",, "T&amp;T1", "PRE", 99)</f>
        <v>5719</v>
      </c>
      <c r="K103">
        <f>RTD("rtdtrading.rtdserver",, "T&amp;T1", "QUL", 99)</f>
        <v>10</v>
      </c>
      <c r="N103">
        <f>RTD("rtdtrading.rtdserver",, "BOOK0", "VOC", 99)</f>
        <v>0</v>
      </c>
      <c r="O103">
        <f>RTD("rtdtrading.rtdserver",, "BOOK0", "OCP", 99)</f>
        <v>0</v>
      </c>
      <c r="P103">
        <f>RTD("rtdtrading.rtdserver",, "BOOK0", "OVD", 99)</f>
        <v>0</v>
      </c>
      <c r="Q103">
        <f>RTD("rtdtrading.rtdserver",, "BOOK0", "VOV", 99)</f>
        <v>0</v>
      </c>
      <c r="T103">
        <f>RTD("rtdtrading.rtdserver",, "BOOK1", "VOC", 99)</f>
        <v>0</v>
      </c>
      <c r="U103">
        <f>RTD("rtdtrading.rtdserver",, "BOOK1", "OCP", 99)</f>
        <v>0</v>
      </c>
      <c r="V103">
        <f>RTD("rtdtrading.rtdserver",, "BOOK1", "OVD", 99)</f>
        <v>0</v>
      </c>
      <c r="W103">
        <f>RTD("rtdtrading.rtdserver",, "BOOK1", "VOV", 99)</f>
        <v>0</v>
      </c>
    </row>
  </sheetData>
  <mergeCells count="4">
    <mergeCell ref="N1:Q1"/>
    <mergeCell ref="T1:W1"/>
    <mergeCell ref="B1:E1"/>
    <mergeCell ref="H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RTD_READY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Neves Teixeira</dc:creator>
  <cp:lastModifiedBy>Denis Neves Teixeira</cp:lastModifiedBy>
  <dcterms:created xsi:type="dcterms:W3CDTF">2025-04-22T13:18:34Z</dcterms:created>
  <dcterms:modified xsi:type="dcterms:W3CDTF">2025-05-06T15:31:19Z</dcterms:modified>
</cp:coreProperties>
</file>