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/>
  <mc:AlternateContent xmlns:mc="http://schemas.openxmlformats.org/markup-compatibility/2006">
    <mc:Choice Requires="x15">
      <x15ac:absPath xmlns:x15ac="http://schemas.microsoft.com/office/spreadsheetml/2010/11/ac" url="C:\Users\lenovo\Desktop\房地产评估标准底稿（2019年2季度）5月9日\2、土地评估计算表\"/>
    </mc:Choice>
  </mc:AlternateContent>
  <xr:revisionPtr revIDLastSave="0" documentId="13_ncr:1_{84BE4F62-3200-4215-9C0D-69865F5B9067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假设开发法" sheetId="1" r:id="rId1"/>
    <sheet name="宗地位置图" sheetId="2" r:id="rId2"/>
    <sheet name="销售单价计算" sheetId="3" r:id="rId3"/>
    <sheet name="新案例" sheetId="9" r:id="rId4"/>
    <sheet name="案例" sheetId="4" state="hidden" r:id="rId5"/>
    <sheet name="前期工程费" sheetId="7" r:id="rId6"/>
    <sheet name="Sheet3" sheetId="5" state="hidden" r:id="rId7"/>
    <sheet name="规费文件" sheetId="6" r:id="rId8"/>
    <sheet name="李杰审核意见" sheetId="8" r:id="rId9"/>
  </sheets>
  <externalReferences>
    <externalReference r:id="rId10"/>
    <externalReference r:id="rId11"/>
    <externalReference r:id="rId12"/>
  </externalReferences>
  <calcPr calcId="181029" fullPrecision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79" i="9" l="1"/>
  <c r="E178" i="9"/>
  <c r="D110" i="9"/>
  <c r="E107" i="9"/>
  <c r="E106" i="9"/>
  <c r="G36" i="1" l="1"/>
  <c r="E36" i="1"/>
  <c r="M12" i="3" l="1"/>
  <c r="D86" i="4" l="1"/>
  <c r="D85" i="4"/>
  <c r="F15" i="1"/>
  <c r="D87" i="4" l="1"/>
  <c r="D88" i="4" s="1"/>
  <c r="C5" i="5"/>
  <c r="D13" i="5" s="1"/>
  <c r="D9" i="7"/>
  <c r="F13" i="1" s="1"/>
  <c r="E5" i="7"/>
  <c r="E6" i="7" s="1"/>
  <c r="F6" i="7" s="1"/>
  <c r="E4" i="7"/>
  <c r="F4" i="7" s="1"/>
  <c r="E3" i="7"/>
  <c r="F3" i="7" s="1"/>
  <c r="M25" i="3"/>
  <c r="L25" i="3"/>
  <c r="K25" i="3"/>
  <c r="M24" i="3"/>
  <c r="L24" i="3"/>
  <c r="K24" i="3"/>
  <c r="M23" i="3"/>
  <c r="L23" i="3"/>
  <c r="K23" i="3"/>
  <c r="M22" i="3"/>
  <c r="L22" i="3"/>
  <c r="K22" i="3"/>
  <c r="M21" i="3"/>
  <c r="L21" i="3"/>
  <c r="K21" i="3"/>
  <c r="M20" i="3"/>
  <c r="L20" i="3"/>
  <c r="K20" i="3"/>
  <c r="M19" i="3"/>
  <c r="L19" i="3"/>
  <c r="K19" i="3"/>
  <c r="M18" i="3"/>
  <c r="L18" i="3"/>
  <c r="K18" i="3"/>
  <c r="M17" i="3"/>
  <c r="L17" i="3"/>
  <c r="K17" i="3"/>
  <c r="M16" i="3"/>
  <c r="L16" i="3"/>
  <c r="K16" i="3"/>
  <c r="M15" i="3"/>
  <c r="L15" i="3"/>
  <c r="K15" i="3"/>
  <c r="M14" i="3"/>
  <c r="L14" i="3"/>
  <c r="K14" i="3"/>
  <c r="M13" i="3"/>
  <c r="L13" i="3"/>
  <c r="K13" i="3"/>
  <c r="L12" i="3"/>
  <c r="K12" i="3"/>
  <c r="M11" i="3"/>
  <c r="L11" i="3"/>
  <c r="K11" i="3"/>
  <c r="M10" i="3"/>
  <c r="L10" i="3"/>
  <c r="K10" i="3"/>
  <c r="M9" i="3"/>
  <c r="L9" i="3"/>
  <c r="K9" i="3"/>
  <c r="M8" i="3"/>
  <c r="L8" i="3"/>
  <c r="K8" i="3"/>
  <c r="M7" i="3"/>
  <c r="L7" i="3"/>
  <c r="K7" i="3"/>
  <c r="M6" i="3"/>
  <c r="L6" i="3"/>
  <c r="K6" i="3"/>
  <c r="M5" i="3"/>
  <c r="L5" i="3"/>
  <c r="K5" i="3"/>
  <c r="M4" i="3"/>
  <c r="O13" i="3" s="1"/>
  <c r="J4" i="3"/>
  <c r="J26" i="3" s="1"/>
  <c r="M26" i="3" s="1"/>
  <c r="I4" i="3"/>
  <c r="I26" i="3" s="1"/>
  <c r="L26" i="3" s="1"/>
  <c r="H4" i="3"/>
  <c r="K4" i="3" s="1"/>
  <c r="G3" i="3"/>
  <c r="I31" i="1"/>
  <c r="H30" i="1"/>
  <c r="I30" i="1" s="1"/>
  <c r="J27" i="1"/>
  <c r="H27" i="1"/>
  <c r="H21" i="1"/>
  <c r="E21" i="1"/>
  <c r="J18" i="1"/>
  <c r="I18" i="1"/>
  <c r="H18" i="1"/>
  <c r="D5" i="1"/>
  <c r="D17" i="1" l="1"/>
  <c r="D15" i="1"/>
  <c r="D14" i="1"/>
  <c r="D13" i="1"/>
  <c r="D8" i="1"/>
  <c r="D6" i="1" s="1"/>
  <c r="F6" i="1" s="1"/>
  <c r="D9" i="1" s="1"/>
  <c r="D16" i="1" s="1"/>
  <c r="M5" i="1"/>
  <c r="K18" i="1"/>
  <c r="D6" i="5"/>
  <c r="D10" i="5"/>
  <c r="D12" i="5"/>
  <c r="E7" i="7"/>
  <c r="F7" i="7" s="1"/>
  <c r="H26" i="3"/>
  <c r="K26" i="3" s="1"/>
  <c r="K27" i="3" s="1"/>
  <c r="D7" i="1"/>
  <c r="L4" i="3"/>
  <c r="O12" i="3" s="1"/>
  <c r="O14" i="3" s="1"/>
  <c r="D7" i="5"/>
  <c r="E8" i="7"/>
  <c r="F8" i="7" s="1"/>
  <c r="D8" i="5"/>
  <c r="D9" i="5"/>
  <c r="F5" i="7"/>
  <c r="C4" i="5"/>
  <c r="K28" i="3" l="1"/>
  <c r="D10" i="1" s="1"/>
  <c r="D11" i="1"/>
  <c r="F9" i="7"/>
  <c r="D22" i="1"/>
  <c r="M6" i="1"/>
  <c r="D12" i="1" l="1"/>
  <c r="D18" i="1"/>
  <c r="D20" i="1" l="1"/>
  <c r="D19" i="1"/>
  <c r="D23" i="1" s="1"/>
  <c r="D24" i="1" s="1"/>
  <c r="D35" i="1" s="1"/>
  <c r="D21" i="1"/>
  <c r="D34" i="1" l="1"/>
  <c r="D36" i="1" s="1"/>
  <c r="D41" i="1" s="1"/>
  <c r="D37" i="1" l="1"/>
  <c r="G37" i="1"/>
</calcChain>
</file>

<file path=xl/sharedStrings.xml><?xml version="1.0" encoding="utf-8"?>
<sst xmlns="http://schemas.openxmlformats.org/spreadsheetml/2006/main" count="271" uniqueCount="199">
  <si>
    <t>产权持有单位：南京国信地产开发有限公司</t>
  </si>
  <si>
    <r>
      <rPr>
        <sz val="10"/>
        <rFont val="宋体"/>
        <family val="3"/>
        <charset val="134"/>
      </rPr>
      <t>评估基准日</t>
    </r>
    <r>
      <rPr>
        <sz val="10"/>
        <rFont val="Arial"/>
        <family val="2"/>
      </rPr>
      <t>:</t>
    </r>
  </si>
  <si>
    <t>序号</t>
  </si>
  <si>
    <t>项目</t>
  </si>
  <si>
    <t>参数</t>
  </si>
  <si>
    <t>基本资料</t>
  </si>
  <si>
    <t>土地面积</t>
  </si>
  <si>
    <t>容积率</t>
  </si>
  <si>
    <t>每户面积</t>
  </si>
  <si>
    <t>户数</t>
  </si>
  <si>
    <t>地上总建筑面积</t>
  </si>
  <si>
    <t>户均面积</t>
  </si>
  <si>
    <t>上叠建筑面积</t>
  </si>
  <si>
    <t>下叠建筑面积</t>
  </si>
  <si>
    <t>物业用房面积</t>
  </si>
  <si>
    <t>地下车库面积</t>
  </si>
  <si>
    <t>销售单价、总价</t>
  </si>
  <si>
    <t>上叠平均售价</t>
  </si>
  <si>
    <t>下叠平均售价</t>
  </si>
  <si>
    <t>不动产销售总价</t>
  </si>
  <si>
    <t>开发成本</t>
  </si>
  <si>
    <t>按计容建筑面积计</t>
  </si>
  <si>
    <t>市政基础设施配套费</t>
  </si>
  <si>
    <t>市政基础设施配套费单价</t>
  </si>
  <si>
    <t>地下工程建安工程单价</t>
  </si>
  <si>
    <t>公共基础设施建设费</t>
  </si>
  <si>
    <t>投资利息</t>
  </si>
  <si>
    <t>利息</t>
  </si>
  <si>
    <t>开发周期</t>
  </si>
  <si>
    <t>相关税费</t>
  </si>
  <si>
    <t>销售费用</t>
  </si>
  <si>
    <r>
      <rPr>
        <sz val="10"/>
        <rFont val="宋体"/>
        <family val="3"/>
        <charset val="134"/>
      </rPr>
      <t>不动产总价的</t>
    </r>
    <r>
      <rPr>
        <sz val="10"/>
        <rFont val="Arial"/>
        <family val="2"/>
      </rPr>
      <t>2%</t>
    </r>
  </si>
  <si>
    <r>
      <rPr>
        <sz val="12"/>
        <rFont val="Arial"/>
        <family val="2"/>
      </rPr>
      <t>3-4%(</t>
    </r>
    <r>
      <rPr>
        <sz val="11"/>
        <color theme="1"/>
        <rFont val="等线"/>
        <family val="3"/>
        <charset val="134"/>
        <scheme val="minor"/>
      </rPr>
      <t>不含土地成本</t>
    </r>
    <r>
      <rPr>
        <sz val="12"/>
        <rFont val="Arial"/>
        <family val="2"/>
      </rPr>
      <t>)</t>
    </r>
  </si>
  <si>
    <t>开发利润</t>
  </si>
  <si>
    <r>
      <rPr>
        <sz val="10"/>
        <rFont val="宋体"/>
        <family val="3"/>
        <charset val="134"/>
      </rPr>
      <t>开发成本、地价的</t>
    </r>
    <r>
      <rPr>
        <sz val="14"/>
        <rFont val="Times New Roman"/>
        <family val="1"/>
      </rPr>
      <t>15%</t>
    </r>
  </si>
  <si>
    <t>总地价</t>
  </si>
  <si>
    <t>单价</t>
  </si>
  <si>
    <t>待估宗地价值＝项目开发完成后的房地产价值－项目开发建设成本－利息－管理费用－销售费用－销售税金－合理开发利润-购地契税</t>
  </si>
  <si>
    <t>评估人员：吕春琴</t>
  </si>
  <si>
    <r>
      <rPr>
        <sz val="10"/>
        <rFont val="宋体"/>
        <family val="3"/>
        <charset val="134"/>
      </rPr>
      <t>日期：</t>
    </r>
    <r>
      <rPr>
        <sz val="10"/>
        <rFont val="Arial"/>
        <family val="2"/>
      </rPr>
      <t>2018</t>
    </r>
    <r>
      <rPr>
        <sz val="10"/>
        <rFont val="宋体"/>
        <family val="3"/>
        <charset val="134"/>
      </rPr>
      <t>年</t>
    </r>
    <r>
      <rPr>
        <sz val="10"/>
        <rFont val="Arial"/>
        <family val="2"/>
      </rPr>
      <t>7</t>
    </r>
    <r>
      <rPr>
        <sz val="10"/>
        <rFont val="宋体"/>
        <family val="3"/>
        <charset val="134"/>
      </rPr>
      <t>月</t>
    </r>
    <r>
      <rPr>
        <sz val="10"/>
        <rFont val="Arial"/>
        <family val="2"/>
      </rPr>
      <t>25</t>
    </r>
    <r>
      <rPr>
        <sz val="10"/>
        <rFont val="宋体"/>
        <family val="3"/>
        <charset val="134"/>
      </rPr>
      <t>日</t>
    </r>
  </si>
  <si>
    <t>房地产市场法评估（住宅）评估计算表</t>
  </si>
  <si>
    <t>索引号：C4-6-1/Z3</t>
  </si>
  <si>
    <t>修正因素</t>
  </si>
  <si>
    <r>
      <rPr>
        <sz val="10"/>
        <rFont val="宋体"/>
        <family val="3"/>
        <charset val="134"/>
      </rPr>
      <t>委估对象</t>
    </r>
  </si>
  <si>
    <r>
      <rPr>
        <sz val="10"/>
        <rFont val="宋体"/>
        <family val="3"/>
        <charset val="134"/>
      </rPr>
      <t>案例</t>
    </r>
    <r>
      <rPr>
        <sz val="10"/>
        <rFont val="Arial"/>
        <family val="2"/>
      </rPr>
      <t>A</t>
    </r>
  </si>
  <si>
    <r>
      <rPr>
        <sz val="10"/>
        <rFont val="宋体"/>
        <family val="3"/>
        <charset val="134"/>
      </rPr>
      <t>案例</t>
    </r>
    <r>
      <rPr>
        <sz val="10"/>
        <rFont val="Arial"/>
        <family val="2"/>
      </rPr>
      <t>B</t>
    </r>
  </si>
  <si>
    <r>
      <rPr>
        <sz val="10"/>
        <rFont val="宋体"/>
        <family val="3"/>
        <charset val="134"/>
      </rPr>
      <t>案例</t>
    </r>
    <r>
      <rPr>
        <sz val="10"/>
        <rFont val="Arial"/>
        <family val="2"/>
      </rPr>
      <t>C</t>
    </r>
  </si>
  <si>
    <t>案例B</t>
  </si>
  <si>
    <t>案例C</t>
  </si>
  <si>
    <t>地    址</t>
  </si>
  <si>
    <t>宏运大道2298号下叠</t>
  </si>
  <si>
    <t>国信秦淮绿洲叠加别墅下叠</t>
  </si>
  <si>
    <t>国信秦淮绿洲叠加别墅上叠</t>
  </si>
  <si>
    <t>国信秦淮绿洲叠加别墅</t>
  </si>
  <si>
    <t>交易价格（不含税）</t>
  </si>
  <si>
    <t>待估</t>
  </si>
  <si>
    <t>市场状况</t>
  </si>
  <si>
    <t>2018-07-10</t>
  </si>
  <si>
    <t>2018-07-19</t>
  </si>
  <si>
    <t>2018-07-12</t>
  </si>
  <si>
    <t>交易情况</t>
  </si>
  <si>
    <t>正常</t>
  </si>
  <si>
    <t>区位状况</t>
  </si>
  <si>
    <t>商业配套设施</t>
  </si>
  <si>
    <t>区域内无大型商业配套设施，只有小区周边的商业配套</t>
  </si>
  <si>
    <t>规划设计</t>
  </si>
  <si>
    <t>小区布局整齐、建筑密度低、绿化条件较优</t>
  </si>
  <si>
    <t>交通条件</t>
  </si>
  <si>
    <r>
      <rPr>
        <sz val="9"/>
        <color rgb="FF000000"/>
        <rFont val="宋体"/>
        <family val="3"/>
        <charset val="134"/>
      </rPr>
      <t>区域内有地铁</t>
    </r>
    <r>
      <rPr>
        <sz val="9"/>
        <color rgb="FF000000"/>
        <rFont val="Arial"/>
        <family val="2"/>
      </rPr>
      <t>1</t>
    </r>
    <r>
      <rPr>
        <sz val="9"/>
        <color rgb="FF000000"/>
        <rFont val="宋体"/>
        <family val="3"/>
        <charset val="134"/>
      </rPr>
      <t>号南延线及公交车，公共交通便利度好</t>
    </r>
  </si>
  <si>
    <t>教育医疗设施</t>
  </si>
  <si>
    <t>区域内有东山小学、岔路学校，公用设施便利度较好</t>
  </si>
  <si>
    <t>周围环境</t>
  </si>
  <si>
    <t>自然环境较好</t>
  </si>
  <si>
    <t>楼层</t>
  </si>
  <si>
    <t>-1-2</t>
  </si>
  <si>
    <t>3-4</t>
  </si>
  <si>
    <t>朝向</t>
  </si>
  <si>
    <t>朝南</t>
  </si>
  <si>
    <t>权益状况</t>
  </si>
  <si>
    <t>规划条件</t>
  </si>
  <si>
    <t>无限制</t>
  </si>
  <si>
    <t>土地使用期限</t>
  </si>
  <si>
    <t>租赁情况</t>
  </si>
  <si>
    <t>无租约</t>
  </si>
  <si>
    <t>实物状况</t>
  </si>
  <si>
    <t>建筑面积</t>
  </si>
  <si>
    <r>
      <rPr>
        <sz val="10"/>
        <rFont val="Arial"/>
        <family val="2"/>
      </rPr>
      <t>180</t>
    </r>
    <r>
      <rPr>
        <sz val="10"/>
        <rFont val="宋体"/>
        <family val="3"/>
        <charset val="134"/>
      </rPr>
      <t>平方米，面积适中</t>
    </r>
  </si>
  <si>
    <r>
      <rPr>
        <sz val="10"/>
        <rFont val="Arial"/>
        <family val="2"/>
      </rPr>
      <t>205</t>
    </r>
    <r>
      <rPr>
        <sz val="10"/>
        <rFont val="宋体"/>
        <family val="3"/>
        <charset val="134"/>
      </rPr>
      <t>平方米，面积适中</t>
    </r>
  </si>
  <si>
    <r>
      <rPr>
        <sz val="10"/>
        <rFont val="Arial"/>
        <family val="2"/>
      </rPr>
      <t>177.39</t>
    </r>
    <r>
      <rPr>
        <sz val="10"/>
        <rFont val="宋体"/>
        <family val="3"/>
        <charset val="134"/>
      </rPr>
      <t>平方米，面积适中</t>
    </r>
  </si>
  <si>
    <r>
      <rPr>
        <sz val="10"/>
        <rFont val="Arial"/>
        <family val="2"/>
      </rPr>
      <t>167</t>
    </r>
    <r>
      <rPr>
        <sz val="10"/>
        <rFont val="宋体"/>
        <family val="3"/>
        <charset val="134"/>
      </rPr>
      <t>平方米，面积较适中</t>
    </r>
  </si>
  <si>
    <t>建筑结构</t>
  </si>
  <si>
    <t>建筑标准较高，钢混结构</t>
  </si>
  <si>
    <t>建造年代</t>
  </si>
  <si>
    <r>
      <rPr>
        <sz val="10"/>
        <rFont val="Arial"/>
        <family val="2"/>
      </rPr>
      <t>2005</t>
    </r>
    <r>
      <rPr>
        <sz val="10"/>
        <rFont val="宋体"/>
        <family val="3"/>
        <charset val="134"/>
      </rPr>
      <t>年建成，成新一般</t>
    </r>
  </si>
  <si>
    <r>
      <rPr>
        <sz val="10"/>
        <rFont val="Arial"/>
        <family val="2"/>
      </rPr>
      <t>2010</t>
    </r>
    <r>
      <rPr>
        <sz val="10"/>
        <rFont val="宋体"/>
        <family val="3"/>
        <charset val="134"/>
      </rPr>
      <t>年建成，成新较优</t>
    </r>
  </si>
  <si>
    <t>层高</t>
  </si>
  <si>
    <r>
      <rPr>
        <sz val="10"/>
        <rFont val="Arial"/>
        <family val="2"/>
      </rPr>
      <t>2.8</t>
    </r>
    <r>
      <rPr>
        <sz val="10"/>
        <rFont val="宋体"/>
        <family val="3"/>
        <charset val="134"/>
      </rPr>
      <t>米</t>
    </r>
  </si>
  <si>
    <t>空间布局</t>
  </si>
  <si>
    <t>空间布局较优</t>
  </si>
  <si>
    <t>停车便利度</t>
  </si>
  <si>
    <t>配有停车位</t>
  </si>
  <si>
    <t>物业管理</t>
  </si>
  <si>
    <r>
      <rPr>
        <sz val="10"/>
        <rFont val="宋体"/>
        <family val="3"/>
        <charset val="134"/>
      </rPr>
      <t>管理及服务优</t>
    </r>
  </si>
  <si>
    <t>装饰装修</t>
  </si>
  <si>
    <t>毛坯</t>
  </si>
  <si>
    <t>精装</t>
  </si>
  <si>
    <t>设备设施</t>
  </si>
  <si>
    <t>水、电、气等设施齐全</t>
  </si>
  <si>
    <t>修正后单价</t>
  </si>
  <si>
    <t>下叠修正后平均单价</t>
  </si>
  <si>
    <t>上叠修正后平均单价</t>
  </si>
  <si>
    <t>评估人员：</t>
  </si>
  <si>
    <t>日期：</t>
  </si>
  <si>
    <t>复核人：</t>
  </si>
  <si>
    <t>http://nj.sell.house365.com/district/dl_p2-kw%B9%FA%D0%C5%C7%D8%BB%B4%C2%CC%D6%DE.html</t>
  </si>
  <si>
    <t>A</t>
  </si>
  <si>
    <t>B</t>
  </si>
  <si>
    <t>C</t>
  </si>
  <si>
    <t>科目</t>
  </si>
  <si>
    <t>费用标准   （元/㎡）</t>
  </si>
  <si>
    <t>面积 （㎡）</t>
  </si>
  <si>
    <t>金额
（元）</t>
  </si>
  <si>
    <t>备注</t>
  </si>
  <si>
    <t>地质勘察费</t>
  </si>
  <si>
    <t>工程招标费</t>
  </si>
  <si>
    <t>工程监理费</t>
  </si>
  <si>
    <t>环境影响评价费</t>
  </si>
  <si>
    <t>消防设施审查费</t>
  </si>
  <si>
    <t>合    计</t>
  </si>
  <si>
    <t>秦淮绿洲实际开发指标（北区、西区、东区）</t>
  </si>
  <si>
    <t>各类物业占比</t>
  </si>
  <si>
    <t>总用地面积</t>
  </si>
  <si>
    <t>实际开发总建筑面积 （不含地下车库面积）</t>
  </si>
  <si>
    <t xml:space="preserve">其中叠加面积 </t>
  </si>
  <si>
    <t>联排别墅</t>
  </si>
  <si>
    <t>双拼面积</t>
  </si>
  <si>
    <t>独栋面积</t>
  </si>
  <si>
    <t>小高层面积</t>
  </si>
  <si>
    <t>配建社区中心及幼儿园等面积</t>
  </si>
  <si>
    <t>建设成本建议合并计算，物业用房面积未计成本，平均成本1900，较低，公共配套可以降低</t>
  </si>
  <si>
    <t>计算利息时，按自有资金20%，计息应按80%比例计息，另外，土地计息全程计息，建安按均匀投入</t>
  </si>
  <si>
    <t>缺少人防易地建设费</t>
  </si>
  <si>
    <t xml:space="preserve">人防工程 </t>
    <phoneticPr fontId="22" type="noConversion"/>
  </si>
  <si>
    <t xml:space="preserve">管理费用       </t>
    <phoneticPr fontId="22" type="noConversion"/>
  </si>
  <si>
    <t>销售税金</t>
    <phoneticPr fontId="22" type="noConversion"/>
  </si>
  <si>
    <t>前期费用</t>
    <phoneticPr fontId="22" type="noConversion"/>
  </si>
  <si>
    <t>地下建筑建安工程总价</t>
    <phoneticPr fontId="22" type="noConversion"/>
  </si>
  <si>
    <t>按每户40平一个车位，20平人防工程</t>
    <phoneticPr fontId="22" type="noConversion"/>
  </si>
  <si>
    <t>设计费</t>
    <phoneticPr fontId="22" type="noConversion"/>
  </si>
  <si>
    <t>个人所得税</t>
    <phoneticPr fontId="22" type="noConversion"/>
  </si>
  <si>
    <t>营业税及附加</t>
    <phoneticPr fontId="22" type="noConversion"/>
  </si>
  <si>
    <t>房主净得价</t>
    <phoneticPr fontId="22" type="noConversion"/>
  </si>
  <si>
    <r>
      <rPr>
        <sz val="10"/>
        <rFont val="宋体"/>
        <family val="3"/>
        <charset val="134"/>
      </rPr>
      <t>剩余</t>
    </r>
    <r>
      <rPr>
        <sz val="10"/>
        <rFont val="Arial"/>
        <family val="2"/>
      </rPr>
      <t>54.6</t>
    </r>
    <r>
      <rPr>
        <sz val="10"/>
        <rFont val="宋体"/>
        <family val="3"/>
        <charset val="134"/>
      </rPr>
      <t>年</t>
    </r>
    <phoneticPr fontId="22" type="noConversion"/>
  </si>
  <si>
    <t>地上建筑建安工程费总价</t>
    <phoneticPr fontId="22" type="noConversion"/>
  </si>
  <si>
    <t>地上住宅建安工程费单价</t>
    <phoneticPr fontId="22" type="noConversion"/>
  </si>
  <si>
    <t>答：已计成本了</t>
    <phoneticPr fontId="22" type="noConversion"/>
  </si>
  <si>
    <t>答：已修改</t>
    <phoneticPr fontId="22" type="noConversion"/>
  </si>
  <si>
    <t>答：已增加</t>
    <phoneticPr fontId="22" type="noConversion"/>
  </si>
  <si>
    <t>本次结果</t>
    <phoneticPr fontId="22" type="noConversion"/>
  </si>
  <si>
    <t>上次评估结果</t>
    <phoneticPr fontId="22" type="noConversion"/>
  </si>
  <si>
    <t>法院评估结果</t>
    <phoneticPr fontId="22" type="noConversion"/>
  </si>
  <si>
    <t>市场法结果</t>
    <phoneticPr fontId="22" type="noConversion"/>
  </si>
  <si>
    <t>市场法</t>
    <phoneticPr fontId="22" type="noConversion"/>
  </si>
  <si>
    <t>假设开发法结果</t>
    <phoneticPr fontId="22" type="noConversion"/>
  </si>
  <si>
    <t>假设开发法</t>
    <phoneticPr fontId="22" type="noConversion"/>
  </si>
  <si>
    <t>平均结果</t>
    <phoneticPr fontId="22" type="noConversion"/>
  </si>
  <si>
    <t>平均</t>
    <phoneticPr fontId="22" type="noConversion"/>
  </si>
  <si>
    <t>比上次增加</t>
    <phoneticPr fontId="22" type="noConversion"/>
  </si>
  <si>
    <t>与我们的评估结果差异率</t>
    <phoneticPr fontId="22" type="noConversion"/>
  </si>
  <si>
    <r>
      <t>不动产总价的2</t>
    </r>
    <r>
      <rPr>
        <sz val="10"/>
        <rFont val="Arial"/>
        <family val="2"/>
      </rPr>
      <t>%</t>
    </r>
    <phoneticPr fontId="22" type="noConversion"/>
  </si>
  <si>
    <t>http://newhouse.nj.house365.com/wukuanglanyuefangshan/intro/</t>
  </si>
  <si>
    <t>http://newhouse.nj.house365.com/yanzitai/sellinfo/</t>
  </si>
  <si>
    <t>面积（赠送）</t>
    <phoneticPr fontId="22" type="noConversion"/>
  </si>
  <si>
    <t>总价</t>
    <phoneticPr fontId="22" type="noConversion"/>
  </si>
  <si>
    <t>单价（万/平）</t>
    <phoneticPr fontId="22" type="noConversion"/>
  </si>
  <si>
    <t>下叠毛坯</t>
    <phoneticPr fontId="22" type="noConversion"/>
  </si>
  <si>
    <r>
      <t>300（</t>
    </r>
    <r>
      <rPr>
        <sz val="11"/>
        <color theme="1"/>
        <rFont val="等线"/>
        <family val="3"/>
        <charset val="134"/>
        <scheme val="minor"/>
      </rPr>
      <t>200</t>
    </r>
    <r>
      <rPr>
        <sz val="11"/>
        <color theme="1"/>
        <rFont val="等线"/>
        <family val="3"/>
        <charset val="134"/>
        <scheme val="minor"/>
      </rPr>
      <t>）</t>
    </r>
    <phoneticPr fontId="22" type="noConversion"/>
  </si>
  <si>
    <t>上叠毛坯</t>
    <phoneticPr fontId="22" type="noConversion"/>
  </si>
  <si>
    <r>
      <t>300（</t>
    </r>
    <r>
      <rPr>
        <sz val="11"/>
        <color theme="1"/>
        <rFont val="等线"/>
        <family val="3"/>
        <charset val="134"/>
        <scheme val="minor"/>
      </rPr>
      <t>150</t>
    </r>
    <r>
      <rPr>
        <sz val="11"/>
        <color theme="1"/>
        <rFont val="等线"/>
        <family val="3"/>
        <charset val="134"/>
        <scheme val="minor"/>
      </rPr>
      <t>）</t>
    </r>
    <phoneticPr fontId="22" type="noConversion"/>
  </si>
  <si>
    <t>工抵房上毛坯</t>
    <phoneticPr fontId="22" type="noConversion"/>
  </si>
  <si>
    <r>
      <t>300</t>
    </r>
    <r>
      <rPr>
        <sz val="11"/>
        <color theme="1"/>
        <rFont val="等线"/>
        <family val="3"/>
        <charset val="134"/>
        <scheme val="minor"/>
      </rPr>
      <t>(150)</t>
    </r>
    <phoneticPr fontId="22" type="noConversion"/>
  </si>
  <si>
    <r>
      <t>电话中介1</t>
    </r>
    <r>
      <rPr>
        <sz val="11"/>
        <color theme="1"/>
        <rFont val="等线"/>
        <family val="3"/>
        <charset val="134"/>
        <scheme val="minor"/>
      </rPr>
      <t>3400064716</t>
    </r>
    <phoneticPr fontId="22" type="noConversion"/>
  </si>
  <si>
    <t>九龙湖别墅</t>
    <phoneticPr fontId="22" type="noConversion"/>
  </si>
  <si>
    <t>单价</t>
    <phoneticPr fontId="22" type="noConversion"/>
  </si>
  <si>
    <t>毛坯</t>
    <phoneticPr fontId="22" type="noConversion"/>
  </si>
  <si>
    <r>
      <t>-</t>
    </r>
    <r>
      <rPr>
        <sz val="11"/>
        <color theme="1"/>
        <rFont val="等线"/>
        <family val="3"/>
        <charset val="134"/>
        <scheme val="minor"/>
      </rPr>
      <t>1—2层</t>
    </r>
    <phoneticPr fontId="22" type="noConversion"/>
  </si>
  <si>
    <r>
      <t>6</t>
    </r>
    <r>
      <rPr>
        <sz val="11"/>
        <color theme="1"/>
        <rFont val="等线"/>
        <family val="3"/>
        <charset val="134"/>
        <scheme val="minor"/>
      </rPr>
      <t>50万</t>
    </r>
    <phoneticPr fontId="22" type="noConversion"/>
  </si>
  <si>
    <t>-1—1层</t>
    <phoneticPr fontId="22" type="noConversion"/>
  </si>
  <si>
    <r>
      <t>4</t>
    </r>
    <r>
      <rPr>
        <sz val="11"/>
        <color theme="1"/>
        <rFont val="等线"/>
        <family val="3"/>
        <charset val="134"/>
        <scheme val="minor"/>
      </rPr>
      <t>60万</t>
    </r>
    <phoneticPr fontId="22" type="noConversion"/>
  </si>
  <si>
    <t>面积</t>
    <phoneticPr fontId="22" type="noConversion"/>
  </si>
  <si>
    <t>总价</t>
    <phoneticPr fontId="22" type="noConversion"/>
  </si>
  <si>
    <t>修正后净得单价</t>
    <phoneticPr fontId="22" type="noConversion"/>
  </si>
  <si>
    <r>
      <t>2020</t>
    </r>
    <r>
      <rPr>
        <sz val="10"/>
        <rFont val="宋体"/>
        <family val="3"/>
        <charset val="134"/>
      </rPr>
      <t>年建成，成新优</t>
    </r>
    <phoneticPr fontId="22" type="noConversion"/>
  </si>
  <si>
    <t>下墅平均单价</t>
    <phoneticPr fontId="22" type="noConversion"/>
  </si>
  <si>
    <t>上墅单价</t>
    <phoneticPr fontId="22" type="noConversion"/>
  </si>
  <si>
    <t>上墅占下墅的比例</t>
    <phoneticPr fontId="22" type="noConversion"/>
  </si>
  <si>
    <r>
      <rPr>
        <sz val="10"/>
        <rFont val="Arial"/>
        <family val="2"/>
      </rPr>
      <t>1-5</t>
    </r>
    <r>
      <rPr>
        <sz val="10"/>
        <rFont val="宋体"/>
        <family val="3"/>
        <charset val="134"/>
      </rPr>
      <t>年期利率</t>
    </r>
    <r>
      <rPr>
        <sz val="10"/>
        <rFont val="Arial"/>
        <family val="2"/>
      </rPr>
      <t>4.75%</t>
    </r>
    <phoneticPr fontId="22" type="noConversion"/>
  </si>
  <si>
    <t>http://www.njrgrj.com/news/show-347.html</t>
    <phoneticPr fontId="22" type="noConversion"/>
  </si>
  <si>
    <t>住宅用地假设开发法测算表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</si>
</sst>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_ * #,##0.00000_ ;_ * \-#,##0.00000_ ;_ * &quot;-&quot;??.000_ ;_ @_ "/>
    <numFmt numFmtId="177" formatCode="0.00_ "/>
    <numFmt numFmtId="178" formatCode="0_ "/>
    <numFmt numFmtId="179" formatCode="#,##0.00_ "/>
    <numFmt numFmtId="180" formatCode="_ * #,##0_ ;_ * \-#,##0_ ;_ * &quot;-&quot;??_ ;_ @_ "/>
    <numFmt numFmtId="181" formatCode="0.0"/>
  </numFmts>
  <fonts count="27" x14ac:knownFonts="1">
    <font>
      <sz val="11"/>
      <color theme="1"/>
      <name val="等线"/>
      <charset val="134"/>
      <scheme val="minor"/>
    </font>
    <font>
      <sz val="13"/>
      <color theme="1"/>
      <name val="等线"/>
      <family val="3"/>
      <charset val="134"/>
      <scheme val="minor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  <font>
      <sz val="12"/>
      <name val="Arial"/>
      <family val="2"/>
    </font>
    <font>
      <sz val="10"/>
      <name val="Arial"/>
      <family val="2"/>
    </font>
    <font>
      <b/>
      <sz val="14"/>
      <name val="黑体"/>
      <family val="3"/>
      <charset val="134"/>
    </font>
    <font>
      <sz val="14"/>
      <name val="宋体"/>
      <family val="3"/>
      <charset val="134"/>
    </font>
    <font>
      <sz val="10.5"/>
      <name val="Arial"/>
      <family val="2"/>
    </font>
    <font>
      <sz val="9"/>
      <color rgb="FF000000"/>
      <name val="Arial"/>
      <family val="2"/>
    </font>
    <font>
      <sz val="9"/>
      <color rgb="FF000000"/>
      <name val="宋体"/>
      <family val="3"/>
      <charset val="134"/>
    </font>
    <font>
      <sz val="11"/>
      <name val="Arial Narrow"/>
      <family val="2"/>
    </font>
    <font>
      <sz val="11"/>
      <color indexed="8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name val="黑体"/>
      <family val="3"/>
      <charset val="134"/>
    </font>
    <font>
      <sz val="18"/>
      <name val="黑体"/>
      <family val="3"/>
      <charset val="134"/>
    </font>
    <font>
      <b/>
      <sz val="10"/>
      <name val="Arial"/>
      <family val="2"/>
    </font>
    <font>
      <sz val="1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4"/>
      <name val="Times New Roman"/>
      <family val="1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3"/>
      <charset val="134"/>
    </font>
    <font>
      <sz val="14"/>
      <color theme="1"/>
      <name val="Times New Roman"/>
      <family val="1"/>
    </font>
    <font>
      <sz val="10"/>
      <name val="宋体"/>
      <family val="2"/>
      <charset val="134"/>
    </font>
    <font>
      <u/>
      <sz val="11"/>
      <color theme="1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1">
    <xf numFmtId="0" fontId="0" fillId="0" borderId="0">
      <alignment vertical="center"/>
    </xf>
    <xf numFmtId="0" fontId="4" fillId="0" borderId="0"/>
    <xf numFmtId="43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0" fontId="4" fillId="0" borderId="0" applyProtection="0"/>
    <xf numFmtId="0" fontId="13" fillId="0" borderId="0">
      <alignment vertical="center"/>
    </xf>
    <xf numFmtId="0" fontId="4" fillId="0" borderId="0"/>
    <xf numFmtId="0" fontId="19" fillId="0" borderId="0">
      <alignment vertical="center"/>
    </xf>
    <xf numFmtId="0" fontId="26" fillId="0" borderId="0" applyNumberFormat="0" applyFill="0" applyBorder="0" applyAlignment="0" applyProtection="0">
      <alignment vertical="center"/>
    </xf>
  </cellStyleXfs>
  <cellXfs count="17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0" fontId="1" fillId="0" borderId="3" xfId="3" applyNumberFormat="1" applyFont="1" applyBorder="1" applyAlignment="1">
      <alignment horizontal="center" vertical="center"/>
    </xf>
    <xf numFmtId="0" fontId="2" fillId="2" borderId="3" xfId="6" applyFont="1" applyFill="1" applyBorder="1" applyAlignment="1">
      <alignment horizontal="center" vertical="center" wrapText="1"/>
    </xf>
    <xf numFmtId="177" fontId="2" fillId="2" borderId="3" xfId="6" applyNumberFormat="1" applyFont="1" applyFill="1" applyBorder="1" applyAlignment="1">
      <alignment horizontal="center" vertical="center" wrapText="1"/>
    </xf>
    <xf numFmtId="0" fontId="3" fillId="2" borderId="3" xfId="6" applyFont="1" applyFill="1" applyBorder="1" applyAlignment="1">
      <alignment horizontal="center" vertical="center" wrapText="1"/>
    </xf>
    <xf numFmtId="177" fontId="3" fillId="2" borderId="3" xfId="6" applyNumberFormat="1" applyFont="1" applyFill="1" applyBorder="1" applyAlignment="1">
      <alignment horizontal="center" vertical="center" wrapText="1"/>
    </xf>
    <xf numFmtId="43" fontId="4" fillId="2" borderId="3" xfId="0" applyNumberFormat="1" applyFont="1" applyFill="1" applyBorder="1" applyAlignment="1">
      <alignment horizontal="center"/>
    </xf>
    <xf numFmtId="0" fontId="0" fillId="2" borderId="3" xfId="0" applyFill="1" applyBorder="1" applyAlignment="1"/>
    <xf numFmtId="0" fontId="5" fillId="0" borderId="0" xfId="1" applyFont="1" applyFill="1" applyBorder="1" applyAlignment="1" applyProtection="1">
      <alignment vertical="center"/>
      <protection locked="0"/>
    </xf>
    <xf numFmtId="0" fontId="6" fillId="0" borderId="0" xfId="8" applyFont="1" applyFill="1" applyBorder="1" applyAlignment="1" applyProtection="1">
      <alignment horizontal="center" vertical="center"/>
      <protection locked="0"/>
    </xf>
    <xf numFmtId="9" fontId="6" fillId="0" borderId="0" xfId="8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6" fillId="0" borderId="3" xfId="1" applyFont="1" applyFill="1" applyBorder="1" applyAlignment="1" applyProtection="1">
      <alignment horizontal="center" vertical="center"/>
      <protection locked="0"/>
    </xf>
    <xf numFmtId="10" fontId="6" fillId="0" borderId="3" xfId="1" applyNumberFormat="1" applyFont="1" applyFill="1" applyBorder="1" applyAlignment="1" applyProtection="1">
      <alignment horizontal="center" vertical="center"/>
      <protection locked="0"/>
    </xf>
    <xf numFmtId="0" fontId="3" fillId="0" borderId="3" xfId="1" applyFont="1" applyFill="1" applyBorder="1" applyAlignment="1" applyProtection="1">
      <alignment horizontal="center" vertical="center" wrapText="1"/>
      <protection locked="0"/>
    </xf>
    <xf numFmtId="0" fontId="6" fillId="0" borderId="3" xfId="1" applyFont="1" applyFill="1" applyBorder="1" applyAlignment="1" applyProtection="1">
      <alignment horizontal="center" vertical="center" wrapText="1"/>
      <protection locked="0"/>
    </xf>
    <xf numFmtId="0" fontId="3" fillId="0" borderId="3" xfId="8" applyFont="1" applyFill="1" applyBorder="1" applyAlignment="1" applyProtection="1">
      <alignment horizontal="center" vertical="center"/>
      <protection locked="0"/>
    </xf>
    <xf numFmtId="3" fontId="6" fillId="0" borderId="3" xfId="1" applyNumberFormat="1" applyFont="1" applyFill="1" applyBorder="1" applyAlignment="1" applyProtection="1">
      <alignment horizontal="center" vertical="center"/>
      <protection locked="0"/>
    </xf>
    <xf numFmtId="178" fontId="6" fillId="0" borderId="3" xfId="1" applyNumberFormat="1" applyFont="1" applyFill="1" applyBorder="1" applyAlignment="1" applyProtection="1">
      <alignment horizontal="center" vertical="center"/>
    </xf>
    <xf numFmtId="14" fontId="6" fillId="0" borderId="3" xfId="1" applyNumberFormat="1" applyFont="1" applyFill="1" applyBorder="1" applyAlignment="1" applyProtection="1">
      <alignment horizontal="center" vertical="center"/>
      <protection locked="0"/>
    </xf>
    <xf numFmtId="49" fontId="9" fillId="0" borderId="3" xfId="0" applyNumberFormat="1" applyFont="1" applyFill="1" applyBorder="1" applyAlignment="1">
      <alignment horizontal="center" vertical="center" wrapText="1"/>
    </xf>
    <xf numFmtId="0" fontId="3" fillId="0" borderId="3" xfId="8" applyFont="1" applyFill="1" applyBorder="1" applyAlignment="1" applyProtection="1">
      <alignment horizontal="center" vertical="center" wrapText="1"/>
      <protection locked="0"/>
    </xf>
    <xf numFmtId="0" fontId="3" fillId="0" borderId="3" xfId="1" applyFont="1" applyFill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 applyProtection="1">
      <alignment horizontal="center" vertical="center" wrapText="1"/>
      <protection locked="0"/>
    </xf>
    <xf numFmtId="49" fontId="6" fillId="2" borderId="3" xfId="1" applyNumberFormat="1" applyFont="1" applyFill="1" applyBorder="1" applyAlignment="1" applyProtection="1">
      <alignment horizontal="center" vertical="center" wrapText="1"/>
      <protection locked="0"/>
    </xf>
    <xf numFmtId="0" fontId="6" fillId="2" borderId="3" xfId="1" applyFont="1" applyFill="1" applyBorder="1" applyAlignment="1" applyProtection="1">
      <alignment horizontal="center" vertical="center"/>
      <protection locked="0"/>
    </xf>
    <xf numFmtId="0" fontId="6" fillId="2" borderId="3" xfId="1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0" fontId="3" fillId="2" borderId="3" xfId="1" applyNumberFormat="1" applyFont="1" applyFill="1" applyBorder="1" applyAlignment="1" applyProtection="1">
      <alignment horizontal="center" vertical="center" wrapText="1"/>
      <protection locked="0"/>
    </xf>
    <xf numFmtId="49" fontId="3" fillId="0" borderId="3" xfId="1" applyNumberFormat="1" applyFont="1" applyFill="1" applyBorder="1" applyAlignment="1" applyProtection="1">
      <alignment horizontal="center" vertical="center" wrapText="1"/>
      <protection locked="0"/>
    </xf>
    <xf numFmtId="0" fontId="6" fillId="0" borderId="3" xfId="1" applyFont="1" applyFill="1" applyBorder="1" applyAlignment="1" applyProtection="1">
      <alignment horizontal="center" vertical="center"/>
    </xf>
    <xf numFmtId="0" fontId="0" fillId="0" borderId="0" xfId="0" applyFont="1" applyAlignment="1">
      <alignment vertical="center"/>
    </xf>
    <xf numFmtId="43" fontId="12" fillId="0" borderId="0" xfId="4" applyNumberFormat="1" applyFont="1" applyFill="1" applyBorder="1" applyAlignment="1" applyProtection="1">
      <alignment vertical="center" shrinkToFit="1"/>
    </xf>
    <xf numFmtId="0" fontId="13" fillId="0" borderId="0" xfId="7" applyFont="1" applyFill="1" applyBorder="1" applyAlignment="1"/>
    <xf numFmtId="0" fontId="13" fillId="0" borderId="0" xfId="7" applyFont="1" applyFill="1" applyBorder="1" applyAlignment="1">
      <alignment horizontal="right"/>
    </xf>
    <xf numFmtId="0" fontId="5" fillId="0" borderId="0" xfId="0" applyFont="1" applyAlignment="1" applyProtection="1">
      <protection locked="0"/>
    </xf>
    <xf numFmtId="0" fontId="6" fillId="0" borderId="0" xfId="1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43" fontId="5" fillId="0" borderId="0" xfId="2" applyFont="1" applyFill="1" applyBorder="1" applyAlignment="1">
      <alignment horizontal="center" vertical="center"/>
    </xf>
    <xf numFmtId="179" fontId="6" fillId="0" borderId="0" xfId="0" applyNumberFormat="1" applyFont="1" applyFill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78" fontId="6" fillId="0" borderId="3" xfId="1" applyNumberFormat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Fill="1" applyAlignment="1"/>
    <xf numFmtId="0" fontId="6" fillId="0" borderId="0" xfId="0" applyFont="1" applyAlignment="1"/>
    <xf numFmtId="0" fontId="5" fillId="0" borderId="0" xfId="0" applyFont="1" applyAlignment="1"/>
    <xf numFmtId="0" fontId="18" fillId="0" borderId="3" xfId="0" applyFont="1" applyBorder="1" applyAlignment="1">
      <alignment horizontal="centerContinuous" vertical="center"/>
    </xf>
    <xf numFmtId="0" fontId="6" fillId="0" borderId="3" xfId="0" applyFont="1" applyBorder="1" applyAlignment="1">
      <alignment horizontal="centerContinuous"/>
    </xf>
    <xf numFmtId="43" fontId="6" fillId="0" borderId="3" xfId="5" applyFont="1" applyBorder="1" applyAlignment="1">
      <alignment horizontal="centerContinuous"/>
    </xf>
    <xf numFmtId="43" fontId="3" fillId="0" borderId="3" xfId="5" applyFont="1" applyBorder="1" applyAlignment="1">
      <alignment horizontal="center" vertical="center"/>
    </xf>
    <xf numFmtId="14" fontId="6" fillId="0" borderId="3" xfId="5" applyNumberFormat="1" applyFont="1" applyBorder="1" applyAlignment="1">
      <alignment horizontal="center" vertical="center"/>
    </xf>
    <xf numFmtId="43" fontId="6" fillId="0" borderId="3" xfId="5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43" fontId="3" fillId="0" borderId="3" xfId="5" applyFont="1" applyFill="1" applyBorder="1" applyAlignment="1">
      <alignment horizontal="center" vertical="center"/>
    </xf>
    <xf numFmtId="43" fontId="3" fillId="0" borderId="3" xfId="5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/>
    </xf>
    <xf numFmtId="43" fontId="3" fillId="0" borderId="3" xfId="0" applyNumberFormat="1" applyFont="1" applyFill="1" applyBorder="1" applyAlignment="1">
      <alignment vertical="center"/>
    </xf>
    <xf numFmtId="43" fontId="3" fillId="0" borderId="3" xfId="5" applyFont="1" applyFill="1" applyBorder="1" applyAlignment="1">
      <alignment vertical="center"/>
    </xf>
    <xf numFmtId="43" fontId="3" fillId="0" borderId="3" xfId="5" applyFont="1" applyFill="1" applyBorder="1" applyAlignment="1">
      <alignment vertical="center" wrapText="1"/>
    </xf>
    <xf numFmtId="180" fontId="3" fillId="0" borderId="3" xfId="5" applyNumberFormat="1" applyFont="1" applyFill="1" applyBorder="1" applyAlignment="1">
      <alignment vertical="center" wrapText="1"/>
    </xf>
    <xf numFmtId="43" fontId="3" fillId="0" borderId="3" xfId="0" applyNumberFormat="1" applyFont="1" applyFill="1" applyBorder="1" applyAlignment="1">
      <alignment horizontal="center" vertical="center"/>
    </xf>
    <xf numFmtId="43" fontId="6" fillId="0" borderId="3" xfId="5" applyFont="1" applyFill="1" applyBorder="1" applyAlignment="1">
      <alignment horizontal="center" vertical="center"/>
    </xf>
    <xf numFmtId="43" fontId="3" fillId="0" borderId="3" xfId="5" applyFont="1" applyFill="1" applyBorder="1" applyAlignment="1">
      <alignment horizontal="left" vertical="center"/>
    </xf>
    <xf numFmtId="43" fontId="6" fillId="0" borderId="3" xfId="5" applyFont="1" applyFill="1" applyBorder="1" applyAlignment="1">
      <alignment vertical="center"/>
    </xf>
    <xf numFmtId="10" fontId="6" fillId="0" borderId="3" xfId="0" applyNumberFormat="1" applyFont="1" applyFill="1" applyBorder="1" applyAlignment="1">
      <alignment horizontal="center" vertical="center" wrapText="1"/>
    </xf>
    <xf numFmtId="179" fontId="5" fillId="0" borderId="0" xfId="0" applyNumberFormat="1" applyFont="1" applyFill="1" applyAlignment="1"/>
    <xf numFmtId="43" fontId="3" fillId="0" borderId="3" xfId="5" applyFont="1" applyFill="1" applyBorder="1" applyAlignment="1">
      <alignment horizontal="left"/>
    </xf>
    <xf numFmtId="43" fontId="6" fillId="0" borderId="3" xfId="5" applyFont="1" applyFill="1" applyBorder="1" applyAlignment="1">
      <alignment horizontal="center"/>
    </xf>
    <xf numFmtId="43" fontId="6" fillId="0" borderId="6" xfId="5" applyFont="1" applyFill="1" applyBorder="1" applyAlignment="1"/>
    <xf numFmtId="43" fontId="5" fillId="0" borderId="0" xfId="0" applyNumberFormat="1" applyFont="1" applyAlignment="1">
      <alignment horizontal="center" vertical="center"/>
    </xf>
    <xf numFmtId="0" fontId="3" fillId="0" borderId="7" xfId="0" applyFont="1" applyFill="1" applyBorder="1" applyAlignment="1">
      <alignment vertical="center"/>
    </xf>
    <xf numFmtId="9" fontId="6" fillId="0" borderId="3" xfId="0" applyNumberFormat="1" applyFont="1" applyFill="1" applyBorder="1" applyAlignment="1">
      <alignment horizontal="center" vertical="center" wrapText="1"/>
    </xf>
    <xf numFmtId="43" fontId="6" fillId="0" borderId="3" xfId="5" applyFont="1" applyFill="1" applyBorder="1" applyAlignment="1"/>
    <xf numFmtId="43" fontId="6" fillId="0" borderId="7" xfId="5" applyFont="1" applyFill="1" applyBorder="1" applyAlignment="1"/>
    <xf numFmtId="0" fontId="3" fillId="0" borderId="3" xfId="0" applyFont="1" applyFill="1" applyBorder="1" applyAlignment="1">
      <alignment horizontal="left"/>
    </xf>
    <xf numFmtId="10" fontId="6" fillId="0" borderId="3" xfId="0" applyNumberFormat="1" applyFont="1" applyFill="1" applyBorder="1" applyAlignment="1">
      <alignment horizontal="center"/>
    </xf>
    <xf numFmtId="10" fontId="5" fillId="3" borderId="0" xfId="0" applyNumberFormat="1" applyFont="1" applyFill="1" applyAlignment="1"/>
    <xf numFmtId="0" fontId="6" fillId="0" borderId="3" xfId="0" applyFont="1" applyFill="1" applyBorder="1" applyAlignment="1">
      <alignment horizontal="center"/>
    </xf>
    <xf numFmtId="43" fontId="3" fillId="0" borderId="3" xfId="5" applyFont="1" applyFill="1" applyBorder="1" applyAlignment="1"/>
    <xf numFmtId="43" fontId="3" fillId="0" borderId="3" xfId="5" applyFont="1" applyFill="1" applyBorder="1" applyAlignment="1">
      <alignment horizontal="center"/>
    </xf>
    <xf numFmtId="0" fontId="6" fillId="0" borderId="3" xfId="0" applyFont="1" applyFill="1" applyBorder="1" applyAlignment="1">
      <alignment horizontal="left"/>
    </xf>
    <xf numFmtId="43" fontId="6" fillId="0" borderId="3" xfId="0" applyNumberFormat="1" applyFont="1" applyFill="1" applyBorder="1" applyAlignment="1">
      <alignment horizontal="center"/>
    </xf>
    <xf numFmtId="43" fontId="6" fillId="0" borderId="3" xfId="0" applyNumberFormat="1" applyFont="1" applyFill="1" applyBorder="1" applyAlignment="1">
      <alignment horizontal="left"/>
    </xf>
    <xf numFmtId="43" fontId="6" fillId="0" borderId="3" xfId="5" applyNumberFormat="1" applyFont="1" applyFill="1" applyBorder="1" applyAlignment="1">
      <alignment horizontal="center"/>
    </xf>
    <xf numFmtId="43" fontId="5" fillId="0" borderId="0" xfId="0" applyNumberFormat="1" applyFont="1" applyAlignment="1"/>
    <xf numFmtId="0" fontId="3" fillId="0" borderId="0" xfId="0" applyFont="1" applyAlignment="1"/>
    <xf numFmtId="43" fontId="5" fillId="3" borderId="0" xfId="0" applyNumberFormat="1" applyFont="1" applyFill="1" applyAlignment="1"/>
    <xf numFmtId="43" fontId="5" fillId="0" borderId="0" xfId="5" applyFont="1">
      <alignment vertical="center"/>
    </xf>
    <xf numFmtId="179" fontId="6" fillId="0" borderId="0" xfId="0" applyNumberFormat="1" applyFont="1" applyAlignment="1"/>
    <xf numFmtId="0" fontId="4" fillId="0" borderId="0" xfId="0" applyFont="1" applyAlignment="1"/>
    <xf numFmtId="43" fontId="5" fillId="0" borderId="0" xfId="0" applyNumberFormat="1" applyFont="1" applyFill="1" applyAlignment="1"/>
    <xf numFmtId="176" fontId="5" fillId="0" borderId="0" xfId="0" applyNumberFormat="1" applyFont="1" applyFill="1" applyAlignment="1"/>
    <xf numFmtId="0" fontId="5" fillId="3" borderId="0" xfId="0" applyFont="1" applyFill="1" applyAlignment="1">
      <alignment horizontal="center" vertical="center"/>
    </xf>
    <xf numFmtId="0" fontId="0" fillId="3" borderId="0" xfId="0" applyFont="1" applyFill="1" applyAlignment="1"/>
    <xf numFmtId="9" fontId="5" fillId="0" borderId="0" xfId="0" applyNumberFormat="1" applyFont="1" applyAlignment="1"/>
    <xf numFmtId="0" fontId="0" fillId="0" borderId="0" xfId="0" applyAlignment="1">
      <alignment horizontal="center"/>
    </xf>
    <xf numFmtId="0" fontId="19" fillId="0" borderId="0" xfId="0" applyFont="1">
      <alignment vertical="center"/>
    </xf>
    <xf numFmtId="43" fontId="23" fillId="0" borderId="3" xfId="5" applyFont="1" applyFill="1" applyBorder="1" applyAlignment="1">
      <alignment vertical="center" wrapText="1"/>
    </xf>
    <xf numFmtId="43" fontId="3" fillId="4" borderId="3" xfId="0" applyNumberFormat="1" applyFont="1" applyFill="1" applyBorder="1" applyAlignment="1">
      <alignment vertical="center"/>
    </xf>
    <xf numFmtId="43" fontId="3" fillId="4" borderId="3" xfId="0" applyNumberFormat="1" applyFont="1" applyFill="1" applyBorder="1" applyAlignment="1">
      <alignment horizontal="center" vertical="center"/>
    </xf>
    <xf numFmtId="10" fontId="6" fillId="4" borderId="3" xfId="0" applyNumberFormat="1" applyFont="1" applyFill="1" applyBorder="1" applyAlignment="1">
      <alignment horizontal="left" vertical="center" wrapText="1"/>
    </xf>
    <xf numFmtId="178" fontId="6" fillId="4" borderId="3" xfId="1" applyNumberFormat="1" applyFont="1" applyFill="1" applyBorder="1" applyAlignment="1" applyProtection="1">
      <alignment horizontal="center" vertical="center" wrapText="1"/>
      <protection locked="0"/>
    </xf>
    <xf numFmtId="178" fontId="6" fillId="4" borderId="3" xfId="1" applyNumberFormat="1" applyFont="1" applyFill="1" applyBorder="1" applyAlignment="1" applyProtection="1">
      <alignment horizontal="center" vertical="center"/>
    </xf>
    <xf numFmtId="0" fontId="3" fillId="4" borderId="3" xfId="0" applyFont="1" applyFill="1" applyBorder="1" applyAlignment="1">
      <alignment vertical="center"/>
    </xf>
    <xf numFmtId="1" fontId="0" fillId="0" borderId="0" xfId="0" applyNumberFormat="1">
      <alignment vertical="center"/>
    </xf>
    <xf numFmtId="0" fontId="23" fillId="0" borderId="3" xfId="0" applyFont="1" applyFill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/>
    <xf numFmtId="43" fontId="4" fillId="0" borderId="3" xfId="5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 shrinkToFit="1"/>
    </xf>
    <xf numFmtId="9" fontId="5" fillId="0" borderId="3" xfId="3" applyFont="1" applyBorder="1" applyAlignment="1">
      <alignment horizontal="center"/>
    </xf>
    <xf numFmtId="43" fontId="3" fillId="5" borderId="3" xfId="5" applyFont="1" applyFill="1" applyBorder="1" applyAlignment="1">
      <alignment horizontal="left"/>
    </xf>
    <xf numFmtId="0" fontId="19" fillId="0" borderId="0" xfId="9">
      <alignment vertical="center"/>
    </xf>
    <xf numFmtId="0" fontId="19" fillId="0" borderId="0" xfId="9" applyFont="1">
      <alignment vertical="center"/>
    </xf>
    <xf numFmtId="0" fontId="19" fillId="0" borderId="0" xfId="9" applyFont="1" applyAlignment="1">
      <alignment horizontal="center" vertical="center"/>
    </xf>
    <xf numFmtId="0" fontId="19" fillId="0" borderId="0" xfId="9" applyAlignment="1">
      <alignment horizontal="center" vertical="center"/>
    </xf>
    <xf numFmtId="181" fontId="19" fillId="0" borderId="0" xfId="9" applyNumberFormat="1" applyAlignment="1">
      <alignment horizontal="center" vertical="center"/>
    </xf>
    <xf numFmtId="49" fontId="19" fillId="0" borderId="0" xfId="9" applyNumberFormat="1" applyFont="1" applyAlignment="1">
      <alignment horizontal="center" vertical="center"/>
    </xf>
    <xf numFmtId="2" fontId="19" fillId="0" borderId="0" xfId="9" applyNumberFormat="1">
      <alignment vertical="center"/>
    </xf>
    <xf numFmtId="0" fontId="24" fillId="0" borderId="0" xfId="0" applyFont="1">
      <alignment vertical="center"/>
    </xf>
    <xf numFmtId="0" fontId="4" fillId="0" borderId="0" xfId="0" applyFont="1" applyBorder="1" applyAlignment="1">
      <alignment vertical="center"/>
    </xf>
    <xf numFmtId="178" fontId="5" fillId="0" borderId="0" xfId="0" applyNumberFormat="1" applyFont="1" applyBorder="1" applyAlignment="1">
      <alignment vertical="center"/>
    </xf>
    <xf numFmtId="9" fontId="5" fillId="4" borderId="0" xfId="3" applyFont="1" applyFill="1" applyBorder="1" applyAlignment="1">
      <alignment vertical="center"/>
    </xf>
    <xf numFmtId="43" fontId="25" fillId="0" borderId="3" xfId="5" applyFont="1" applyFill="1" applyBorder="1" applyAlignment="1">
      <alignment horizontal="left" vertical="center"/>
    </xf>
    <xf numFmtId="0" fontId="4" fillId="2" borderId="0" xfId="0" applyFont="1" applyFill="1" applyAlignment="1"/>
    <xf numFmtId="0" fontId="26" fillId="0" borderId="0" xfId="10">
      <alignment vertical="center"/>
    </xf>
    <xf numFmtId="0" fontId="5" fillId="2" borderId="0" xfId="0" applyFont="1" applyFill="1" applyAlignment="1"/>
    <xf numFmtId="43" fontId="3" fillId="0" borderId="1" xfId="5" applyFont="1" applyBorder="1" applyAlignment="1">
      <alignment horizontal="left" vertical="center"/>
    </xf>
    <xf numFmtId="43" fontId="3" fillId="0" borderId="8" xfId="5" applyFont="1" applyBorder="1" applyAlignment="1">
      <alignment horizontal="left" vertical="center"/>
    </xf>
    <xf numFmtId="43" fontId="3" fillId="0" borderId="2" xfId="5" applyFont="1" applyBorder="1" applyAlignment="1">
      <alignment horizontal="left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6" fillId="0" borderId="3" xfId="8" applyFont="1" applyFill="1" applyBorder="1" applyAlignment="1" applyProtection="1">
      <alignment horizontal="center" vertical="center"/>
      <protection locked="0"/>
    </xf>
    <xf numFmtId="0" fontId="3" fillId="0" borderId="3" xfId="8" applyFont="1" applyFill="1" applyBorder="1" applyAlignment="1" applyProtection="1">
      <alignment horizontal="center" vertical="center"/>
      <protection locked="0"/>
    </xf>
    <xf numFmtId="0" fontId="3" fillId="0" borderId="3" xfId="1" applyFont="1" applyFill="1" applyBorder="1" applyAlignment="1" applyProtection="1">
      <alignment horizontal="center" vertical="center"/>
      <protection locked="0"/>
    </xf>
    <xf numFmtId="0" fontId="6" fillId="0" borderId="3" xfId="1" applyFont="1" applyFill="1" applyBorder="1" applyAlignment="1" applyProtection="1">
      <alignment horizontal="center" vertical="center"/>
      <protection locked="0"/>
    </xf>
    <xf numFmtId="0" fontId="17" fillId="0" borderId="3" xfId="1" applyFont="1" applyFill="1" applyBorder="1" applyAlignment="1" applyProtection="1">
      <alignment horizontal="center" vertical="center"/>
    </xf>
    <xf numFmtId="0" fontId="3" fillId="0" borderId="1" xfId="1" applyFont="1" applyFill="1" applyBorder="1" applyAlignment="1" applyProtection="1">
      <alignment horizontal="center" vertical="center"/>
      <protection locked="0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17" fillId="0" borderId="1" xfId="1" applyFont="1" applyFill="1" applyBorder="1" applyAlignment="1" applyProtection="1">
      <alignment horizontal="center" vertical="center"/>
    </xf>
    <xf numFmtId="0" fontId="17" fillId="0" borderId="8" xfId="1" applyFont="1" applyFill="1" applyBorder="1" applyAlignment="1" applyProtection="1">
      <alignment horizontal="center" vertical="center"/>
    </xf>
    <xf numFmtId="0" fontId="17" fillId="0" borderId="2" xfId="1" applyFont="1" applyFill="1" applyBorder="1" applyAlignment="1" applyProtection="1">
      <alignment horizontal="center" vertical="center"/>
    </xf>
    <xf numFmtId="0" fontId="3" fillId="0" borderId="5" xfId="8" applyFont="1" applyFill="1" applyBorder="1" applyAlignment="1" applyProtection="1">
      <alignment horizontal="center" vertical="center" wrapText="1"/>
      <protection locked="0"/>
    </xf>
    <xf numFmtId="0" fontId="3" fillId="0" borderId="6" xfId="8" applyFont="1" applyFill="1" applyBorder="1" applyAlignment="1" applyProtection="1">
      <alignment horizontal="center" vertical="center" wrapText="1"/>
      <protection locked="0"/>
    </xf>
    <xf numFmtId="0" fontId="3" fillId="0" borderId="7" xfId="8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3" xfId="8" applyFont="1" applyFill="1" applyBorder="1" applyAlignment="1" applyProtection="1">
      <alignment horizontal="center" vertical="center" wrapText="1"/>
      <protection locked="0"/>
    </xf>
    <xf numFmtId="0" fontId="6" fillId="0" borderId="3" xfId="8" applyFont="1" applyFill="1" applyBorder="1" applyAlignment="1" applyProtection="1">
      <alignment horizontal="center" vertical="center" wrapText="1"/>
      <protection locked="0"/>
    </xf>
    <xf numFmtId="0" fontId="7" fillId="0" borderId="4" xfId="1" quotePrefix="1" applyFont="1" applyFill="1" applyBorder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1">
    <cellStyle name="百分比" xfId="3" builtinId="5"/>
    <cellStyle name="常规" xfId="0" builtinId="0"/>
    <cellStyle name="常规 2" xfId="9" xr:uid="{D9D26F86-F511-4C27-9FF4-02E171BE25B7}"/>
    <cellStyle name="常规 2 12" xfId="7" xr:uid="{00000000-0005-0000-0000-000002000000}"/>
    <cellStyle name="常规 3 2" xfId="6" xr:uid="{00000000-0005-0000-0000-000003000000}"/>
    <cellStyle name="常规_B-2建筑物成本法,市场比较法_计算表" xfId="1" xr:uid="{00000000-0005-0000-0000-000004000000}"/>
    <cellStyle name="常规_博会评估" xfId="4" xr:uid="{00000000-0005-0000-0000-000005000000}"/>
    <cellStyle name="常规_产成品计算表_计算表" xfId="8" xr:uid="{00000000-0005-0000-0000-000006000000}"/>
    <cellStyle name="超链接" xfId="10" builtinId="8"/>
    <cellStyle name="千位分隔" xfId="2" builtinId="3"/>
    <cellStyle name="千位分隔_Sheet12" xfId="5" xr:uid="{00000000-0005-0000-0000-000008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Relationship Id="rId5" Type="http://schemas.openxmlformats.org/officeDocument/2006/relationships/image" Target="../media/image21.png"/><Relationship Id="rId4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6</xdr:col>
      <xdr:colOff>308351</xdr:colOff>
      <xdr:row>16</xdr:row>
      <xdr:rowOff>76200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22775" cy="2819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36</xdr:row>
      <xdr:rowOff>0</xdr:rowOff>
    </xdr:from>
    <xdr:to>
      <xdr:col>2</xdr:col>
      <xdr:colOff>304800</xdr:colOff>
      <xdr:row>36</xdr:row>
      <xdr:rowOff>266700</xdr:rowOff>
    </xdr:to>
    <xdr:sp macro="" textlink="">
      <xdr:nvSpPr>
        <xdr:cNvPr id="2" name="AutoShape 1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spect="1" noChangeArrowheads="1"/>
        </xdr:cNvSpPr>
      </xdr:nvSpPr>
      <xdr:spPr>
        <a:xfrm>
          <a:off x="1904365" y="13245465"/>
          <a:ext cx="3048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37</xdr:row>
      <xdr:rowOff>0</xdr:rowOff>
    </xdr:from>
    <xdr:to>
      <xdr:col>13</xdr:col>
      <xdr:colOff>461792</xdr:colOff>
      <xdr:row>48</xdr:row>
      <xdr:rowOff>5473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434DB18-013D-47AF-AE66-CD4808B49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484620"/>
          <a:ext cx="8980952" cy="19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53340</xdr:rowOff>
    </xdr:from>
    <xdr:to>
      <xdr:col>13</xdr:col>
      <xdr:colOff>562747</xdr:colOff>
      <xdr:row>37</xdr:row>
      <xdr:rowOff>20170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38A58576-5FAB-4337-97BD-5988B4A32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" y="228600"/>
          <a:ext cx="9066667" cy="62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15</xdr:col>
      <xdr:colOff>575921</xdr:colOff>
      <xdr:row>69</xdr:row>
      <xdr:rowOff>39628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6E3BAEBF-B490-48B2-A7E5-21919F33F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113520"/>
          <a:ext cx="10352381" cy="3019048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32</xdr:col>
      <xdr:colOff>189333</xdr:colOff>
      <xdr:row>28</xdr:row>
      <xdr:rowOff>77504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4FC3F185-8417-4647-95C4-602E27406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95660" y="175260"/>
          <a:ext cx="9333333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72</xdr:row>
      <xdr:rowOff>76200</xdr:rowOff>
    </xdr:from>
    <xdr:to>
      <xdr:col>14</xdr:col>
      <xdr:colOff>155065</xdr:colOff>
      <xdr:row>102</xdr:row>
      <xdr:rowOff>113638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83557DED-0873-468A-80D3-D3966966F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020" y="12694920"/>
          <a:ext cx="9161905" cy="52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137160</xdr:rowOff>
    </xdr:from>
    <xdr:to>
      <xdr:col>14</xdr:col>
      <xdr:colOff>490283</xdr:colOff>
      <xdr:row>144</xdr:row>
      <xdr:rowOff>11051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88645D0D-A640-482A-BB35-7742FE3CE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2219920"/>
          <a:ext cx="9657143" cy="30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525780</xdr:colOff>
      <xdr:row>110</xdr:row>
      <xdr:rowOff>167640</xdr:rowOff>
    </xdr:from>
    <xdr:to>
      <xdr:col>14</xdr:col>
      <xdr:colOff>16063</xdr:colOff>
      <xdr:row>125</xdr:row>
      <xdr:rowOff>62549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1AB1E0D2-6123-4FDF-973E-EB3F6D305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25780" y="19446240"/>
          <a:ext cx="8657143" cy="252380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13</xdr:col>
      <xdr:colOff>537978</xdr:colOff>
      <xdr:row>173</xdr:row>
      <xdr:rowOff>106075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D2DF0349-717B-49EF-A716-8741B4C57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5587960"/>
          <a:ext cx="9095238" cy="4838095"/>
        </a:xfrm>
        <a:prstGeom prst="rect">
          <a:avLst/>
        </a:prstGeom>
      </xdr:spPr>
    </xdr:pic>
    <xdr:clientData/>
  </xdr:twoCellAnchor>
  <xdr:twoCellAnchor editAs="oneCell">
    <xdr:from>
      <xdr:col>14</xdr:col>
      <xdr:colOff>190500</xdr:colOff>
      <xdr:row>146</xdr:row>
      <xdr:rowOff>15240</xdr:rowOff>
    </xdr:from>
    <xdr:to>
      <xdr:col>29</xdr:col>
      <xdr:colOff>217928</xdr:colOff>
      <xdr:row>187</xdr:row>
      <xdr:rowOff>115294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4DF8D330-BEF1-43E2-B1FD-DE6BE4D01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357360" y="25603200"/>
          <a:ext cx="9171428" cy="72857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20</xdr:col>
      <xdr:colOff>318473</xdr:colOff>
      <xdr:row>220</xdr:row>
      <xdr:rowOff>37329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5C8EA51C-A71A-4324-AD37-35FD14CE2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" y="32423100"/>
          <a:ext cx="12533333" cy="6171429"/>
        </a:xfrm>
        <a:prstGeom prst="rect">
          <a:avLst/>
        </a:prstGeom>
      </xdr:spPr>
    </xdr:pic>
    <xdr:clientData/>
  </xdr:twoCellAnchor>
  <xdr:twoCellAnchor editAs="oneCell">
    <xdr:from>
      <xdr:col>1</xdr:col>
      <xdr:colOff>312420</xdr:colOff>
      <xdr:row>221</xdr:row>
      <xdr:rowOff>167640</xdr:rowOff>
    </xdr:from>
    <xdr:to>
      <xdr:col>15</xdr:col>
      <xdr:colOff>183655</xdr:colOff>
      <xdr:row>239</xdr:row>
      <xdr:rowOff>108198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F7C674F8-3B47-4E4B-98D7-C72561BA1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22020" y="38900100"/>
          <a:ext cx="9038095" cy="30952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53340</xdr:rowOff>
    </xdr:from>
    <xdr:to>
      <xdr:col>15</xdr:col>
      <xdr:colOff>23578</xdr:colOff>
      <xdr:row>24</xdr:row>
      <xdr:rowOff>30023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67690"/>
          <a:ext cx="10638155" cy="357695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28</xdr:row>
      <xdr:rowOff>137160</xdr:rowOff>
    </xdr:from>
    <xdr:to>
      <xdr:col>14</xdr:col>
      <xdr:colOff>339868</xdr:colOff>
      <xdr:row>55</xdr:row>
      <xdr:rowOff>14664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" y="4937760"/>
          <a:ext cx="10085705" cy="450659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59</xdr:row>
      <xdr:rowOff>91440</xdr:rowOff>
    </xdr:from>
    <xdr:to>
      <xdr:col>11</xdr:col>
      <xdr:colOff>425806</xdr:colOff>
      <xdr:row>81</xdr:row>
      <xdr:rowOff>35720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" y="10206990"/>
          <a:ext cx="8228330" cy="3716020"/>
        </a:xfrm>
        <a:prstGeom prst="rect">
          <a:avLst/>
        </a:prstGeom>
      </xdr:spPr>
    </xdr:pic>
    <xdr:clientData/>
  </xdr:twoCellAnchor>
  <xdr:twoCellAnchor editAs="oneCell">
    <xdr:from>
      <xdr:col>0</xdr:col>
      <xdr:colOff>373380</xdr:colOff>
      <xdr:row>91</xdr:row>
      <xdr:rowOff>30480</xdr:rowOff>
    </xdr:from>
    <xdr:to>
      <xdr:col>14</xdr:col>
      <xdr:colOff>343704</xdr:colOff>
      <xdr:row>133</xdr:row>
      <xdr:rowOff>12417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4BB9008-9693-4226-BA01-7F2792583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73380" y="15979140"/>
          <a:ext cx="8809524" cy="734285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446628</xdr:colOff>
      <xdr:row>18</xdr:row>
      <xdr:rowOff>140558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361805" cy="32264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14</xdr:col>
      <xdr:colOff>122743</xdr:colOff>
      <xdr:row>26</xdr:row>
      <xdr:rowOff>137055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771900"/>
          <a:ext cx="9723755" cy="8223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16</xdr:col>
      <xdr:colOff>141714</xdr:colOff>
      <xdr:row>59</xdr:row>
      <xdr:rowOff>7006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5314950"/>
          <a:ext cx="10428605" cy="48075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16</xdr:col>
      <xdr:colOff>303619</xdr:colOff>
      <xdr:row>87</xdr:row>
      <xdr:rowOff>47071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0629900"/>
          <a:ext cx="10590530" cy="4333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17</xdr:col>
      <xdr:colOff>446462</xdr:colOff>
      <xdr:row>98</xdr:row>
      <xdr:rowOff>93268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CEC7D23-CAE8-49EC-B7DD-32ECD04E9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4440" y="16649700"/>
          <a:ext cx="9704762" cy="619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13&#21333;&#20301;\&#21326;&#20449;&#36164;&#20135;&#35780;&#20272;\&#38215;&#27743;&#24066;&#20025;&#24466;&#21306;&#26032;&#20892;&#26449;&#21457;&#23637;&#24314;&#35774;&#26377;&#38480;&#20844;&#21496;\&#26032;&#24314;&#25991;&#20214;&#22841;\B-4&#20551;&#35774;&#24320;&#21457;&#27861;-&#24352;&#23478;&#28207;&#65288;&#22269;&#27888;&#35745;&#31639;&#34920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esktop/&#22269;&#20449;&#22320;&#20135;&#22303;&#22320;&#35780;&#20272;/2018-005&#22303;&#22320;&#20272;&#20215;&#25253;&#21578;/2018-005&#22303;&#22320;&#20272;&#20215;&#25253;&#21578;&#24352;&#20108;&#23457;/&#24066;&#22330;&#27861;&#35745;&#31639;&#34920;8.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17&#24180;&#24037;&#20316;\&#24120;&#24030;&#28327;&#38451;&#25151;&#22320;&#20135;&#24320;&#21457;\&#26368;&#32456;&#32467;&#26524;\&#24120;&#24030;&#20551;&#35774;&#24320;&#21457;&#27861;&#35745;&#31639;&#34920;-&#21525;7.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项目概况"/>
      <sheetName val="在产品"/>
      <sheetName val="Sheet12"/>
      <sheetName val="市场法1层（计算表）"/>
      <sheetName val="市场法2层（计算表）"/>
      <sheetName val="市场法-办公房（计算表）"/>
      <sheetName val="楼价"/>
      <sheetName val="Sheet1"/>
      <sheetName val="成本明细一览（供参考）（二期）"/>
      <sheetName val="Sheet10"/>
      <sheetName val="假设开发法计算表 (静态1)"/>
      <sheetName val="土地增值税测算表"/>
    </sheetNames>
    <sheetDataSet>
      <sheetData sheetId="0" refreshError="1"/>
      <sheetData sheetId="1" refreshError="1">
        <row r="31">
          <cell r="F31">
            <v>306586856.38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案例"/>
      <sheetName val="市场法计算表"/>
      <sheetName val="市场比较法"/>
      <sheetName val="Sheet3"/>
      <sheetName val="Sheet1"/>
      <sheetName val="位置图"/>
      <sheetName val="市场法"/>
      <sheetName val="容积率修正系数"/>
      <sheetName val="地块规划及形状"/>
      <sheetName val="李杰审核意见"/>
    </sheetNames>
    <sheetDataSet>
      <sheetData sheetId="0"/>
      <sheetData sheetId="1"/>
      <sheetData sheetId="2"/>
      <sheetData sheetId="3"/>
      <sheetData sheetId="4"/>
      <sheetData sheetId="5"/>
      <sheetData sheetId="6">
        <row r="55">
          <cell r="D55">
            <v>17169</v>
          </cell>
        </row>
      </sheetData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假设开发法计算表"/>
      <sheetName val="规划指标"/>
      <sheetName val="销售案例"/>
      <sheetName val="开发完成后价值"/>
      <sheetName val="售价扣税"/>
      <sheetName val="商品房售价测算"/>
      <sheetName val="办公楼租金比较"/>
      <sheetName val="办公房收益法测算"/>
      <sheetName val="前期费用"/>
      <sheetName val="前期费用1"/>
      <sheetName val="建安成本"/>
      <sheetName val="概况及土地待建分摊表"/>
      <sheetName val="酒店收益法"/>
      <sheetName val="利润表"/>
      <sheetName val="租金"/>
      <sheetName val="Sheet1"/>
      <sheetName val="基础配套费用"/>
      <sheetName val="资金成本"/>
      <sheetName val="资金计划表 (打印无链接)"/>
      <sheetName val="成本测算"/>
      <sheetName val="Sheet5"/>
      <sheetName val="Sheet2"/>
      <sheetName val="资金计划表"/>
      <sheetName val="资金"/>
      <sheetName val="财务费用"/>
      <sheetName val="土地增值税测算表"/>
      <sheetName val="销售费用率"/>
      <sheetName val="管理费用率"/>
      <sheetName val="价格指数"/>
      <sheetName val="二手房价格指数"/>
      <sheetName val="销售净利润率1"/>
      <sheetName val="进度测算"/>
      <sheetName val="销售净利润率"/>
      <sheetName val="利润率"/>
      <sheetName val="收费询价"/>
      <sheetName val="住宅询价案例"/>
      <sheetName val="办公楼询价案例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://www.njrgrj.com/news/show-34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VS41"/>
  <sheetViews>
    <sheetView tabSelected="1" zoomScale="89" zoomScaleNormal="89" workbookViewId="0">
      <selection activeCell="G10" sqref="G10"/>
    </sheetView>
  </sheetViews>
  <sheetFormatPr defaultColWidth="10" defaultRowHeight="15" x14ac:dyDescent="0.25"/>
  <cols>
    <col min="1" max="1" width="5.21875" style="59" customWidth="1"/>
    <col min="2" max="2" width="13.77734375" style="59" customWidth="1"/>
    <col min="3" max="3" width="22.44140625" style="59" customWidth="1"/>
    <col min="4" max="4" width="22.6640625" style="59" customWidth="1"/>
    <col min="5" max="5" width="27" style="59" customWidth="1"/>
    <col min="6" max="6" width="17.88671875" style="59" customWidth="1"/>
    <col min="7" max="7" width="24.77734375" style="59" customWidth="1"/>
    <col min="8" max="8" width="20.21875" style="59" hidden="1" customWidth="1"/>
    <col min="9" max="9" width="21" style="59" hidden="1" customWidth="1"/>
    <col min="10" max="10" width="15.77734375" style="59" hidden="1" customWidth="1"/>
    <col min="11" max="11" width="3.6640625" style="59" hidden="1" customWidth="1"/>
    <col min="12" max="12" width="18" style="59" customWidth="1"/>
    <col min="13" max="13" width="17.88671875" style="59" customWidth="1"/>
    <col min="14" max="14" width="14.77734375" style="59" customWidth="1"/>
    <col min="15" max="256" width="10" style="59"/>
    <col min="257" max="257" width="5.21875" style="59" customWidth="1"/>
    <col min="258" max="258" width="13.77734375" style="59" customWidth="1"/>
    <col min="259" max="259" width="27.109375" style="59" customWidth="1"/>
    <col min="260" max="260" width="22.6640625" style="59" customWidth="1"/>
    <col min="261" max="261" width="30.21875" style="59" customWidth="1"/>
    <col min="262" max="262" width="17.88671875" style="59" customWidth="1"/>
    <col min="263" max="263" width="15.21875" style="59" customWidth="1"/>
    <col min="264" max="267" width="10" style="59" hidden="1" customWidth="1"/>
    <col min="268" max="268" width="18" style="59" customWidth="1"/>
    <col min="269" max="512" width="10" style="59"/>
    <col min="513" max="513" width="5.21875" style="59" customWidth="1"/>
    <col min="514" max="514" width="13.77734375" style="59" customWidth="1"/>
    <col min="515" max="515" width="27.109375" style="59" customWidth="1"/>
    <col min="516" max="516" width="22.6640625" style="59" customWidth="1"/>
    <col min="517" max="517" width="30.21875" style="59" customWidth="1"/>
    <col min="518" max="518" width="17.88671875" style="59" customWidth="1"/>
    <col min="519" max="519" width="15.21875" style="59" customWidth="1"/>
    <col min="520" max="523" width="10" style="59" hidden="1" customWidth="1"/>
    <col min="524" max="524" width="18" style="59" customWidth="1"/>
    <col min="525" max="768" width="10" style="59"/>
    <col min="769" max="769" width="5.21875" style="59" customWidth="1"/>
    <col min="770" max="770" width="13.77734375" style="59" customWidth="1"/>
    <col min="771" max="771" width="27.109375" style="59" customWidth="1"/>
    <col min="772" max="772" width="22.6640625" style="59" customWidth="1"/>
    <col min="773" max="773" width="30.21875" style="59" customWidth="1"/>
    <col min="774" max="774" width="17.88671875" style="59" customWidth="1"/>
    <col min="775" max="775" width="15.21875" style="59" customWidth="1"/>
    <col min="776" max="779" width="10" style="59" hidden="1" customWidth="1"/>
    <col min="780" max="780" width="18" style="59" customWidth="1"/>
    <col min="781" max="1024" width="10" style="59"/>
    <col min="1025" max="1025" width="5.21875" style="59" customWidth="1"/>
    <col min="1026" max="1026" width="13.77734375" style="59" customWidth="1"/>
    <col min="1027" max="1027" width="27.109375" style="59" customWidth="1"/>
    <col min="1028" max="1028" width="22.6640625" style="59" customWidth="1"/>
    <col min="1029" max="1029" width="30.21875" style="59" customWidth="1"/>
    <col min="1030" max="1030" width="17.88671875" style="59" customWidth="1"/>
    <col min="1031" max="1031" width="15.21875" style="59" customWidth="1"/>
    <col min="1032" max="1035" width="10" style="59" hidden="1" customWidth="1"/>
    <col min="1036" max="1036" width="18" style="59" customWidth="1"/>
    <col min="1037" max="1280" width="10" style="59"/>
    <col min="1281" max="1281" width="5.21875" style="59" customWidth="1"/>
    <col min="1282" max="1282" width="13.77734375" style="59" customWidth="1"/>
    <col min="1283" max="1283" width="27.109375" style="59" customWidth="1"/>
    <col min="1284" max="1284" width="22.6640625" style="59" customWidth="1"/>
    <col min="1285" max="1285" width="30.21875" style="59" customWidth="1"/>
    <col min="1286" max="1286" width="17.88671875" style="59" customWidth="1"/>
    <col min="1287" max="1287" width="15.21875" style="59" customWidth="1"/>
    <col min="1288" max="1291" width="10" style="59" hidden="1" customWidth="1"/>
    <col min="1292" max="1292" width="18" style="59" customWidth="1"/>
    <col min="1293" max="1536" width="10" style="59"/>
    <col min="1537" max="1537" width="5.21875" style="59" customWidth="1"/>
    <col min="1538" max="1538" width="13.77734375" style="59" customWidth="1"/>
    <col min="1539" max="1539" width="27.109375" style="59" customWidth="1"/>
    <col min="1540" max="1540" width="22.6640625" style="59" customWidth="1"/>
    <col min="1541" max="1541" width="30.21875" style="59" customWidth="1"/>
    <col min="1542" max="1542" width="17.88671875" style="59" customWidth="1"/>
    <col min="1543" max="1543" width="15.21875" style="59" customWidth="1"/>
    <col min="1544" max="1547" width="10" style="59" hidden="1" customWidth="1"/>
    <col min="1548" max="1548" width="18" style="59" customWidth="1"/>
    <col min="1549" max="1792" width="10" style="59"/>
    <col min="1793" max="1793" width="5.21875" style="59" customWidth="1"/>
    <col min="1794" max="1794" width="13.77734375" style="59" customWidth="1"/>
    <col min="1795" max="1795" width="27.109375" style="59" customWidth="1"/>
    <col min="1796" max="1796" width="22.6640625" style="59" customWidth="1"/>
    <col min="1797" max="1797" width="30.21875" style="59" customWidth="1"/>
    <col min="1798" max="1798" width="17.88671875" style="59" customWidth="1"/>
    <col min="1799" max="1799" width="15.21875" style="59" customWidth="1"/>
    <col min="1800" max="1803" width="10" style="59" hidden="1" customWidth="1"/>
    <col min="1804" max="1804" width="18" style="59" customWidth="1"/>
    <col min="1805" max="2048" width="10" style="59"/>
    <col min="2049" max="2049" width="5.21875" style="59" customWidth="1"/>
    <col min="2050" max="2050" width="13.77734375" style="59" customWidth="1"/>
    <col min="2051" max="2051" width="27.109375" style="59" customWidth="1"/>
    <col min="2052" max="2052" width="22.6640625" style="59" customWidth="1"/>
    <col min="2053" max="2053" width="30.21875" style="59" customWidth="1"/>
    <col min="2054" max="2054" width="17.88671875" style="59" customWidth="1"/>
    <col min="2055" max="2055" width="15.21875" style="59" customWidth="1"/>
    <col min="2056" max="2059" width="10" style="59" hidden="1" customWidth="1"/>
    <col min="2060" max="2060" width="18" style="59" customWidth="1"/>
    <col min="2061" max="2304" width="10" style="59"/>
    <col min="2305" max="2305" width="5.21875" style="59" customWidth="1"/>
    <col min="2306" max="2306" width="13.77734375" style="59" customWidth="1"/>
    <col min="2307" max="2307" width="27.109375" style="59" customWidth="1"/>
    <col min="2308" max="2308" width="22.6640625" style="59" customWidth="1"/>
    <col min="2309" max="2309" width="30.21875" style="59" customWidth="1"/>
    <col min="2310" max="2310" width="17.88671875" style="59" customWidth="1"/>
    <col min="2311" max="2311" width="15.21875" style="59" customWidth="1"/>
    <col min="2312" max="2315" width="10" style="59" hidden="1" customWidth="1"/>
    <col min="2316" max="2316" width="18" style="59" customWidth="1"/>
    <col min="2317" max="2560" width="10" style="59"/>
    <col min="2561" max="2561" width="5.21875" style="59" customWidth="1"/>
    <col min="2562" max="2562" width="13.77734375" style="59" customWidth="1"/>
    <col min="2563" max="2563" width="27.109375" style="59" customWidth="1"/>
    <col min="2564" max="2564" width="22.6640625" style="59" customWidth="1"/>
    <col min="2565" max="2565" width="30.21875" style="59" customWidth="1"/>
    <col min="2566" max="2566" width="17.88671875" style="59" customWidth="1"/>
    <col min="2567" max="2567" width="15.21875" style="59" customWidth="1"/>
    <col min="2568" max="2571" width="10" style="59" hidden="1" customWidth="1"/>
    <col min="2572" max="2572" width="18" style="59" customWidth="1"/>
    <col min="2573" max="2816" width="10" style="59"/>
    <col min="2817" max="2817" width="5.21875" style="59" customWidth="1"/>
    <col min="2818" max="2818" width="13.77734375" style="59" customWidth="1"/>
    <col min="2819" max="2819" width="27.109375" style="59" customWidth="1"/>
    <col min="2820" max="2820" width="22.6640625" style="59" customWidth="1"/>
    <col min="2821" max="2821" width="30.21875" style="59" customWidth="1"/>
    <col min="2822" max="2822" width="17.88671875" style="59" customWidth="1"/>
    <col min="2823" max="2823" width="15.21875" style="59" customWidth="1"/>
    <col min="2824" max="2827" width="10" style="59" hidden="1" customWidth="1"/>
    <col min="2828" max="2828" width="18" style="59" customWidth="1"/>
    <col min="2829" max="3072" width="10" style="59"/>
    <col min="3073" max="3073" width="5.21875" style="59" customWidth="1"/>
    <col min="3074" max="3074" width="13.77734375" style="59" customWidth="1"/>
    <col min="3075" max="3075" width="27.109375" style="59" customWidth="1"/>
    <col min="3076" max="3076" width="22.6640625" style="59" customWidth="1"/>
    <col min="3077" max="3077" width="30.21875" style="59" customWidth="1"/>
    <col min="3078" max="3078" width="17.88671875" style="59" customWidth="1"/>
    <col min="3079" max="3079" width="15.21875" style="59" customWidth="1"/>
    <col min="3080" max="3083" width="10" style="59" hidden="1" customWidth="1"/>
    <col min="3084" max="3084" width="18" style="59" customWidth="1"/>
    <col min="3085" max="3328" width="10" style="59"/>
    <col min="3329" max="3329" width="5.21875" style="59" customWidth="1"/>
    <col min="3330" max="3330" width="13.77734375" style="59" customWidth="1"/>
    <col min="3331" max="3331" width="27.109375" style="59" customWidth="1"/>
    <col min="3332" max="3332" width="22.6640625" style="59" customWidth="1"/>
    <col min="3333" max="3333" width="30.21875" style="59" customWidth="1"/>
    <col min="3334" max="3334" width="17.88671875" style="59" customWidth="1"/>
    <col min="3335" max="3335" width="15.21875" style="59" customWidth="1"/>
    <col min="3336" max="3339" width="10" style="59" hidden="1" customWidth="1"/>
    <col min="3340" max="3340" width="18" style="59" customWidth="1"/>
    <col min="3341" max="3584" width="10" style="59"/>
    <col min="3585" max="3585" width="5.21875" style="59" customWidth="1"/>
    <col min="3586" max="3586" width="13.77734375" style="59" customWidth="1"/>
    <col min="3587" max="3587" width="27.109375" style="59" customWidth="1"/>
    <col min="3588" max="3588" width="22.6640625" style="59" customWidth="1"/>
    <col min="3589" max="3589" width="30.21875" style="59" customWidth="1"/>
    <col min="3590" max="3590" width="17.88671875" style="59" customWidth="1"/>
    <col min="3591" max="3591" width="15.21875" style="59" customWidth="1"/>
    <col min="3592" max="3595" width="10" style="59" hidden="1" customWidth="1"/>
    <col min="3596" max="3596" width="18" style="59" customWidth="1"/>
    <col min="3597" max="3840" width="10" style="59"/>
    <col min="3841" max="3841" width="5.21875" style="59" customWidth="1"/>
    <col min="3842" max="3842" width="13.77734375" style="59" customWidth="1"/>
    <col min="3843" max="3843" width="27.109375" style="59" customWidth="1"/>
    <col min="3844" max="3844" width="22.6640625" style="59" customWidth="1"/>
    <col min="3845" max="3845" width="30.21875" style="59" customWidth="1"/>
    <col min="3846" max="3846" width="17.88671875" style="59" customWidth="1"/>
    <col min="3847" max="3847" width="15.21875" style="59" customWidth="1"/>
    <col min="3848" max="3851" width="10" style="59" hidden="1" customWidth="1"/>
    <col min="3852" max="3852" width="18" style="59" customWidth="1"/>
    <col min="3853" max="4096" width="10" style="59"/>
    <col min="4097" max="4097" width="5.21875" style="59" customWidth="1"/>
    <col min="4098" max="4098" width="13.77734375" style="59" customWidth="1"/>
    <col min="4099" max="4099" width="27.109375" style="59" customWidth="1"/>
    <col min="4100" max="4100" width="22.6640625" style="59" customWidth="1"/>
    <col min="4101" max="4101" width="30.21875" style="59" customWidth="1"/>
    <col min="4102" max="4102" width="17.88671875" style="59" customWidth="1"/>
    <col min="4103" max="4103" width="15.21875" style="59" customWidth="1"/>
    <col min="4104" max="4107" width="10" style="59" hidden="1" customWidth="1"/>
    <col min="4108" max="4108" width="18" style="59" customWidth="1"/>
    <col min="4109" max="4352" width="10" style="59"/>
    <col min="4353" max="4353" width="5.21875" style="59" customWidth="1"/>
    <col min="4354" max="4354" width="13.77734375" style="59" customWidth="1"/>
    <col min="4355" max="4355" width="27.109375" style="59" customWidth="1"/>
    <col min="4356" max="4356" width="22.6640625" style="59" customWidth="1"/>
    <col min="4357" max="4357" width="30.21875" style="59" customWidth="1"/>
    <col min="4358" max="4358" width="17.88671875" style="59" customWidth="1"/>
    <col min="4359" max="4359" width="15.21875" style="59" customWidth="1"/>
    <col min="4360" max="4363" width="10" style="59" hidden="1" customWidth="1"/>
    <col min="4364" max="4364" width="18" style="59" customWidth="1"/>
    <col min="4365" max="4608" width="10" style="59"/>
    <col min="4609" max="4609" width="5.21875" style="59" customWidth="1"/>
    <col min="4610" max="4610" width="13.77734375" style="59" customWidth="1"/>
    <col min="4611" max="4611" width="27.109375" style="59" customWidth="1"/>
    <col min="4612" max="4612" width="22.6640625" style="59" customWidth="1"/>
    <col min="4613" max="4613" width="30.21875" style="59" customWidth="1"/>
    <col min="4614" max="4614" width="17.88671875" style="59" customWidth="1"/>
    <col min="4615" max="4615" width="15.21875" style="59" customWidth="1"/>
    <col min="4616" max="4619" width="10" style="59" hidden="1" customWidth="1"/>
    <col min="4620" max="4620" width="18" style="59" customWidth="1"/>
    <col min="4621" max="4864" width="10" style="59"/>
    <col min="4865" max="4865" width="5.21875" style="59" customWidth="1"/>
    <col min="4866" max="4866" width="13.77734375" style="59" customWidth="1"/>
    <col min="4867" max="4867" width="27.109375" style="59" customWidth="1"/>
    <col min="4868" max="4868" width="22.6640625" style="59" customWidth="1"/>
    <col min="4869" max="4869" width="30.21875" style="59" customWidth="1"/>
    <col min="4870" max="4870" width="17.88671875" style="59" customWidth="1"/>
    <col min="4871" max="4871" width="15.21875" style="59" customWidth="1"/>
    <col min="4872" max="4875" width="10" style="59" hidden="1" customWidth="1"/>
    <col min="4876" max="4876" width="18" style="59" customWidth="1"/>
    <col min="4877" max="5120" width="10" style="59"/>
    <col min="5121" max="5121" width="5.21875" style="59" customWidth="1"/>
    <col min="5122" max="5122" width="13.77734375" style="59" customWidth="1"/>
    <col min="5123" max="5123" width="27.109375" style="59" customWidth="1"/>
    <col min="5124" max="5124" width="22.6640625" style="59" customWidth="1"/>
    <col min="5125" max="5125" width="30.21875" style="59" customWidth="1"/>
    <col min="5126" max="5126" width="17.88671875" style="59" customWidth="1"/>
    <col min="5127" max="5127" width="15.21875" style="59" customWidth="1"/>
    <col min="5128" max="5131" width="10" style="59" hidden="1" customWidth="1"/>
    <col min="5132" max="5132" width="18" style="59" customWidth="1"/>
    <col min="5133" max="5376" width="10" style="59"/>
    <col min="5377" max="5377" width="5.21875" style="59" customWidth="1"/>
    <col min="5378" max="5378" width="13.77734375" style="59" customWidth="1"/>
    <col min="5379" max="5379" width="27.109375" style="59" customWidth="1"/>
    <col min="5380" max="5380" width="22.6640625" style="59" customWidth="1"/>
    <col min="5381" max="5381" width="30.21875" style="59" customWidth="1"/>
    <col min="5382" max="5382" width="17.88671875" style="59" customWidth="1"/>
    <col min="5383" max="5383" width="15.21875" style="59" customWidth="1"/>
    <col min="5384" max="5387" width="10" style="59" hidden="1" customWidth="1"/>
    <col min="5388" max="5388" width="18" style="59" customWidth="1"/>
    <col min="5389" max="5632" width="10" style="59"/>
    <col min="5633" max="5633" width="5.21875" style="59" customWidth="1"/>
    <col min="5634" max="5634" width="13.77734375" style="59" customWidth="1"/>
    <col min="5635" max="5635" width="27.109375" style="59" customWidth="1"/>
    <col min="5636" max="5636" width="22.6640625" style="59" customWidth="1"/>
    <col min="5637" max="5637" width="30.21875" style="59" customWidth="1"/>
    <col min="5638" max="5638" width="17.88671875" style="59" customWidth="1"/>
    <col min="5639" max="5639" width="15.21875" style="59" customWidth="1"/>
    <col min="5640" max="5643" width="10" style="59" hidden="1" customWidth="1"/>
    <col min="5644" max="5644" width="18" style="59" customWidth="1"/>
    <col min="5645" max="5888" width="10" style="59"/>
    <col min="5889" max="5889" width="5.21875" style="59" customWidth="1"/>
    <col min="5890" max="5890" width="13.77734375" style="59" customWidth="1"/>
    <col min="5891" max="5891" width="27.109375" style="59" customWidth="1"/>
    <col min="5892" max="5892" width="22.6640625" style="59" customWidth="1"/>
    <col min="5893" max="5893" width="30.21875" style="59" customWidth="1"/>
    <col min="5894" max="5894" width="17.88671875" style="59" customWidth="1"/>
    <col min="5895" max="5895" width="15.21875" style="59" customWidth="1"/>
    <col min="5896" max="5899" width="10" style="59" hidden="1" customWidth="1"/>
    <col min="5900" max="5900" width="18" style="59" customWidth="1"/>
    <col min="5901" max="6144" width="10" style="59"/>
    <col min="6145" max="6145" width="5.21875" style="59" customWidth="1"/>
    <col min="6146" max="6146" width="13.77734375" style="59" customWidth="1"/>
    <col min="6147" max="6147" width="27.109375" style="59" customWidth="1"/>
    <col min="6148" max="6148" width="22.6640625" style="59" customWidth="1"/>
    <col min="6149" max="6149" width="30.21875" style="59" customWidth="1"/>
    <col min="6150" max="6150" width="17.88671875" style="59" customWidth="1"/>
    <col min="6151" max="6151" width="15.21875" style="59" customWidth="1"/>
    <col min="6152" max="6155" width="10" style="59" hidden="1" customWidth="1"/>
    <col min="6156" max="6156" width="18" style="59" customWidth="1"/>
    <col min="6157" max="6400" width="10" style="59"/>
    <col min="6401" max="6401" width="5.21875" style="59" customWidth="1"/>
    <col min="6402" max="6402" width="13.77734375" style="59" customWidth="1"/>
    <col min="6403" max="6403" width="27.109375" style="59" customWidth="1"/>
    <col min="6404" max="6404" width="22.6640625" style="59" customWidth="1"/>
    <col min="6405" max="6405" width="30.21875" style="59" customWidth="1"/>
    <col min="6406" max="6406" width="17.88671875" style="59" customWidth="1"/>
    <col min="6407" max="6407" width="15.21875" style="59" customWidth="1"/>
    <col min="6408" max="6411" width="10" style="59" hidden="1" customWidth="1"/>
    <col min="6412" max="6412" width="18" style="59" customWidth="1"/>
    <col min="6413" max="6656" width="10" style="59"/>
    <col min="6657" max="6657" width="5.21875" style="59" customWidth="1"/>
    <col min="6658" max="6658" width="13.77734375" style="59" customWidth="1"/>
    <col min="6659" max="6659" width="27.109375" style="59" customWidth="1"/>
    <col min="6660" max="6660" width="22.6640625" style="59" customWidth="1"/>
    <col min="6661" max="6661" width="30.21875" style="59" customWidth="1"/>
    <col min="6662" max="6662" width="17.88671875" style="59" customWidth="1"/>
    <col min="6663" max="6663" width="15.21875" style="59" customWidth="1"/>
    <col min="6664" max="6667" width="10" style="59" hidden="1" customWidth="1"/>
    <col min="6668" max="6668" width="18" style="59" customWidth="1"/>
    <col min="6669" max="6912" width="10" style="59"/>
    <col min="6913" max="6913" width="5.21875" style="59" customWidth="1"/>
    <col min="6914" max="6914" width="13.77734375" style="59" customWidth="1"/>
    <col min="6915" max="6915" width="27.109375" style="59" customWidth="1"/>
    <col min="6916" max="6916" width="22.6640625" style="59" customWidth="1"/>
    <col min="6917" max="6917" width="30.21875" style="59" customWidth="1"/>
    <col min="6918" max="6918" width="17.88671875" style="59" customWidth="1"/>
    <col min="6919" max="6919" width="15.21875" style="59" customWidth="1"/>
    <col min="6920" max="6923" width="10" style="59" hidden="1" customWidth="1"/>
    <col min="6924" max="6924" width="18" style="59" customWidth="1"/>
    <col min="6925" max="7168" width="10" style="59"/>
    <col min="7169" max="7169" width="5.21875" style="59" customWidth="1"/>
    <col min="7170" max="7170" width="13.77734375" style="59" customWidth="1"/>
    <col min="7171" max="7171" width="27.109375" style="59" customWidth="1"/>
    <col min="7172" max="7172" width="22.6640625" style="59" customWidth="1"/>
    <col min="7173" max="7173" width="30.21875" style="59" customWidth="1"/>
    <col min="7174" max="7174" width="17.88671875" style="59" customWidth="1"/>
    <col min="7175" max="7175" width="15.21875" style="59" customWidth="1"/>
    <col min="7176" max="7179" width="10" style="59" hidden="1" customWidth="1"/>
    <col min="7180" max="7180" width="18" style="59" customWidth="1"/>
    <col min="7181" max="7424" width="10" style="59"/>
    <col min="7425" max="7425" width="5.21875" style="59" customWidth="1"/>
    <col min="7426" max="7426" width="13.77734375" style="59" customWidth="1"/>
    <col min="7427" max="7427" width="27.109375" style="59" customWidth="1"/>
    <col min="7428" max="7428" width="22.6640625" style="59" customWidth="1"/>
    <col min="7429" max="7429" width="30.21875" style="59" customWidth="1"/>
    <col min="7430" max="7430" width="17.88671875" style="59" customWidth="1"/>
    <col min="7431" max="7431" width="15.21875" style="59" customWidth="1"/>
    <col min="7432" max="7435" width="10" style="59" hidden="1" customWidth="1"/>
    <col min="7436" max="7436" width="18" style="59" customWidth="1"/>
    <col min="7437" max="7680" width="10" style="59"/>
    <col min="7681" max="7681" width="5.21875" style="59" customWidth="1"/>
    <col min="7682" max="7682" width="13.77734375" style="59" customWidth="1"/>
    <col min="7683" max="7683" width="27.109375" style="59" customWidth="1"/>
    <col min="7684" max="7684" width="22.6640625" style="59" customWidth="1"/>
    <col min="7685" max="7685" width="30.21875" style="59" customWidth="1"/>
    <col min="7686" max="7686" width="17.88671875" style="59" customWidth="1"/>
    <col min="7687" max="7687" width="15.21875" style="59" customWidth="1"/>
    <col min="7688" max="7691" width="10" style="59" hidden="1" customWidth="1"/>
    <col min="7692" max="7692" width="18" style="59" customWidth="1"/>
    <col min="7693" max="7936" width="10" style="59"/>
    <col min="7937" max="7937" width="5.21875" style="59" customWidth="1"/>
    <col min="7938" max="7938" width="13.77734375" style="59" customWidth="1"/>
    <col min="7939" max="7939" width="27.109375" style="59" customWidth="1"/>
    <col min="7940" max="7940" width="22.6640625" style="59" customWidth="1"/>
    <col min="7941" max="7941" width="30.21875" style="59" customWidth="1"/>
    <col min="7942" max="7942" width="17.88671875" style="59" customWidth="1"/>
    <col min="7943" max="7943" width="15.21875" style="59" customWidth="1"/>
    <col min="7944" max="7947" width="10" style="59" hidden="1" customWidth="1"/>
    <col min="7948" max="7948" width="18" style="59" customWidth="1"/>
    <col min="7949" max="8192" width="10" style="59"/>
    <col min="8193" max="8193" width="5.21875" style="59" customWidth="1"/>
    <col min="8194" max="8194" width="13.77734375" style="59" customWidth="1"/>
    <col min="8195" max="8195" width="27.109375" style="59" customWidth="1"/>
    <col min="8196" max="8196" width="22.6640625" style="59" customWidth="1"/>
    <col min="8197" max="8197" width="30.21875" style="59" customWidth="1"/>
    <col min="8198" max="8198" width="17.88671875" style="59" customWidth="1"/>
    <col min="8199" max="8199" width="15.21875" style="59" customWidth="1"/>
    <col min="8200" max="8203" width="10" style="59" hidden="1" customWidth="1"/>
    <col min="8204" max="8204" width="18" style="59" customWidth="1"/>
    <col min="8205" max="8448" width="10" style="59"/>
    <col min="8449" max="8449" width="5.21875" style="59" customWidth="1"/>
    <col min="8450" max="8450" width="13.77734375" style="59" customWidth="1"/>
    <col min="8451" max="8451" width="27.109375" style="59" customWidth="1"/>
    <col min="8452" max="8452" width="22.6640625" style="59" customWidth="1"/>
    <col min="8453" max="8453" width="30.21875" style="59" customWidth="1"/>
    <col min="8454" max="8454" width="17.88671875" style="59" customWidth="1"/>
    <col min="8455" max="8455" width="15.21875" style="59" customWidth="1"/>
    <col min="8456" max="8459" width="10" style="59" hidden="1" customWidth="1"/>
    <col min="8460" max="8460" width="18" style="59" customWidth="1"/>
    <col min="8461" max="8704" width="10" style="59"/>
    <col min="8705" max="8705" width="5.21875" style="59" customWidth="1"/>
    <col min="8706" max="8706" width="13.77734375" style="59" customWidth="1"/>
    <col min="8707" max="8707" width="27.109375" style="59" customWidth="1"/>
    <col min="8708" max="8708" width="22.6640625" style="59" customWidth="1"/>
    <col min="8709" max="8709" width="30.21875" style="59" customWidth="1"/>
    <col min="8710" max="8710" width="17.88671875" style="59" customWidth="1"/>
    <col min="8711" max="8711" width="15.21875" style="59" customWidth="1"/>
    <col min="8712" max="8715" width="10" style="59" hidden="1" customWidth="1"/>
    <col min="8716" max="8716" width="18" style="59" customWidth="1"/>
    <col min="8717" max="8960" width="10" style="59"/>
    <col min="8961" max="8961" width="5.21875" style="59" customWidth="1"/>
    <col min="8962" max="8962" width="13.77734375" style="59" customWidth="1"/>
    <col min="8963" max="8963" width="27.109375" style="59" customWidth="1"/>
    <col min="8964" max="8964" width="22.6640625" style="59" customWidth="1"/>
    <col min="8965" max="8965" width="30.21875" style="59" customWidth="1"/>
    <col min="8966" max="8966" width="17.88671875" style="59" customWidth="1"/>
    <col min="8967" max="8967" width="15.21875" style="59" customWidth="1"/>
    <col min="8968" max="8971" width="10" style="59" hidden="1" customWidth="1"/>
    <col min="8972" max="8972" width="18" style="59" customWidth="1"/>
    <col min="8973" max="9216" width="10" style="59"/>
    <col min="9217" max="9217" width="5.21875" style="59" customWidth="1"/>
    <col min="9218" max="9218" width="13.77734375" style="59" customWidth="1"/>
    <col min="9219" max="9219" width="27.109375" style="59" customWidth="1"/>
    <col min="9220" max="9220" width="22.6640625" style="59" customWidth="1"/>
    <col min="9221" max="9221" width="30.21875" style="59" customWidth="1"/>
    <col min="9222" max="9222" width="17.88671875" style="59" customWidth="1"/>
    <col min="9223" max="9223" width="15.21875" style="59" customWidth="1"/>
    <col min="9224" max="9227" width="10" style="59" hidden="1" customWidth="1"/>
    <col min="9228" max="9228" width="18" style="59" customWidth="1"/>
    <col min="9229" max="9472" width="10" style="59"/>
    <col min="9473" max="9473" width="5.21875" style="59" customWidth="1"/>
    <col min="9474" max="9474" width="13.77734375" style="59" customWidth="1"/>
    <col min="9475" max="9475" width="27.109375" style="59" customWidth="1"/>
    <col min="9476" max="9476" width="22.6640625" style="59" customWidth="1"/>
    <col min="9477" max="9477" width="30.21875" style="59" customWidth="1"/>
    <col min="9478" max="9478" width="17.88671875" style="59" customWidth="1"/>
    <col min="9479" max="9479" width="15.21875" style="59" customWidth="1"/>
    <col min="9480" max="9483" width="10" style="59" hidden="1" customWidth="1"/>
    <col min="9484" max="9484" width="18" style="59" customWidth="1"/>
    <col min="9485" max="9728" width="10" style="59"/>
    <col min="9729" max="9729" width="5.21875" style="59" customWidth="1"/>
    <col min="9730" max="9730" width="13.77734375" style="59" customWidth="1"/>
    <col min="9731" max="9731" width="27.109375" style="59" customWidth="1"/>
    <col min="9732" max="9732" width="22.6640625" style="59" customWidth="1"/>
    <col min="9733" max="9733" width="30.21875" style="59" customWidth="1"/>
    <col min="9734" max="9734" width="17.88671875" style="59" customWidth="1"/>
    <col min="9735" max="9735" width="15.21875" style="59" customWidth="1"/>
    <col min="9736" max="9739" width="10" style="59" hidden="1" customWidth="1"/>
    <col min="9740" max="9740" width="18" style="59" customWidth="1"/>
    <col min="9741" max="9984" width="10" style="59"/>
    <col min="9985" max="9985" width="5.21875" style="59" customWidth="1"/>
    <col min="9986" max="9986" width="13.77734375" style="59" customWidth="1"/>
    <col min="9987" max="9987" width="27.109375" style="59" customWidth="1"/>
    <col min="9988" max="9988" width="22.6640625" style="59" customWidth="1"/>
    <col min="9989" max="9989" width="30.21875" style="59" customWidth="1"/>
    <col min="9990" max="9990" width="17.88671875" style="59" customWidth="1"/>
    <col min="9991" max="9991" width="15.21875" style="59" customWidth="1"/>
    <col min="9992" max="9995" width="10" style="59" hidden="1" customWidth="1"/>
    <col min="9996" max="9996" width="18" style="59" customWidth="1"/>
    <col min="9997" max="10240" width="10" style="59"/>
    <col min="10241" max="10241" width="5.21875" style="59" customWidth="1"/>
    <col min="10242" max="10242" width="13.77734375" style="59" customWidth="1"/>
    <col min="10243" max="10243" width="27.109375" style="59" customWidth="1"/>
    <col min="10244" max="10244" width="22.6640625" style="59" customWidth="1"/>
    <col min="10245" max="10245" width="30.21875" style="59" customWidth="1"/>
    <col min="10246" max="10246" width="17.88671875" style="59" customWidth="1"/>
    <col min="10247" max="10247" width="15.21875" style="59" customWidth="1"/>
    <col min="10248" max="10251" width="10" style="59" hidden="1" customWidth="1"/>
    <col min="10252" max="10252" width="18" style="59" customWidth="1"/>
    <col min="10253" max="10496" width="10" style="59"/>
    <col min="10497" max="10497" width="5.21875" style="59" customWidth="1"/>
    <col min="10498" max="10498" width="13.77734375" style="59" customWidth="1"/>
    <col min="10499" max="10499" width="27.109375" style="59" customWidth="1"/>
    <col min="10500" max="10500" width="22.6640625" style="59" customWidth="1"/>
    <col min="10501" max="10501" width="30.21875" style="59" customWidth="1"/>
    <col min="10502" max="10502" width="17.88671875" style="59" customWidth="1"/>
    <col min="10503" max="10503" width="15.21875" style="59" customWidth="1"/>
    <col min="10504" max="10507" width="10" style="59" hidden="1" customWidth="1"/>
    <col min="10508" max="10508" width="18" style="59" customWidth="1"/>
    <col min="10509" max="10752" width="10" style="59"/>
    <col min="10753" max="10753" width="5.21875" style="59" customWidth="1"/>
    <col min="10754" max="10754" width="13.77734375" style="59" customWidth="1"/>
    <col min="10755" max="10755" width="27.109375" style="59" customWidth="1"/>
    <col min="10756" max="10756" width="22.6640625" style="59" customWidth="1"/>
    <col min="10757" max="10757" width="30.21875" style="59" customWidth="1"/>
    <col min="10758" max="10758" width="17.88671875" style="59" customWidth="1"/>
    <col min="10759" max="10759" width="15.21875" style="59" customWidth="1"/>
    <col min="10760" max="10763" width="10" style="59" hidden="1" customWidth="1"/>
    <col min="10764" max="10764" width="18" style="59" customWidth="1"/>
    <col min="10765" max="11008" width="10" style="59"/>
    <col min="11009" max="11009" width="5.21875" style="59" customWidth="1"/>
    <col min="11010" max="11010" width="13.77734375" style="59" customWidth="1"/>
    <col min="11011" max="11011" width="27.109375" style="59" customWidth="1"/>
    <col min="11012" max="11012" width="22.6640625" style="59" customWidth="1"/>
    <col min="11013" max="11013" width="30.21875" style="59" customWidth="1"/>
    <col min="11014" max="11014" width="17.88671875" style="59" customWidth="1"/>
    <col min="11015" max="11015" width="15.21875" style="59" customWidth="1"/>
    <col min="11016" max="11019" width="10" style="59" hidden="1" customWidth="1"/>
    <col min="11020" max="11020" width="18" style="59" customWidth="1"/>
    <col min="11021" max="11264" width="10" style="59"/>
    <col min="11265" max="11265" width="5.21875" style="59" customWidth="1"/>
    <col min="11266" max="11266" width="13.77734375" style="59" customWidth="1"/>
    <col min="11267" max="11267" width="27.109375" style="59" customWidth="1"/>
    <col min="11268" max="11268" width="22.6640625" style="59" customWidth="1"/>
    <col min="11269" max="11269" width="30.21875" style="59" customWidth="1"/>
    <col min="11270" max="11270" width="17.88671875" style="59" customWidth="1"/>
    <col min="11271" max="11271" width="15.21875" style="59" customWidth="1"/>
    <col min="11272" max="11275" width="10" style="59" hidden="1" customWidth="1"/>
    <col min="11276" max="11276" width="18" style="59" customWidth="1"/>
    <col min="11277" max="11520" width="10" style="59"/>
    <col min="11521" max="11521" width="5.21875" style="59" customWidth="1"/>
    <col min="11522" max="11522" width="13.77734375" style="59" customWidth="1"/>
    <col min="11523" max="11523" width="27.109375" style="59" customWidth="1"/>
    <col min="11524" max="11524" width="22.6640625" style="59" customWidth="1"/>
    <col min="11525" max="11525" width="30.21875" style="59" customWidth="1"/>
    <col min="11526" max="11526" width="17.88671875" style="59" customWidth="1"/>
    <col min="11527" max="11527" width="15.21875" style="59" customWidth="1"/>
    <col min="11528" max="11531" width="10" style="59" hidden="1" customWidth="1"/>
    <col min="11532" max="11532" width="18" style="59" customWidth="1"/>
    <col min="11533" max="11776" width="10" style="59"/>
    <col min="11777" max="11777" width="5.21875" style="59" customWidth="1"/>
    <col min="11778" max="11778" width="13.77734375" style="59" customWidth="1"/>
    <col min="11779" max="11779" width="27.109375" style="59" customWidth="1"/>
    <col min="11780" max="11780" width="22.6640625" style="59" customWidth="1"/>
    <col min="11781" max="11781" width="30.21875" style="59" customWidth="1"/>
    <col min="11782" max="11782" width="17.88671875" style="59" customWidth="1"/>
    <col min="11783" max="11783" width="15.21875" style="59" customWidth="1"/>
    <col min="11784" max="11787" width="10" style="59" hidden="1" customWidth="1"/>
    <col min="11788" max="11788" width="18" style="59" customWidth="1"/>
    <col min="11789" max="12032" width="10" style="59"/>
    <col min="12033" max="12033" width="5.21875" style="59" customWidth="1"/>
    <col min="12034" max="12034" width="13.77734375" style="59" customWidth="1"/>
    <col min="12035" max="12035" width="27.109375" style="59" customWidth="1"/>
    <col min="12036" max="12036" width="22.6640625" style="59" customWidth="1"/>
    <col min="12037" max="12037" width="30.21875" style="59" customWidth="1"/>
    <col min="12038" max="12038" width="17.88671875" style="59" customWidth="1"/>
    <col min="12039" max="12039" width="15.21875" style="59" customWidth="1"/>
    <col min="12040" max="12043" width="10" style="59" hidden="1" customWidth="1"/>
    <col min="12044" max="12044" width="18" style="59" customWidth="1"/>
    <col min="12045" max="12288" width="10" style="59"/>
    <col min="12289" max="12289" width="5.21875" style="59" customWidth="1"/>
    <col min="12290" max="12290" width="13.77734375" style="59" customWidth="1"/>
    <col min="12291" max="12291" width="27.109375" style="59" customWidth="1"/>
    <col min="12292" max="12292" width="22.6640625" style="59" customWidth="1"/>
    <col min="12293" max="12293" width="30.21875" style="59" customWidth="1"/>
    <col min="12294" max="12294" width="17.88671875" style="59" customWidth="1"/>
    <col min="12295" max="12295" width="15.21875" style="59" customWidth="1"/>
    <col min="12296" max="12299" width="10" style="59" hidden="1" customWidth="1"/>
    <col min="12300" max="12300" width="18" style="59" customWidth="1"/>
    <col min="12301" max="12544" width="10" style="59"/>
    <col min="12545" max="12545" width="5.21875" style="59" customWidth="1"/>
    <col min="12546" max="12546" width="13.77734375" style="59" customWidth="1"/>
    <col min="12547" max="12547" width="27.109375" style="59" customWidth="1"/>
    <col min="12548" max="12548" width="22.6640625" style="59" customWidth="1"/>
    <col min="12549" max="12549" width="30.21875" style="59" customWidth="1"/>
    <col min="12550" max="12550" width="17.88671875" style="59" customWidth="1"/>
    <col min="12551" max="12551" width="15.21875" style="59" customWidth="1"/>
    <col min="12552" max="12555" width="10" style="59" hidden="1" customWidth="1"/>
    <col min="12556" max="12556" width="18" style="59" customWidth="1"/>
    <col min="12557" max="12800" width="10" style="59"/>
    <col min="12801" max="12801" width="5.21875" style="59" customWidth="1"/>
    <col min="12802" max="12802" width="13.77734375" style="59" customWidth="1"/>
    <col min="12803" max="12803" width="27.109375" style="59" customWidth="1"/>
    <col min="12804" max="12804" width="22.6640625" style="59" customWidth="1"/>
    <col min="12805" max="12805" width="30.21875" style="59" customWidth="1"/>
    <col min="12806" max="12806" width="17.88671875" style="59" customWidth="1"/>
    <col min="12807" max="12807" width="15.21875" style="59" customWidth="1"/>
    <col min="12808" max="12811" width="10" style="59" hidden="1" customWidth="1"/>
    <col min="12812" max="12812" width="18" style="59" customWidth="1"/>
    <col min="12813" max="13056" width="10" style="59"/>
    <col min="13057" max="13057" width="5.21875" style="59" customWidth="1"/>
    <col min="13058" max="13058" width="13.77734375" style="59" customWidth="1"/>
    <col min="13059" max="13059" width="27.109375" style="59" customWidth="1"/>
    <col min="13060" max="13060" width="22.6640625" style="59" customWidth="1"/>
    <col min="13061" max="13061" width="30.21875" style="59" customWidth="1"/>
    <col min="13062" max="13062" width="17.88671875" style="59" customWidth="1"/>
    <col min="13063" max="13063" width="15.21875" style="59" customWidth="1"/>
    <col min="13064" max="13067" width="10" style="59" hidden="1" customWidth="1"/>
    <col min="13068" max="13068" width="18" style="59" customWidth="1"/>
    <col min="13069" max="13312" width="10" style="59"/>
    <col min="13313" max="13313" width="5.21875" style="59" customWidth="1"/>
    <col min="13314" max="13314" width="13.77734375" style="59" customWidth="1"/>
    <col min="13315" max="13315" width="27.109375" style="59" customWidth="1"/>
    <col min="13316" max="13316" width="22.6640625" style="59" customWidth="1"/>
    <col min="13317" max="13317" width="30.21875" style="59" customWidth="1"/>
    <col min="13318" max="13318" width="17.88671875" style="59" customWidth="1"/>
    <col min="13319" max="13319" width="15.21875" style="59" customWidth="1"/>
    <col min="13320" max="13323" width="10" style="59" hidden="1" customWidth="1"/>
    <col min="13324" max="13324" width="18" style="59" customWidth="1"/>
    <col min="13325" max="13568" width="10" style="59"/>
    <col min="13569" max="13569" width="5.21875" style="59" customWidth="1"/>
    <col min="13570" max="13570" width="13.77734375" style="59" customWidth="1"/>
    <col min="13571" max="13571" width="27.109375" style="59" customWidth="1"/>
    <col min="13572" max="13572" width="22.6640625" style="59" customWidth="1"/>
    <col min="13573" max="13573" width="30.21875" style="59" customWidth="1"/>
    <col min="13574" max="13574" width="17.88671875" style="59" customWidth="1"/>
    <col min="13575" max="13575" width="15.21875" style="59" customWidth="1"/>
    <col min="13576" max="13579" width="10" style="59" hidden="1" customWidth="1"/>
    <col min="13580" max="13580" width="18" style="59" customWidth="1"/>
    <col min="13581" max="13824" width="10" style="59"/>
    <col min="13825" max="13825" width="5.21875" style="59" customWidth="1"/>
    <col min="13826" max="13826" width="13.77734375" style="59" customWidth="1"/>
    <col min="13827" max="13827" width="27.109375" style="59" customWidth="1"/>
    <col min="13828" max="13828" width="22.6640625" style="59" customWidth="1"/>
    <col min="13829" max="13829" width="30.21875" style="59" customWidth="1"/>
    <col min="13830" max="13830" width="17.88671875" style="59" customWidth="1"/>
    <col min="13831" max="13831" width="15.21875" style="59" customWidth="1"/>
    <col min="13832" max="13835" width="10" style="59" hidden="1" customWidth="1"/>
    <col min="13836" max="13836" width="18" style="59" customWidth="1"/>
    <col min="13837" max="14080" width="10" style="59"/>
    <col min="14081" max="14081" width="5.21875" style="59" customWidth="1"/>
    <col min="14082" max="14082" width="13.77734375" style="59" customWidth="1"/>
    <col min="14083" max="14083" width="27.109375" style="59" customWidth="1"/>
    <col min="14084" max="14084" width="22.6640625" style="59" customWidth="1"/>
    <col min="14085" max="14085" width="30.21875" style="59" customWidth="1"/>
    <col min="14086" max="14086" width="17.88671875" style="59" customWidth="1"/>
    <col min="14087" max="14087" width="15.21875" style="59" customWidth="1"/>
    <col min="14088" max="14091" width="10" style="59" hidden="1" customWidth="1"/>
    <col min="14092" max="14092" width="18" style="59" customWidth="1"/>
    <col min="14093" max="14336" width="10" style="59"/>
    <col min="14337" max="14337" width="5.21875" style="59" customWidth="1"/>
    <col min="14338" max="14338" width="13.77734375" style="59" customWidth="1"/>
    <col min="14339" max="14339" width="27.109375" style="59" customWidth="1"/>
    <col min="14340" max="14340" width="22.6640625" style="59" customWidth="1"/>
    <col min="14341" max="14341" width="30.21875" style="59" customWidth="1"/>
    <col min="14342" max="14342" width="17.88671875" style="59" customWidth="1"/>
    <col min="14343" max="14343" width="15.21875" style="59" customWidth="1"/>
    <col min="14344" max="14347" width="10" style="59" hidden="1" customWidth="1"/>
    <col min="14348" max="14348" width="18" style="59" customWidth="1"/>
    <col min="14349" max="14592" width="10" style="59"/>
    <col min="14593" max="14593" width="5.21875" style="59" customWidth="1"/>
    <col min="14594" max="14594" width="13.77734375" style="59" customWidth="1"/>
    <col min="14595" max="14595" width="27.109375" style="59" customWidth="1"/>
    <col min="14596" max="14596" width="22.6640625" style="59" customWidth="1"/>
    <col min="14597" max="14597" width="30.21875" style="59" customWidth="1"/>
    <col min="14598" max="14598" width="17.88671875" style="59" customWidth="1"/>
    <col min="14599" max="14599" width="15.21875" style="59" customWidth="1"/>
    <col min="14600" max="14603" width="10" style="59" hidden="1" customWidth="1"/>
    <col min="14604" max="14604" width="18" style="59" customWidth="1"/>
    <col min="14605" max="14848" width="10" style="59"/>
    <col min="14849" max="14849" width="5.21875" style="59" customWidth="1"/>
    <col min="14850" max="14850" width="13.77734375" style="59" customWidth="1"/>
    <col min="14851" max="14851" width="27.109375" style="59" customWidth="1"/>
    <col min="14852" max="14852" width="22.6640625" style="59" customWidth="1"/>
    <col min="14853" max="14853" width="30.21875" style="59" customWidth="1"/>
    <col min="14854" max="14854" width="17.88671875" style="59" customWidth="1"/>
    <col min="14855" max="14855" width="15.21875" style="59" customWidth="1"/>
    <col min="14856" max="14859" width="10" style="59" hidden="1" customWidth="1"/>
    <col min="14860" max="14860" width="18" style="59" customWidth="1"/>
    <col min="14861" max="15104" width="10" style="59"/>
    <col min="15105" max="15105" width="5.21875" style="59" customWidth="1"/>
    <col min="15106" max="15106" width="13.77734375" style="59" customWidth="1"/>
    <col min="15107" max="15107" width="27.109375" style="59" customWidth="1"/>
    <col min="15108" max="15108" width="22.6640625" style="59" customWidth="1"/>
    <col min="15109" max="15109" width="30.21875" style="59" customWidth="1"/>
    <col min="15110" max="15110" width="17.88671875" style="59" customWidth="1"/>
    <col min="15111" max="15111" width="15.21875" style="59" customWidth="1"/>
    <col min="15112" max="15115" width="10" style="59" hidden="1" customWidth="1"/>
    <col min="15116" max="15116" width="18" style="59" customWidth="1"/>
    <col min="15117" max="15360" width="10" style="59"/>
    <col min="15361" max="15361" width="5.21875" style="59" customWidth="1"/>
    <col min="15362" max="15362" width="13.77734375" style="59" customWidth="1"/>
    <col min="15363" max="15363" width="27.109375" style="59" customWidth="1"/>
    <col min="15364" max="15364" width="22.6640625" style="59" customWidth="1"/>
    <col min="15365" max="15365" width="30.21875" style="59" customWidth="1"/>
    <col min="15366" max="15366" width="17.88671875" style="59" customWidth="1"/>
    <col min="15367" max="15367" width="15.21875" style="59" customWidth="1"/>
    <col min="15368" max="15371" width="10" style="59" hidden="1" customWidth="1"/>
    <col min="15372" max="15372" width="18" style="59" customWidth="1"/>
    <col min="15373" max="15616" width="10" style="59"/>
    <col min="15617" max="15617" width="5.21875" style="59" customWidth="1"/>
    <col min="15618" max="15618" width="13.77734375" style="59" customWidth="1"/>
    <col min="15619" max="15619" width="27.109375" style="59" customWidth="1"/>
    <col min="15620" max="15620" width="22.6640625" style="59" customWidth="1"/>
    <col min="15621" max="15621" width="30.21875" style="59" customWidth="1"/>
    <col min="15622" max="15622" width="17.88671875" style="59" customWidth="1"/>
    <col min="15623" max="15623" width="15.21875" style="59" customWidth="1"/>
    <col min="15624" max="15627" width="10" style="59" hidden="1" customWidth="1"/>
    <col min="15628" max="15628" width="18" style="59" customWidth="1"/>
    <col min="15629" max="15872" width="10" style="59"/>
    <col min="15873" max="15873" width="5.21875" style="59" customWidth="1"/>
    <col min="15874" max="15874" width="13.77734375" style="59" customWidth="1"/>
    <col min="15875" max="15875" width="27.109375" style="59" customWidth="1"/>
    <col min="15876" max="15876" width="22.6640625" style="59" customWidth="1"/>
    <col min="15877" max="15877" width="30.21875" style="59" customWidth="1"/>
    <col min="15878" max="15878" width="17.88671875" style="59" customWidth="1"/>
    <col min="15879" max="15879" width="15.21875" style="59" customWidth="1"/>
    <col min="15880" max="15883" width="10" style="59" hidden="1" customWidth="1"/>
    <col min="15884" max="15884" width="18" style="59" customWidth="1"/>
    <col min="15885" max="16128" width="10" style="59"/>
    <col min="16129" max="16129" width="5.21875" style="59" customWidth="1"/>
    <col min="16130" max="16130" width="13.77734375" style="59" customWidth="1"/>
    <col min="16131" max="16131" width="27.109375" style="59" customWidth="1"/>
    <col min="16132" max="16132" width="22.6640625" style="59" customWidth="1"/>
    <col min="16133" max="16133" width="30.21875" style="59" customWidth="1"/>
    <col min="16134" max="16134" width="17.88671875" style="59" customWidth="1"/>
    <col min="16135" max="16135" width="15.21875" style="59" customWidth="1"/>
    <col min="16136" max="16139" width="10" style="59" hidden="1" customWidth="1"/>
    <col min="16140" max="16140" width="18" style="59" customWidth="1"/>
    <col min="16141" max="16384" width="10" style="59"/>
  </cols>
  <sheetData>
    <row r="1" spans="1:13" ht="34.950000000000003" customHeight="1" x14ac:dyDescent="0.25">
      <c r="A1" s="60" t="s">
        <v>198</v>
      </c>
      <c r="B1" s="60"/>
      <c r="C1" s="61"/>
      <c r="D1" s="61"/>
      <c r="E1" s="62"/>
      <c r="F1" s="62"/>
      <c r="G1" s="62"/>
    </row>
    <row r="2" spans="1:13" s="56" customFormat="1" ht="22.2" customHeight="1" x14ac:dyDescent="0.25">
      <c r="A2" s="143" t="s">
        <v>0</v>
      </c>
      <c r="B2" s="144"/>
      <c r="C2" s="144"/>
      <c r="D2" s="145"/>
      <c r="E2" s="63" t="s">
        <v>1</v>
      </c>
      <c r="F2" s="64">
        <v>43298</v>
      </c>
      <c r="G2" s="65"/>
    </row>
    <row r="3" spans="1:13" s="56" customFormat="1" ht="22.2" customHeight="1" x14ac:dyDescent="0.25">
      <c r="A3" s="66" t="s">
        <v>2</v>
      </c>
      <c r="B3" s="66"/>
      <c r="C3" s="66" t="s">
        <v>3</v>
      </c>
      <c r="D3" s="66" t="s">
        <v>4</v>
      </c>
      <c r="E3" s="67"/>
      <c r="F3" s="68"/>
      <c r="G3" s="67"/>
    </row>
    <row r="4" spans="1:13" ht="22.2" customHeight="1" x14ac:dyDescent="0.25">
      <c r="A4" s="66">
        <v>1</v>
      </c>
      <c r="B4" s="146" t="s">
        <v>5</v>
      </c>
      <c r="C4" s="69" t="s">
        <v>6</v>
      </c>
      <c r="D4" s="70">
        <v>15994</v>
      </c>
      <c r="E4" s="71" t="s">
        <v>7</v>
      </c>
      <c r="F4" s="72">
        <v>0.9</v>
      </c>
      <c r="G4" s="71"/>
      <c r="L4" s="103" t="s">
        <v>8</v>
      </c>
      <c r="M4" s="103" t="s">
        <v>9</v>
      </c>
    </row>
    <row r="5" spans="1:13" ht="22.2" customHeight="1" x14ac:dyDescent="0.25">
      <c r="A5" s="66">
        <v>2</v>
      </c>
      <c r="B5" s="147"/>
      <c r="C5" s="69" t="s">
        <v>10</v>
      </c>
      <c r="D5" s="70">
        <f>D4*F4</f>
        <v>14394.6</v>
      </c>
      <c r="E5" s="71" t="s">
        <v>11</v>
      </c>
      <c r="F5" s="72">
        <v>180</v>
      </c>
      <c r="G5" s="71"/>
      <c r="L5" s="59">
        <v>180</v>
      </c>
      <c r="M5" s="98">
        <f>D5/L5</f>
        <v>79.97</v>
      </c>
    </row>
    <row r="6" spans="1:13" ht="22.2" customHeight="1" x14ac:dyDescent="0.25">
      <c r="A6" s="66">
        <v>3</v>
      </c>
      <c r="B6" s="147"/>
      <c r="C6" s="69" t="s">
        <v>12</v>
      </c>
      <c r="D6" s="70">
        <f>(D5-D8)/2</f>
        <v>7125.33</v>
      </c>
      <c r="E6" s="71" t="s">
        <v>9</v>
      </c>
      <c r="F6" s="73">
        <f>D6/F5*2</f>
        <v>79</v>
      </c>
      <c r="G6" s="71"/>
      <c r="L6" s="59">
        <v>40</v>
      </c>
      <c r="M6" s="98">
        <f>D9/L6</f>
        <v>118.5</v>
      </c>
    </row>
    <row r="7" spans="1:13" ht="22.2" customHeight="1" x14ac:dyDescent="0.25">
      <c r="A7" s="66">
        <v>4</v>
      </c>
      <c r="B7" s="147"/>
      <c r="C7" s="69" t="s">
        <v>13</v>
      </c>
      <c r="D7" s="70">
        <f>D6</f>
        <v>7125.33</v>
      </c>
      <c r="E7" s="71"/>
      <c r="F7" s="72"/>
      <c r="G7" s="71"/>
      <c r="M7" s="98"/>
    </row>
    <row r="8" spans="1:13" ht="22.2" customHeight="1" x14ac:dyDescent="0.25">
      <c r="A8" s="66">
        <v>5</v>
      </c>
      <c r="B8" s="147"/>
      <c r="C8" s="69" t="s">
        <v>14</v>
      </c>
      <c r="D8" s="112">
        <f>D5*1%</f>
        <v>143.94999999999999</v>
      </c>
      <c r="E8" s="71"/>
      <c r="F8" s="72"/>
      <c r="G8" s="71"/>
      <c r="M8" s="98"/>
    </row>
    <row r="9" spans="1:13" ht="22.2" customHeight="1" x14ac:dyDescent="0.25">
      <c r="A9" s="66">
        <v>6</v>
      </c>
      <c r="B9" s="148"/>
      <c r="C9" s="117" t="s">
        <v>15</v>
      </c>
      <c r="D9" s="70">
        <f>(40+20)*F6</f>
        <v>4740</v>
      </c>
      <c r="E9" s="71" t="s">
        <v>147</v>
      </c>
      <c r="F9" s="72"/>
      <c r="G9" s="71"/>
      <c r="L9" s="140"/>
    </row>
    <row r="10" spans="1:13" s="56" customFormat="1" ht="22.2" customHeight="1" x14ac:dyDescent="0.25">
      <c r="A10" s="66">
        <v>7</v>
      </c>
      <c r="B10" s="146" t="s">
        <v>16</v>
      </c>
      <c r="C10" s="69" t="s">
        <v>17</v>
      </c>
      <c r="D10" s="74">
        <f>销售单价计算!K28</f>
        <v>30421</v>
      </c>
      <c r="E10" s="69"/>
      <c r="F10" s="74"/>
      <c r="G10" s="75"/>
    </row>
    <row r="11" spans="1:13" s="56" customFormat="1" ht="22.2" customHeight="1" x14ac:dyDescent="0.25">
      <c r="A11" s="66">
        <v>8</v>
      </c>
      <c r="B11" s="147"/>
      <c r="C11" s="69" t="s">
        <v>18</v>
      </c>
      <c r="D11" s="74">
        <f>销售单价计算!K27</f>
        <v>32711</v>
      </c>
      <c r="E11" s="69"/>
      <c r="F11" s="74"/>
      <c r="G11" s="75"/>
    </row>
    <row r="12" spans="1:13" s="56" customFormat="1" ht="22.2" customHeight="1" x14ac:dyDescent="0.25">
      <c r="A12" s="66">
        <v>9</v>
      </c>
      <c r="B12" s="148"/>
      <c r="C12" s="69" t="s">
        <v>19</v>
      </c>
      <c r="D12" s="74">
        <f>ROUND((D6*D10+D7*D11),0)</f>
        <v>449836334</v>
      </c>
      <c r="E12" s="75"/>
      <c r="F12" s="74"/>
      <c r="G12" s="75"/>
      <c r="L12" s="83"/>
    </row>
    <row r="13" spans="1:13" s="56" customFormat="1" ht="22.2" customHeight="1" x14ac:dyDescent="0.25">
      <c r="A13" s="66">
        <v>13</v>
      </c>
      <c r="B13" s="146" t="s">
        <v>20</v>
      </c>
      <c r="C13" s="69" t="s">
        <v>145</v>
      </c>
      <c r="D13" s="74">
        <f>ROUND(D5*F13,0)</f>
        <v>1173160</v>
      </c>
      <c r="E13" s="76" t="s">
        <v>21</v>
      </c>
      <c r="F13" s="113">
        <f>前期工程费!D9</f>
        <v>81.5</v>
      </c>
      <c r="G13" s="77"/>
      <c r="L13" s="83"/>
    </row>
    <row r="14" spans="1:13" s="56" customFormat="1" ht="22.2" customHeight="1" x14ac:dyDescent="0.25">
      <c r="A14" s="66">
        <v>10</v>
      </c>
      <c r="B14" s="147"/>
      <c r="C14" s="69" t="s">
        <v>22</v>
      </c>
      <c r="D14" s="74">
        <f>D5*F14</f>
        <v>2159190</v>
      </c>
      <c r="E14" s="76" t="s">
        <v>23</v>
      </c>
      <c r="F14" s="74">
        <v>150</v>
      </c>
      <c r="G14" s="75"/>
    </row>
    <row r="15" spans="1:13" s="56" customFormat="1" ht="28.8" customHeight="1" x14ac:dyDescent="0.25">
      <c r="A15" s="66">
        <v>11</v>
      </c>
      <c r="B15" s="147"/>
      <c r="C15" s="69" t="s">
        <v>153</v>
      </c>
      <c r="D15" s="74">
        <f>D5*F15</f>
        <v>25910280</v>
      </c>
      <c r="E15" s="69" t="s">
        <v>154</v>
      </c>
      <c r="F15" s="113">
        <f>1800</f>
        <v>1800</v>
      </c>
      <c r="G15" s="111"/>
      <c r="L15" s="83"/>
      <c r="M15" s="83"/>
    </row>
    <row r="16" spans="1:13" s="56" customFormat="1" ht="22.2" customHeight="1" x14ac:dyDescent="0.25">
      <c r="A16" s="66">
        <v>12</v>
      </c>
      <c r="B16" s="147"/>
      <c r="C16" s="117" t="s">
        <v>146</v>
      </c>
      <c r="D16" s="74">
        <f>D9*F16</f>
        <v>14220000</v>
      </c>
      <c r="E16" s="69" t="s">
        <v>24</v>
      </c>
      <c r="F16" s="74">
        <v>3000</v>
      </c>
      <c r="G16" s="77"/>
      <c r="L16" s="83"/>
    </row>
    <row r="17" spans="1:12" s="56" customFormat="1" ht="22.2" customHeight="1" x14ac:dyDescent="0.25">
      <c r="A17" s="66">
        <v>14</v>
      </c>
      <c r="B17" s="148"/>
      <c r="C17" s="69" t="s">
        <v>25</v>
      </c>
      <c r="D17" s="74">
        <f>D5*F17</f>
        <v>11515680</v>
      </c>
      <c r="E17" s="76" t="s">
        <v>21</v>
      </c>
      <c r="F17" s="74">
        <v>800</v>
      </c>
      <c r="G17" s="75"/>
    </row>
    <row r="18" spans="1:12" s="57" customFormat="1" ht="22.2" customHeight="1" x14ac:dyDescent="0.25">
      <c r="A18" s="66">
        <v>15</v>
      </c>
      <c r="B18" s="66" t="s">
        <v>26</v>
      </c>
      <c r="C18" s="117" t="s">
        <v>27</v>
      </c>
      <c r="D18" s="78" t="e">
        <f>地价*4.75/100*1.2*G18+(D14+D15+D16+D13+D17)*4.75/100*1.2*G18/2</f>
        <v>#NAME?</v>
      </c>
      <c r="E18" s="139" t="s">
        <v>196</v>
      </c>
      <c r="F18" s="67" t="s">
        <v>28</v>
      </c>
      <c r="G18" s="74">
        <v>1.5</v>
      </c>
      <c r="H18" s="79" t="e">
        <f>#REF!+E19</f>
        <v>#REF!</v>
      </c>
      <c r="I18" s="104" t="e">
        <f>#REF!/10000</f>
        <v>#REF!</v>
      </c>
      <c r="J18" s="104" t="e">
        <f>#REF!/10000</f>
        <v>#REF!</v>
      </c>
      <c r="K18" s="104" t="e">
        <f>I18-J18</f>
        <v>#REF!</v>
      </c>
      <c r="L18" s="105"/>
    </row>
    <row r="19" spans="1:12" ht="22.2" customHeight="1" x14ac:dyDescent="0.25">
      <c r="A19" s="66">
        <v>16</v>
      </c>
      <c r="B19" s="146" t="s">
        <v>29</v>
      </c>
      <c r="C19" s="69" t="s">
        <v>143</v>
      </c>
      <c r="D19" s="113">
        <f>D12*0.02</f>
        <v>8996726.6799999997</v>
      </c>
      <c r="E19" s="127" t="s">
        <v>169</v>
      </c>
      <c r="F19" s="81"/>
      <c r="G19" s="81"/>
      <c r="L19" s="98"/>
    </row>
    <row r="20" spans="1:12" s="57" customFormat="1" ht="22.2" customHeight="1" x14ac:dyDescent="0.25">
      <c r="A20" s="66">
        <v>17</v>
      </c>
      <c r="B20" s="147"/>
      <c r="C20" s="69" t="s">
        <v>30</v>
      </c>
      <c r="D20" s="74">
        <f>D12*0.02</f>
        <v>8996726.6799999997</v>
      </c>
      <c r="E20" s="80" t="s">
        <v>31</v>
      </c>
      <c r="F20" s="81"/>
      <c r="G20" s="81"/>
    </row>
    <row r="21" spans="1:12" s="56" customFormat="1" ht="22.2" customHeight="1" x14ac:dyDescent="0.25">
      <c r="A21" s="66">
        <v>18</v>
      </c>
      <c r="B21" s="147"/>
      <c r="C21" s="69" t="s">
        <v>144</v>
      </c>
      <c r="D21" s="113">
        <f>ROUND(D12*E21,0)</f>
        <v>25190835</v>
      </c>
      <c r="E21" s="114">
        <f>5%*(1+7%+3%+2%)</f>
        <v>5.6000000000000001E-2</v>
      </c>
      <c r="F21" s="82"/>
      <c r="G21" s="82"/>
      <c r="H21" s="83" t="e">
        <f>SUM(E15:E20)*0.04/SUM(E14:E20)</f>
        <v>#DIV/0!</v>
      </c>
      <c r="I21" s="106" t="s">
        <v>32</v>
      </c>
      <c r="L21" s="83"/>
    </row>
    <row r="22" spans="1:12" ht="22.2" customHeight="1" x14ac:dyDescent="0.25">
      <c r="A22" s="66">
        <v>19</v>
      </c>
      <c r="B22" s="84"/>
      <c r="C22" s="69" t="s">
        <v>33</v>
      </c>
      <c r="D22" s="85" t="e">
        <f>(地价+D14+D15+D16+D13+D17)*0.15</f>
        <v>#NAME?</v>
      </c>
      <c r="E22" s="71" t="s">
        <v>34</v>
      </c>
      <c r="F22" s="86"/>
      <c r="G22" s="86"/>
    </row>
    <row r="23" spans="1:12" ht="22.2" customHeight="1" x14ac:dyDescent="0.25">
      <c r="A23" s="66">
        <v>20</v>
      </c>
      <c r="B23" s="66"/>
      <c r="C23" s="69" t="s">
        <v>35</v>
      </c>
      <c r="D23" s="74">
        <f>ROUND((D12-1.1928*(D14+D15+D16+D13+D17)-D19-D20-D21)/1.2355,0)</f>
        <v>276061447</v>
      </c>
      <c r="E23" s="81"/>
      <c r="F23" s="86"/>
      <c r="G23" s="86"/>
      <c r="I23" s="107"/>
    </row>
    <row r="24" spans="1:12" ht="22.2" customHeight="1" x14ac:dyDescent="0.25">
      <c r="A24" s="66">
        <v>21</v>
      </c>
      <c r="B24" s="66"/>
      <c r="C24" s="69" t="s">
        <v>36</v>
      </c>
      <c r="D24" s="74">
        <f>ROUND(D23/D4,0)</f>
        <v>17260</v>
      </c>
      <c r="E24" s="81"/>
      <c r="F24" s="87"/>
      <c r="G24" s="87"/>
      <c r="I24" s="107"/>
      <c r="L24" s="142"/>
    </row>
    <row r="25" spans="1:12" ht="22.2" customHeight="1" x14ac:dyDescent="0.25">
      <c r="A25" s="66"/>
      <c r="B25" s="88" t="s">
        <v>37</v>
      </c>
      <c r="C25" s="89"/>
      <c r="D25" s="81"/>
      <c r="E25" s="81"/>
      <c r="F25" s="81"/>
      <c r="H25" s="90">
        <v>1.4999999999999999E-2</v>
      </c>
    </row>
    <row r="26" spans="1:12" ht="22.2" customHeight="1" x14ac:dyDescent="0.25">
      <c r="A26" s="91"/>
      <c r="B26" s="91"/>
      <c r="C26" s="92"/>
      <c r="D26" s="93"/>
      <c r="E26" s="81"/>
      <c r="F26" s="81"/>
      <c r="G26" s="81"/>
    </row>
    <row r="27" spans="1:12" ht="22.2" customHeight="1" x14ac:dyDescent="0.25">
      <c r="A27" s="91"/>
      <c r="B27" s="91"/>
      <c r="C27" s="94"/>
      <c r="D27" s="91"/>
      <c r="E27" s="95"/>
      <c r="F27" s="95"/>
      <c r="G27" s="95"/>
      <c r="H27" s="59" t="e">
        <f>G26/E10</f>
        <v>#DIV/0!</v>
      </c>
      <c r="J27" s="102" t="e">
        <f>G15+#REF!+#REF!+G20+G19+G22</f>
        <v>#REF!</v>
      </c>
      <c r="L27" s="108"/>
    </row>
    <row r="28" spans="1:12" ht="22.2" customHeight="1" x14ac:dyDescent="0.25">
      <c r="A28" s="91"/>
      <c r="B28" s="91"/>
      <c r="C28" s="88"/>
      <c r="D28" s="89"/>
      <c r="E28" s="96"/>
      <c r="F28" s="91"/>
      <c r="G28" s="95"/>
      <c r="I28" s="98"/>
    </row>
    <row r="29" spans="1:12" ht="22.2" customHeight="1" x14ac:dyDescent="0.25">
      <c r="A29" s="91"/>
      <c r="B29" s="91"/>
      <c r="C29" s="88"/>
      <c r="D29" s="91"/>
      <c r="E29" s="81"/>
      <c r="F29" s="81"/>
      <c r="G29" s="97"/>
      <c r="L29" s="109"/>
    </row>
    <row r="30" spans="1:12" ht="22.2" customHeight="1" x14ac:dyDescent="0.25">
      <c r="A30" s="91"/>
      <c r="B30" s="91"/>
      <c r="C30" s="88"/>
      <c r="D30" s="91"/>
      <c r="E30" s="81"/>
      <c r="F30" s="81"/>
      <c r="G30" s="97"/>
      <c r="H30" s="98">
        <f>ROUND(G29*10000,-2)</f>
        <v>0</v>
      </c>
      <c r="I30" s="98">
        <f>H30-[1]在产品!F31</f>
        <v>-306586856.38</v>
      </c>
      <c r="J30" s="98"/>
      <c r="L30" s="109"/>
    </row>
    <row r="31" spans="1:12" ht="22.2" customHeight="1" x14ac:dyDescent="0.25">
      <c r="A31" s="99" t="s">
        <v>38</v>
      </c>
      <c r="B31" s="99"/>
      <c r="C31" s="58"/>
      <c r="D31" s="58"/>
      <c r="E31" s="58"/>
      <c r="F31" s="99" t="s">
        <v>39</v>
      </c>
      <c r="G31" s="99"/>
      <c r="H31" s="100">
        <v>30922.35</v>
      </c>
      <c r="I31" s="98">
        <f>H31-G30</f>
        <v>30922.35</v>
      </c>
      <c r="J31" s="98"/>
    </row>
    <row r="32" spans="1:12" s="58" customFormat="1" x14ac:dyDescent="0.25">
      <c r="A32" s="59"/>
      <c r="B32" s="59"/>
      <c r="C32" s="59"/>
      <c r="D32" s="59"/>
      <c r="E32" s="101"/>
      <c r="F32" s="59"/>
      <c r="G32" s="59"/>
    </row>
    <row r="33" spans="3:12" ht="15.6" x14ac:dyDescent="0.25">
      <c r="C33" s="120"/>
      <c r="D33" s="93" t="s">
        <v>158</v>
      </c>
      <c r="E33" s="121" t="s">
        <v>159</v>
      </c>
      <c r="F33" s="120"/>
      <c r="G33" s="122" t="s">
        <v>160</v>
      </c>
      <c r="H33" s="98"/>
      <c r="I33" s="98"/>
      <c r="L33" s="99"/>
    </row>
    <row r="34" spans="3:12" ht="15.6" x14ac:dyDescent="0.25">
      <c r="C34" s="123" t="s">
        <v>161</v>
      </c>
      <c r="D34" s="123">
        <f>[2]市场法!$D$55</f>
        <v>17169</v>
      </c>
      <c r="E34" s="123">
        <v>16555</v>
      </c>
      <c r="F34" s="122" t="s">
        <v>162</v>
      </c>
      <c r="G34" s="123">
        <v>18960</v>
      </c>
      <c r="L34" s="58"/>
    </row>
    <row r="35" spans="3:12" ht="15.6" x14ac:dyDescent="0.25">
      <c r="C35" s="123" t="s">
        <v>163</v>
      </c>
      <c r="D35" s="123">
        <f>D24</f>
        <v>17260</v>
      </c>
      <c r="E35" s="123">
        <v>15060</v>
      </c>
      <c r="F35" s="122" t="s">
        <v>164</v>
      </c>
      <c r="G35" s="123">
        <v>17058</v>
      </c>
      <c r="H35" s="58"/>
      <c r="I35" s="58"/>
      <c r="J35" s="58"/>
      <c r="K35" s="58"/>
      <c r="L35" s="58"/>
    </row>
    <row r="36" spans="3:12" ht="15.6" x14ac:dyDescent="0.25">
      <c r="C36" s="123" t="s">
        <v>165</v>
      </c>
      <c r="D36" s="124">
        <f>(D35+D34)/2</f>
        <v>17215</v>
      </c>
      <c r="E36" s="124">
        <f>(E35+E34)/2</f>
        <v>15808</v>
      </c>
      <c r="F36" s="122" t="s">
        <v>166</v>
      </c>
      <c r="G36" s="123">
        <f>(G34+G35)/2</f>
        <v>18009</v>
      </c>
      <c r="H36" s="58"/>
      <c r="I36" s="58"/>
      <c r="J36" s="58"/>
      <c r="K36" s="58"/>
    </row>
    <row r="37" spans="3:12" ht="15.6" x14ac:dyDescent="0.25">
      <c r="C37" s="123" t="s">
        <v>167</v>
      </c>
      <c r="D37" s="124">
        <f>D36-E36</f>
        <v>1407</v>
      </c>
      <c r="E37" s="124"/>
      <c r="F37" s="125" t="s">
        <v>168</v>
      </c>
      <c r="G37" s="126">
        <f>(G36-D36)/D36</f>
        <v>0.05</v>
      </c>
      <c r="H37" s="58"/>
      <c r="I37" s="58"/>
      <c r="J37" s="58"/>
      <c r="K37" s="58"/>
    </row>
    <row r="40" spans="3:12" ht="18" x14ac:dyDescent="0.25">
      <c r="C40" s="103" t="s">
        <v>189</v>
      </c>
      <c r="D40" s="135">
        <v>15994</v>
      </c>
    </row>
    <row r="41" spans="3:12" ht="15.6" x14ac:dyDescent="0.25">
      <c r="C41" s="103" t="s">
        <v>190</v>
      </c>
      <c r="D41" s="59">
        <f>ROUND(D36*D40,-2)/10000</f>
        <v>27533.67</v>
      </c>
    </row>
  </sheetData>
  <mergeCells count="5">
    <mergeCell ref="A2:D2"/>
    <mergeCell ref="B4:B9"/>
    <mergeCell ref="B10:B12"/>
    <mergeCell ref="B13:B17"/>
    <mergeCell ref="B19:B21"/>
  </mergeCells>
  <phoneticPr fontId="22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D24" sqref="D24"/>
    </sheetView>
  </sheetViews>
  <sheetFormatPr defaultColWidth="9" defaultRowHeight="13.8" x14ac:dyDescent="0.25"/>
  <sheetData/>
  <phoneticPr fontId="22" type="noConversion"/>
  <pageMargins left="0.69930555555555596" right="0.69930555555555596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Z38"/>
  <sheetViews>
    <sheetView topLeftCell="C13" workbookViewId="0">
      <selection activeCell="M12" sqref="M12"/>
    </sheetView>
  </sheetViews>
  <sheetFormatPr defaultColWidth="9.6640625" defaultRowHeight="15" x14ac:dyDescent="0.25"/>
  <cols>
    <col min="1" max="1" width="4.77734375" style="15" customWidth="1"/>
    <col min="2" max="2" width="20.21875" style="15" customWidth="1"/>
    <col min="3" max="3" width="20.6640625" style="15" customWidth="1"/>
    <col min="4" max="6" width="17.77734375" style="18" customWidth="1"/>
    <col min="7" max="7" width="12.6640625" style="18" customWidth="1"/>
    <col min="8" max="13" width="12.6640625" style="15" customWidth="1"/>
    <col min="14" max="14" width="14.77734375" style="15" customWidth="1"/>
    <col min="15" max="15" width="10.44140625" style="15" customWidth="1"/>
    <col min="16" max="234" width="10" style="15" customWidth="1"/>
    <col min="235" max="256" width="9.6640625" style="19"/>
    <col min="257" max="257" width="3.21875" style="19" customWidth="1"/>
    <col min="258" max="258" width="20.21875" style="19" customWidth="1"/>
    <col min="259" max="262" width="17.77734375" style="19" customWidth="1"/>
    <col min="263" max="269" width="12.6640625" style="19" customWidth="1"/>
    <col min="270" max="271" width="10.44140625" style="19" customWidth="1"/>
    <col min="272" max="490" width="10" style="19" customWidth="1"/>
    <col min="491" max="512" width="9.6640625" style="19"/>
    <col min="513" max="513" width="3.21875" style="19" customWidth="1"/>
    <col min="514" max="514" width="20.21875" style="19" customWidth="1"/>
    <col min="515" max="518" width="17.77734375" style="19" customWidth="1"/>
    <col min="519" max="525" width="12.6640625" style="19" customWidth="1"/>
    <col min="526" max="527" width="10.44140625" style="19" customWidth="1"/>
    <col min="528" max="746" width="10" style="19" customWidth="1"/>
    <col min="747" max="768" width="9.6640625" style="19"/>
    <col min="769" max="769" width="3.21875" style="19" customWidth="1"/>
    <col min="770" max="770" width="20.21875" style="19" customWidth="1"/>
    <col min="771" max="774" width="17.77734375" style="19" customWidth="1"/>
    <col min="775" max="781" width="12.6640625" style="19" customWidth="1"/>
    <col min="782" max="783" width="10.44140625" style="19" customWidth="1"/>
    <col min="784" max="1002" width="10" style="19" customWidth="1"/>
    <col min="1003" max="1024" width="9.6640625" style="19"/>
    <col min="1025" max="1025" width="3.21875" style="19" customWidth="1"/>
    <col min="1026" max="1026" width="20.21875" style="19" customWidth="1"/>
    <col min="1027" max="1030" width="17.77734375" style="19" customWidth="1"/>
    <col min="1031" max="1037" width="12.6640625" style="19" customWidth="1"/>
    <col min="1038" max="1039" width="10.44140625" style="19" customWidth="1"/>
    <col min="1040" max="1258" width="10" style="19" customWidth="1"/>
    <col min="1259" max="1280" width="9.6640625" style="19"/>
    <col min="1281" max="1281" width="3.21875" style="19" customWidth="1"/>
    <col min="1282" max="1282" width="20.21875" style="19" customWidth="1"/>
    <col min="1283" max="1286" width="17.77734375" style="19" customWidth="1"/>
    <col min="1287" max="1293" width="12.6640625" style="19" customWidth="1"/>
    <col min="1294" max="1295" width="10.44140625" style="19" customWidth="1"/>
    <col min="1296" max="1514" width="10" style="19" customWidth="1"/>
    <col min="1515" max="1536" width="9.6640625" style="19"/>
    <col min="1537" max="1537" width="3.21875" style="19" customWidth="1"/>
    <col min="1538" max="1538" width="20.21875" style="19" customWidth="1"/>
    <col min="1539" max="1542" width="17.77734375" style="19" customWidth="1"/>
    <col min="1543" max="1549" width="12.6640625" style="19" customWidth="1"/>
    <col min="1550" max="1551" width="10.44140625" style="19" customWidth="1"/>
    <col min="1552" max="1770" width="10" style="19" customWidth="1"/>
    <col min="1771" max="1792" width="9.6640625" style="19"/>
    <col min="1793" max="1793" width="3.21875" style="19" customWidth="1"/>
    <col min="1794" max="1794" width="20.21875" style="19" customWidth="1"/>
    <col min="1795" max="1798" width="17.77734375" style="19" customWidth="1"/>
    <col min="1799" max="1805" width="12.6640625" style="19" customWidth="1"/>
    <col min="1806" max="1807" width="10.44140625" style="19" customWidth="1"/>
    <col min="1808" max="2026" width="10" style="19" customWidth="1"/>
    <col min="2027" max="2048" width="9.6640625" style="19"/>
    <col min="2049" max="2049" width="3.21875" style="19" customWidth="1"/>
    <col min="2050" max="2050" width="20.21875" style="19" customWidth="1"/>
    <col min="2051" max="2054" width="17.77734375" style="19" customWidth="1"/>
    <col min="2055" max="2061" width="12.6640625" style="19" customWidth="1"/>
    <col min="2062" max="2063" width="10.44140625" style="19" customWidth="1"/>
    <col min="2064" max="2282" width="10" style="19" customWidth="1"/>
    <col min="2283" max="2304" width="9.6640625" style="19"/>
    <col min="2305" max="2305" width="3.21875" style="19" customWidth="1"/>
    <col min="2306" max="2306" width="20.21875" style="19" customWidth="1"/>
    <col min="2307" max="2310" width="17.77734375" style="19" customWidth="1"/>
    <col min="2311" max="2317" width="12.6640625" style="19" customWidth="1"/>
    <col min="2318" max="2319" width="10.44140625" style="19" customWidth="1"/>
    <col min="2320" max="2538" width="10" style="19" customWidth="1"/>
    <col min="2539" max="2560" width="9.6640625" style="19"/>
    <col min="2561" max="2561" width="3.21875" style="19" customWidth="1"/>
    <col min="2562" max="2562" width="20.21875" style="19" customWidth="1"/>
    <col min="2563" max="2566" width="17.77734375" style="19" customWidth="1"/>
    <col min="2567" max="2573" width="12.6640625" style="19" customWidth="1"/>
    <col min="2574" max="2575" width="10.44140625" style="19" customWidth="1"/>
    <col min="2576" max="2794" width="10" style="19" customWidth="1"/>
    <col min="2795" max="2816" width="9.6640625" style="19"/>
    <col min="2817" max="2817" width="3.21875" style="19" customWidth="1"/>
    <col min="2818" max="2818" width="20.21875" style="19" customWidth="1"/>
    <col min="2819" max="2822" width="17.77734375" style="19" customWidth="1"/>
    <col min="2823" max="2829" width="12.6640625" style="19" customWidth="1"/>
    <col min="2830" max="2831" width="10.44140625" style="19" customWidth="1"/>
    <col min="2832" max="3050" width="10" style="19" customWidth="1"/>
    <col min="3051" max="3072" width="9.6640625" style="19"/>
    <col min="3073" max="3073" width="3.21875" style="19" customWidth="1"/>
    <col min="3074" max="3074" width="20.21875" style="19" customWidth="1"/>
    <col min="3075" max="3078" width="17.77734375" style="19" customWidth="1"/>
    <col min="3079" max="3085" width="12.6640625" style="19" customWidth="1"/>
    <col min="3086" max="3087" width="10.44140625" style="19" customWidth="1"/>
    <col min="3088" max="3306" width="10" style="19" customWidth="1"/>
    <col min="3307" max="3328" width="9.6640625" style="19"/>
    <col min="3329" max="3329" width="3.21875" style="19" customWidth="1"/>
    <col min="3330" max="3330" width="20.21875" style="19" customWidth="1"/>
    <col min="3331" max="3334" width="17.77734375" style="19" customWidth="1"/>
    <col min="3335" max="3341" width="12.6640625" style="19" customWidth="1"/>
    <col min="3342" max="3343" width="10.44140625" style="19" customWidth="1"/>
    <col min="3344" max="3562" width="10" style="19" customWidth="1"/>
    <col min="3563" max="3584" width="9.6640625" style="19"/>
    <col min="3585" max="3585" width="3.21875" style="19" customWidth="1"/>
    <col min="3586" max="3586" width="20.21875" style="19" customWidth="1"/>
    <col min="3587" max="3590" width="17.77734375" style="19" customWidth="1"/>
    <col min="3591" max="3597" width="12.6640625" style="19" customWidth="1"/>
    <col min="3598" max="3599" width="10.44140625" style="19" customWidth="1"/>
    <col min="3600" max="3818" width="10" style="19" customWidth="1"/>
    <col min="3819" max="3840" width="9.6640625" style="19"/>
    <col min="3841" max="3841" width="3.21875" style="19" customWidth="1"/>
    <col min="3842" max="3842" width="20.21875" style="19" customWidth="1"/>
    <col min="3843" max="3846" width="17.77734375" style="19" customWidth="1"/>
    <col min="3847" max="3853" width="12.6640625" style="19" customWidth="1"/>
    <col min="3854" max="3855" width="10.44140625" style="19" customWidth="1"/>
    <col min="3856" max="4074" width="10" style="19" customWidth="1"/>
    <col min="4075" max="4096" width="9.6640625" style="19"/>
    <col min="4097" max="4097" width="3.21875" style="19" customWidth="1"/>
    <col min="4098" max="4098" width="20.21875" style="19" customWidth="1"/>
    <col min="4099" max="4102" width="17.77734375" style="19" customWidth="1"/>
    <col min="4103" max="4109" width="12.6640625" style="19" customWidth="1"/>
    <col min="4110" max="4111" width="10.44140625" style="19" customWidth="1"/>
    <col min="4112" max="4330" width="10" style="19" customWidth="1"/>
    <col min="4331" max="4352" width="9.6640625" style="19"/>
    <col min="4353" max="4353" width="3.21875" style="19" customWidth="1"/>
    <col min="4354" max="4354" width="20.21875" style="19" customWidth="1"/>
    <col min="4355" max="4358" width="17.77734375" style="19" customWidth="1"/>
    <col min="4359" max="4365" width="12.6640625" style="19" customWidth="1"/>
    <col min="4366" max="4367" width="10.44140625" style="19" customWidth="1"/>
    <col min="4368" max="4586" width="10" style="19" customWidth="1"/>
    <col min="4587" max="4608" width="9.6640625" style="19"/>
    <col min="4609" max="4609" width="3.21875" style="19" customWidth="1"/>
    <col min="4610" max="4610" width="20.21875" style="19" customWidth="1"/>
    <col min="4611" max="4614" width="17.77734375" style="19" customWidth="1"/>
    <col min="4615" max="4621" width="12.6640625" style="19" customWidth="1"/>
    <col min="4622" max="4623" width="10.44140625" style="19" customWidth="1"/>
    <col min="4624" max="4842" width="10" style="19" customWidth="1"/>
    <col min="4843" max="4864" width="9.6640625" style="19"/>
    <col min="4865" max="4865" width="3.21875" style="19" customWidth="1"/>
    <col min="4866" max="4866" width="20.21875" style="19" customWidth="1"/>
    <col min="4867" max="4870" width="17.77734375" style="19" customWidth="1"/>
    <col min="4871" max="4877" width="12.6640625" style="19" customWidth="1"/>
    <col min="4878" max="4879" width="10.44140625" style="19" customWidth="1"/>
    <col min="4880" max="5098" width="10" style="19" customWidth="1"/>
    <col min="5099" max="5120" width="9.6640625" style="19"/>
    <col min="5121" max="5121" width="3.21875" style="19" customWidth="1"/>
    <col min="5122" max="5122" width="20.21875" style="19" customWidth="1"/>
    <col min="5123" max="5126" width="17.77734375" style="19" customWidth="1"/>
    <col min="5127" max="5133" width="12.6640625" style="19" customWidth="1"/>
    <col min="5134" max="5135" width="10.44140625" style="19" customWidth="1"/>
    <col min="5136" max="5354" width="10" style="19" customWidth="1"/>
    <col min="5355" max="5376" width="9.6640625" style="19"/>
    <col min="5377" max="5377" width="3.21875" style="19" customWidth="1"/>
    <col min="5378" max="5378" width="20.21875" style="19" customWidth="1"/>
    <col min="5379" max="5382" width="17.77734375" style="19" customWidth="1"/>
    <col min="5383" max="5389" width="12.6640625" style="19" customWidth="1"/>
    <col min="5390" max="5391" width="10.44140625" style="19" customWidth="1"/>
    <col min="5392" max="5610" width="10" style="19" customWidth="1"/>
    <col min="5611" max="5632" width="9.6640625" style="19"/>
    <col min="5633" max="5633" width="3.21875" style="19" customWidth="1"/>
    <col min="5634" max="5634" width="20.21875" style="19" customWidth="1"/>
    <col min="5635" max="5638" width="17.77734375" style="19" customWidth="1"/>
    <col min="5639" max="5645" width="12.6640625" style="19" customWidth="1"/>
    <col min="5646" max="5647" width="10.44140625" style="19" customWidth="1"/>
    <col min="5648" max="5866" width="10" style="19" customWidth="1"/>
    <col min="5867" max="5888" width="9.6640625" style="19"/>
    <col min="5889" max="5889" width="3.21875" style="19" customWidth="1"/>
    <col min="5890" max="5890" width="20.21875" style="19" customWidth="1"/>
    <col min="5891" max="5894" width="17.77734375" style="19" customWidth="1"/>
    <col min="5895" max="5901" width="12.6640625" style="19" customWidth="1"/>
    <col min="5902" max="5903" width="10.44140625" style="19" customWidth="1"/>
    <col min="5904" max="6122" width="10" style="19" customWidth="1"/>
    <col min="6123" max="6144" width="9.6640625" style="19"/>
    <col min="6145" max="6145" width="3.21875" style="19" customWidth="1"/>
    <col min="6146" max="6146" width="20.21875" style="19" customWidth="1"/>
    <col min="6147" max="6150" width="17.77734375" style="19" customWidth="1"/>
    <col min="6151" max="6157" width="12.6640625" style="19" customWidth="1"/>
    <col min="6158" max="6159" width="10.44140625" style="19" customWidth="1"/>
    <col min="6160" max="6378" width="10" style="19" customWidth="1"/>
    <col min="6379" max="6400" width="9.6640625" style="19"/>
    <col min="6401" max="6401" width="3.21875" style="19" customWidth="1"/>
    <col min="6402" max="6402" width="20.21875" style="19" customWidth="1"/>
    <col min="6403" max="6406" width="17.77734375" style="19" customWidth="1"/>
    <col min="6407" max="6413" width="12.6640625" style="19" customWidth="1"/>
    <col min="6414" max="6415" width="10.44140625" style="19" customWidth="1"/>
    <col min="6416" max="6634" width="10" style="19" customWidth="1"/>
    <col min="6635" max="6656" width="9.6640625" style="19"/>
    <col min="6657" max="6657" width="3.21875" style="19" customWidth="1"/>
    <col min="6658" max="6658" width="20.21875" style="19" customWidth="1"/>
    <col min="6659" max="6662" width="17.77734375" style="19" customWidth="1"/>
    <col min="6663" max="6669" width="12.6640625" style="19" customWidth="1"/>
    <col min="6670" max="6671" width="10.44140625" style="19" customWidth="1"/>
    <col min="6672" max="6890" width="10" style="19" customWidth="1"/>
    <col min="6891" max="6912" width="9.6640625" style="19"/>
    <col min="6913" max="6913" width="3.21875" style="19" customWidth="1"/>
    <col min="6914" max="6914" width="20.21875" style="19" customWidth="1"/>
    <col min="6915" max="6918" width="17.77734375" style="19" customWidth="1"/>
    <col min="6919" max="6925" width="12.6640625" style="19" customWidth="1"/>
    <col min="6926" max="6927" width="10.44140625" style="19" customWidth="1"/>
    <col min="6928" max="7146" width="10" style="19" customWidth="1"/>
    <col min="7147" max="7168" width="9.6640625" style="19"/>
    <col min="7169" max="7169" width="3.21875" style="19" customWidth="1"/>
    <col min="7170" max="7170" width="20.21875" style="19" customWidth="1"/>
    <col min="7171" max="7174" width="17.77734375" style="19" customWidth="1"/>
    <col min="7175" max="7181" width="12.6640625" style="19" customWidth="1"/>
    <col min="7182" max="7183" width="10.44140625" style="19" customWidth="1"/>
    <col min="7184" max="7402" width="10" style="19" customWidth="1"/>
    <col min="7403" max="7424" width="9.6640625" style="19"/>
    <col min="7425" max="7425" width="3.21875" style="19" customWidth="1"/>
    <col min="7426" max="7426" width="20.21875" style="19" customWidth="1"/>
    <col min="7427" max="7430" width="17.77734375" style="19" customWidth="1"/>
    <col min="7431" max="7437" width="12.6640625" style="19" customWidth="1"/>
    <col min="7438" max="7439" width="10.44140625" style="19" customWidth="1"/>
    <col min="7440" max="7658" width="10" style="19" customWidth="1"/>
    <col min="7659" max="7680" width="9.6640625" style="19"/>
    <col min="7681" max="7681" width="3.21875" style="19" customWidth="1"/>
    <col min="7682" max="7682" width="20.21875" style="19" customWidth="1"/>
    <col min="7683" max="7686" width="17.77734375" style="19" customWidth="1"/>
    <col min="7687" max="7693" width="12.6640625" style="19" customWidth="1"/>
    <col min="7694" max="7695" width="10.44140625" style="19" customWidth="1"/>
    <col min="7696" max="7914" width="10" style="19" customWidth="1"/>
    <col min="7915" max="7936" width="9.6640625" style="19"/>
    <col min="7937" max="7937" width="3.21875" style="19" customWidth="1"/>
    <col min="7938" max="7938" width="20.21875" style="19" customWidth="1"/>
    <col min="7939" max="7942" width="17.77734375" style="19" customWidth="1"/>
    <col min="7943" max="7949" width="12.6640625" style="19" customWidth="1"/>
    <col min="7950" max="7951" width="10.44140625" style="19" customWidth="1"/>
    <col min="7952" max="8170" width="10" style="19" customWidth="1"/>
    <col min="8171" max="8192" width="9.6640625" style="19"/>
    <col min="8193" max="8193" width="3.21875" style="19" customWidth="1"/>
    <col min="8194" max="8194" width="20.21875" style="19" customWidth="1"/>
    <col min="8195" max="8198" width="17.77734375" style="19" customWidth="1"/>
    <col min="8199" max="8205" width="12.6640625" style="19" customWidth="1"/>
    <col min="8206" max="8207" width="10.44140625" style="19" customWidth="1"/>
    <col min="8208" max="8426" width="10" style="19" customWidth="1"/>
    <col min="8427" max="8448" width="9.6640625" style="19"/>
    <col min="8449" max="8449" width="3.21875" style="19" customWidth="1"/>
    <col min="8450" max="8450" width="20.21875" style="19" customWidth="1"/>
    <col min="8451" max="8454" width="17.77734375" style="19" customWidth="1"/>
    <col min="8455" max="8461" width="12.6640625" style="19" customWidth="1"/>
    <col min="8462" max="8463" width="10.44140625" style="19" customWidth="1"/>
    <col min="8464" max="8682" width="10" style="19" customWidth="1"/>
    <col min="8683" max="8704" width="9.6640625" style="19"/>
    <col min="8705" max="8705" width="3.21875" style="19" customWidth="1"/>
    <col min="8706" max="8706" width="20.21875" style="19" customWidth="1"/>
    <col min="8707" max="8710" width="17.77734375" style="19" customWidth="1"/>
    <col min="8711" max="8717" width="12.6640625" style="19" customWidth="1"/>
    <col min="8718" max="8719" width="10.44140625" style="19" customWidth="1"/>
    <col min="8720" max="8938" width="10" style="19" customWidth="1"/>
    <col min="8939" max="8960" width="9.6640625" style="19"/>
    <col min="8961" max="8961" width="3.21875" style="19" customWidth="1"/>
    <col min="8962" max="8962" width="20.21875" style="19" customWidth="1"/>
    <col min="8963" max="8966" width="17.77734375" style="19" customWidth="1"/>
    <col min="8967" max="8973" width="12.6640625" style="19" customWidth="1"/>
    <col min="8974" max="8975" width="10.44140625" style="19" customWidth="1"/>
    <col min="8976" max="9194" width="10" style="19" customWidth="1"/>
    <col min="9195" max="9216" width="9.6640625" style="19"/>
    <col min="9217" max="9217" width="3.21875" style="19" customWidth="1"/>
    <col min="9218" max="9218" width="20.21875" style="19" customWidth="1"/>
    <col min="9219" max="9222" width="17.77734375" style="19" customWidth="1"/>
    <col min="9223" max="9229" width="12.6640625" style="19" customWidth="1"/>
    <col min="9230" max="9231" width="10.44140625" style="19" customWidth="1"/>
    <col min="9232" max="9450" width="10" style="19" customWidth="1"/>
    <col min="9451" max="9472" width="9.6640625" style="19"/>
    <col min="9473" max="9473" width="3.21875" style="19" customWidth="1"/>
    <col min="9474" max="9474" width="20.21875" style="19" customWidth="1"/>
    <col min="9475" max="9478" width="17.77734375" style="19" customWidth="1"/>
    <col min="9479" max="9485" width="12.6640625" style="19" customWidth="1"/>
    <col min="9486" max="9487" width="10.44140625" style="19" customWidth="1"/>
    <col min="9488" max="9706" width="10" style="19" customWidth="1"/>
    <col min="9707" max="9728" width="9.6640625" style="19"/>
    <col min="9729" max="9729" width="3.21875" style="19" customWidth="1"/>
    <col min="9730" max="9730" width="20.21875" style="19" customWidth="1"/>
    <col min="9731" max="9734" width="17.77734375" style="19" customWidth="1"/>
    <col min="9735" max="9741" width="12.6640625" style="19" customWidth="1"/>
    <col min="9742" max="9743" width="10.44140625" style="19" customWidth="1"/>
    <col min="9744" max="9962" width="10" style="19" customWidth="1"/>
    <col min="9963" max="9984" width="9.6640625" style="19"/>
    <col min="9985" max="9985" width="3.21875" style="19" customWidth="1"/>
    <col min="9986" max="9986" width="20.21875" style="19" customWidth="1"/>
    <col min="9987" max="9990" width="17.77734375" style="19" customWidth="1"/>
    <col min="9991" max="9997" width="12.6640625" style="19" customWidth="1"/>
    <col min="9998" max="9999" width="10.44140625" style="19" customWidth="1"/>
    <col min="10000" max="10218" width="10" style="19" customWidth="1"/>
    <col min="10219" max="10240" width="9.6640625" style="19"/>
    <col min="10241" max="10241" width="3.21875" style="19" customWidth="1"/>
    <col min="10242" max="10242" width="20.21875" style="19" customWidth="1"/>
    <col min="10243" max="10246" width="17.77734375" style="19" customWidth="1"/>
    <col min="10247" max="10253" width="12.6640625" style="19" customWidth="1"/>
    <col min="10254" max="10255" width="10.44140625" style="19" customWidth="1"/>
    <col min="10256" max="10474" width="10" style="19" customWidth="1"/>
    <col min="10475" max="10496" width="9.6640625" style="19"/>
    <col min="10497" max="10497" width="3.21875" style="19" customWidth="1"/>
    <col min="10498" max="10498" width="20.21875" style="19" customWidth="1"/>
    <col min="10499" max="10502" width="17.77734375" style="19" customWidth="1"/>
    <col min="10503" max="10509" width="12.6640625" style="19" customWidth="1"/>
    <col min="10510" max="10511" width="10.44140625" style="19" customWidth="1"/>
    <col min="10512" max="10730" width="10" style="19" customWidth="1"/>
    <col min="10731" max="10752" width="9.6640625" style="19"/>
    <col min="10753" max="10753" width="3.21875" style="19" customWidth="1"/>
    <col min="10754" max="10754" width="20.21875" style="19" customWidth="1"/>
    <col min="10755" max="10758" width="17.77734375" style="19" customWidth="1"/>
    <col min="10759" max="10765" width="12.6640625" style="19" customWidth="1"/>
    <col min="10766" max="10767" width="10.44140625" style="19" customWidth="1"/>
    <col min="10768" max="10986" width="10" style="19" customWidth="1"/>
    <col min="10987" max="11008" width="9.6640625" style="19"/>
    <col min="11009" max="11009" width="3.21875" style="19" customWidth="1"/>
    <col min="11010" max="11010" width="20.21875" style="19" customWidth="1"/>
    <col min="11011" max="11014" width="17.77734375" style="19" customWidth="1"/>
    <col min="11015" max="11021" width="12.6640625" style="19" customWidth="1"/>
    <col min="11022" max="11023" width="10.44140625" style="19" customWidth="1"/>
    <col min="11024" max="11242" width="10" style="19" customWidth="1"/>
    <col min="11243" max="11264" width="9.6640625" style="19"/>
    <col min="11265" max="11265" width="3.21875" style="19" customWidth="1"/>
    <col min="11266" max="11266" width="20.21875" style="19" customWidth="1"/>
    <col min="11267" max="11270" width="17.77734375" style="19" customWidth="1"/>
    <col min="11271" max="11277" width="12.6640625" style="19" customWidth="1"/>
    <col min="11278" max="11279" width="10.44140625" style="19" customWidth="1"/>
    <col min="11280" max="11498" width="10" style="19" customWidth="1"/>
    <col min="11499" max="11520" width="9.6640625" style="19"/>
    <col min="11521" max="11521" width="3.21875" style="19" customWidth="1"/>
    <col min="11522" max="11522" width="20.21875" style="19" customWidth="1"/>
    <col min="11523" max="11526" width="17.77734375" style="19" customWidth="1"/>
    <col min="11527" max="11533" width="12.6640625" style="19" customWidth="1"/>
    <col min="11534" max="11535" width="10.44140625" style="19" customWidth="1"/>
    <col min="11536" max="11754" width="10" style="19" customWidth="1"/>
    <col min="11755" max="11776" width="9.6640625" style="19"/>
    <col min="11777" max="11777" width="3.21875" style="19" customWidth="1"/>
    <col min="11778" max="11778" width="20.21875" style="19" customWidth="1"/>
    <col min="11779" max="11782" width="17.77734375" style="19" customWidth="1"/>
    <col min="11783" max="11789" width="12.6640625" style="19" customWidth="1"/>
    <col min="11790" max="11791" width="10.44140625" style="19" customWidth="1"/>
    <col min="11792" max="12010" width="10" style="19" customWidth="1"/>
    <col min="12011" max="12032" width="9.6640625" style="19"/>
    <col min="12033" max="12033" width="3.21875" style="19" customWidth="1"/>
    <col min="12034" max="12034" width="20.21875" style="19" customWidth="1"/>
    <col min="12035" max="12038" width="17.77734375" style="19" customWidth="1"/>
    <col min="12039" max="12045" width="12.6640625" style="19" customWidth="1"/>
    <col min="12046" max="12047" width="10.44140625" style="19" customWidth="1"/>
    <col min="12048" max="12266" width="10" style="19" customWidth="1"/>
    <col min="12267" max="12288" width="9.6640625" style="19"/>
    <col min="12289" max="12289" width="3.21875" style="19" customWidth="1"/>
    <col min="12290" max="12290" width="20.21875" style="19" customWidth="1"/>
    <col min="12291" max="12294" width="17.77734375" style="19" customWidth="1"/>
    <col min="12295" max="12301" width="12.6640625" style="19" customWidth="1"/>
    <col min="12302" max="12303" width="10.44140625" style="19" customWidth="1"/>
    <col min="12304" max="12522" width="10" style="19" customWidth="1"/>
    <col min="12523" max="12544" width="9.6640625" style="19"/>
    <col min="12545" max="12545" width="3.21875" style="19" customWidth="1"/>
    <col min="12546" max="12546" width="20.21875" style="19" customWidth="1"/>
    <col min="12547" max="12550" width="17.77734375" style="19" customWidth="1"/>
    <col min="12551" max="12557" width="12.6640625" style="19" customWidth="1"/>
    <col min="12558" max="12559" width="10.44140625" style="19" customWidth="1"/>
    <col min="12560" max="12778" width="10" style="19" customWidth="1"/>
    <col min="12779" max="12800" width="9.6640625" style="19"/>
    <col min="12801" max="12801" width="3.21875" style="19" customWidth="1"/>
    <col min="12802" max="12802" width="20.21875" style="19" customWidth="1"/>
    <col min="12803" max="12806" width="17.77734375" style="19" customWidth="1"/>
    <col min="12807" max="12813" width="12.6640625" style="19" customWidth="1"/>
    <col min="12814" max="12815" width="10.44140625" style="19" customWidth="1"/>
    <col min="12816" max="13034" width="10" style="19" customWidth="1"/>
    <col min="13035" max="13056" width="9.6640625" style="19"/>
    <col min="13057" max="13057" width="3.21875" style="19" customWidth="1"/>
    <col min="13058" max="13058" width="20.21875" style="19" customWidth="1"/>
    <col min="13059" max="13062" width="17.77734375" style="19" customWidth="1"/>
    <col min="13063" max="13069" width="12.6640625" style="19" customWidth="1"/>
    <col min="13070" max="13071" width="10.44140625" style="19" customWidth="1"/>
    <col min="13072" max="13290" width="10" style="19" customWidth="1"/>
    <col min="13291" max="13312" width="9.6640625" style="19"/>
    <col min="13313" max="13313" width="3.21875" style="19" customWidth="1"/>
    <col min="13314" max="13314" width="20.21875" style="19" customWidth="1"/>
    <col min="13315" max="13318" width="17.77734375" style="19" customWidth="1"/>
    <col min="13319" max="13325" width="12.6640625" style="19" customWidth="1"/>
    <col min="13326" max="13327" width="10.44140625" style="19" customWidth="1"/>
    <col min="13328" max="13546" width="10" style="19" customWidth="1"/>
    <col min="13547" max="13568" width="9.6640625" style="19"/>
    <col min="13569" max="13569" width="3.21875" style="19" customWidth="1"/>
    <col min="13570" max="13570" width="20.21875" style="19" customWidth="1"/>
    <col min="13571" max="13574" width="17.77734375" style="19" customWidth="1"/>
    <col min="13575" max="13581" width="12.6640625" style="19" customWidth="1"/>
    <col min="13582" max="13583" width="10.44140625" style="19" customWidth="1"/>
    <col min="13584" max="13802" width="10" style="19" customWidth="1"/>
    <col min="13803" max="13824" width="9.6640625" style="19"/>
    <col min="13825" max="13825" width="3.21875" style="19" customWidth="1"/>
    <col min="13826" max="13826" width="20.21875" style="19" customWidth="1"/>
    <col min="13827" max="13830" width="17.77734375" style="19" customWidth="1"/>
    <col min="13831" max="13837" width="12.6640625" style="19" customWidth="1"/>
    <col min="13838" max="13839" width="10.44140625" style="19" customWidth="1"/>
    <col min="13840" max="14058" width="10" style="19" customWidth="1"/>
    <col min="14059" max="14080" width="9.6640625" style="19"/>
    <col min="14081" max="14081" width="3.21875" style="19" customWidth="1"/>
    <col min="14082" max="14082" width="20.21875" style="19" customWidth="1"/>
    <col min="14083" max="14086" width="17.77734375" style="19" customWidth="1"/>
    <col min="14087" max="14093" width="12.6640625" style="19" customWidth="1"/>
    <col min="14094" max="14095" width="10.44140625" style="19" customWidth="1"/>
    <col min="14096" max="14314" width="10" style="19" customWidth="1"/>
    <col min="14315" max="14336" width="9.6640625" style="19"/>
    <col min="14337" max="14337" width="3.21875" style="19" customWidth="1"/>
    <col min="14338" max="14338" width="20.21875" style="19" customWidth="1"/>
    <col min="14339" max="14342" width="17.77734375" style="19" customWidth="1"/>
    <col min="14343" max="14349" width="12.6640625" style="19" customWidth="1"/>
    <col min="14350" max="14351" width="10.44140625" style="19" customWidth="1"/>
    <col min="14352" max="14570" width="10" style="19" customWidth="1"/>
    <col min="14571" max="14592" width="9.6640625" style="19"/>
    <col min="14593" max="14593" width="3.21875" style="19" customWidth="1"/>
    <col min="14594" max="14594" width="20.21875" style="19" customWidth="1"/>
    <col min="14595" max="14598" width="17.77734375" style="19" customWidth="1"/>
    <col min="14599" max="14605" width="12.6640625" style="19" customWidth="1"/>
    <col min="14606" max="14607" width="10.44140625" style="19" customWidth="1"/>
    <col min="14608" max="14826" width="10" style="19" customWidth="1"/>
    <col min="14827" max="14848" width="9.6640625" style="19"/>
    <col min="14849" max="14849" width="3.21875" style="19" customWidth="1"/>
    <col min="14850" max="14850" width="20.21875" style="19" customWidth="1"/>
    <col min="14851" max="14854" width="17.77734375" style="19" customWidth="1"/>
    <col min="14855" max="14861" width="12.6640625" style="19" customWidth="1"/>
    <col min="14862" max="14863" width="10.44140625" style="19" customWidth="1"/>
    <col min="14864" max="15082" width="10" style="19" customWidth="1"/>
    <col min="15083" max="15104" width="9.6640625" style="19"/>
    <col min="15105" max="15105" width="3.21875" style="19" customWidth="1"/>
    <col min="15106" max="15106" width="20.21875" style="19" customWidth="1"/>
    <col min="15107" max="15110" width="17.77734375" style="19" customWidth="1"/>
    <col min="15111" max="15117" width="12.6640625" style="19" customWidth="1"/>
    <col min="15118" max="15119" width="10.44140625" style="19" customWidth="1"/>
    <col min="15120" max="15338" width="10" style="19" customWidth="1"/>
    <col min="15339" max="15360" width="9.6640625" style="19"/>
    <col min="15361" max="15361" width="3.21875" style="19" customWidth="1"/>
    <col min="15362" max="15362" width="20.21875" style="19" customWidth="1"/>
    <col min="15363" max="15366" width="17.77734375" style="19" customWidth="1"/>
    <col min="15367" max="15373" width="12.6640625" style="19" customWidth="1"/>
    <col min="15374" max="15375" width="10.44140625" style="19" customWidth="1"/>
    <col min="15376" max="15594" width="10" style="19" customWidth="1"/>
    <col min="15595" max="15616" width="9.6640625" style="19"/>
    <col min="15617" max="15617" width="3.21875" style="19" customWidth="1"/>
    <col min="15618" max="15618" width="20.21875" style="19" customWidth="1"/>
    <col min="15619" max="15622" width="17.77734375" style="19" customWidth="1"/>
    <col min="15623" max="15629" width="12.6640625" style="19" customWidth="1"/>
    <col min="15630" max="15631" width="10.44140625" style="19" customWidth="1"/>
    <col min="15632" max="15850" width="10" style="19" customWidth="1"/>
    <col min="15851" max="15872" width="9.6640625" style="19"/>
    <col min="15873" max="15873" width="3.21875" style="19" customWidth="1"/>
    <col min="15874" max="15874" width="20.21875" style="19" customWidth="1"/>
    <col min="15875" max="15878" width="17.77734375" style="19" customWidth="1"/>
    <col min="15879" max="15885" width="12.6640625" style="19" customWidth="1"/>
    <col min="15886" max="15887" width="10.44140625" style="19" customWidth="1"/>
    <col min="15888" max="16106" width="10" style="19" customWidth="1"/>
    <col min="16107" max="16128" width="9.6640625" style="19"/>
    <col min="16129" max="16129" width="3.21875" style="19" customWidth="1"/>
    <col min="16130" max="16130" width="20.21875" style="19" customWidth="1"/>
    <col min="16131" max="16134" width="17.77734375" style="19" customWidth="1"/>
    <col min="16135" max="16141" width="12.6640625" style="19" customWidth="1"/>
    <col min="16142" max="16143" width="10.44140625" style="19" customWidth="1"/>
    <col min="16144" max="16362" width="10" style="19" customWidth="1"/>
    <col min="16363" max="16384" width="9.6640625" style="19"/>
  </cols>
  <sheetData>
    <row r="1" spans="1:15" s="12" customFormat="1" ht="34.950000000000003" customHeight="1" x14ac:dyDescent="0.25">
      <c r="A1" s="166" t="s">
        <v>40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52" t="s">
        <v>41</v>
      </c>
      <c r="M1" s="53"/>
    </row>
    <row r="2" spans="1:15" s="13" customFormat="1" ht="27" customHeight="1" x14ac:dyDescent="0.25">
      <c r="A2" s="149" t="s">
        <v>42</v>
      </c>
      <c r="B2" s="149"/>
      <c r="C2" s="20" t="s">
        <v>43</v>
      </c>
      <c r="D2" s="21" t="s">
        <v>44</v>
      </c>
      <c r="E2" s="21" t="s">
        <v>45</v>
      </c>
      <c r="F2" s="20" t="s">
        <v>46</v>
      </c>
      <c r="G2" s="20" t="s">
        <v>43</v>
      </c>
      <c r="H2" s="21" t="s">
        <v>44</v>
      </c>
      <c r="I2" s="21" t="s">
        <v>45</v>
      </c>
      <c r="J2" s="20" t="s">
        <v>46</v>
      </c>
      <c r="K2" s="21" t="s">
        <v>44</v>
      </c>
      <c r="L2" s="20" t="s">
        <v>47</v>
      </c>
      <c r="M2" s="20" t="s">
        <v>48</v>
      </c>
      <c r="N2" s="12"/>
      <c r="O2" s="15"/>
    </row>
    <row r="3" spans="1:15" s="13" customFormat="1" ht="43.95" customHeight="1" x14ac:dyDescent="0.25">
      <c r="A3" s="149" t="s">
        <v>49</v>
      </c>
      <c r="B3" s="149"/>
      <c r="C3" s="22" t="s">
        <v>50</v>
      </c>
      <c r="D3" s="22" t="s">
        <v>51</v>
      </c>
      <c r="E3" s="22" t="s">
        <v>51</v>
      </c>
      <c r="F3" s="22" t="s">
        <v>52</v>
      </c>
      <c r="G3" s="23" t="str">
        <f>C3</f>
        <v>宏运大道2298号下叠</v>
      </c>
      <c r="H3" s="22" t="s">
        <v>53</v>
      </c>
      <c r="I3" s="22" t="s">
        <v>53</v>
      </c>
      <c r="J3" s="22" t="s">
        <v>53</v>
      </c>
      <c r="K3" s="22" t="s">
        <v>53</v>
      </c>
      <c r="L3" s="22" t="s">
        <v>53</v>
      </c>
      <c r="M3" s="22" t="s">
        <v>53</v>
      </c>
      <c r="N3" s="12"/>
      <c r="O3" s="15"/>
    </row>
    <row r="4" spans="1:15" s="13" customFormat="1" ht="25.95" customHeight="1" x14ac:dyDescent="0.25">
      <c r="A4" s="150" t="s">
        <v>54</v>
      </c>
      <c r="B4" s="149"/>
      <c r="C4" s="25" t="s">
        <v>55</v>
      </c>
      <c r="D4" s="115">
        <v>33902</v>
      </c>
      <c r="E4" s="115">
        <v>33035</v>
      </c>
      <c r="F4" s="116">
        <v>31245</v>
      </c>
      <c r="G4" s="26" t="s">
        <v>55</v>
      </c>
      <c r="H4" s="26">
        <f>D4</f>
        <v>33902</v>
      </c>
      <c r="I4" s="26">
        <f>E4</f>
        <v>33035</v>
      </c>
      <c r="J4" s="26">
        <f>F4</f>
        <v>31245</v>
      </c>
      <c r="K4" s="26">
        <f>H4</f>
        <v>33902</v>
      </c>
      <c r="L4" s="54">
        <f>I4</f>
        <v>33035</v>
      </c>
      <c r="M4" s="54">
        <f>F4</f>
        <v>31245</v>
      </c>
      <c r="N4" s="12"/>
      <c r="O4" s="15"/>
    </row>
    <row r="5" spans="1:15" s="13" customFormat="1" ht="28.95" customHeight="1" x14ac:dyDescent="0.25">
      <c r="A5" s="150" t="s">
        <v>56</v>
      </c>
      <c r="B5" s="149"/>
      <c r="C5" s="27">
        <v>43298</v>
      </c>
      <c r="D5" s="28" t="s">
        <v>57</v>
      </c>
      <c r="E5" s="28" t="s">
        <v>58</v>
      </c>
      <c r="F5" s="28" t="s">
        <v>59</v>
      </c>
      <c r="G5" s="20">
        <v>100</v>
      </c>
      <c r="H5" s="20">
        <v>100</v>
      </c>
      <c r="I5" s="40">
        <v>100</v>
      </c>
      <c r="J5" s="40">
        <v>100</v>
      </c>
      <c r="K5" s="40" t="str">
        <f>CONCATENATE($H5,"/",G5)</f>
        <v>100/100</v>
      </c>
      <c r="L5" s="20" t="str">
        <f>CONCATENATE($I5,"/",G5)</f>
        <v>100/100</v>
      </c>
      <c r="M5" s="20" t="str">
        <f>CONCATENATE($J5,"/",G5)</f>
        <v>100/100</v>
      </c>
      <c r="N5" s="12"/>
      <c r="O5" s="15"/>
    </row>
    <row r="6" spans="1:15" s="14" customFormat="1" ht="30" customHeight="1" x14ac:dyDescent="0.25">
      <c r="A6" s="149" t="s">
        <v>60</v>
      </c>
      <c r="B6" s="149"/>
      <c r="C6" s="20" t="s">
        <v>61</v>
      </c>
      <c r="D6" s="20" t="s">
        <v>61</v>
      </c>
      <c r="E6" s="20" t="s">
        <v>61</v>
      </c>
      <c r="F6" s="20" t="s">
        <v>61</v>
      </c>
      <c r="G6" s="20">
        <v>100</v>
      </c>
      <c r="H6" s="20">
        <v>100</v>
      </c>
      <c r="I6" s="40">
        <v>100</v>
      </c>
      <c r="J6" s="40">
        <v>100</v>
      </c>
      <c r="K6" s="40" t="str">
        <f t="shared" ref="K6:M20" si="0">CONCATENATE($G6,"/",H6)</f>
        <v>100/100</v>
      </c>
      <c r="L6" s="20" t="str">
        <f t="shared" si="0"/>
        <v>100/100</v>
      </c>
      <c r="M6" s="20" t="str">
        <f t="shared" si="0"/>
        <v>100/100</v>
      </c>
      <c r="N6" s="12"/>
      <c r="O6" s="12"/>
    </row>
    <row r="7" spans="1:15" s="15" customFormat="1" ht="49.95" customHeight="1" x14ac:dyDescent="0.25">
      <c r="A7" s="159" t="s">
        <v>62</v>
      </c>
      <c r="B7" s="29" t="s">
        <v>63</v>
      </c>
      <c r="C7" s="22" t="s">
        <v>64</v>
      </c>
      <c r="D7" s="22" t="s">
        <v>64</v>
      </c>
      <c r="E7" s="22" t="s">
        <v>64</v>
      </c>
      <c r="F7" s="22" t="s">
        <v>64</v>
      </c>
      <c r="G7" s="20">
        <v>100</v>
      </c>
      <c r="H7" s="20">
        <v>100</v>
      </c>
      <c r="I7" s="20">
        <v>100</v>
      </c>
      <c r="J7" s="20">
        <v>100</v>
      </c>
      <c r="K7" s="40" t="str">
        <f t="shared" si="0"/>
        <v>100/100</v>
      </c>
      <c r="L7" s="40" t="str">
        <f t="shared" si="0"/>
        <v>100/100</v>
      </c>
      <c r="M7" s="40" t="str">
        <f t="shared" si="0"/>
        <v>100/100</v>
      </c>
    </row>
    <row r="8" spans="1:15" s="15" customFormat="1" ht="56.4" customHeight="1" x14ac:dyDescent="0.25">
      <c r="A8" s="160"/>
      <c r="B8" s="29" t="s">
        <v>65</v>
      </c>
      <c r="C8" s="22" t="s">
        <v>66</v>
      </c>
      <c r="D8" s="22" t="s">
        <v>66</v>
      </c>
      <c r="E8" s="22" t="s">
        <v>66</v>
      </c>
      <c r="F8" s="22" t="s">
        <v>66</v>
      </c>
      <c r="G8" s="20">
        <v>100</v>
      </c>
      <c r="H8" s="20">
        <v>100</v>
      </c>
      <c r="I8" s="20">
        <v>100</v>
      </c>
      <c r="J8" s="20">
        <v>100</v>
      </c>
      <c r="K8" s="40" t="str">
        <f>CONCATENATE($G8,"/",H8)</f>
        <v>100/100</v>
      </c>
      <c r="L8" s="40" t="str">
        <f>CONCATENATE($G8,"/",I8)</f>
        <v>100/100</v>
      </c>
      <c r="M8" s="40" t="str">
        <f>CONCATENATE($G8,"/",J8)</f>
        <v>100/100</v>
      </c>
    </row>
    <row r="9" spans="1:15" ht="44.4" customHeight="1" x14ac:dyDescent="0.25">
      <c r="A9" s="160"/>
      <c r="B9" s="30" t="s">
        <v>67</v>
      </c>
      <c r="C9" s="31" t="s">
        <v>68</v>
      </c>
      <c r="D9" s="31" t="s">
        <v>68</v>
      </c>
      <c r="E9" s="31" t="s">
        <v>68</v>
      </c>
      <c r="F9" s="31" t="s">
        <v>68</v>
      </c>
      <c r="G9" s="20">
        <v>100</v>
      </c>
      <c r="H9" s="20">
        <v>100</v>
      </c>
      <c r="I9" s="20">
        <v>100</v>
      </c>
      <c r="J9" s="20">
        <v>100</v>
      </c>
      <c r="K9" s="40" t="str">
        <f t="shared" si="0"/>
        <v>100/100</v>
      </c>
      <c r="L9" s="40" t="str">
        <f t="shared" si="0"/>
        <v>100/100</v>
      </c>
      <c r="M9" s="40" t="str">
        <f t="shared" si="0"/>
        <v>100/100</v>
      </c>
    </row>
    <row r="10" spans="1:15" ht="40.200000000000003" customHeight="1" x14ac:dyDescent="0.25">
      <c r="A10" s="160"/>
      <c r="B10" s="30" t="s">
        <v>69</v>
      </c>
      <c r="C10" s="32" t="s">
        <v>70</v>
      </c>
      <c r="D10" s="32" t="s">
        <v>70</v>
      </c>
      <c r="E10" s="32" t="s">
        <v>70</v>
      </c>
      <c r="F10" s="32" t="s">
        <v>70</v>
      </c>
      <c r="G10" s="20">
        <v>100</v>
      </c>
      <c r="H10" s="20">
        <v>100</v>
      </c>
      <c r="I10" s="20">
        <v>100</v>
      </c>
      <c r="J10" s="20">
        <v>100</v>
      </c>
      <c r="K10" s="40" t="str">
        <f>CONCATENATE($G10,"/",H10)</f>
        <v>100/100</v>
      </c>
      <c r="L10" s="40" t="str">
        <f>CONCATENATE($G10,"/",I10)</f>
        <v>100/100</v>
      </c>
      <c r="M10" s="40" t="str">
        <f>CONCATENATE($G10,"/",J10)</f>
        <v>100/100</v>
      </c>
    </row>
    <row r="11" spans="1:15" ht="25.2" customHeight="1" x14ac:dyDescent="0.25">
      <c r="A11" s="160"/>
      <c r="B11" s="24" t="s">
        <v>71</v>
      </c>
      <c r="C11" s="33" t="s">
        <v>72</v>
      </c>
      <c r="D11" s="33" t="s">
        <v>72</v>
      </c>
      <c r="E11" s="33" t="s">
        <v>72</v>
      </c>
      <c r="F11" s="33" t="s">
        <v>72</v>
      </c>
      <c r="G11" s="20">
        <v>100</v>
      </c>
      <c r="H11" s="20">
        <v>100</v>
      </c>
      <c r="I11" s="20">
        <v>100</v>
      </c>
      <c r="J11" s="20">
        <v>100</v>
      </c>
      <c r="K11" s="40" t="str">
        <f t="shared" si="0"/>
        <v>100/100</v>
      </c>
      <c r="L11" s="40" t="str">
        <f t="shared" si="0"/>
        <v>100/100</v>
      </c>
      <c r="M11" s="40" t="str">
        <f t="shared" si="0"/>
        <v>100/100</v>
      </c>
    </row>
    <row r="12" spans="1:15" ht="27.6" customHeight="1" x14ac:dyDescent="0.25">
      <c r="A12" s="160"/>
      <c r="B12" s="24" t="s">
        <v>73</v>
      </c>
      <c r="C12" s="34" t="s">
        <v>74</v>
      </c>
      <c r="D12" s="34" t="s">
        <v>74</v>
      </c>
      <c r="E12" s="34" t="s">
        <v>74</v>
      </c>
      <c r="F12" s="34" t="s">
        <v>75</v>
      </c>
      <c r="G12" s="35">
        <v>100</v>
      </c>
      <c r="H12" s="35">
        <v>100</v>
      </c>
      <c r="I12" s="35">
        <v>100</v>
      </c>
      <c r="J12" s="35">
        <v>93</v>
      </c>
      <c r="K12" s="40" t="str">
        <f t="shared" si="0"/>
        <v>100/100</v>
      </c>
      <c r="L12" s="40" t="str">
        <f t="shared" si="0"/>
        <v>100/100</v>
      </c>
      <c r="M12" s="40" t="str">
        <f>CONCATENATE($G12,"/",J12)</f>
        <v>100/93</v>
      </c>
      <c r="N12" s="136" t="s">
        <v>193</v>
      </c>
      <c r="O12" s="15">
        <f>(K4+L4)/2</f>
        <v>33468.5</v>
      </c>
    </row>
    <row r="13" spans="1:15" ht="26.4" customHeight="1" x14ac:dyDescent="0.25">
      <c r="A13" s="161"/>
      <c r="B13" s="24" t="s">
        <v>76</v>
      </c>
      <c r="C13" s="33" t="s">
        <v>77</v>
      </c>
      <c r="D13" s="33" t="s">
        <v>77</v>
      </c>
      <c r="E13" s="33" t="s">
        <v>77</v>
      </c>
      <c r="F13" s="33" t="s">
        <v>77</v>
      </c>
      <c r="G13" s="20">
        <v>100</v>
      </c>
      <c r="H13" s="20">
        <v>100</v>
      </c>
      <c r="I13" s="20">
        <v>100</v>
      </c>
      <c r="J13" s="20">
        <v>100</v>
      </c>
      <c r="K13" s="40" t="str">
        <f t="shared" si="0"/>
        <v>100/100</v>
      </c>
      <c r="L13" s="40" t="str">
        <f t="shared" si="0"/>
        <v>100/100</v>
      </c>
      <c r="M13" s="40" t="str">
        <f t="shared" si="0"/>
        <v>100/100</v>
      </c>
      <c r="N13" s="136" t="s">
        <v>194</v>
      </c>
      <c r="O13" s="137">
        <f>M4</f>
        <v>31245</v>
      </c>
    </row>
    <row r="14" spans="1:15" ht="28.2" customHeight="1" x14ac:dyDescent="0.25">
      <c r="A14" s="162" t="s">
        <v>78</v>
      </c>
      <c r="B14" s="24" t="s">
        <v>79</v>
      </c>
      <c r="C14" s="33" t="s">
        <v>80</v>
      </c>
      <c r="D14" s="33" t="s">
        <v>80</v>
      </c>
      <c r="E14" s="33" t="s">
        <v>80</v>
      </c>
      <c r="F14" s="33" t="s">
        <v>80</v>
      </c>
      <c r="G14" s="20">
        <v>100</v>
      </c>
      <c r="H14" s="20">
        <v>100</v>
      </c>
      <c r="I14" s="20">
        <v>100</v>
      </c>
      <c r="J14" s="20">
        <v>100</v>
      </c>
      <c r="K14" s="40" t="str">
        <f t="shared" si="0"/>
        <v>100/100</v>
      </c>
      <c r="L14" s="40" t="str">
        <f t="shared" si="0"/>
        <v>100/100</v>
      </c>
      <c r="M14" s="40" t="str">
        <f t="shared" si="0"/>
        <v>100/100</v>
      </c>
      <c r="N14" s="136" t="s">
        <v>195</v>
      </c>
      <c r="O14" s="138">
        <f>O13/O12</f>
        <v>0.93</v>
      </c>
    </row>
    <row r="15" spans="1:15" ht="26.4" customHeight="1" x14ac:dyDescent="0.25">
      <c r="A15" s="163"/>
      <c r="B15" s="24" t="s">
        <v>81</v>
      </c>
      <c r="C15" s="119" t="s">
        <v>152</v>
      </c>
      <c r="D15" s="119" t="s">
        <v>152</v>
      </c>
      <c r="E15" s="119" t="s">
        <v>152</v>
      </c>
      <c r="F15" s="119" t="s">
        <v>152</v>
      </c>
      <c r="G15" s="20">
        <v>100</v>
      </c>
      <c r="H15" s="20">
        <v>100</v>
      </c>
      <c r="I15" s="20">
        <v>100</v>
      </c>
      <c r="J15" s="20">
        <v>100</v>
      </c>
      <c r="K15" s="40" t="str">
        <f t="shared" si="0"/>
        <v>100/100</v>
      </c>
      <c r="L15" s="40" t="str">
        <f t="shared" si="0"/>
        <v>100/100</v>
      </c>
      <c r="M15" s="40" t="str">
        <f t="shared" si="0"/>
        <v>100/100</v>
      </c>
    </row>
    <row r="16" spans="1:15" ht="29.4" customHeight="1" x14ac:dyDescent="0.25">
      <c r="A16" s="163"/>
      <c r="B16" s="24" t="s">
        <v>82</v>
      </c>
      <c r="C16" s="33" t="s">
        <v>83</v>
      </c>
      <c r="D16" s="33" t="s">
        <v>83</v>
      </c>
      <c r="E16" s="33" t="s">
        <v>83</v>
      </c>
      <c r="F16" s="33" t="s">
        <v>83</v>
      </c>
      <c r="G16" s="20">
        <v>100</v>
      </c>
      <c r="H16" s="20">
        <v>100</v>
      </c>
      <c r="I16" s="20">
        <v>100</v>
      </c>
      <c r="J16" s="20">
        <v>100</v>
      </c>
      <c r="K16" s="40" t="str">
        <f t="shared" si="0"/>
        <v>100/100</v>
      </c>
      <c r="L16" s="40" t="str">
        <f t="shared" si="0"/>
        <v>100/100</v>
      </c>
      <c r="M16" s="40" t="str">
        <f t="shared" si="0"/>
        <v>100/100</v>
      </c>
    </row>
    <row r="17" spans="1:234" s="16" customFormat="1" ht="25.2" x14ac:dyDescent="0.25">
      <c r="A17" s="164" t="s">
        <v>84</v>
      </c>
      <c r="B17" s="24" t="s">
        <v>85</v>
      </c>
      <c r="C17" s="23" t="s">
        <v>86</v>
      </c>
      <c r="D17" s="23" t="s">
        <v>87</v>
      </c>
      <c r="E17" s="23" t="s">
        <v>88</v>
      </c>
      <c r="F17" s="23" t="s">
        <v>89</v>
      </c>
      <c r="G17" s="20">
        <v>100</v>
      </c>
      <c r="H17" s="20">
        <v>100</v>
      </c>
      <c r="I17" s="20">
        <v>100</v>
      </c>
      <c r="J17" s="20">
        <v>100</v>
      </c>
      <c r="K17" s="40" t="str">
        <f t="shared" si="0"/>
        <v>100/100</v>
      </c>
      <c r="L17" s="40" t="str">
        <f t="shared" si="0"/>
        <v>100/100</v>
      </c>
      <c r="M17" s="40" t="str">
        <f t="shared" si="0"/>
        <v>100/100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  <c r="EZ17" s="17"/>
      <c r="FA17" s="17"/>
      <c r="FB17" s="17"/>
      <c r="FC17" s="17"/>
      <c r="FD17" s="17"/>
      <c r="FE17" s="17"/>
      <c r="FF17" s="17"/>
      <c r="FG17" s="17"/>
      <c r="FH17" s="17"/>
      <c r="FI17" s="17"/>
      <c r="FJ17" s="17"/>
      <c r="FK17" s="17"/>
      <c r="FL17" s="17"/>
      <c r="FM17" s="17"/>
      <c r="FN17" s="17"/>
      <c r="FO17" s="17"/>
      <c r="FP17" s="17"/>
      <c r="FQ17" s="17"/>
      <c r="FR17" s="17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</row>
    <row r="18" spans="1:234" s="16" customFormat="1" ht="32.4" customHeight="1" x14ac:dyDescent="0.25">
      <c r="A18" s="165"/>
      <c r="B18" s="24" t="s">
        <v>90</v>
      </c>
      <c r="C18" s="22" t="s">
        <v>91</v>
      </c>
      <c r="D18" s="22" t="s">
        <v>91</v>
      </c>
      <c r="E18" s="22" t="s">
        <v>91</v>
      </c>
      <c r="F18" s="22" t="s">
        <v>91</v>
      </c>
      <c r="G18" s="20">
        <v>100</v>
      </c>
      <c r="H18" s="20">
        <v>100</v>
      </c>
      <c r="I18" s="20">
        <v>100</v>
      </c>
      <c r="J18" s="20">
        <v>100</v>
      </c>
      <c r="K18" s="40" t="str">
        <f t="shared" si="0"/>
        <v>100/100</v>
      </c>
      <c r="L18" s="40" t="str">
        <f t="shared" si="0"/>
        <v>100/100</v>
      </c>
      <c r="M18" s="40" t="str">
        <f t="shared" si="0"/>
        <v>100/100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</row>
    <row r="19" spans="1:234" s="16" customFormat="1" ht="34.200000000000003" customHeight="1" x14ac:dyDescent="0.25">
      <c r="A19" s="165"/>
      <c r="B19" s="24" t="s">
        <v>92</v>
      </c>
      <c r="C19" s="36" t="s">
        <v>192</v>
      </c>
      <c r="D19" s="36" t="s">
        <v>93</v>
      </c>
      <c r="E19" s="36" t="s">
        <v>94</v>
      </c>
      <c r="F19" s="36" t="s">
        <v>93</v>
      </c>
      <c r="G19" s="35">
        <v>100</v>
      </c>
      <c r="H19" s="35">
        <v>96</v>
      </c>
      <c r="I19" s="35">
        <v>98</v>
      </c>
      <c r="J19" s="35">
        <v>96</v>
      </c>
      <c r="K19" s="40" t="str">
        <f t="shared" si="0"/>
        <v>100/96</v>
      </c>
      <c r="L19" s="40" t="str">
        <f t="shared" si="0"/>
        <v>100/98</v>
      </c>
      <c r="M19" s="40" t="str">
        <f t="shared" si="0"/>
        <v>100/96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</row>
    <row r="20" spans="1:234" s="16" customFormat="1" ht="24" customHeight="1" x14ac:dyDescent="0.25">
      <c r="A20" s="165"/>
      <c r="B20" s="24" t="s">
        <v>95</v>
      </c>
      <c r="C20" s="36" t="s">
        <v>96</v>
      </c>
      <c r="D20" s="36" t="s">
        <v>96</v>
      </c>
      <c r="E20" s="36" t="s">
        <v>96</v>
      </c>
      <c r="F20" s="36" t="s">
        <v>96</v>
      </c>
      <c r="G20" s="35">
        <v>100</v>
      </c>
      <c r="H20" s="35">
        <v>100</v>
      </c>
      <c r="I20" s="35">
        <v>100</v>
      </c>
      <c r="J20" s="35">
        <v>100</v>
      </c>
      <c r="K20" s="40" t="str">
        <f t="shared" si="0"/>
        <v>100/100</v>
      </c>
      <c r="L20" s="40" t="str">
        <f t="shared" si="0"/>
        <v>100/100</v>
      </c>
      <c r="M20" s="40" t="str">
        <f t="shared" si="0"/>
        <v>100/100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</row>
    <row r="21" spans="1:234" s="16" customFormat="1" ht="22.95" customHeight="1" x14ac:dyDescent="0.25">
      <c r="A21" s="165"/>
      <c r="B21" s="24" t="s">
        <v>97</v>
      </c>
      <c r="C21" s="37" t="s">
        <v>98</v>
      </c>
      <c r="D21" s="37" t="s">
        <v>98</v>
      </c>
      <c r="E21" s="37" t="s">
        <v>98</v>
      </c>
      <c r="F21" s="37" t="s">
        <v>98</v>
      </c>
      <c r="G21" s="35">
        <v>100</v>
      </c>
      <c r="H21" s="35">
        <v>100</v>
      </c>
      <c r="I21" s="35">
        <v>100</v>
      </c>
      <c r="J21" s="35">
        <v>100</v>
      </c>
      <c r="K21" s="40" t="str">
        <f t="shared" ref="K21:M25" si="1">CONCATENATE($G21,"/",H21)</f>
        <v>100/100</v>
      </c>
      <c r="L21" s="40" t="str">
        <f t="shared" si="1"/>
        <v>100/100</v>
      </c>
      <c r="M21" s="40" t="str">
        <f t="shared" si="1"/>
        <v>100/100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V21" s="17"/>
      <c r="EW21" s="17"/>
      <c r="EX21" s="17"/>
      <c r="EY21" s="17"/>
      <c r="EZ21" s="17"/>
      <c r="FA21" s="17"/>
      <c r="FB21" s="17"/>
      <c r="FC21" s="17"/>
      <c r="FD21" s="17"/>
      <c r="FE21" s="17"/>
      <c r="FF21" s="17"/>
      <c r="FG21" s="17"/>
      <c r="FH21" s="17"/>
      <c r="FI21" s="17"/>
      <c r="FJ21" s="17"/>
      <c r="FK21" s="17"/>
      <c r="FL21" s="17"/>
      <c r="FM21" s="17"/>
      <c r="FN21" s="17"/>
      <c r="FO21" s="17"/>
      <c r="FP21" s="17"/>
      <c r="FQ21" s="17"/>
      <c r="FR21" s="17"/>
      <c r="FS21" s="17"/>
      <c r="FT21" s="17"/>
      <c r="FU21" s="17"/>
      <c r="FV21" s="17"/>
      <c r="FW21" s="17"/>
      <c r="FX21" s="17"/>
      <c r="FY21" s="17"/>
      <c r="FZ21" s="17"/>
      <c r="GA21" s="17"/>
      <c r="GB21" s="17"/>
      <c r="GC21" s="17"/>
      <c r="GD21" s="17"/>
      <c r="GE21" s="17"/>
      <c r="GF21" s="17"/>
      <c r="GG21" s="17"/>
      <c r="GH21" s="17"/>
      <c r="GI21" s="17"/>
      <c r="GJ21" s="17"/>
      <c r="GK21" s="17"/>
      <c r="GL21" s="17"/>
      <c r="GM21" s="17"/>
      <c r="GN21" s="17"/>
      <c r="GO21" s="17"/>
      <c r="GP21" s="17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</row>
    <row r="22" spans="1:234" s="16" customFormat="1" ht="24.6" customHeight="1" x14ac:dyDescent="0.25">
      <c r="A22" s="165"/>
      <c r="B22" s="24" t="s">
        <v>99</v>
      </c>
      <c r="C22" s="37" t="s">
        <v>100</v>
      </c>
      <c r="D22" s="37" t="s">
        <v>100</v>
      </c>
      <c r="E22" s="37" t="s">
        <v>100</v>
      </c>
      <c r="F22" s="37" t="s">
        <v>100</v>
      </c>
      <c r="G22" s="35">
        <v>100</v>
      </c>
      <c r="H22" s="35">
        <v>100</v>
      </c>
      <c r="I22" s="35">
        <v>100</v>
      </c>
      <c r="J22" s="35">
        <v>100</v>
      </c>
      <c r="K22" s="40" t="str">
        <f t="shared" si="1"/>
        <v>100/100</v>
      </c>
      <c r="L22" s="40" t="str">
        <f t="shared" si="1"/>
        <v>100/100</v>
      </c>
      <c r="M22" s="40" t="str">
        <f t="shared" si="1"/>
        <v>100/100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V22" s="17"/>
      <c r="EW22" s="17"/>
      <c r="EX22" s="17"/>
      <c r="EY22" s="17"/>
      <c r="EZ22" s="17"/>
      <c r="FA22" s="17"/>
      <c r="FB22" s="17"/>
      <c r="FC22" s="17"/>
      <c r="FD22" s="17"/>
      <c r="FE22" s="17"/>
      <c r="FF22" s="17"/>
      <c r="FG22" s="17"/>
      <c r="FH22" s="17"/>
      <c r="FI22" s="17"/>
      <c r="FJ22" s="17"/>
      <c r="FK22" s="17"/>
      <c r="FL22" s="17"/>
      <c r="FM22" s="17"/>
      <c r="FN22" s="17"/>
      <c r="FO22" s="17"/>
      <c r="FP22" s="17"/>
      <c r="FQ22" s="17"/>
      <c r="FR22" s="17"/>
      <c r="FS22" s="17"/>
      <c r="FT22" s="17"/>
      <c r="FU22" s="17"/>
      <c r="FV22" s="17"/>
      <c r="FW22" s="17"/>
      <c r="FX22" s="17"/>
      <c r="FY22" s="17"/>
      <c r="FZ22" s="17"/>
      <c r="GA22" s="17"/>
      <c r="GB22" s="17"/>
      <c r="GC22" s="17"/>
      <c r="GD22" s="17"/>
      <c r="GE22" s="17"/>
      <c r="GF22" s="17"/>
      <c r="GG22" s="17"/>
      <c r="GH22" s="17"/>
      <c r="GI22" s="17"/>
      <c r="GJ22" s="17"/>
      <c r="GK22" s="17"/>
      <c r="GL22" s="17"/>
      <c r="GM22" s="17"/>
      <c r="GN22" s="17"/>
      <c r="GO22" s="17"/>
      <c r="GP22" s="17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</row>
    <row r="23" spans="1:234" s="17" customFormat="1" ht="22.2" customHeight="1" x14ac:dyDescent="0.25">
      <c r="A23" s="165"/>
      <c r="B23" s="24" t="s">
        <v>101</v>
      </c>
      <c r="C23" s="36" t="s">
        <v>102</v>
      </c>
      <c r="D23" s="36" t="s">
        <v>102</v>
      </c>
      <c r="E23" s="36" t="s">
        <v>102</v>
      </c>
      <c r="F23" s="36" t="s">
        <v>102</v>
      </c>
      <c r="G23" s="35">
        <v>100</v>
      </c>
      <c r="H23" s="35">
        <v>100</v>
      </c>
      <c r="I23" s="35">
        <v>100</v>
      </c>
      <c r="J23" s="35">
        <v>100</v>
      </c>
      <c r="K23" s="40" t="str">
        <f t="shared" si="1"/>
        <v>100/100</v>
      </c>
      <c r="L23" s="40" t="str">
        <f t="shared" si="1"/>
        <v>100/100</v>
      </c>
      <c r="M23" s="40" t="str">
        <f t="shared" si="1"/>
        <v>100/100</v>
      </c>
    </row>
    <row r="24" spans="1:234" s="17" customFormat="1" ht="24.6" customHeight="1" x14ac:dyDescent="0.25">
      <c r="A24" s="165"/>
      <c r="B24" s="24" t="s">
        <v>103</v>
      </c>
      <c r="C24" s="38" t="s">
        <v>104</v>
      </c>
      <c r="D24" s="38" t="s">
        <v>105</v>
      </c>
      <c r="E24" s="38" t="s">
        <v>105</v>
      </c>
      <c r="F24" s="38" t="s">
        <v>105</v>
      </c>
      <c r="G24" s="35">
        <v>100</v>
      </c>
      <c r="H24" s="35">
        <v>106</v>
      </c>
      <c r="I24" s="35">
        <v>106</v>
      </c>
      <c r="J24" s="35">
        <v>106</v>
      </c>
      <c r="K24" s="40" t="str">
        <f t="shared" si="1"/>
        <v>100/106</v>
      </c>
      <c r="L24" s="40" t="str">
        <f t="shared" si="1"/>
        <v>100/106</v>
      </c>
      <c r="M24" s="40" t="str">
        <f t="shared" si="1"/>
        <v>100/106</v>
      </c>
    </row>
    <row r="25" spans="1:234" s="17" customFormat="1" ht="27" customHeight="1" x14ac:dyDescent="0.25">
      <c r="A25" s="165"/>
      <c r="B25" s="24" t="s">
        <v>106</v>
      </c>
      <c r="C25" s="39" t="s">
        <v>107</v>
      </c>
      <c r="D25" s="39" t="s">
        <v>107</v>
      </c>
      <c r="E25" s="39" t="s">
        <v>107</v>
      </c>
      <c r="F25" s="39" t="s">
        <v>107</v>
      </c>
      <c r="G25" s="20">
        <v>100</v>
      </c>
      <c r="H25" s="20">
        <v>100</v>
      </c>
      <c r="I25" s="20">
        <v>100</v>
      </c>
      <c r="J25" s="20">
        <v>100</v>
      </c>
      <c r="K25" s="40" t="str">
        <f t="shared" si="1"/>
        <v>100/100</v>
      </c>
      <c r="L25" s="40" t="str">
        <f t="shared" si="1"/>
        <v>100/100</v>
      </c>
      <c r="M25" s="40" t="str">
        <f t="shared" si="1"/>
        <v>100/100</v>
      </c>
    </row>
    <row r="26" spans="1:234" s="16" customFormat="1" ht="24" customHeight="1" x14ac:dyDescent="0.25">
      <c r="A26" s="150" t="s">
        <v>108</v>
      </c>
      <c r="B26" s="149"/>
      <c r="C26" s="20"/>
      <c r="D26" s="20"/>
      <c r="E26" s="20"/>
      <c r="F26" s="20"/>
      <c r="G26" s="20"/>
      <c r="H26" s="40">
        <f>ROUND(PRODUCT($G6:$G25)/PRODUCT(H6:H25)*H4*$H5/$G5,0)</f>
        <v>33316</v>
      </c>
      <c r="I26" s="40">
        <f>ROUND(PRODUCT($G6:$G25)/PRODUCT(I6:I25)*I4*$I5/$G5,0)</f>
        <v>31801</v>
      </c>
      <c r="J26" s="40">
        <f>ROUND(PRODUCT($G6:$G25)/PRODUCT(J6:J25)*J4*$J5/$G5,0)</f>
        <v>33016</v>
      </c>
      <c r="K26" s="40">
        <f>H26</f>
        <v>33316</v>
      </c>
      <c r="L26" s="40">
        <f>I26</f>
        <v>31801</v>
      </c>
      <c r="M26" s="40">
        <f>J26</f>
        <v>33016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  <c r="EP26" s="17"/>
      <c r="EQ26" s="17"/>
      <c r="ER26" s="17"/>
      <c r="ES26" s="17"/>
      <c r="ET26" s="17"/>
      <c r="EU26" s="17"/>
      <c r="EV26" s="17"/>
      <c r="EW26" s="17"/>
      <c r="EX26" s="17"/>
      <c r="EY26" s="17"/>
      <c r="EZ26" s="17"/>
      <c r="FA26" s="17"/>
      <c r="FB26" s="17"/>
      <c r="FC26" s="17"/>
      <c r="FD26" s="17"/>
      <c r="FE26" s="17"/>
      <c r="FF26" s="17"/>
      <c r="FG26" s="17"/>
      <c r="FH26" s="17"/>
      <c r="FI26" s="17"/>
      <c r="FJ26" s="17"/>
      <c r="FK26" s="17"/>
      <c r="FL26" s="17"/>
      <c r="FM26" s="17"/>
      <c r="FN26" s="17"/>
      <c r="FO26" s="17"/>
      <c r="FP26" s="17"/>
      <c r="FQ26" s="17"/>
      <c r="FR26" s="17"/>
      <c r="FS26" s="17"/>
      <c r="FT26" s="17"/>
      <c r="FU26" s="17"/>
      <c r="FV26" s="17"/>
      <c r="FW26" s="17"/>
      <c r="FX26" s="17"/>
      <c r="FY26" s="17"/>
      <c r="FZ26" s="17"/>
      <c r="GA26" s="17"/>
      <c r="GB26" s="17"/>
      <c r="GC26" s="17"/>
      <c r="GD26" s="17"/>
      <c r="GE26" s="17"/>
      <c r="GF26" s="17"/>
      <c r="GG26" s="17"/>
      <c r="GH26" s="17"/>
      <c r="GI26" s="17"/>
      <c r="GJ26" s="17"/>
      <c r="GK26" s="17"/>
      <c r="GL26" s="17"/>
      <c r="GM26" s="17"/>
      <c r="GN26" s="17"/>
      <c r="GO26" s="17"/>
      <c r="GP26" s="17"/>
      <c r="GQ26" s="17"/>
      <c r="GR26" s="17"/>
      <c r="GS26" s="17"/>
      <c r="GT26" s="17"/>
      <c r="GU26" s="17"/>
      <c r="GV26" s="17"/>
      <c r="GW26" s="17"/>
      <c r="GX26" s="17"/>
      <c r="GY26" s="17"/>
      <c r="GZ26" s="17"/>
      <c r="HA26" s="17"/>
      <c r="HB26" s="17"/>
      <c r="HC26" s="17"/>
      <c r="HD26" s="17"/>
      <c r="HE26" s="17"/>
      <c r="HF26" s="17"/>
      <c r="HG26" s="17"/>
      <c r="HH26" s="17"/>
      <c r="HI26" s="17"/>
      <c r="HJ26" s="17"/>
      <c r="HK26" s="17"/>
      <c r="HL26" s="17"/>
      <c r="HM26" s="17"/>
      <c r="HN26" s="17"/>
      <c r="HO26" s="17"/>
      <c r="HP26" s="17"/>
      <c r="HQ26" s="17"/>
      <c r="HR26" s="17"/>
      <c r="HS26" s="17"/>
      <c r="HT26" s="17"/>
      <c r="HU26" s="17"/>
      <c r="HV26" s="17"/>
      <c r="HW26" s="17"/>
      <c r="HX26" s="17"/>
      <c r="HY26" s="17"/>
      <c r="HZ26" s="17"/>
    </row>
    <row r="27" spans="1:234" s="16" customFormat="1" ht="25.2" customHeight="1" x14ac:dyDescent="0.25">
      <c r="A27" s="151" t="s">
        <v>109</v>
      </c>
      <c r="B27" s="152"/>
      <c r="C27" s="20"/>
      <c r="D27" s="20"/>
      <c r="E27" s="20"/>
      <c r="F27" s="20"/>
      <c r="G27" s="20"/>
      <c r="H27" s="20"/>
      <c r="I27" s="20"/>
      <c r="J27" s="20"/>
      <c r="K27" s="153">
        <f>ROUND(AVERAGE(K26:M26),0)</f>
        <v>32711</v>
      </c>
      <c r="L27" s="153"/>
      <c r="M27" s="153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  <c r="EP27" s="17"/>
      <c r="EQ27" s="17"/>
      <c r="ER27" s="17"/>
      <c r="ES27" s="17"/>
      <c r="ET27" s="17"/>
      <c r="EU27" s="17"/>
      <c r="EV27" s="17"/>
      <c r="EW27" s="17"/>
      <c r="EX27" s="17"/>
      <c r="EY27" s="17"/>
      <c r="EZ27" s="17"/>
      <c r="FA27" s="17"/>
      <c r="FB27" s="17"/>
      <c r="FC27" s="17"/>
      <c r="FD27" s="17"/>
      <c r="FE27" s="17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17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E27" s="17"/>
      <c r="GF27" s="17"/>
      <c r="GG27" s="17"/>
      <c r="GH27" s="17"/>
      <c r="GI27" s="17"/>
      <c r="GJ27" s="17"/>
      <c r="GK27" s="17"/>
      <c r="GL27" s="17"/>
      <c r="GM27" s="17"/>
      <c r="GN27" s="17"/>
      <c r="GO27" s="17"/>
      <c r="GP27" s="17"/>
      <c r="GQ27" s="17"/>
      <c r="GR27" s="17"/>
      <c r="GS27" s="17"/>
      <c r="GT27" s="17"/>
      <c r="GU27" s="17"/>
      <c r="GV27" s="17"/>
      <c r="GW27" s="17"/>
      <c r="GX27" s="17"/>
      <c r="GY27" s="17"/>
      <c r="GZ27" s="17"/>
      <c r="HA27" s="17"/>
      <c r="HB27" s="17"/>
      <c r="HC27" s="17"/>
      <c r="HD27" s="17"/>
      <c r="HE27" s="17"/>
      <c r="HF27" s="17"/>
      <c r="HG27" s="17"/>
      <c r="HH27" s="17"/>
      <c r="HI27" s="17"/>
      <c r="HJ27" s="17"/>
      <c r="HK27" s="17"/>
      <c r="HL27" s="17"/>
      <c r="HM27" s="17"/>
      <c r="HN27" s="17"/>
      <c r="HO27" s="17"/>
      <c r="HP27" s="17"/>
      <c r="HQ27" s="17"/>
      <c r="HR27" s="17"/>
      <c r="HS27" s="17"/>
      <c r="HT27" s="17"/>
      <c r="HU27" s="17"/>
      <c r="HV27" s="17"/>
      <c r="HW27" s="17"/>
      <c r="HX27" s="17"/>
      <c r="HY27" s="17"/>
      <c r="HZ27" s="17"/>
    </row>
    <row r="28" spans="1:234" s="16" customFormat="1" ht="27.6" customHeight="1" x14ac:dyDescent="0.25">
      <c r="A28" s="154" t="s">
        <v>110</v>
      </c>
      <c r="B28" s="155"/>
      <c r="C28" s="20"/>
      <c r="D28" s="20"/>
      <c r="E28" s="20"/>
      <c r="F28" s="20"/>
      <c r="G28" s="20"/>
      <c r="H28" s="20"/>
      <c r="I28" s="20"/>
      <c r="J28" s="20"/>
      <c r="K28" s="156">
        <f>ROUND(K27*0.93,0)</f>
        <v>30421</v>
      </c>
      <c r="L28" s="157"/>
      <c r="M28" s="158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</row>
    <row r="29" spans="1:234" s="16" customFormat="1" ht="24.6" customHeight="1" x14ac:dyDescent="0.25">
      <c r="A29" s="41" t="s">
        <v>111</v>
      </c>
      <c r="B29" s="42"/>
      <c r="C29" s="43" t="s">
        <v>112</v>
      </c>
      <c r="D29" s="43"/>
      <c r="E29" s="41" t="s">
        <v>113</v>
      </c>
      <c r="F29" s="44" t="s">
        <v>112</v>
      </c>
      <c r="G29" s="45"/>
      <c r="H29" s="46"/>
      <c r="I29" s="46"/>
      <c r="J29" s="46"/>
      <c r="K29" s="55"/>
      <c r="L29" s="55"/>
      <c r="M29" s="55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</row>
    <row r="30" spans="1:234" s="16" customFormat="1" ht="24.6" customHeight="1" x14ac:dyDescent="0.25">
      <c r="A30" s="17"/>
      <c r="B30" s="17"/>
      <c r="C30" s="17"/>
      <c r="D30" s="47"/>
      <c r="E30" s="47"/>
      <c r="F30" s="4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17"/>
      <c r="FS30" s="17"/>
      <c r="FT30" s="17"/>
      <c r="FU30" s="17"/>
      <c r="FV30" s="17"/>
      <c r="FW30" s="17"/>
      <c r="FX30" s="17"/>
      <c r="FY30" s="17"/>
      <c r="FZ30" s="17"/>
      <c r="GA30" s="17"/>
      <c r="GB30" s="17"/>
      <c r="GC30" s="17"/>
      <c r="GD30" s="17"/>
      <c r="GE30" s="17"/>
      <c r="GF30" s="17"/>
      <c r="GG30" s="17"/>
      <c r="GH30" s="17"/>
      <c r="GI30" s="17"/>
      <c r="GJ30" s="17"/>
      <c r="GK30" s="17"/>
      <c r="GL30" s="17"/>
      <c r="GM30" s="17"/>
      <c r="GN30" s="17"/>
      <c r="GO30" s="17"/>
      <c r="GP30" s="17"/>
      <c r="GQ30" s="17"/>
      <c r="GR30" s="17"/>
      <c r="GS30" s="17"/>
      <c r="GT30" s="17"/>
      <c r="GU30" s="17"/>
      <c r="GV30" s="17"/>
      <c r="GW30" s="17"/>
      <c r="GX30" s="17"/>
      <c r="GY30" s="17"/>
      <c r="GZ30" s="17"/>
      <c r="HA30" s="17"/>
      <c r="HB30" s="17"/>
      <c r="HC30" s="17"/>
      <c r="HD30" s="17"/>
      <c r="HE30" s="17"/>
      <c r="HF30" s="17"/>
      <c r="HG30" s="17"/>
      <c r="HH30" s="17"/>
      <c r="HI30" s="17"/>
      <c r="HJ30" s="17"/>
      <c r="HK30" s="17"/>
      <c r="HL30" s="17"/>
      <c r="HM30" s="17"/>
      <c r="HN30" s="17"/>
      <c r="HO30" s="17"/>
      <c r="HP30" s="17"/>
      <c r="HQ30" s="17"/>
      <c r="HR30" s="17"/>
      <c r="HS30" s="17"/>
      <c r="HT30" s="17"/>
      <c r="HU30" s="17"/>
      <c r="HV30" s="17"/>
    </row>
    <row r="31" spans="1:234" s="16" customFormat="1" ht="24.6" customHeight="1" x14ac:dyDescent="0.25">
      <c r="A31" s="17"/>
      <c r="B31" s="17"/>
      <c r="C31" s="47"/>
      <c r="D31" s="17"/>
      <c r="E31" s="17"/>
      <c r="F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17"/>
      <c r="FS31" s="17"/>
      <c r="FT31" s="17"/>
      <c r="FU31" s="17"/>
      <c r="FV31" s="17"/>
      <c r="FW31" s="17"/>
      <c r="FX31" s="17"/>
      <c r="FY31" s="17"/>
      <c r="FZ31" s="17"/>
      <c r="GA31" s="17"/>
      <c r="GB31" s="17"/>
      <c r="GC31" s="17"/>
      <c r="GD31" s="17"/>
      <c r="GE31" s="17"/>
      <c r="GF31" s="17"/>
      <c r="GG31" s="17"/>
      <c r="GH31" s="17"/>
      <c r="GI31" s="17"/>
      <c r="GJ31" s="17"/>
      <c r="GK31" s="17"/>
      <c r="GL31" s="17"/>
      <c r="GM31" s="17"/>
      <c r="GN31" s="17"/>
      <c r="GO31" s="17"/>
      <c r="GP31" s="17"/>
      <c r="GQ31" s="17"/>
      <c r="GR31" s="17"/>
      <c r="GS31" s="17"/>
      <c r="GT31" s="17"/>
      <c r="GU31" s="17"/>
      <c r="GV31" s="17"/>
      <c r="GW31" s="17"/>
      <c r="GX31" s="17"/>
      <c r="GY31" s="17"/>
      <c r="GZ31" s="17"/>
      <c r="HA31" s="17"/>
      <c r="HB31" s="17"/>
      <c r="HC31" s="17"/>
      <c r="HD31" s="17"/>
      <c r="HE31" s="17"/>
      <c r="HF31" s="17"/>
      <c r="HG31" s="17"/>
      <c r="HH31" s="17"/>
      <c r="HI31" s="17"/>
      <c r="HJ31" s="17"/>
      <c r="HK31" s="17"/>
      <c r="HL31" s="17"/>
      <c r="HM31" s="17"/>
      <c r="HN31" s="17"/>
      <c r="HO31" s="17"/>
      <c r="HP31" s="17"/>
      <c r="HQ31" s="17"/>
      <c r="HR31" s="17"/>
      <c r="HS31" s="17"/>
      <c r="HT31" s="17"/>
      <c r="HU31" s="17"/>
      <c r="HV31" s="17"/>
    </row>
    <row r="32" spans="1:234" s="16" customFormat="1" ht="22.95" customHeight="1" x14ac:dyDescent="0.25">
      <c r="A32" s="17"/>
      <c r="B32" s="17"/>
      <c r="C32" s="18"/>
      <c r="D32" s="18"/>
      <c r="E32" s="18"/>
      <c r="F32" s="15"/>
      <c r="J32" s="15"/>
      <c r="K32" s="15"/>
      <c r="L32" s="15"/>
      <c r="M32" s="15"/>
      <c r="N32" s="15"/>
      <c r="O32" s="15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17"/>
      <c r="FS32" s="17"/>
      <c r="FT32" s="17"/>
      <c r="FU32" s="17"/>
      <c r="FV32" s="17"/>
      <c r="FW32" s="17"/>
      <c r="FX32" s="17"/>
      <c r="FY32" s="17"/>
      <c r="FZ32" s="17"/>
      <c r="GA32" s="17"/>
      <c r="GB32" s="17"/>
      <c r="GC32" s="17"/>
      <c r="GD32" s="17"/>
      <c r="GE32" s="17"/>
      <c r="GF32" s="17"/>
      <c r="GG32" s="17"/>
      <c r="GH32" s="17"/>
      <c r="GI32" s="17"/>
      <c r="GJ32" s="17"/>
      <c r="GK32" s="17"/>
      <c r="GL32" s="17"/>
      <c r="GM32" s="17"/>
      <c r="GN32" s="17"/>
      <c r="GO32" s="17"/>
      <c r="GP32" s="17"/>
      <c r="GQ32" s="17"/>
      <c r="GR32" s="17"/>
      <c r="GS32" s="17"/>
      <c r="GT32" s="17"/>
      <c r="GU32" s="17"/>
      <c r="GV32" s="17"/>
      <c r="GW32" s="17"/>
      <c r="GX32" s="17"/>
      <c r="GY32" s="17"/>
      <c r="GZ32" s="17"/>
      <c r="HA32" s="17"/>
      <c r="HB32" s="17"/>
      <c r="HC32" s="17"/>
      <c r="HD32" s="17"/>
      <c r="HE32" s="17"/>
      <c r="HF32" s="17"/>
      <c r="HG32" s="17"/>
      <c r="HH32" s="17"/>
      <c r="HI32" s="17"/>
      <c r="HJ32" s="17"/>
      <c r="HK32" s="17"/>
      <c r="HL32" s="17"/>
      <c r="HM32" s="17"/>
      <c r="HN32" s="17"/>
      <c r="HO32" s="17"/>
      <c r="HP32" s="17"/>
      <c r="HQ32" s="17"/>
      <c r="HR32" s="17"/>
      <c r="HS32" s="17"/>
      <c r="HT32" s="17"/>
      <c r="HU32" s="17"/>
      <c r="HV32" s="17"/>
    </row>
    <row r="33" spans="1:230" s="16" customFormat="1" ht="22.2" customHeight="1" x14ac:dyDescent="0.25">
      <c r="A33" s="17"/>
      <c r="B33" s="17"/>
      <c r="C33" s="48"/>
      <c r="D33" s="47"/>
      <c r="E33" s="17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  <c r="EP33" s="17"/>
      <c r="EQ33" s="17"/>
      <c r="ER33" s="17"/>
      <c r="ES33" s="17"/>
      <c r="ET33" s="17"/>
      <c r="EU33" s="17"/>
      <c r="EV33" s="17"/>
      <c r="EW33" s="17"/>
      <c r="EX33" s="17"/>
      <c r="EY33" s="17"/>
      <c r="EZ33" s="17"/>
      <c r="FA33" s="17"/>
      <c r="FB33" s="17"/>
      <c r="FC33" s="17"/>
      <c r="FD33" s="17"/>
      <c r="FE33" s="17"/>
      <c r="FF33" s="17"/>
      <c r="FG33" s="17"/>
      <c r="FH33" s="17"/>
      <c r="FI33" s="17"/>
      <c r="FJ33" s="17"/>
      <c r="FK33" s="17"/>
      <c r="FL33" s="17"/>
      <c r="FM33" s="17"/>
      <c r="FN33" s="17"/>
      <c r="FO33" s="17"/>
      <c r="FP33" s="17"/>
      <c r="FQ33" s="17"/>
      <c r="FR33" s="17"/>
      <c r="FS33" s="17"/>
      <c r="FT33" s="17"/>
      <c r="FU33" s="17"/>
      <c r="FV33" s="17"/>
      <c r="FW33" s="17"/>
      <c r="FX33" s="17"/>
      <c r="FY33" s="17"/>
      <c r="FZ33" s="17"/>
      <c r="GA33" s="17"/>
      <c r="GB33" s="17"/>
      <c r="GC33" s="17"/>
      <c r="GD33" s="17"/>
      <c r="GE33" s="17"/>
      <c r="GF33" s="17"/>
      <c r="GG33" s="17"/>
      <c r="GH33" s="17"/>
      <c r="GI33" s="17"/>
      <c r="GJ33" s="17"/>
      <c r="GK33" s="17"/>
      <c r="GL33" s="17"/>
      <c r="GM33" s="17"/>
      <c r="GN33" s="17"/>
      <c r="GO33" s="17"/>
      <c r="GP33" s="17"/>
      <c r="GQ33" s="17"/>
      <c r="GR33" s="17"/>
      <c r="GS33" s="17"/>
      <c r="GT33" s="17"/>
      <c r="GU33" s="17"/>
      <c r="GV33" s="17"/>
      <c r="GW33" s="17"/>
      <c r="GX33" s="17"/>
      <c r="GY33" s="17"/>
      <c r="GZ33" s="17"/>
      <c r="HA33" s="17"/>
      <c r="HB33" s="17"/>
      <c r="HC33" s="17"/>
      <c r="HD33" s="17"/>
      <c r="HE33" s="17"/>
      <c r="HF33" s="17"/>
      <c r="HG33" s="17"/>
      <c r="HH33" s="17"/>
      <c r="HI33" s="17"/>
      <c r="HJ33" s="17"/>
      <c r="HK33" s="17"/>
      <c r="HL33" s="17"/>
      <c r="HM33" s="17"/>
      <c r="HN33" s="17"/>
      <c r="HO33" s="17"/>
      <c r="HP33" s="17"/>
      <c r="HQ33" s="17"/>
      <c r="HR33" s="17"/>
      <c r="HS33" s="17"/>
      <c r="HT33" s="17"/>
      <c r="HU33" s="17"/>
      <c r="HV33" s="17"/>
    </row>
    <row r="34" spans="1:230" s="16" customFormat="1" ht="22.2" customHeight="1" x14ac:dyDescent="0.25">
      <c r="A34" s="17"/>
      <c r="B34" s="17"/>
      <c r="C34" s="48"/>
      <c r="D34" s="47"/>
      <c r="E34" s="17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17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7"/>
      <c r="FS34" s="17"/>
      <c r="FT34" s="17"/>
      <c r="FU34" s="17"/>
      <c r="FV34" s="17"/>
      <c r="FW34" s="17"/>
      <c r="FX34" s="17"/>
      <c r="FY34" s="17"/>
      <c r="FZ34" s="17"/>
      <c r="GA34" s="17"/>
      <c r="GB34" s="17"/>
      <c r="GC34" s="17"/>
      <c r="GD34" s="17"/>
      <c r="GE34" s="17"/>
      <c r="GF34" s="17"/>
      <c r="GG34" s="17"/>
      <c r="GH34" s="17"/>
      <c r="GI34" s="17"/>
      <c r="GJ34" s="17"/>
      <c r="GK34" s="17"/>
      <c r="GL34" s="17"/>
      <c r="GM34" s="17"/>
      <c r="GN34" s="17"/>
      <c r="GO34" s="17"/>
      <c r="GP34" s="17"/>
      <c r="GQ34" s="17"/>
      <c r="GR34" s="17"/>
      <c r="GS34" s="17"/>
      <c r="GT34" s="17"/>
      <c r="GU34" s="17"/>
      <c r="GV34" s="17"/>
      <c r="GW34" s="17"/>
      <c r="GX34" s="17"/>
      <c r="GY34" s="17"/>
      <c r="GZ34" s="17"/>
      <c r="HA34" s="17"/>
      <c r="HB34" s="17"/>
      <c r="HC34" s="17"/>
      <c r="HD34" s="17"/>
      <c r="HE34" s="17"/>
      <c r="HF34" s="17"/>
      <c r="HG34" s="17"/>
      <c r="HH34" s="17"/>
      <c r="HI34" s="17"/>
      <c r="HJ34" s="17"/>
      <c r="HK34" s="17"/>
      <c r="HL34" s="17"/>
      <c r="HM34" s="17"/>
      <c r="HN34" s="17"/>
      <c r="HO34" s="17"/>
      <c r="HP34" s="17"/>
      <c r="HQ34" s="17"/>
      <c r="HR34" s="17"/>
      <c r="HS34" s="17"/>
      <c r="HT34" s="17"/>
      <c r="HU34" s="17"/>
      <c r="HV34" s="17"/>
    </row>
    <row r="35" spans="1:230" s="16" customFormat="1" ht="22.2" customHeight="1" x14ac:dyDescent="0.25">
      <c r="A35" s="17"/>
      <c r="B35" s="17"/>
      <c r="C35" s="48"/>
      <c r="D35" s="47"/>
      <c r="E35" s="17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7"/>
      <c r="FU35" s="17"/>
      <c r="FV35" s="17"/>
      <c r="FW35" s="17"/>
      <c r="FX35" s="17"/>
      <c r="FY35" s="17"/>
      <c r="FZ35" s="17"/>
      <c r="GA35" s="17"/>
      <c r="GB35" s="17"/>
      <c r="GC35" s="17"/>
      <c r="GD35" s="17"/>
      <c r="GE35" s="17"/>
      <c r="GF35" s="17"/>
      <c r="GG35" s="17"/>
      <c r="GH35" s="17"/>
      <c r="GI35" s="17"/>
      <c r="GJ35" s="17"/>
      <c r="GK35" s="17"/>
      <c r="GL35" s="17"/>
      <c r="GM35" s="17"/>
      <c r="GN35" s="17"/>
      <c r="GO35" s="17"/>
      <c r="GP35" s="17"/>
      <c r="GQ35" s="17"/>
      <c r="GR35" s="17"/>
      <c r="GS35" s="17"/>
      <c r="GT35" s="17"/>
      <c r="GU35" s="17"/>
      <c r="GV35" s="17"/>
      <c r="GW35" s="17"/>
      <c r="GX35" s="17"/>
      <c r="GY35" s="17"/>
      <c r="GZ35" s="17"/>
      <c r="HA35" s="17"/>
      <c r="HB35" s="17"/>
      <c r="HC35" s="17"/>
      <c r="HD35" s="17"/>
      <c r="HE35" s="17"/>
      <c r="HF35" s="17"/>
      <c r="HG35" s="17"/>
      <c r="HH35" s="17"/>
      <c r="HI35" s="17"/>
      <c r="HJ35" s="17"/>
      <c r="HK35" s="17"/>
      <c r="HL35" s="17"/>
      <c r="HM35" s="17"/>
      <c r="HN35" s="17"/>
      <c r="HO35" s="17"/>
      <c r="HP35" s="17"/>
      <c r="HQ35" s="17"/>
      <c r="HR35" s="17"/>
      <c r="HS35" s="17"/>
      <c r="HT35" s="17"/>
      <c r="HU35" s="17"/>
      <c r="HV35" s="17"/>
    </row>
    <row r="36" spans="1:230" s="16" customFormat="1" ht="22.2" customHeight="1" x14ac:dyDescent="0.25">
      <c r="A36" s="17"/>
      <c r="B36" s="17"/>
      <c r="C36" s="48"/>
      <c r="D36" s="47"/>
      <c r="E36" s="17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7"/>
      <c r="FU36" s="17"/>
      <c r="FV36" s="17"/>
      <c r="FW36" s="17"/>
      <c r="FX36" s="17"/>
      <c r="FY36" s="17"/>
      <c r="FZ36" s="17"/>
      <c r="GA36" s="17"/>
      <c r="GB36" s="17"/>
      <c r="GC36" s="17"/>
      <c r="GD36" s="17"/>
      <c r="GE36" s="17"/>
      <c r="GF36" s="17"/>
      <c r="GG36" s="17"/>
      <c r="GH36" s="17"/>
      <c r="GI36" s="17"/>
      <c r="GJ36" s="17"/>
      <c r="GK36" s="17"/>
      <c r="GL36" s="17"/>
      <c r="GM36" s="17"/>
      <c r="GN36" s="17"/>
      <c r="GO36" s="17"/>
      <c r="GP36" s="17"/>
      <c r="GQ36" s="17"/>
      <c r="GR36" s="17"/>
      <c r="GS36" s="17"/>
      <c r="GT36" s="17"/>
      <c r="GU36" s="17"/>
      <c r="GV36" s="17"/>
      <c r="GW36" s="17"/>
      <c r="GX36" s="17"/>
      <c r="GY36" s="17"/>
      <c r="GZ36" s="17"/>
      <c r="HA36" s="17"/>
      <c r="HB36" s="17"/>
      <c r="HC36" s="17"/>
      <c r="HD36" s="17"/>
      <c r="HE36" s="17"/>
      <c r="HF36" s="17"/>
      <c r="HG36" s="17"/>
      <c r="HH36" s="17"/>
      <c r="HI36" s="17"/>
      <c r="HJ36" s="17"/>
      <c r="HK36" s="17"/>
      <c r="HL36" s="17"/>
      <c r="HM36" s="17"/>
      <c r="HN36" s="17"/>
      <c r="HO36" s="17"/>
      <c r="HP36" s="17"/>
      <c r="HQ36" s="17"/>
      <c r="HR36" s="17"/>
      <c r="HS36" s="17"/>
      <c r="HT36" s="17"/>
      <c r="HU36" s="17"/>
      <c r="HV36" s="17"/>
    </row>
    <row r="37" spans="1:230" s="16" customFormat="1" ht="22.2" customHeight="1" x14ac:dyDescent="0.25">
      <c r="A37" s="17"/>
      <c r="B37" s="17"/>
      <c r="C37" s="48"/>
      <c r="D37" s="49"/>
      <c r="E37" s="50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</row>
    <row r="38" spans="1:230" ht="24" customHeight="1" x14ac:dyDescent="0.25">
      <c r="C38" s="51"/>
      <c r="D38" s="15"/>
      <c r="E38" s="15"/>
    </row>
  </sheetData>
  <mergeCells count="14">
    <mergeCell ref="A1:K1"/>
    <mergeCell ref="A2:B2"/>
    <mergeCell ref="A3:B3"/>
    <mergeCell ref="A4:B4"/>
    <mergeCell ref="A5:B5"/>
    <mergeCell ref="A6:B6"/>
    <mergeCell ref="A26:B26"/>
    <mergeCell ref="A27:B27"/>
    <mergeCell ref="K27:M27"/>
    <mergeCell ref="A28:B28"/>
    <mergeCell ref="K28:M28"/>
    <mergeCell ref="A7:A13"/>
    <mergeCell ref="A14:A16"/>
    <mergeCell ref="A17:A25"/>
  </mergeCells>
  <phoneticPr fontId="22" type="noConversion"/>
  <pageMargins left="0.69930555555555596" right="0.69930555555555596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BF233-3B26-4CFB-B234-B8683953E135}">
  <dimension ref="A1:E179"/>
  <sheetViews>
    <sheetView topLeftCell="A208" workbookViewId="0">
      <selection activeCell="B223" sqref="B223"/>
    </sheetView>
  </sheetViews>
  <sheetFormatPr defaultRowHeight="13.8" x14ac:dyDescent="0.25"/>
  <cols>
    <col min="1" max="1" width="8.88671875" style="128"/>
    <col min="2" max="2" width="10.21875" style="128" customWidth="1"/>
    <col min="3" max="3" width="11.77734375" style="128" customWidth="1"/>
    <col min="4" max="4" width="8.88671875" style="128"/>
    <col min="5" max="5" width="13.88671875" style="128" customWidth="1"/>
    <col min="6" max="16384" width="8.88671875" style="128"/>
  </cols>
  <sheetData>
    <row r="1" spans="1:1" x14ac:dyDescent="0.25">
      <c r="A1" s="128" t="s">
        <v>170</v>
      </c>
    </row>
    <row r="73" spans="1:1" x14ac:dyDescent="0.25">
      <c r="A73" s="128" t="s">
        <v>171</v>
      </c>
    </row>
    <row r="105" spans="2:5" x14ac:dyDescent="0.25">
      <c r="C105" s="129" t="s">
        <v>172</v>
      </c>
      <c r="D105" s="129" t="s">
        <v>173</v>
      </c>
      <c r="E105" s="129" t="s">
        <v>174</v>
      </c>
    </row>
    <row r="106" spans="2:5" x14ac:dyDescent="0.25">
      <c r="B106" s="130" t="s">
        <v>175</v>
      </c>
      <c r="C106" s="130" t="s">
        <v>176</v>
      </c>
      <c r="D106" s="131">
        <v>1300</v>
      </c>
      <c r="E106" s="132">
        <f>D106/300</f>
        <v>4.3</v>
      </c>
    </row>
    <row r="107" spans="2:5" x14ac:dyDescent="0.25">
      <c r="B107" s="130" t="s">
        <v>177</v>
      </c>
      <c r="C107" s="130" t="s">
        <v>178</v>
      </c>
      <c r="D107" s="131">
        <v>1100</v>
      </c>
      <c r="E107" s="132">
        <f>D107/300</f>
        <v>3.7</v>
      </c>
    </row>
    <row r="110" spans="2:5" x14ac:dyDescent="0.25">
      <c r="B110" s="129" t="s">
        <v>179</v>
      </c>
      <c r="C110" s="129" t="s">
        <v>180</v>
      </c>
      <c r="D110" s="131">
        <f>300*3.3</f>
        <v>990</v>
      </c>
      <c r="E110" s="131">
        <v>3.3</v>
      </c>
    </row>
    <row r="176" spans="2:2" x14ac:dyDescent="0.25">
      <c r="B176" s="129" t="s">
        <v>181</v>
      </c>
    </row>
    <row r="177" spans="1:5" x14ac:dyDescent="0.25">
      <c r="B177" s="129" t="s">
        <v>182</v>
      </c>
      <c r="E177" s="129" t="s">
        <v>183</v>
      </c>
    </row>
    <row r="178" spans="1:5" x14ac:dyDescent="0.25">
      <c r="A178" s="129" t="s">
        <v>184</v>
      </c>
      <c r="B178" s="133" t="s">
        <v>185</v>
      </c>
      <c r="C178" s="131">
        <v>257</v>
      </c>
      <c r="D178" s="130" t="s">
        <v>186</v>
      </c>
      <c r="E178" s="134">
        <f>650/257</f>
        <v>2.5299999999999998</v>
      </c>
    </row>
    <row r="179" spans="1:5" x14ac:dyDescent="0.25">
      <c r="B179" s="133" t="s">
        <v>187</v>
      </c>
      <c r="C179" s="128">
        <v>172</v>
      </c>
      <c r="D179" s="129" t="s">
        <v>188</v>
      </c>
      <c r="E179" s="134">
        <f>460/172</f>
        <v>2.67</v>
      </c>
    </row>
  </sheetData>
  <phoneticPr fontId="2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88"/>
  <sheetViews>
    <sheetView workbookViewId="0">
      <selection activeCell="H89" sqref="H89"/>
    </sheetView>
  </sheetViews>
  <sheetFormatPr defaultColWidth="9" defaultRowHeight="13.8" x14ac:dyDescent="0.25"/>
  <cols>
    <col min="3" max="3" width="11.88671875" customWidth="1"/>
    <col min="15" max="15" width="10.88671875" customWidth="1"/>
  </cols>
  <sheetData>
    <row r="1" spans="2:2" x14ac:dyDescent="0.25">
      <c r="B1" t="s">
        <v>114</v>
      </c>
    </row>
    <row r="3" spans="2:2" x14ac:dyDescent="0.25">
      <c r="B3" t="s">
        <v>115</v>
      </c>
    </row>
    <row r="28" spans="2:2" x14ac:dyDescent="0.25">
      <c r="B28" t="s">
        <v>116</v>
      </c>
    </row>
    <row r="59" spans="2:2" x14ac:dyDescent="0.25">
      <c r="B59" t="s">
        <v>117</v>
      </c>
    </row>
    <row r="85" spans="3:4" x14ac:dyDescent="0.25">
      <c r="C85" s="110" t="s">
        <v>149</v>
      </c>
      <c r="D85">
        <f>530*0.01</f>
        <v>5.3</v>
      </c>
    </row>
    <row r="86" spans="3:4" x14ac:dyDescent="0.25">
      <c r="C86" s="110" t="s">
        <v>150</v>
      </c>
      <c r="D86">
        <f>530*5.5%*(7%+3%)</f>
        <v>2.915</v>
      </c>
    </row>
    <row r="87" spans="3:4" x14ac:dyDescent="0.25">
      <c r="C87" s="110" t="s">
        <v>151</v>
      </c>
      <c r="D87">
        <f>530-D85-D86</f>
        <v>521.78499999999997</v>
      </c>
    </row>
    <row r="88" spans="3:4" x14ac:dyDescent="0.25">
      <c r="C88" s="110" t="s">
        <v>191</v>
      </c>
      <c r="D88" s="118">
        <f>D87/167*10000</f>
        <v>31245</v>
      </c>
    </row>
  </sheetData>
  <phoneticPr fontId="22" type="noConversion"/>
  <pageMargins left="0.69930555555555596" right="0.69930555555555596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9"/>
  <sheetViews>
    <sheetView workbookViewId="0">
      <selection activeCell="C6" sqref="C6"/>
    </sheetView>
  </sheetViews>
  <sheetFormatPr defaultColWidth="9" defaultRowHeight="13.8" x14ac:dyDescent="0.25"/>
  <cols>
    <col min="3" max="3" width="19.109375" customWidth="1"/>
    <col min="4" max="5" width="13.44140625" customWidth="1"/>
    <col min="6" max="6" width="13.109375" customWidth="1"/>
  </cols>
  <sheetData>
    <row r="2" spans="2:7" ht="24" x14ac:dyDescent="0.25">
      <c r="B2" s="6" t="s">
        <v>2</v>
      </c>
      <c r="C2" s="6" t="s">
        <v>118</v>
      </c>
      <c r="D2" s="7" t="s">
        <v>119</v>
      </c>
      <c r="E2" s="7" t="s">
        <v>120</v>
      </c>
      <c r="F2" s="7" t="s">
        <v>121</v>
      </c>
      <c r="G2" s="7" t="s">
        <v>122</v>
      </c>
    </row>
    <row r="3" spans="2:7" ht="24.6" customHeight="1" x14ac:dyDescent="0.25">
      <c r="B3" s="8">
        <v>1</v>
      </c>
      <c r="C3" s="8" t="s">
        <v>123</v>
      </c>
      <c r="D3" s="9">
        <v>5</v>
      </c>
      <c r="E3" s="9">
        <f>[3]规划指标!G1</f>
        <v>0</v>
      </c>
      <c r="F3" s="9">
        <f t="shared" ref="F3:F8" si="0">ROUND(D3*E3,0)</f>
        <v>0</v>
      </c>
      <c r="G3" s="10"/>
    </row>
    <row r="4" spans="2:7" ht="22.2" customHeight="1" x14ac:dyDescent="0.25">
      <c r="B4" s="8">
        <v>2</v>
      </c>
      <c r="C4" s="8" t="s">
        <v>124</v>
      </c>
      <c r="D4" s="9">
        <v>5</v>
      </c>
      <c r="E4" s="9">
        <f>[3]规划指标!G2+[3]规划指标!G14</f>
        <v>0</v>
      </c>
      <c r="F4" s="9">
        <f t="shared" si="0"/>
        <v>0</v>
      </c>
      <c r="G4" s="10"/>
    </row>
    <row r="5" spans="2:7" ht="26.4" customHeight="1" x14ac:dyDescent="0.25">
      <c r="B5" s="8">
        <v>3</v>
      </c>
      <c r="C5" s="8" t="s">
        <v>148</v>
      </c>
      <c r="D5" s="9">
        <v>48</v>
      </c>
      <c r="E5" s="9">
        <f>[3]规划指标!G3</f>
        <v>0</v>
      </c>
      <c r="F5" s="9">
        <f t="shared" si="0"/>
        <v>0</v>
      </c>
      <c r="G5" s="10"/>
    </row>
    <row r="6" spans="2:7" ht="24" customHeight="1" x14ac:dyDescent="0.25">
      <c r="B6" s="8">
        <v>4</v>
      </c>
      <c r="C6" s="8" t="s">
        <v>125</v>
      </c>
      <c r="D6" s="9">
        <v>20</v>
      </c>
      <c r="E6" s="9">
        <f>E5</f>
        <v>0</v>
      </c>
      <c r="F6" s="9">
        <f t="shared" si="0"/>
        <v>0</v>
      </c>
      <c r="G6" s="11"/>
    </row>
    <row r="7" spans="2:7" ht="26.4" customHeight="1" x14ac:dyDescent="0.25">
      <c r="B7" s="8">
        <v>5</v>
      </c>
      <c r="C7" s="8" t="s">
        <v>126</v>
      </c>
      <c r="D7" s="9">
        <v>1.5</v>
      </c>
      <c r="E7" s="9">
        <f>E5</f>
        <v>0</v>
      </c>
      <c r="F7" s="9">
        <f t="shared" si="0"/>
        <v>0</v>
      </c>
      <c r="G7" s="11"/>
    </row>
    <row r="8" spans="2:7" ht="24" customHeight="1" x14ac:dyDescent="0.25">
      <c r="B8" s="8">
        <v>6</v>
      </c>
      <c r="C8" s="8" t="s">
        <v>127</v>
      </c>
      <c r="D8" s="9">
        <v>2</v>
      </c>
      <c r="E8" s="9">
        <f>E5</f>
        <v>0</v>
      </c>
      <c r="F8" s="9">
        <f t="shared" si="0"/>
        <v>0</v>
      </c>
      <c r="G8" s="11"/>
    </row>
    <row r="9" spans="2:7" ht="25.2" customHeight="1" x14ac:dyDescent="0.25">
      <c r="B9" s="6"/>
      <c r="C9" s="6" t="s">
        <v>128</v>
      </c>
      <c r="D9" s="7">
        <f>SUM(D3:D8)</f>
        <v>81.5</v>
      </c>
      <c r="E9" s="7"/>
      <c r="F9" s="7">
        <f>ROUND(SUM(F3:F8)/1.06,0)</f>
        <v>0</v>
      </c>
      <c r="G9" s="7"/>
    </row>
  </sheetData>
  <phoneticPr fontId="22" type="noConversion"/>
  <pageMargins left="0.69930555555555596" right="0.69930555555555596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4"/>
  <sheetViews>
    <sheetView workbookViewId="0">
      <selection activeCell="D12" sqref="D12:D13"/>
    </sheetView>
  </sheetViews>
  <sheetFormatPr defaultColWidth="9" defaultRowHeight="13.8" x14ac:dyDescent="0.25"/>
  <cols>
    <col min="1" max="1" width="14.77734375" customWidth="1"/>
    <col min="2" max="2" width="33.109375" customWidth="1"/>
    <col min="3" max="3" width="28.44140625" customWidth="1"/>
    <col min="4" max="4" width="18.88671875" customWidth="1"/>
  </cols>
  <sheetData>
    <row r="1" spans="2:4" ht="34.950000000000003" customHeight="1" x14ac:dyDescent="0.25"/>
    <row r="2" spans="2:4" ht="16.8" x14ac:dyDescent="0.25">
      <c r="B2" s="168" t="s">
        <v>129</v>
      </c>
      <c r="C2" s="169"/>
      <c r="D2" s="2" t="s">
        <v>130</v>
      </c>
    </row>
    <row r="3" spans="2:4" ht="22.2" customHeight="1" x14ac:dyDescent="0.25">
      <c r="B3" s="3" t="s">
        <v>131</v>
      </c>
      <c r="C3" s="3">
        <v>286638.71999999997</v>
      </c>
      <c r="D3" s="3"/>
    </row>
    <row r="4" spans="2:4" ht="22.2" customHeight="1" x14ac:dyDescent="0.25">
      <c r="B4" s="3" t="s">
        <v>7</v>
      </c>
      <c r="C4" s="4">
        <f>C5/C3</f>
        <v>0.71</v>
      </c>
      <c r="D4" s="3"/>
    </row>
    <row r="5" spans="2:4" ht="48" customHeight="1" x14ac:dyDescent="0.25">
      <c r="B5" s="2" t="s">
        <v>132</v>
      </c>
      <c r="C5" s="3">
        <f>C6+C7+C8+C9+C10+C12+C13</f>
        <v>202180.31</v>
      </c>
      <c r="D5" s="3"/>
    </row>
    <row r="6" spans="2:4" ht="22.2" customHeight="1" x14ac:dyDescent="0.25">
      <c r="B6" s="3" t="s">
        <v>133</v>
      </c>
      <c r="C6" s="3">
        <v>58984.57</v>
      </c>
      <c r="D6" s="5">
        <f>C6/$C$5</f>
        <v>0.29170000000000001</v>
      </c>
    </row>
    <row r="7" spans="2:4" ht="22.2" customHeight="1" x14ac:dyDescent="0.25">
      <c r="B7" s="3" t="s">
        <v>134</v>
      </c>
      <c r="C7" s="3">
        <v>83802.850000000006</v>
      </c>
      <c r="D7" s="5">
        <f t="shared" ref="D7:D13" si="0">C7/$C$5</f>
        <v>0.41449999999999998</v>
      </c>
    </row>
    <row r="8" spans="2:4" ht="22.2" customHeight="1" x14ac:dyDescent="0.25">
      <c r="B8" s="3" t="s">
        <v>135</v>
      </c>
      <c r="C8" s="3">
        <v>2464.8000000000002</v>
      </c>
      <c r="D8" s="5">
        <f t="shared" si="0"/>
        <v>1.2200000000000001E-2</v>
      </c>
    </row>
    <row r="9" spans="2:4" ht="22.2" customHeight="1" x14ac:dyDescent="0.25">
      <c r="B9" s="3" t="s">
        <v>136</v>
      </c>
      <c r="C9" s="3">
        <v>1432.5</v>
      </c>
      <c r="D9" s="5">
        <f t="shared" si="0"/>
        <v>7.1000000000000004E-3</v>
      </c>
    </row>
    <row r="10" spans="2:4" ht="22.2" customHeight="1" x14ac:dyDescent="0.25">
      <c r="B10" s="3" t="s">
        <v>137</v>
      </c>
      <c r="C10" s="3">
        <v>41424.28</v>
      </c>
      <c r="D10" s="5">
        <f t="shared" si="0"/>
        <v>0.2049</v>
      </c>
    </row>
    <row r="11" spans="2:4" ht="22.2" customHeight="1" x14ac:dyDescent="0.25">
      <c r="B11" s="3" t="s">
        <v>15</v>
      </c>
      <c r="C11" s="3">
        <v>12139.41</v>
      </c>
      <c r="D11" s="5"/>
    </row>
    <row r="12" spans="2:4" ht="22.2" customHeight="1" x14ac:dyDescent="0.25">
      <c r="B12" s="3" t="s">
        <v>138</v>
      </c>
      <c r="C12" s="3">
        <v>13167.64</v>
      </c>
      <c r="D12" s="5">
        <f t="shared" si="0"/>
        <v>6.5100000000000005E-2</v>
      </c>
    </row>
    <row r="13" spans="2:4" ht="22.2" customHeight="1" x14ac:dyDescent="0.25">
      <c r="B13" s="3" t="s">
        <v>14</v>
      </c>
      <c r="C13" s="3">
        <v>903.67</v>
      </c>
      <c r="D13" s="5">
        <f t="shared" si="0"/>
        <v>4.4999999999999997E-3</v>
      </c>
    </row>
    <row r="14" spans="2:4" ht="22.2" customHeight="1" x14ac:dyDescent="0.25"/>
  </sheetData>
  <mergeCells count="1">
    <mergeCell ref="B2:C2"/>
  </mergeCells>
  <phoneticPr fontId="22" type="noConversion"/>
  <pageMargins left="0.69930555555555596" right="0.69930555555555596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93:C94"/>
  <sheetViews>
    <sheetView workbookViewId="0">
      <selection activeCell="J93" sqref="J93"/>
    </sheetView>
  </sheetViews>
  <sheetFormatPr defaultColWidth="9" defaultRowHeight="13.8" x14ac:dyDescent="0.25"/>
  <sheetData>
    <row r="93" spans="3:3" x14ac:dyDescent="0.25">
      <c r="C93" s="110" t="s">
        <v>142</v>
      </c>
    </row>
    <row r="94" spans="3:3" x14ac:dyDescent="0.25">
      <c r="C94" s="141" t="s">
        <v>197</v>
      </c>
    </row>
  </sheetData>
  <phoneticPr fontId="22" type="noConversion"/>
  <hyperlinks>
    <hyperlink ref="C94" r:id="rId1" xr:uid="{60744FD2-E1B0-4BAD-9333-87EBB86D353D}"/>
  </hyperlinks>
  <pageMargins left="0.69930555555555596" right="0.69930555555555596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7"/>
  <sheetViews>
    <sheetView workbookViewId="0">
      <selection activeCell="A2" sqref="A2:G7"/>
    </sheetView>
  </sheetViews>
  <sheetFormatPr defaultColWidth="9" defaultRowHeight="13.8" x14ac:dyDescent="0.25"/>
  <cols>
    <col min="2" max="2" width="47.44140625" customWidth="1"/>
  </cols>
  <sheetData>
    <row r="2" spans="1:2" ht="24" customHeight="1" x14ac:dyDescent="0.25">
      <c r="A2" s="1">
        <v>1</v>
      </c>
      <c r="B2" t="s">
        <v>139</v>
      </c>
    </row>
    <row r="3" spans="1:2" ht="27.6" customHeight="1" x14ac:dyDescent="0.25">
      <c r="A3" s="1"/>
      <c r="B3" s="110" t="s">
        <v>155</v>
      </c>
    </row>
    <row r="4" spans="1:2" ht="25.2" customHeight="1" x14ac:dyDescent="0.25">
      <c r="A4" s="1">
        <v>2</v>
      </c>
      <c r="B4" t="s">
        <v>140</v>
      </c>
    </row>
    <row r="5" spans="1:2" ht="25.2" customHeight="1" x14ac:dyDescent="0.25">
      <c r="A5" s="1"/>
      <c r="B5" s="110" t="s">
        <v>156</v>
      </c>
    </row>
    <row r="6" spans="1:2" ht="19.95" customHeight="1" x14ac:dyDescent="0.25">
      <c r="A6">
        <v>3</v>
      </c>
      <c r="B6" t="s">
        <v>141</v>
      </c>
    </row>
    <row r="7" spans="1:2" ht="22.8" customHeight="1" x14ac:dyDescent="0.25">
      <c r="B7" s="110" t="s">
        <v>157</v>
      </c>
    </row>
  </sheetData>
  <phoneticPr fontId="22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假设开发法</vt:lpstr>
      <vt:lpstr>宗地位置图</vt:lpstr>
      <vt:lpstr>销售单价计算</vt:lpstr>
      <vt:lpstr>新案例</vt:lpstr>
      <vt:lpstr>案例</vt:lpstr>
      <vt:lpstr>前期工程费</vt:lpstr>
      <vt:lpstr>Sheet3</vt:lpstr>
      <vt:lpstr>规费文件</vt:lpstr>
      <vt:lpstr>李杰审核意见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2018-07-24T06:47:00Z</dcterms:created>
  <dcterms:modified xsi:type="dcterms:W3CDTF">2019-05-23T00:08:39Z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2052-10.1.0.7468</vt:lpwstr>
  </property>
</Properties>
</file>