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9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0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11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2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drawings/drawing13.xml" ContentType="application/vnd.openxmlformats-officedocument.drawing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drawings/drawing14.xml" ContentType="application/vnd.openxmlformats-officedocument.drawing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drawings/drawing15.xml" ContentType="application/vnd.openxmlformats-officedocument.drawing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drawings/drawing16.xml" ContentType="application/vnd.openxmlformats-officedocument.drawing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17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480" yWindow="60" windowWidth="9360" windowHeight="5805" tabRatio="604" firstSheet="4" activeTab="4"/>
  </bookViews>
  <sheets>
    <sheet name="Low load SFOC" sheetId="47" r:id="rId1"/>
    <sheet name="Normal SFOC" sheetId="46" r:id="rId2"/>
    <sheet name="Up date log" sheetId="44" r:id="rId3"/>
    <sheet name="Truck data" sheetId="45" r:id="rId4"/>
    <sheet name="SHIP DATA" sheetId="4" r:id="rId5"/>
    <sheet name="Emission factors" sheetId="12" r:id="rId6"/>
    <sheet name="Emissions in harbor" sheetId="49" r:id="rId7"/>
    <sheet name="Emissions-TEU" sheetId="27" r:id="rId8"/>
    <sheet name="Emissions-ton" sheetId="26" r:id="rId9"/>
    <sheet name="WEIGHT" sheetId="43" r:id="rId10"/>
    <sheet name="PS1" sheetId="6" r:id="rId11"/>
    <sheet name="PT1-1" sheetId="7" r:id="rId12"/>
    <sheet name="PT1-2" sheetId="35" r:id="rId13"/>
    <sheet name="PAS1" sheetId="14" r:id="rId14"/>
    <sheet name="PS2" sheetId="8" r:id="rId15"/>
    <sheet name="PT2-1" sheetId="9" r:id="rId16"/>
    <sheet name="PT2-2" sheetId="36" r:id="rId17"/>
    <sheet name="PAS2" sheetId="13" r:id="rId18"/>
    <sheet name="PS3" sheetId="10" r:id="rId19"/>
    <sheet name="PT3-1" sheetId="11" r:id="rId20"/>
    <sheet name="PT3-2" sheetId="37" r:id="rId21"/>
    <sheet name="PAS3" sheetId="25" r:id="rId22"/>
  </sheets>
  <externalReferences>
    <externalReference r:id="rId23"/>
  </externalReferences>
  <definedNames>
    <definedName name="_xlnm.Database" localSheetId="13">'PAS1'!#REF!</definedName>
    <definedName name="_xlnm.Database" localSheetId="17">'PAS2'!#REF!</definedName>
    <definedName name="_xlnm.Database" localSheetId="21">'PAS3'!#REF!</definedName>
    <definedName name="_xlnm.Database" localSheetId="10">'PS1'!#REF!</definedName>
    <definedName name="_xlnm.Database" localSheetId="14">'PS2'!#REF!</definedName>
    <definedName name="_xlnm.Database" localSheetId="18">'PS3'!#REF!</definedName>
    <definedName name="_xlnm.Database" localSheetId="11">'PT1-1'!#REF!</definedName>
    <definedName name="_xlnm.Database" localSheetId="12">'PT1-2'!#REF!</definedName>
    <definedName name="_xlnm.Database" localSheetId="15">'PT2-1'!#REF!</definedName>
    <definedName name="_xlnm.Database" localSheetId="16">'PT2-2'!#REF!</definedName>
    <definedName name="_xlnm.Database" localSheetId="19">'PT3-1'!#REF!</definedName>
    <definedName name="_xlnm.Database" localSheetId="20">'PT3-2'!#REF!</definedName>
    <definedName name="_xlnm.Database" localSheetId="9">#REF!</definedName>
    <definedName name="_xlnm.Database">#REF!</definedName>
    <definedName name="OLE_LINK4" localSheetId="4">'SHIP DATA'!$G$1</definedName>
    <definedName name="_xlnm.Print_Area" localSheetId="9">WEIGHT!$1:$1048576</definedName>
  </definedNames>
  <calcPr calcId="114210" fullCalcOnLoad="1"/>
</workbook>
</file>

<file path=xl/calcChain.xml><?xml version="1.0" encoding="utf-8"?>
<calcChain xmlns="http://schemas.openxmlformats.org/spreadsheetml/2006/main">
  <c r="Q4" i="43" l="1"/>
  <c r="Q5" i="43"/>
  <c r="Q7" i="43"/>
  <c r="Q6" i="43"/>
  <c r="P15" i="43"/>
  <c r="R15" i="43"/>
  <c r="U15" i="43"/>
  <c r="U16" i="43"/>
  <c r="Q23" i="43"/>
  <c r="Q8" i="43"/>
  <c r="U4" i="43"/>
  <c r="U6" i="43"/>
  <c r="Q24" i="43"/>
  <c r="Q37" i="43"/>
  <c r="R56" i="43"/>
  <c r="Q35" i="43"/>
  <c r="P56" i="43"/>
  <c r="Q36" i="43"/>
  <c r="Q56" i="43"/>
  <c r="S56" i="43"/>
  <c r="T56" i="43"/>
  <c r="T57" i="43"/>
  <c r="Q43" i="43"/>
  <c r="Q46" i="43"/>
  <c r="C4" i="43"/>
  <c r="C5" i="43"/>
  <c r="C7" i="43"/>
  <c r="C6" i="43"/>
  <c r="B15" i="43"/>
  <c r="D15" i="43"/>
  <c r="G15" i="43"/>
  <c r="G16" i="43"/>
  <c r="C23" i="43"/>
  <c r="C8" i="43"/>
  <c r="G4" i="43"/>
  <c r="G6" i="43"/>
  <c r="C24" i="43"/>
  <c r="C48" i="43"/>
  <c r="C37" i="43"/>
  <c r="D56" i="43"/>
  <c r="C35" i="43"/>
  <c r="B56" i="43"/>
  <c r="C36" i="43"/>
  <c r="C56" i="43"/>
  <c r="E56" i="43"/>
  <c r="F56" i="43"/>
  <c r="F57" i="43"/>
  <c r="C43" i="43"/>
  <c r="C46" i="43"/>
  <c r="C47" i="43"/>
  <c r="R35" i="43"/>
  <c r="Q58" i="43"/>
  <c r="R36" i="43"/>
  <c r="Q59" i="43"/>
  <c r="R37" i="43"/>
  <c r="Q60" i="43"/>
  <c r="Q61" i="43"/>
  <c r="Q62" i="43"/>
  <c r="Q39" i="43"/>
  <c r="Q38" i="43"/>
  <c r="Q40" i="43"/>
  <c r="Q41" i="43"/>
  <c r="C39" i="43"/>
  <c r="C38" i="43"/>
  <c r="C40" i="43"/>
  <c r="C41" i="43"/>
  <c r="R41" i="43"/>
  <c r="Q63" i="43"/>
  <c r="Q64" i="43"/>
  <c r="Q47" i="43"/>
  <c r="Q48" i="43"/>
  <c r="Q66" i="43"/>
  <c r="Q30" i="43"/>
  <c r="Q26" i="43"/>
  <c r="C26" i="43"/>
  <c r="Q32" i="43"/>
  <c r="E21" i="4"/>
  <c r="E24" i="4"/>
  <c r="E26" i="4"/>
  <c r="E34" i="4"/>
  <c r="E33" i="4"/>
  <c r="C8" i="10"/>
  <c r="C9" i="10"/>
  <c r="P10" i="10"/>
  <c r="K21" i="10"/>
  <c r="C4" i="10"/>
  <c r="K23" i="10"/>
  <c r="E32" i="4"/>
  <c r="E14" i="4"/>
  <c r="E23" i="4"/>
  <c r="C7" i="10"/>
  <c r="C13" i="10"/>
  <c r="K50" i="10"/>
  <c r="C5" i="10"/>
  <c r="C6" i="10"/>
  <c r="C11" i="10"/>
  <c r="C10" i="10"/>
  <c r="C12" i="10"/>
  <c r="K51" i="10"/>
  <c r="K22" i="10"/>
  <c r="K52" i="10"/>
  <c r="K53" i="10"/>
  <c r="K54" i="10"/>
  <c r="K55" i="10"/>
  <c r="K56" i="10"/>
  <c r="K57" i="10"/>
  <c r="K47" i="10"/>
  <c r="K48" i="10"/>
  <c r="K49" i="10"/>
  <c r="K58" i="10"/>
  <c r="K59" i="10"/>
  <c r="K60" i="10"/>
  <c r="K61" i="10"/>
  <c r="K62" i="10"/>
  <c r="K46" i="10"/>
  <c r="K24" i="10"/>
  <c r="C16" i="10"/>
  <c r="K25" i="10"/>
  <c r="C17" i="10"/>
  <c r="K26" i="10"/>
  <c r="C27" i="10"/>
  <c r="D27" i="10"/>
  <c r="E27" i="10"/>
  <c r="F27" i="10"/>
  <c r="G27" i="10"/>
  <c r="H27" i="10"/>
  <c r="I27" i="10"/>
  <c r="J27" i="10"/>
  <c r="K27" i="10"/>
  <c r="K28" i="10"/>
  <c r="K29" i="10"/>
  <c r="K12" i="10"/>
  <c r="O13" i="10"/>
  <c r="O14" i="10"/>
  <c r="O17" i="10"/>
  <c r="O16" i="10"/>
  <c r="O18" i="10"/>
  <c r="K30" i="10"/>
  <c r="K33" i="10"/>
  <c r="K34" i="10"/>
  <c r="K18" i="10"/>
  <c r="K17" i="10"/>
  <c r="K4" i="10"/>
  <c r="G71" i="10"/>
  <c r="K3" i="10"/>
  <c r="K40" i="10"/>
  <c r="C18" i="10"/>
  <c r="J7" i="10"/>
  <c r="K37" i="10"/>
  <c r="K39" i="10"/>
  <c r="E45" i="4"/>
  <c r="J6" i="10"/>
  <c r="K5" i="10"/>
  <c r="K35" i="10"/>
  <c r="K36" i="10"/>
  <c r="E47" i="4"/>
  <c r="E48" i="4"/>
  <c r="E52" i="4"/>
  <c r="D52" i="4"/>
  <c r="D16" i="4"/>
  <c r="D11" i="4"/>
  <c r="D10" i="4"/>
  <c r="D9" i="4"/>
  <c r="E9" i="4"/>
  <c r="E8" i="4"/>
  <c r="D8" i="4"/>
  <c r="D2" i="4"/>
  <c r="D3" i="4"/>
  <c r="D5" i="4"/>
  <c r="J4" i="43"/>
  <c r="J5" i="43"/>
  <c r="J7" i="43"/>
  <c r="J6" i="43"/>
  <c r="I15" i="43"/>
  <c r="K15" i="43"/>
  <c r="N15" i="43"/>
  <c r="N16" i="43"/>
  <c r="J23" i="43"/>
  <c r="D15" i="4"/>
  <c r="D17" i="4"/>
  <c r="J8" i="43"/>
  <c r="N4" i="43"/>
  <c r="N6" i="43"/>
  <c r="J24" i="43"/>
  <c r="J37" i="43"/>
  <c r="K56" i="43"/>
  <c r="J35" i="43"/>
  <c r="I56" i="43"/>
  <c r="J36" i="43"/>
  <c r="J56" i="43"/>
  <c r="L56" i="43"/>
  <c r="M56" i="43"/>
  <c r="M57" i="43"/>
  <c r="J43" i="43"/>
  <c r="J46" i="43"/>
  <c r="C3" i="4"/>
  <c r="C5" i="4"/>
  <c r="C8" i="4"/>
  <c r="C11" i="4"/>
  <c r="C9" i="4"/>
  <c r="C16" i="4"/>
  <c r="C15" i="4"/>
  <c r="C17" i="4"/>
  <c r="K35" i="43"/>
  <c r="J58" i="43"/>
  <c r="K36" i="43"/>
  <c r="J59" i="43"/>
  <c r="K37" i="43"/>
  <c r="J60" i="43"/>
  <c r="J61" i="43"/>
  <c r="J62" i="43"/>
  <c r="J39" i="43"/>
  <c r="J38" i="43"/>
  <c r="J40" i="43"/>
  <c r="J41" i="43"/>
  <c r="K41" i="43"/>
  <c r="J63" i="43"/>
  <c r="J64" i="43"/>
  <c r="J47" i="43"/>
  <c r="J48" i="43"/>
  <c r="J66" i="43"/>
  <c r="J30" i="43"/>
  <c r="J26" i="43"/>
  <c r="J32" i="43"/>
  <c r="D21" i="4"/>
  <c r="D24" i="4"/>
  <c r="D6" i="4"/>
  <c r="D34" i="4"/>
  <c r="D33" i="4"/>
  <c r="C8" i="8"/>
  <c r="C9" i="8"/>
  <c r="P10" i="8"/>
  <c r="K21" i="8"/>
  <c r="C4" i="8"/>
  <c r="K23" i="8"/>
  <c r="D26" i="4"/>
  <c r="D32" i="4"/>
  <c r="D14" i="4"/>
  <c r="D23" i="4"/>
  <c r="C7" i="8"/>
  <c r="C13" i="8"/>
  <c r="K50" i="8"/>
  <c r="C5" i="8"/>
  <c r="C6" i="8"/>
  <c r="C11" i="8"/>
  <c r="C10" i="8"/>
  <c r="C12" i="8"/>
  <c r="K51" i="8"/>
  <c r="K22" i="8"/>
  <c r="K52" i="8"/>
  <c r="K53" i="8"/>
  <c r="K54" i="8"/>
  <c r="K55" i="8"/>
  <c r="K56" i="8"/>
  <c r="K57" i="8"/>
  <c r="K47" i="8"/>
  <c r="K48" i="8"/>
  <c r="K49" i="8"/>
  <c r="K58" i="8"/>
  <c r="K59" i="8"/>
  <c r="K60" i="8"/>
  <c r="K61" i="8"/>
  <c r="K62" i="8"/>
  <c r="K46" i="8"/>
  <c r="K24" i="8"/>
  <c r="C16" i="8"/>
  <c r="K25" i="8"/>
  <c r="C17" i="8"/>
  <c r="K26" i="8"/>
  <c r="C27" i="8"/>
  <c r="D27" i="8"/>
  <c r="E27" i="8"/>
  <c r="F27" i="8"/>
  <c r="G27" i="8"/>
  <c r="H27" i="8"/>
  <c r="I27" i="8"/>
  <c r="J27" i="8"/>
  <c r="K27" i="8"/>
  <c r="K28" i="8"/>
  <c r="K29" i="8"/>
  <c r="K12" i="8"/>
  <c r="O13" i="8"/>
  <c r="O14" i="8"/>
  <c r="O17" i="8"/>
  <c r="O16" i="8"/>
  <c r="O18" i="8"/>
  <c r="K30" i="8"/>
  <c r="K33" i="8"/>
  <c r="K34" i="8"/>
  <c r="K18" i="8"/>
  <c r="K17" i="8"/>
  <c r="E64" i="8"/>
  <c r="E65" i="8"/>
  <c r="E66" i="8"/>
  <c r="E67" i="8"/>
  <c r="C18" i="8"/>
  <c r="E69" i="8"/>
  <c r="E71" i="8"/>
  <c r="K4" i="8"/>
  <c r="C64" i="8"/>
  <c r="C65" i="8"/>
  <c r="C66" i="8"/>
  <c r="C67" i="8"/>
  <c r="C68" i="8"/>
  <c r="C69" i="8"/>
  <c r="C70" i="8"/>
  <c r="C71" i="8"/>
  <c r="K3" i="8"/>
  <c r="K40" i="8"/>
  <c r="J7" i="8"/>
  <c r="K37" i="8"/>
  <c r="K39" i="8"/>
  <c r="D45" i="4"/>
  <c r="J6" i="8"/>
  <c r="K5" i="8"/>
  <c r="K35" i="8"/>
  <c r="K36" i="8"/>
  <c r="D47" i="4"/>
  <c r="D48" i="4"/>
  <c r="F4" i="12"/>
  <c r="G4" i="12"/>
  <c r="G34" i="12"/>
  <c r="G33" i="12"/>
  <c r="F11" i="12"/>
  <c r="F37" i="12"/>
  <c r="G37" i="12"/>
  <c r="F7" i="12"/>
  <c r="F8" i="12"/>
  <c r="F6" i="12"/>
  <c r="F38" i="12"/>
  <c r="G38" i="12"/>
  <c r="G39" i="12"/>
  <c r="G13" i="12"/>
  <c r="E85" i="4"/>
  <c r="E2" i="4"/>
  <c r="E3" i="4"/>
  <c r="E5" i="4"/>
  <c r="E49" i="4"/>
  <c r="E86" i="4"/>
  <c r="D49" i="4"/>
  <c r="C49" i="4"/>
  <c r="E10" i="49"/>
  <c r="D10" i="49"/>
  <c r="C10" i="49"/>
  <c r="B4" i="12"/>
  <c r="C4" i="12"/>
  <c r="C34" i="12"/>
  <c r="C33" i="12"/>
  <c r="B11" i="12"/>
  <c r="B37" i="12"/>
  <c r="C37" i="12"/>
  <c r="B7" i="12"/>
  <c r="B8" i="12"/>
  <c r="B6" i="12"/>
  <c r="B38" i="12"/>
  <c r="C38" i="12"/>
  <c r="C39" i="12"/>
  <c r="C13" i="12"/>
  <c r="C86" i="4"/>
  <c r="D4" i="12"/>
  <c r="D2" i="12"/>
  <c r="D21" i="12"/>
  <c r="C13" i="49"/>
  <c r="E4" i="12"/>
  <c r="E34" i="12"/>
  <c r="E33" i="12"/>
  <c r="D11" i="12"/>
  <c r="D37" i="12"/>
  <c r="E37" i="12"/>
  <c r="D7" i="12"/>
  <c r="D8" i="12"/>
  <c r="D6" i="12"/>
  <c r="D38" i="12"/>
  <c r="E38" i="12"/>
  <c r="E39" i="12"/>
  <c r="E13" i="12"/>
  <c r="D86" i="4"/>
  <c r="D12" i="49"/>
  <c r="F10" i="12"/>
  <c r="G19" i="12"/>
  <c r="G11" i="12"/>
  <c r="G41" i="12"/>
  <c r="G18" i="12"/>
  <c r="G25" i="12"/>
  <c r="E18" i="49"/>
  <c r="G24" i="12"/>
  <c r="E17" i="49"/>
  <c r="G16" i="12"/>
  <c r="G23" i="12"/>
  <c r="E16" i="49"/>
  <c r="G42" i="12"/>
  <c r="G20" i="12"/>
  <c r="G26" i="12"/>
  <c r="E15" i="49"/>
  <c r="G7" i="12"/>
  <c r="G40" i="12"/>
  <c r="G15" i="12"/>
  <c r="G22" i="12"/>
  <c r="E14" i="49"/>
  <c r="G21" i="12"/>
  <c r="E13" i="49"/>
  <c r="E12" i="49"/>
  <c r="D10" i="12"/>
  <c r="E19" i="12"/>
  <c r="E11" i="12"/>
  <c r="E41" i="12"/>
  <c r="E18" i="12"/>
  <c r="E25" i="12"/>
  <c r="D18" i="49"/>
  <c r="E24" i="12"/>
  <c r="D17" i="49"/>
  <c r="E16" i="12"/>
  <c r="E23" i="12"/>
  <c r="D16" i="49"/>
  <c r="E42" i="12"/>
  <c r="E20" i="12"/>
  <c r="E26" i="12"/>
  <c r="D15" i="49"/>
  <c r="E7" i="12"/>
  <c r="E40" i="12"/>
  <c r="E15" i="12"/>
  <c r="E22" i="12"/>
  <c r="D14" i="49"/>
  <c r="E21" i="12"/>
  <c r="D13" i="49"/>
  <c r="B10" i="12"/>
  <c r="C19" i="12"/>
  <c r="C11" i="12"/>
  <c r="C41" i="12"/>
  <c r="C18" i="12"/>
  <c r="C25" i="12"/>
  <c r="C18" i="49"/>
  <c r="C24" i="12"/>
  <c r="C17" i="49"/>
  <c r="C16" i="12"/>
  <c r="C23" i="12"/>
  <c r="C16" i="49"/>
  <c r="C42" i="12"/>
  <c r="C20" i="12"/>
  <c r="C26" i="12"/>
  <c r="C15" i="49"/>
  <c r="C7" i="12"/>
  <c r="C40" i="12"/>
  <c r="C15" i="12"/>
  <c r="C22" i="12"/>
  <c r="C14" i="49"/>
  <c r="C12" i="49"/>
  <c r="E3" i="49"/>
  <c r="D3" i="49"/>
  <c r="C3" i="49"/>
  <c r="E11" i="49"/>
  <c r="D11" i="49"/>
  <c r="C11" i="49"/>
  <c r="C21" i="4"/>
  <c r="C24" i="4"/>
  <c r="C26" i="4"/>
  <c r="C32" i="4"/>
  <c r="C10" i="4"/>
  <c r="C14" i="4"/>
  <c r="C13" i="4"/>
  <c r="C71" i="4"/>
  <c r="C72" i="4"/>
  <c r="C4" i="49"/>
  <c r="D13" i="4"/>
  <c r="D72" i="4"/>
  <c r="D4" i="49"/>
  <c r="E11" i="4"/>
  <c r="E16" i="4"/>
  <c r="E15" i="4"/>
  <c r="E17" i="4"/>
  <c r="E10" i="4"/>
  <c r="E13" i="4"/>
  <c r="E72" i="4"/>
  <c r="E4" i="49"/>
  <c r="C5" i="49"/>
  <c r="D5" i="49"/>
  <c r="E5" i="49"/>
  <c r="C73" i="4"/>
  <c r="C6" i="49"/>
  <c r="D73" i="4"/>
  <c r="D6" i="49"/>
  <c r="E73" i="4"/>
  <c r="E6" i="49"/>
  <c r="C7" i="49"/>
  <c r="D7" i="49"/>
  <c r="E7" i="49"/>
  <c r="C23" i="4"/>
  <c r="C75" i="4"/>
  <c r="C76" i="4"/>
  <c r="C77" i="4"/>
  <c r="C8" i="49"/>
  <c r="D75" i="4"/>
  <c r="D76" i="4"/>
  <c r="D77" i="4"/>
  <c r="D8" i="49"/>
  <c r="E75" i="4"/>
  <c r="E76" i="4"/>
  <c r="E77" i="4"/>
  <c r="E8" i="49"/>
  <c r="C35" i="4"/>
  <c r="C79" i="4"/>
  <c r="C6" i="4"/>
  <c r="C34" i="4"/>
  <c r="C33" i="4"/>
  <c r="C8" i="6"/>
  <c r="C9" i="6"/>
  <c r="P10" i="6"/>
  <c r="K21" i="6"/>
  <c r="C4" i="6"/>
  <c r="K23" i="6"/>
  <c r="C7" i="6"/>
  <c r="C13" i="6"/>
  <c r="K50" i="6"/>
  <c r="C5" i="6"/>
  <c r="C6" i="6"/>
  <c r="C11" i="6"/>
  <c r="C10" i="6"/>
  <c r="C12" i="6"/>
  <c r="K51" i="6"/>
  <c r="K22" i="6"/>
  <c r="K52" i="6"/>
  <c r="K53" i="6"/>
  <c r="K54" i="6"/>
  <c r="K55" i="6"/>
  <c r="K56" i="6"/>
  <c r="K57" i="6"/>
  <c r="K47" i="6"/>
  <c r="K48" i="6"/>
  <c r="K49" i="6"/>
  <c r="K58" i="6"/>
  <c r="K59" i="6"/>
  <c r="K60" i="6"/>
  <c r="K61" i="6"/>
  <c r="K62" i="6"/>
  <c r="K46" i="6"/>
  <c r="K24" i="6"/>
  <c r="C16" i="6"/>
  <c r="K25" i="6"/>
  <c r="C17" i="6"/>
  <c r="K26" i="6"/>
  <c r="C27" i="6"/>
  <c r="D27" i="6"/>
  <c r="E27" i="6"/>
  <c r="F27" i="6"/>
  <c r="G27" i="6"/>
  <c r="H27" i="6"/>
  <c r="I27" i="6"/>
  <c r="J27" i="6"/>
  <c r="K27" i="6"/>
  <c r="K28" i="6"/>
  <c r="K29" i="6"/>
  <c r="K12" i="6"/>
  <c r="O13" i="6"/>
  <c r="O14" i="6"/>
  <c r="O17" i="6"/>
  <c r="O16" i="6"/>
  <c r="O18" i="6"/>
  <c r="K30" i="6"/>
  <c r="K33" i="6"/>
  <c r="K34" i="6"/>
  <c r="K18" i="6"/>
  <c r="K17" i="6"/>
  <c r="E64" i="6"/>
  <c r="E65" i="6"/>
  <c r="E66" i="6"/>
  <c r="E67" i="6"/>
  <c r="C18" i="6"/>
  <c r="E69" i="6"/>
  <c r="E71" i="6"/>
  <c r="K4" i="6"/>
  <c r="G71" i="6"/>
  <c r="C64" i="6"/>
  <c r="C65" i="6"/>
  <c r="C66" i="6"/>
  <c r="C67" i="6"/>
  <c r="C68" i="6"/>
  <c r="C69" i="6"/>
  <c r="C70" i="6"/>
  <c r="C71" i="6"/>
  <c r="K3" i="6"/>
  <c r="K40" i="6"/>
  <c r="C52" i="4"/>
  <c r="J7" i="6"/>
  <c r="K37" i="6"/>
  <c r="K39" i="6"/>
  <c r="C45" i="4"/>
  <c r="J6" i="6"/>
  <c r="K5" i="6"/>
  <c r="K35" i="6"/>
  <c r="K36" i="6"/>
  <c r="C47" i="4"/>
  <c r="C48" i="4"/>
  <c r="C85" i="4"/>
  <c r="C78" i="4"/>
  <c r="C8" i="14"/>
  <c r="C9" i="14"/>
  <c r="P10" i="14"/>
  <c r="K21" i="14"/>
  <c r="C4" i="14"/>
  <c r="K23" i="14"/>
  <c r="C7" i="14"/>
  <c r="C13" i="14"/>
  <c r="K50" i="14"/>
  <c r="C5" i="14"/>
  <c r="C6" i="14"/>
  <c r="C11" i="14"/>
  <c r="C10" i="14"/>
  <c r="C12" i="14"/>
  <c r="K51" i="14"/>
  <c r="K22" i="14"/>
  <c r="K52" i="14"/>
  <c r="K53" i="14"/>
  <c r="K54" i="14"/>
  <c r="K55" i="14"/>
  <c r="K56" i="14"/>
  <c r="K57" i="14"/>
  <c r="K47" i="14"/>
  <c r="K48" i="14"/>
  <c r="K49" i="14"/>
  <c r="K58" i="14"/>
  <c r="K59" i="14"/>
  <c r="K60" i="14"/>
  <c r="K61" i="14"/>
  <c r="K62" i="14"/>
  <c r="K46" i="14"/>
  <c r="K24" i="14"/>
  <c r="C16" i="14"/>
  <c r="K25" i="14"/>
  <c r="C17" i="14"/>
  <c r="K26" i="14"/>
  <c r="C27" i="14"/>
  <c r="D27" i="14"/>
  <c r="E27" i="14"/>
  <c r="F27" i="14"/>
  <c r="G27" i="14"/>
  <c r="H27" i="14"/>
  <c r="I27" i="14"/>
  <c r="J27" i="14"/>
  <c r="K27" i="14"/>
  <c r="K28" i="14"/>
  <c r="K29" i="14"/>
  <c r="K12" i="14"/>
  <c r="O13" i="14"/>
  <c r="O14" i="14"/>
  <c r="O17" i="14"/>
  <c r="O16" i="14"/>
  <c r="O18" i="14"/>
  <c r="K30" i="14"/>
  <c r="K33" i="14"/>
  <c r="K34" i="14"/>
  <c r="K18" i="14"/>
  <c r="K17" i="14"/>
  <c r="E64" i="14"/>
  <c r="E65" i="14"/>
  <c r="E66" i="14"/>
  <c r="E67" i="14"/>
  <c r="C18" i="14"/>
  <c r="E69" i="14"/>
  <c r="E71" i="14"/>
  <c r="K4" i="14"/>
  <c r="G71" i="14"/>
  <c r="C64" i="14"/>
  <c r="C65" i="14"/>
  <c r="C66" i="14"/>
  <c r="C67" i="14"/>
  <c r="C68" i="14"/>
  <c r="C69" i="14"/>
  <c r="C70" i="14"/>
  <c r="C71" i="14"/>
  <c r="K3" i="14"/>
  <c r="K40" i="14"/>
  <c r="J7" i="14"/>
  <c r="K37" i="14"/>
  <c r="K39" i="14"/>
  <c r="J6" i="14"/>
  <c r="K5" i="14"/>
  <c r="K35" i="14"/>
  <c r="K36" i="14"/>
  <c r="C82" i="4"/>
  <c r="B5" i="12"/>
  <c r="B2" i="12"/>
  <c r="B3" i="12"/>
  <c r="B36" i="12"/>
  <c r="B39" i="12"/>
  <c r="B34" i="12"/>
  <c r="B33" i="12"/>
  <c r="B13" i="12"/>
  <c r="C83" i="4"/>
  <c r="C84" i="4"/>
  <c r="C87" i="4"/>
  <c r="D85" i="4"/>
  <c r="D78" i="4"/>
  <c r="C8" i="13"/>
  <c r="C9" i="13"/>
  <c r="P10" i="13"/>
  <c r="K21" i="13"/>
  <c r="C4" i="13"/>
  <c r="K23" i="13"/>
  <c r="C7" i="13"/>
  <c r="C13" i="13"/>
  <c r="K50" i="13"/>
  <c r="C5" i="13"/>
  <c r="C6" i="13"/>
  <c r="C11" i="13"/>
  <c r="C10" i="13"/>
  <c r="C12" i="13"/>
  <c r="K51" i="13"/>
  <c r="K22" i="13"/>
  <c r="K52" i="13"/>
  <c r="K53" i="13"/>
  <c r="K54" i="13"/>
  <c r="K55" i="13"/>
  <c r="K56" i="13"/>
  <c r="K57" i="13"/>
  <c r="K47" i="13"/>
  <c r="K48" i="13"/>
  <c r="K49" i="13"/>
  <c r="K58" i="13"/>
  <c r="K59" i="13"/>
  <c r="K60" i="13"/>
  <c r="K61" i="13"/>
  <c r="K62" i="13"/>
  <c r="K46" i="13"/>
  <c r="K24" i="13"/>
  <c r="C16" i="13"/>
  <c r="K25" i="13"/>
  <c r="C17" i="13"/>
  <c r="K26" i="13"/>
  <c r="C27" i="13"/>
  <c r="D27" i="13"/>
  <c r="E27" i="13"/>
  <c r="F27" i="13"/>
  <c r="G27" i="13"/>
  <c r="H27" i="13"/>
  <c r="I27" i="13"/>
  <c r="J27" i="13"/>
  <c r="K27" i="13"/>
  <c r="K28" i="13"/>
  <c r="K29" i="13"/>
  <c r="K12" i="13"/>
  <c r="O13" i="13"/>
  <c r="O14" i="13"/>
  <c r="O17" i="13"/>
  <c r="O16" i="13"/>
  <c r="O18" i="13"/>
  <c r="K30" i="13"/>
  <c r="K33" i="13"/>
  <c r="K34" i="13"/>
  <c r="K18" i="13"/>
  <c r="K17" i="13"/>
  <c r="E64" i="13"/>
  <c r="E65" i="13"/>
  <c r="E66" i="13"/>
  <c r="E67" i="13"/>
  <c r="C18" i="13"/>
  <c r="E69" i="13"/>
  <c r="E71" i="13"/>
  <c r="K4" i="13"/>
  <c r="C64" i="13"/>
  <c r="C65" i="13"/>
  <c r="C66" i="13"/>
  <c r="C67" i="13"/>
  <c r="C68" i="13"/>
  <c r="C69" i="13"/>
  <c r="C70" i="13"/>
  <c r="C71" i="13"/>
  <c r="K3" i="13"/>
  <c r="K40" i="13"/>
  <c r="J7" i="13"/>
  <c r="K37" i="13"/>
  <c r="K39" i="13"/>
  <c r="J6" i="13"/>
  <c r="K5" i="13"/>
  <c r="K35" i="13"/>
  <c r="K36" i="13"/>
  <c r="D82" i="4"/>
  <c r="D5" i="12"/>
  <c r="D3" i="12"/>
  <c r="D36" i="12"/>
  <c r="D39" i="12"/>
  <c r="D34" i="12"/>
  <c r="D33" i="12"/>
  <c r="D13" i="12"/>
  <c r="D83" i="4"/>
  <c r="D84" i="4"/>
  <c r="D87" i="4"/>
  <c r="E6" i="4"/>
  <c r="E78" i="4"/>
  <c r="C8" i="25"/>
  <c r="C9" i="25"/>
  <c r="P10" i="25"/>
  <c r="K21" i="25"/>
  <c r="C4" i="25"/>
  <c r="K23" i="25"/>
  <c r="C7" i="25"/>
  <c r="C13" i="25"/>
  <c r="K50" i="25"/>
  <c r="C5" i="25"/>
  <c r="C6" i="25"/>
  <c r="C11" i="25"/>
  <c r="C10" i="25"/>
  <c r="C12" i="25"/>
  <c r="K51" i="25"/>
  <c r="K22" i="25"/>
  <c r="K52" i="25"/>
  <c r="K53" i="25"/>
  <c r="K54" i="25"/>
  <c r="K55" i="25"/>
  <c r="K56" i="25"/>
  <c r="K57" i="25"/>
  <c r="K47" i="25"/>
  <c r="K48" i="25"/>
  <c r="K49" i="25"/>
  <c r="K58" i="25"/>
  <c r="K59" i="25"/>
  <c r="K60" i="25"/>
  <c r="K61" i="25"/>
  <c r="K62" i="25"/>
  <c r="K46" i="25"/>
  <c r="K24" i="25"/>
  <c r="C16" i="25"/>
  <c r="K25" i="25"/>
  <c r="C17" i="25"/>
  <c r="K26" i="25"/>
  <c r="C27" i="25"/>
  <c r="D27" i="25"/>
  <c r="E27" i="25"/>
  <c r="F27" i="25"/>
  <c r="G27" i="25"/>
  <c r="H27" i="25"/>
  <c r="I27" i="25"/>
  <c r="J27" i="25"/>
  <c r="K27" i="25"/>
  <c r="K28" i="25"/>
  <c r="K29" i="25"/>
  <c r="K12" i="25"/>
  <c r="O13" i="25"/>
  <c r="O14" i="25"/>
  <c r="O17" i="25"/>
  <c r="O16" i="25"/>
  <c r="O18" i="25"/>
  <c r="K30" i="25"/>
  <c r="K33" i="25"/>
  <c r="K34" i="25"/>
  <c r="K18" i="25"/>
  <c r="K17" i="25"/>
  <c r="C18" i="25"/>
  <c r="E69" i="25"/>
  <c r="E64" i="25"/>
  <c r="E65" i="25"/>
  <c r="E66" i="25"/>
  <c r="E67" i="25"/>
  <c r="E71" i="25"/>
  <c r="K4" i="25"/>
  <c r="G71" i="25"/>
  <c r="C69" i="25"/>
  <c r="C70" i="25"/>
  <c r="C64" i="25"/>
  <c r="C65" i="25"/>
  <c r="C66" i="25"/>
  <c r="C67" i="25"/>
  <c r="C68" i="25"/>
  <c r="C71" i="25"/>
  <c r="K3" i="25"/>
  <c r="K40" i="25"/>
  <c r="J7" i="25"/>
  <c r="K37" i="25"/>
  <c r="K39" i="25"/>
  <c r="J6" i="25"/>
  <c r="K5" i="25"/>
  <c r="K35" i="25"/>
  <c r="K36" i="25"/>
  <c r="E82" i="4"/>
  <c r="F5" i="12"/>
  <c r="F2" i="12"/>
  <c r="F3" i="12"/>
  <c r="F36" i="12"/>
  <c r="F39" i="12"/>
  <c r="F34" i="12"/>
  <c r="F33" i="12"/>
  <c r="F13" i="12"/>
  <c r="E69" i="10"/>
  <c r="E64" i="10"/>
  <c r="E65" i="10"/>
  <c r="E66" i="10"/>
  <c r="E67" i="10"/>
  <c r="E71" i="10"/>
  <c r="C69" i="10"/>
  <c r="C70" i="10"/>
  <c r="C64" i="10"/>
  <c r="C65" i="10"/>
  <c r="C66" i="10"/>
  <c r="C67" i="10"/>
  <c r="C68" i="10"/>
  <c r="C71" i="10"/>
  <c r="E83" i="4"/>
  <c r="E84" i="4"/>
  <c r="E87" i="4"/>
  <c r="C88" i="4"/>
  <c r="D88" i="4"/>
  <c r="E88" i="4"/>
  <c r="C21" i="12"/>
  <c r="B21" i="12"/>
  <c r="F21" i="12"/>
  <c r="B40" i="12"/>
  <c r="B15" i="12"/>
  <c r="B22" i="12"/>
  <c r="D40" i="12"/>
  <c r="D15" i="12"/>
  <c r="D22" i="12"/>
  <c r="F40" i="12"/>
  <c r="F15" i="12"/>
  <c r="F22" i="12"/>
  <c r="B19" i="12"/>
  <c r="B42" i="12"/>
  <c r="B20" i="12"/>
  <c r="B26" i="12"/>
  <c r="D19" i="12"/>
  <c r="D42" i="12"/>
  <c r="D20" i="12"/>
  <c r="D26" i="12"/>
  <c r="F19" i="12"/>
  <c r="F42" i="12"/>
  <c r="F20" i="12"/>
  <c r="F26" i="12"/>
  <c r="B16" i="12"/>
  <c r="B23" i="12"/>
  <c r="D16" i="12"/>
  <c r="D23" i="12"/>
  <c r="F16" i="12"/>
  <c r="F23" i="12"/>
  <c r="B24" i="12"/>
  <c r="D24" i="12"/>
  <c r="F24" i="12"/>
  <c r="B41" i="12"/>
  <c r="B18" i="12"/>
  <c r="B25" i="12"/>
  <c r="D41" i="12"/>
  <c r="D18" i="12"/>
  <c r="D25" i="12"/>
  <c r="F41" i="12"/>
  <c r="F18" i="12"/>
  <c r="F25" i="12"/>
  <c r="C16" i="37"/>
  <c r="J7" i="37"/>
  <c r="C16" i="11"/>
  <c r="J7" i="11"/>
  <c r="C16" i="36"/>
  <c r="J7" i="36"/>
  <c r="C16" i="9"/>
  <c r="J7" i="9"/>
  <c r="C16" i="35"/>
  <c r="J7" i="35"/>
  <c r="C16" i="7"/>
  <c r="J7" i="7"/>
  <c r="U12" i="43"/>
  <c r="Q17" i="43"/>
  <c r="T52" i="43"/>
  <c r="G12" i="43"/>
  <c r="F52" i="43"/>
  <c r="N12" i="43"/>
  <c r="J17" i="43"/>
  <c r="M52" i="43"/>
  <c r="P22" i="25"/>
  <c r="P50" i="25"/>
  <c r="P51" i="25"/>
  <c r="P53" i="25"/>
  <c r="P54" i="25"/>
  <c r="P55" i="25"/>
  <c r="P56" i="25"/>
  <c r="P57" i="25"/>
  <c r="P47" i="25"/>
  <c r="P48" i="25"/>
  <c r="P49" i="25"/>
  <c r="P58" i="25"/>
  <c r="P59" i="25"/>
  <c r="P60" i="25"/>
  <c r="P61" i="25"/>
  <c r="P62" i="25"/>
  <c r="P24" i="25"/>
  <c r="P25" i="25"/>
  <c r="M21" i="25"/>
  <c r="N21" i="25"/>
  <c r="O21" i="25"/>
  <c r="O22" i="25"/>
  <c r="O50" i="25"/>
  <c r="O51" i="25"/>
  <c r="O52" i="25"/>
  <c r="O53" i="25"/>
  <c r="O54" i="25"/>
  <c r="O55" i="25"/>
  <c r="O56" i="25"/>
  <c r="O57" i="25"/>
  <c r="O47" i="25"/>
  <c r="O48" i="25"/>
  <c r="O49" i="25"/>
  <c r="O58" i="25"/>
  <c r="O59" i="25"/>
  <c r="O60" i="25"/>
  <c r="O61" i="25"/>
  <c r="O62" i="25"/>
  <c r="O46" i="25"/>
  <c r="O24" i="25"/>
  <c r="O25" i="25"/>
  <c r="N22" i="25"/>
  <c r="N50" i="25"/>
  <c r="N51" i="25"/>
  <c r="N52" i="25"/>
  <c r="N53" i="25"/>
  <c r="N54" i="25"/>
  <c r="N55" i="25"/>
  <c r="N56" i="25"/>
  <c r="N57" i="25"/>
  <c r="N47" i="25"/>
  <c r="N48" i="25"/>
  <c r="N49" i="25"/>
  <c r="N58" i="25"/>
  <c r="N59" i="25"/>
  <c r="N60" i="25"/>
  <c r="N61" i="25"/>
  <c r="N62" i="25"/>
  <c r="N46" i="25"/>
  <c r="N24" i="25"/>
  <c r="N25" i="25"/>
  <c r="M22" i="25"/>
  <c r="M50" i="25"/>
  <c r="M51" i="25"/>
  <c r="M52" i="25"/>
  <c r="M53" i="25"/>
  <c r="M54" i="25"/>
  <c r="M55" i="25"/>
  <c r="M56" i="25"/>
  <c r="M57" i="25"/>
  <c r="M47" i="25"/>
  <c r="M48" i="25"/>
  <c r="M49" i="25"/>
  <c r="M58" i="25"/>
  <c r="M59" i="25"/>
  <c r="M60" i="25"/>
  <c r="M61" i="25"/>
  <c r="M62" i="25"/>
  <c r="M46" i="25"/>
  <c r="M24" i="25"/>
  <c r="M25" i="25"/>
  <c r="L21" i="25"/>
  <c r="L22" i="25"/>
  <c r="L50" i="25"/>
  <c r="L51" i="25"/>
  <c r="L52" i="25"/>
  <c r="L53" i="25"/>
  <c r="L54" i="25"/>
  <c r="L55" i="25"/>
  <c r="L56" i="25"/>
  <c r="L57" i="25"/>
  <c r="L47" i="25"/>
  <c r="L48" i="25"/>
  <c r="L49" i="25"/>
  <c r="L58" i="25"/>
  <c r="L59" i="25"/>
  <c r="L60" i="25"/>
  <c r="L61" i="25"/>
  <c r="L62" i="25"/>
  <c r="L46" i="25"/>
  <c r="L24" i="25"/>
  <c r="L25" i="25"/>
  <c r="J21" i="25"/>
  <c r="J22" i="25"/>
  <c r="J50" i="25"/>
  <c r="J51" i="25"/>
  <c r="J52" i="25"/>
  <c r="J53" i="25"/>
  <c r="J54" i="25"/>
  <c r="J55" i="25"/>
  <c r="J56" i="25"/>
  <c r="J57" i="25"/>
  <c r="J47" i="25"/>
  <c r="J48" i="25"/>
  <c r="J49" i="25"/>
  <c r="J58" i="25"/>
  <c r="J59" i="25"/>
  <c r="J60" i="25"/>
  <c r="J61" i="25"/>
  <c r="J62" i="25"/>
  <c r="J46" i="25"/>
  <c r="J24" i="25"/>
  <c r="J25" i="25"/>
  <c r="I21" i="25"/>
  <c r="I22" i="25"/>
  <c r="I50" i="25"/>
  <c r="I51" i="25"/>
  <c r="I52" i="25"/>
  <c r="I53" i="25"/>
  <c r="I54" i="25"/>
  <c r="I55" i="25"/>
  <c r="I56" i="25"/>
  <c r="I57" i="25"/>
  <c r="I47" i="25"/>
  <c r="I48" i="25"/>
  <c r="I49" i="25"/>
  <c r="I58" i="25"/>
  <c r="I59" i="25"/>
  <c r="I60" i="25"/>
  <c r="I61" i="25"/>
  <c r="I62" i="25"/>
  <c r="I46" i="25"/>
  <c r="I24" i="25"/>
  <c r="I25" i="25"/>
  <c r="H21" i="25"/>
  <c r="H22" i="25"/>
  <c r="H50" i="25"/>
  <c r="H51" i="25"/>
  <c r="H52" i="25"/>
  <c r="H53" i="25"/>
  <c r="H54" i="25"/>
  <c r="H55" i="25"/>
  <c r="H56" i="25"/>
  <c r="H57" i="25"/>
  <c r="H47" i="25"/>
  <c r="H48" i="25"/>
  <c r="H49" i="25"/>
  <c r="H58" i="25"/>
  <c r="H59" i="25"/>
  <c r="H60" i="25"/>
  <c r="H61" i="25"/>
  <c r="H62" i="25"/>
  <c r="H46" i="25"/>
  <c r="H24" i="25"/>
  <c r="H25" i="25"/>
  <c r="G21" i="25"/>
  <c r="G22" i="25"/>
  <c r="G50" i="25"/>
  <c r="G51" i="25"/>
  <c r="G52" i="25"/>
  <c r="G53" i="25"/>
  <c r="G54" i="25"/>
  <c r="G55" i="25"/>
  <c r="G56" i="25"/>
  <c r="G57" i="25"/>
  <c r="G47" i="25"/>
  <c r="G48" i="25"/>
  <c r="G49" i="25"/>
  <c r="G58" i="25"/>
  <c r="G59" i="25"/>
  <c r="G60" i="25"/>
  <c r="G61" i="25"/>
  <c r="G62" i="25"/>
  <c r="G46" i="25"/>
  <c r="G24" i="25"/>
  <c r="G25" i="25"/>
  <c r="F21" i="25"/>
  <c r="F22" i="25"/>
  <c r="F50" i="25"/>
  <c r="F51" i="25"/>
  <c r="F52" i="25"/>
  <c r="F53" i="25"/>
  <c r="F54" i="25"/>
  <c r="F55" i="25"/>
  <c r="F56" i="25"/>
  <c r="F57" i="25"/>
  <c r="F47" i="25"/>
  <c r="F48" i="25"/>
  <c r="F49" i="25"/>
  <c r="F58" i="25"/>
  <c r="F59" i="25"/>
  <c r="F60" i="25"/>
  <c r="F61" i="25"/>
  <c r="F62" i="25"/>
  <c r="F46" i="25"/>
  <c r="F24" i="25"/>
  <c r="F25" i="25"/>
  <c r="E21" i="25"/>
  <c r="E22" i="25"/>
  <c r="E50" i="25"/>
  <c r="E51" i="25"/>
  <c r="E52" i="25"/>
  <c r="E53" i="25"/>
  <c r="E54" i="25"/>
  <c r="E55" i="25"/>
  <c r="E56" i="25"/>
  <c r="E57" i="25"/>
  <c r="E47" i="25"/>
  <c r="E48" i="25"/>
  <c r="E49" i="25"/>
  <c r="E58" i="25"/>
  <c r="E59" i="25"/>
  <c r="E60" i="25"/>
  <c r="E61" i="25"/>
  <c r="E62" i="25"/>
  <c r="E46" i="25"/>
  <c r="E24" i="25"/>
  <c r="E25" i="25"/>
  <c r="D21" i="25"/>
  <c r="D22" i="25"/>
  <c r="D50" i="25"/>
  <c r="D51" i="25"/>
  <c r="D52" i="25"/>
  <c r="D53" i="25"/>
  <c r="D54" i="25"/>
  <c r="D55" i="25"/>
  <c r="D56" i="25"/>
  <c r="D57" i="25"/>
  <c r="D47" i="25"/>
  <c r="D48" i="25"/>
  <c r="D49" i="25"/>
  <c r="D58" i="25"/>
  <c r="D59" i="25"/>
  <c r="D60" i="25"/>
  <c r="D61" i="25"/>
  <c r="D62" i="25"/>
  <c r="D46" i="25"/>
  <c r="D24" i="25"/>
  <c r="D25" i="25"/>
  <c r="C21" i="25"/>
  <c r="C22" i="25"/>
  <c r="C50" i="25"/>
  <c r="C51" i="25"/>
  <c r="C52" i="25"/>
  <c r="C53" i="25"/>
  <c r="C54" i="25"/>
  <c r="C55" i="25"/>
  <c r="C56" i="25"/>
  <c r="C57" i="25"/>
  <c r="C47" i="25"/>
  <c r="C48" i="25"/>
  <c r="C49" i="25"/>
  <c r="C58" i="25"/>
  <c r="C59" i="25"/>
  <c r="C60" i="25"/>
  <c r="C61" i="25"/>
  <c r="C62" i="25"/>
  <c r="C46" i="25"/>
  <c r="C24" i="25"/>
  <c r="C25" i="25"/>
  <c r="P50" i="13"/>
  <c r="P51" i="13"/>
  <c r="P22" i="13"/>
  <c r="P52" i="13"/>
  <c r="P53" i="13"/>
  <c r="P54" i="13"/>
  <c r="P55" i="13"/>
  <c r="P56" i="13"/>
  <c r="P57" i="13"/>
  <c r="P47" i="13"/>
  <c r="P48" i="13"/>
  <c r="P49" i="13"/>
  <c r="P58" i="13"/>
  <c r="P59" i="13"/>
  <c r="P60" i="13"/>
  <c r="P61" i="13"/>
  <c r="P62" i="13"/>
  <c r="P63" i="13"/>
  <c r="P24" i="13"/>
  <c r="P25" i="13"/>
  <c r="M21" i="13"/>
  <c r="N21" i="13"/>
  <c r="O21" i="13"/>
  <c r="O22" i="13"/>
  <c r="O50" i="13"/>
  <c r="O51" i="13"/>
  <c r="O52" i="13"/>
  <c r="O53" i="13"/>
  <c r="O54" i="13"/>
  <c r="O55" i="13"/>
  <c r="O56" i="13"/>
  <c r="O57" i="13"/>
  <c r="O47" i="13"/>
  <c r="O48" i="13"/>
  <c r="O49" i="13"/>
  <c r="O58" i="13"/>
  <c r="O59" i="13"/>
  <c r="O60" i="13"/>
  <c r="O61" i="13"/>
  <c r="O62" i="13"/>
  <c r="O63" i="13"/>
  <c r="O46" i="13"/>
  <c r="O24" i="13"/>
  <c r="O25" i="13"/>
  <c r="N22" i="13"/>
  <c r="N50" i="13"/>
  <c r="N51" i="13"/>
  <c r="N52" i="13"/>
  <c r="N53" i="13"/>
  <c r="N54" i="13"/>
  <c r="N55" i="13"/>
  <c r="N56" i="13"/>
  <c r="N57" i="13"/>
  <c r="N47" i="13"/>
  <c r="N48" i="13"/>
  <c r="N49" i="13"/>
  <c r="N58" i="13"/>
  <c r="N59" i="13"/>
  <c r="N60" i="13"/>
  <c r="N61" i="13"/>
  <c r="N62" i="13"/>
  <c r="N63" i="13"/>
  <c r="N46" i="13"/>
  <c r="N24" i="13"/>
  <c r="N25" i="13"/>
  <c r="M22" i="13"/>
  <c r="M50" i="13"/>
  <c r="M51" i="13"/>
  <c r="M52" i="13"/>
  <c r="M53" i="13"/>
  <c r="M54" i="13"/>
  <c r="M55" i="13"/>
  <c r="M56" i="13"/>
  <c r="M57" i="13"/>
  <c r="M47" i="13"/>
  <c r="M48" i="13"/>
  <c r="M49" i="13"/>
  <c r="M58" i="13"/>
  <c r="M59" i="13"/>
  <c r="M60" i="13"/>
  <c r="M61" i="13"/>
  <c r="M62" i="13"/>
  <c r="M63" i="13"/>
  <c r="M46" i="13"/>
  <c r="M24" i="13"/>
  <c r="M25" i="13"/>
  <c r="L21" i="13"/>
  <c r="L22" i="13"/>
  <c r="L50" i="13"/>
  <c r="L51" i="13"/>
  <c r="L52" i="13"/>
  <c r="L53" i="13"/>
  <c r="L54" i="13"/>
  <c r="L55" i="13"/>
  <c r="L56" i="13"/>
  <c r="L57" i="13"/>
  <c r="L47" i="13"/>
  <c r="L48" i="13"/>
  <c r="L49" i="13"/>
  <c r="L58" i="13"/>
  <c r="L59" i="13"/>
  <c r="L60" i="13"/>
  <c r="L61" i="13"/>
  <c r="L62" i="13"/>
  <c r="L63" i="13"/>
  <c r="L46" i="13"/>
  <c r="L24" i="13"/>
  <c r="L25" i="13"/>
  <c r="K63" i="13"/>
  <c r="J21" i="13"/>
  <c r="J22" i="13"/>
  <c r="J50" i="13"/>
  <c r="J51" i="13"/>
  <c r="J52" i="13"/>
  <c r="J53" i="13"/>
  <c r="J54" i="13"/>
  <c r="J55" i="13"/>
  <c r="J56" i="13"/>
  <c r="J57" i="13"/>
  <c r="J47" i="13"/>
  <c r="J48" i="13"/>
  <c r="J49" i="13"/>
  <c r="J58" i="13"/>
  <c r="J59" i="13"/>
  <c r="J60" i="13"/>
  <c r="J61" i="13"/>
  <c r="J62" i="13"/>
  <c r="J63" i="13"/>
  <c r="J46" i="13"/>
  <c r="J24" i="13"/>
  <c r="J25" i="13"/>
  <c r="I21" i="13"/>
  <c r="I22" i="13"/>
  <c r="I50" i="13"/>
  <c r="I51" i="13"/>
  <c r="I52" i="13"/>
  <c r="I53" i="13"/>
  <c r="I54" i="13"/>
  <c r="I55" i="13"/>
  <c r="I56" i="13"/>
  <c r="I57" i="13"/>
  <c r="I47" i="13"/>
  <c r="I48" i="13"/>
  <c r="I49" i="13"/>
  <c r="I58" i="13"/>
  <c r="I59" i="13"/>
  <c r="I60" i="13"/>
  <c r="I61" i="13"/>
  <c r="I62" i="13"/>
  <c r="I63" i="13"/>
  <c r="I46" i="13"/>
  <c r="I24" i="13"/>
  <c r="I25" i="13"/>
  <c r="H21" i="13"/>
  <c r="H22" i="13"/>
  <c r="H50" i="13"/>
  <c r="H51" i="13"/>
  <c r="H52" i="13"/>
  <c r="H53" i="13"/>
  <c r="H54" i="13"/>
  <c r="H55" i="13"/>
  <c r="H56" i="13"/>
  <c r="H57" i="13"/>
  <c r="H47" i="13"/>
  <c r="H48" i="13"/>
  <c r="H49" i="13"/>
  <c r="H58" i="13"/>
  <c r="H59" i="13"/>
  <c r="H60" i="13"/>
  <c r="H61" i="13"/>
  <c r="H62" i="13"/>
  <c r="H63" i="13"/>
  <c r="H46" i="13"/>
  <c r="H24" i="13"/>
  <c r="H25" i="13"/>
  <c r="G21" i="13"/>
  <c r="G22" i="13"/>
  <c r="G50" i="13"/>
  <c r="G51" i="13"/>
  <c r="G52" i="13"/>
  <c r="G53" i="13"/>
  <c r="G54" i="13"/>
  <c r="G55" i="13"/>
  <c r="G56" i="13"/>
  <c r="G57" i="13"/>
  <c r="G47" i="13"/>
  <c r="G48" i="13"/>
  <c r="G49" i="13"/>
  <c r="G58" i="13"/>
  <c r="G59" i="13"/>
  <c r="G60" i="13"/>
  <c r="G61" i="13"/>
  <c r="G62" i="13"/>
  <c r="G63" i="13"/>
  <c r="G46" i="13"/>
  <c r="G24" i="13"/>
  <c r="G25" i="13"/>
  <c r="F21" i="13"/>
  <c r="F22" i="13"/>
  <c r="F50" i="13"/>
  <c r="F51" i="13"/>
  <c r="F52" i="13"/>
  <c r="F53" i="13"/>
  <c r="F54" i="13"/>
  <c r="F55" i="13"/>
  <c r="F56" i="13"/>
  <c r="F57" i="13"/>
  <c r="F47" i="13"/>
  <c r="F48" i="13"/>
  <c r="F49" i="13"/>
  <c r="F58" i="13"/>
  <c r="F59" i="13"/>
  <c r="F60" i="13"/>
  <c r="F61" i="13"/>
  <c r="F62" i="13"/>
  <c r="F63" i="13"/>
  <c r="F46" i="13"/>
  <c r="F24" i="13"/>
  <c r="F25" i="13"/>
  <c r="E21" i="13"/>
  <c r="E22" i="13"/>
  <c r="E50" i="13"/>
  <c r="E51" i="13"/>
  <c r="E52" i="13"/>
  <c r="E53" i="13"/>
  <c r="E54" i="13"/>
  <c r="E55" i="13"/>
  <c r="E56" i="13"/>
  <c r="E57" i="13"/>
  <c r="E47" i="13"/>
  <c r="E48" i="13"/>
  <c r="E49" i="13"/>
  <c r="E58" i="13"/>
  <c r="E59" i="13"/>
  <c r="E60" i="13"/>
  <c r="E61" i="13"/>
  <c r="E62" i="13"/>
  <c r="E63" i="13"/>
  <c r="E46" i="13"/>
  <c r="E24" i="13"/>
  <c r="E25" i="13"/>
  <c r="D21" i="13"/>
  <c r="D22" i="13"/>
  <c r="D50" i="13"/>
  <c r="D51" i="13"/>
  <c r="D52" i="13"/>
  <c r="D53" i="13"/>
  <c r="D54" i="13"/>
  <c r="D55" i="13"/>
  <c r="D56" i="13"/>
  <c r="D57" i="13"/>
  <c r="D47" i="13"/>
  <c r="D48" i="13"/>
  <c r="D49" i="13"/>
  <c r="D58" i="13"/>
  <c r="D59" i="13"/>
  <c r="D60" i="13"/>
  <c r="D61" i="13"/>
  <c r="D62" i="13"/>
  <c r="D63" i="13"/>
  <c r="D46" i="13"/>
  <c r="D24" i="13"/>
  <c r="D25" i="13"/>
  <c r="C21" i="13"/>
  <c r="C22" i="13"/>
  <c r="C50" i="13"/>
  <c r="C51" i="13"/>
  <c r="C52" i="13"/>
  <c r="C53" i="13"/>
  <c r="C54" i="13"/>
  <c r="C55" i="13"/>
  <c r="C56" i="13"/>
  <c r="C57" i="13"/>
  <c r="C47" i="13"/>
  <c r="C48" i="13"/>
  <c r="C49" i="13"/>
  <c r="C58" i="13"/>
  <c r="C59" i="13"/>
  <c r="C60" i="13"/>
  <c r="C61" i="13"/>
  <c r="C62" i="13"/>
  <c r="C63" i="13"/>
  <c r="C46" i="13"/>
  <c r="C24" i="13"/>
  <c r="C25" i="13"/>
  <c r="P50" i="14"/>
  <c r="P51" i="14"/>
  <c r="P22" i="14"/>
  <c r="P52" i="14"/>
  <c r="P53" i="14"/>
  <c r="P54" i="14"/>
  <c r="P55" i="14"/>
  <c r="P56" i="14"/>
  <c r="P57" i="14"/>
  <c r="P47" i="14"/>
  <c r="P48" i="14"/>
  <c r="P49" i="14"/>
  <c r="P58" i="14"/>
  <c r="P59" i="14"/>
  <c r="P60" i="14"/>
  <c r="P61" i="14"/>
  <c r="P62" i="14"/>
  <c r="P63" i="14"/>
  <c r="P24" i="14"/>
  <c r="P25" i="14"/>
  <c r="M21" i="14"/>
  <c r="N21" i="14"/>
  <c r="O21" i="14"/>
  <c r="O22" i="14"/>
  <c r="O50" i="14"/>
  <c r="O51" i="14"/>
  <c r="O52" i="14"/>
  <c r="O53" i="14"/>
  <c r="O54" i="14"/>
  <c r="O55" i="14"/>
  <c r="O56" i="14"/>
  <c r="O57" i="14"/>
  <c r="O47" i="14"/>
  <c r="O48" i="14"/>
  <c r="O49" i="14"/>
  <c r="O58" i="14"/>
  <c r="O59" i="14"/>
  <c r="O60" i="14"/>
  <c r="O61" i="14"/>
  <c r="O62" i="14"/>
  <c r="O63" i="14"/>
  <c r="O46" i="14"/>
  <c r="O24" i="14"/>
  <c r="O25" i="14"/>
  <c r="N22" i="14"/>
  <c r="N50" i="14"/>
  <c r="N51" i="14"/>
  <c r="N52" i="14"/>
  <c r="N53" i="14"/>
  <c r="N54" i="14"/>
  <c r="N55" i="14"/>
  <c r="N56" i="14"/>
  <c r="N57" i="14"/>
  <c r="N47" i="14"/>
  <c r="N48" i="14"/>
  <c r="N49" i="14"/>
  <c r="N58" i="14"/>
  <c r="N59" i="14"/>
  <c r="N60" i="14"/>
  <c r="N61" i="14"/>
  <c r="N62" i="14"/>
  <c r="N63" i="14"/>
  <c r="N46" i="14"/>
  <c r="N24" i="14"/>
  <c r="N25" i="14"/>
  <c r="M22" i="14"/>
  <c r="M50" i="14"/>
  <c r="M51" i="14"/>
  <c r="M52" i="14"/>
  <c r="M53" i="14"/>
  <c r="M54" i="14"/>
  <c r="M55" i="14"/>
  <c r="M56" i="14"/>
  <c r="M57" i="14"/>
  <c r="M47" i="14"/>
  <c r="M48" i="14"/>
  <c r="M49" i="14"/>
  <c r="M58" i="14"/>
  <c r="M59" i="14"/>
  <c r="M60" i="14"/>
  <c r="M61" i="14"/>
  <c r="M62" i="14"/>
  <c r="M63" i="14"/>
  <c r="M46" i="14"/>
  <c r="M24" i="14"/>
  <c r="M25" i="14"/>
  <c r="L21" i="14"/>
  <c r="L22" i="14"/>
  <c r="L50" i="14"/>
  <c r="L51" i="14"/>
  <c r="L52" i="14"/>
  <c r="L53" i="14"/>
  <c r="L54" i="14"/>
  <c r="L55" i="14"/>
  <c r="L56" i="14"/>
  <c r="L57" i="14"/>
  <c r="L47" i="14"/>
  <c r="L48" i="14"/>
  <c r="L49" i="14"/>
  <c r="L58" i="14"/>
  <c r="L59" i="14"/>
  <c r="L60" i="14"/>
  <c r="L61" i="14"/>
  <c r="L62" i="14"/>
  <c r="L63" i="14"/>
  <c r="L46" i="14"/>
  <c r="L24" i="14"/>
  <c r="L25" i="14"/>
  <c r="K63" i="14"/>
  <c r="J21" i="14"/>
  <c r="J22" i="14"/>
  <c r="J50" i="14"/>
  <c r="J51" i="14"/>
  <c r="J52" i="14"/>
  <c r="J53" i="14"/>
  <c r="J54" i="14"/>
  <c r="J55" i="14"/>
  <c r="J56" i="14"/>
  <c r="J57" i="14"/>
  <c r="J47" i="14"/>
  <c r="J48" i="14"/>
  <c r="J49" i="14"/>
  <c r="J58" i="14"/>
  <c r="J59" i="14"/>
  <c r="J60" i="14"/>
  <c r="J61" i="14"/>
  <c r="J62" i="14"/>
  <c r="J63" i="14"/>
  <c r="J46" i="14"/>
  <c r="J24" i="14"/>
  <c r="J25" i="14"/>
  <c r="I21" i="14"/>
  <c r="I22" i="14"/>
  <c r="I50" i="14"/>
  <c r="I51" i="14"/>
  <c r="I52" i="14"/>
  <c r="I53" i="14"/>
  <c r="I54" i="14"/>
  <c r="I55" i="14"/>
  <c r="I56" i="14"/>
  <c r="I57" i="14"/>
  <c r="I47" i="14"/>
  <c r="I48" i="14"/>
  <c r="I49" i="14"/>
  <c r="I58" i="14"/>
  <c r="I59" i="14"/>
  <c r="I60" i="14"/>
  <c r="I61" i="14"/>
  <c r="I62" i="14"/>
  <c r="I63" i="14"/>
  <c r="I46" i="14"/>
  <c r="I24" i="14"/>
  <c r="I25" i="14"/>
  <c r="H21" i="14"/>
  <c r="H22" i="14"/>
  <c r="H50" i="14"/>
  <c r="H51" i="14"/>
  <c r="H52" i="14"/>
  <c r="H53" i="14"/>
  <c r="H54" i="14"/>
  <c r="H55" i="14"/>
  <c r="H56" i="14"/>
  <c r="H57" i="14"/>
  <c r="H47" i="14"/>
  <c r="H48" i="14"/>
  <c r="H49" i="14"/>
  <c r="H58" i="14"/>
  <c r="H59" i="14"/>
  <c r="H60" i="14"/>
  <c r="H61" i="14"/>
  <c r="H62" i="14"/>
  <c r="H63" i="14"/>
  <c r="H46" i="14"/>
  <c r="H24" i="14"/>
  <c r="H25" i="14"/>
  <c r="G21" i="14"/>
  <c r="G22" i="14"/>
  <c r="G50" i="14"/>
  <c r="G51" i="14"/>
  <c r="G52" i="14"/>
  <c r="G53" i="14"/>
  <c r="G54" i="14"/>
  <c r="G55" i="14"/>
  <c r="G56" i="14"/>
  <c r="G57" i="14"/>
  <c r="G47" i="14"/>
  <c r="G48" i="14"/>
  <c r="G49" i="14"/>
  <c r="G58" i="14"/>
  <c r="G59" i="14"/>
  <c r="G60" i="14"/>
  <c r="G61" i="14"/>
  <c r="G62" i="14"/>
  <c r="G63" i="14"/>
  <c r="G46" i="14"/>
  <c r="G24" i="14"/>
  <c r="G25" i="14"/>
  <c r="F21" i="14"/>
  <c r="F22" i="14"/>
  <c r="F50" i="14"/>
  <c r="F51" i="14"/>
  <c r="F52" i="14"/>
  <c r="F53" i="14"/>
  <c r="F54" i="14"/>
  <c r="F55" i="14"/>
  <c r="F56" i="14"/>
  <c r="F57" i="14"/>
  <c r="F47" i="14"/>
  <c r="F48" i="14"/>
  <c r="F49" i="14"/>
  <c r="F58" i="14"/>
  <c r="F59" i="14"/>
  <c r="F60" i="14"/>
  <c r="F61" i="14"/>
  <c r="F62" i="14"/>
  <c r="F63" i="14"/>
  <c r="F46" i="14"/>
  <c r="F24" i="14"/>
  <c r="F25" i="14"/>
  <c r="E21" i="14"/>
  <c r="E22" i="14"/>
  <c r="E50" i="14"/>
  <c r="E51" i="14"/>
  <c r="E52" i="14"/>
  <c r="E53" i="14"/>
  <c r="E54" i="14"/>
  <c r="E55" i="14"/>
  <c r="E56" i="14"/>
  <c r="E57" i="14"/>
  <c r="E47" i="14"/>
  <c r="E48" i="14"/>
  <c r="E49" i="14"/>
  <c r="E58" i="14"/>
  <c r="E59" i="14"/>
  <c r="E60" i="14"/>
  <c r="E61" i="14"/>
  <c r="E62" i="14"/>
  <c r="E63" i="14"/>
  <c r="E46" i="14"/>
  <c r="E24" i="14"/>
  <c r="E25" i="14"/>
  <c r="D21" i="14"/>
  <c r="D22" i="14"/>
  <c r="D50" i="14"/>
  <c r="D51" i="14"/>
  <c r="D52" i="14"/>
  <c r="D53" i="14"/>
  <c r="D54" i="14"/>
  <c r="D55" i="14"/>
  <c r="D56" i="14"/>
  <c r="D57" i="14"/>
  <c r="D47" i="14"/>
  <c r="D48" i="14"/>
  <c r="D49" i="14"/>
  <c r="D58" i="14"/>
  <c r="D59" i="14"/>
  <c r="D60" i="14"/>
  <c r="D61" i="14"/>
  <c r="D62" i="14"/>
  <c r="D63" i="14"/>
  <c r="D46" i="14"/>
  <c r="D24" i="14"/>
  <c r="D25" i="14"/>
  <c r="C21" i="14"/>
  <c r="C22" i="14"/>
  <c r="C50" i="14"/>
  <c r="C51" i="14"/>
  <c r="C52" i="14"/>
  <c r="C53" i="14"/>
  <c r="C54" i="14"/>
  <c r="C55" i="14"/>
  <c r="C56" i="14"/>
  <c r="C57" i="14"/>
  <c r="C47" i="14"/>
  <c r="C48" i="14"/>
  <c r="C49" i="14"/>
  <c r="C58" i="14"/>
  <c r="C59" i="14"/>
  <c r="C60" i="14"/>
  <c r="C61" i="14"/>
  <c r="C62" i="14"/>
  <c r="C63" i="14"/>
  <c r="C46" i="14"/>
  <c r="C24" i="14"/>
  <c r="C25" i="14"/>
  <c r="P22" i="37"/>
  <c r="C4" i="37"/>
  <c r="E92" i="4"/>
  <c r="C7" i="37"/>
  <c r="C13" i="37"/>
  <c r="P47" i="37"/>
  <c r="C5" i="37"/>
  <c r="E94" i="4"/>
  <c r="E95" i="4"/>
  <c r="C6" i="37"/>
  <c r="C11" i="37"/>
  <c r="C10" i="37"/>
  <c r="C12" i="37"/>
  <c r="P48" i="37"/>
  <c r="P50" i="37"/>
  <c r="P51" i="37"/>
  <c r="P52" i="37"/>
  <c r="P53" i="37"/>
  <c r="P54" i="37"/>
  <c r="P44" i="37"/>
  <c r="P45" i="37"/>
  <c r="P46" i="37"/>
  <c r="P55" i="37"/>
  <c r="P56" i="37"/>
  <c r="P57" i="37"/>
  <c r="P58" i="37"/>
  <c r="P59" i="37"/>
  <c r="P24" i="37"/>
  <c r="P25" i="37"/>
  <c r="P10" i="37"/>
  <c r="J21" i="37"/>
  <c r="I21" i="37"/>
  <c r="I22" i="37"/>
  <c r="I47" i="37"/>
  <c r="I48" i="37"/>
  <c r="I49" i="37"/>
  <c r="I50" i="37"/>
  <c r="I51" i="37"/>
  <c r="I52" i="37"/>
  <c r="I53" i="37"/>
  <c r="I54" i="37"/>
  <c r="I44" i="37"/>
  <c r="I45" i="37"/>
  <c r="I46" i="37"/>
  <c r="I55" i="37"/>
  <c r="I56" i="37"/>
  <c r="I57" i="37"/>
  <c r="I58" i="37"/>
  <c r="I59" i="37"/>
  <c r="I43" i="37"/>
  <c r="I24" i="37"/>
  <c r="I25" i="37"/>
  <c r="I23" i="37"/>
  <c r="E91" i="4"/>
  <c r="I60" i="37"/>
  <c r="C17" i="37"/>
  <c r="I26" i="37"/>
  <c r="C27" i="37"/>
  <c r="I27" i="37"/>
  <c r="I28" i="37"/>
  <c r="I29" i="37"/>
  <c r="E96" i="4"/>
  <c r="C8" i="37"/>
  <c r="C9" i="37"/>
  <c r="I30" i="37"/>
  <c r="I31" i="37"/>
  <c r="G69" i="37"/>
  <c r="C18" i="37"/>
  <c r="E66" i="37"/>
  <c r="E61" i="37"/>
  <c r="E62" i="37"/>
  <c r="E63" i="37"/>
  <c r="E64" i="37"/>
  <c r="E68" i="37"/>
  <c r="K4" i="37"/>
  <c r="G68" i="37"/>
  <c r="C66" i="37"/>
  <c r="C67" i="37"/>
  <c r="C61" i="37"/>
  <c r="C62" i="37"/>
  <c r="C63" i="37"/>
  <c r="C64" i="37"/>
  <c r="C65" i="37"/>
  <c r="C68" i="37"/>
  <c r="K3" i="37"/>
  <c r="I37" i="37"/>
  <c r="I34" i="37"/>
  <c r="K18" i="37"/>
  <c r="K17" i="37"/>
  <c r="I36" i="37"/>
  <c r="J6" i="37"/>
  <c r="K5" i="37"/>
  <c r="I32" i="37"/>
  <c r="I33" i="37"/>
  <c r="K63" i="10"/>
  <c r="G72" i="10"/>
  <c r="E58" i="4"/>
  <c r="U33" i="37"/>
  <c r="V34" i="37"/>
  <c r="J22" i="37"/>
  <c r="J47" i="37"/>
  <c r="J48" i="37"/>
  <c r="J49" i="37"/>
  <c r="J50" i="37"/>
  <c r="J51" i="37"/>
  <c r="J52" i="37"/>
  <c r="J53" i="37"/>
  <c r="J54" i="37"/>
  <c r="J44" i="37"/>
  <c r="J45" i="37"/>
  <c r="J46" i="37"/>
  <c r="J55" i="37"/>
  <c r="J56" i="37"/>
  <c r="J57" i="37"/>
  <c r="J58" i="37"/>
  <c r="J59" i="37"/>
  <c r="J43" i="37"/>
  <c r="J24" i="37"/>
  <c r="J25" i="37"/>
  <c r="J23" i="37"/>
  <c r="J60" i="37"/>
  <c r="J26" i="37"/>
  <c r="J27" i="37"/>
  <c r="J28" i="37"/>
  <c r="J29" i="37"/>
  <c r="J30" i="37"/>
  <c r="J31" i="37"/>
  <c r="J37" i="37"/>
  <c r="J34" i="37"/>
  <c r="J36" i="37"/>
  <c r="J32" i="37"/>
  <c r="J33" i="37"/>
  <c r="V35" i="37"/>
  <c r="K21" i="37"/>
  <c r="K22" i="37"/>
  <c r="K47" i="37"/>
  <c r="K48" i="37"/>
  <c r="K49" i="37"/>
  <c r="K50" i="37"/>
  <c r="K51" i="37"/>
  <c r="K52" i="37"/>
  <c r="K53" i="37"/>
  <c r="K54" i="37"/>
  <c r="K44" i="37"/>
  <c r="K45" i="37"/>
  <c r="K46" i="37"/>
  <c r="K55" i="37"/>
  <c r="K56" i="37"/>
  <c r="K57" i="37"/>
  <c r="K58" i="37"/>
  <c r="K59" i="37"/>
  <c r="K43" i="37"/>
  <c r="K24" i="37"/>
  <c r="K25" i="37"/>
  <c r="K23" i="37"/>
  <c r="K60" i="37"/>
  <c r="K26" i="37"/>
  <c r="K27" i="37"/>
  <c r="K28" i="37"/>
  <c r="K29" i="37"/>
  <c r="K30" i="37"/>
  <c r="K31" i="37"/>
  <c r="K37" i="37"/>
  <c r="K34" i="37"/>
  <c r="K36" i="37"/>
  <c r="K32" i="37"/>
  <c r="K33" i="37"/>
  <c r="T35" i="37"/>
  <c r="T36" i="37"/>
  <c r="U36" i="37"/>
  <c r="V36" i="37"/>
  <c r="T34" i="37"/>
  <c r="U35" i="37"/>
  <c r="U34" i="37"/>
  <c r="V33" i="37"/>
  <c r="M21" i="37"/>
  <c r="N21" i="37"/>
  <c r="O21" i="37"/>
  <c r="O22" i="37"/>
  <c r="O49" i="37"/>
  <c r="O47" i="37"/>
  <c r="O48" i="37"/>
  <c r="O50" i="37"/>
  <c r="O51" i="37"/>
  <c r="O52" i="37"/>
  <c r="O53" i="37"/>
  <c r="O54" i="37"/>
  <c r="O44" i="37"/>
  <c r="O45" i="37"/>
  <c r="O46" i="37"/>
  <c r="O55" i="37"/>
  <c r="O57" i="37"/>
  <c r="O56" i="37"/>
  <c r="O58" i="37"/>
  <c r="O59" i="37"/>
  <c r="O60" i="37"/>
  <c r="O43" i="37"/>
  <c r="O24" i="37"/>
  <c r="O25" i="37"/>
  <c r="N22" i="37"/>
  <c r="N49" i="37"/>
  <c r="N47" i="37"/>
  <c r="N48" i="37"/>
  <c r="N50" i="37"/>
  <c r="N51" i="37"/>
  <c r="N52" i="37"/>
  <c r="N53" i="37"/>
  <c r="N54" i="37"/>
  <c r="N44" i="37"/>
  <c r="N45" i="37"/>
  <c r="N46" i="37"/>
  <c r="N55" i="37"/>
  <c r="N57" i="37"/>
  <c r="N56" i="37"/>
  <c r="N58" i="37"/>
  <c r="N59" i="37"/>
  <c r="N60" i="37"/>
  <c r="N43" i="37"/>
  <c r="N24" i="37"/>
  <c r="N25" i="37"/>
  <c r="M22" i="37"/>
  <c r="M49" i="37"/>
  <c r="M47" i="37"/>
  <c r="M48" i="37"/>
  <c r="M50" i="37"/>
  <c r="M51" i="37"/>
  <c r="M52" i="37"/>
  <c r="M53" i="37"/>
  <c r="M54" i="37"/>
  <c r="M44" i="37"/>
  <c r="M45" i="37"/>
  <c r="M46" i="37"/>
  <c r="M55" i="37"/>
  <c r="M57" i="37"/>
  <c r="M56" i="37"/>
  <c r="M58" i="37"/>
  <c r="M59" i="37"/>
  <c r="M60" i="37"/>
  <c r="M43" i="37"/>
  <c r="M24" i="37"/>
  <c r="M25" i="37"/>
  <c r="L21" i="37"/>
  <c r="L22" i="37"/>
  <c r="L49" i="37"/>
  <c r="L47" i="37"/>
  <c r="L48" i="37"/>
  <c r="L50" i="37"/>
  <c r="L51" i="37"/>
  <c r="L52" i="37"/>
  <c r="L53" i="37"/>
  <c r="L54" i="37"/>
  <c r="L44" i="37"/>
  <c r="L45" i="37"/>
  <c r="L46" i="37"/>
  <c r="L55" i="37"/>
  <c r="L57" i="37"/>
  <c r="L56" i="37"/>
  <c r="L58" i="37"/>
  <c r="L59" i="37"/>
  <c r="L60" i="37"/>
  <c r="L43" i="37"/>
  <c r="L24" i="37"/>
  <c r="L25" i="37"/>
  <c r="H21" i="37"/>
  <c r="H22" i="37"/>
  <c r="H47" i="37"/>
  <c r="H48" i="37"/>
  <c r="H49" i="37"/>
  <c r="H50" i="37"/>
  <c r="H51" i="37"/>
  <c r="H52" i="37"/>
  <c r="H53" i="37"/>
  <c r="H54" i="37"/>
  <c r="H44" i="37"/>
  <c r="H45" i="37"/>
  <c r="H46" i="37"/>
  <c r="H55" i="37"/>
  <c r="H56" i="37"/>
  <c r="H57" i="37"/>
  <c r="H58" i="37"/>
  <c r="H59" i="37"/>
  <c r="H43" i="37"/>
  <c r="H24" i="37"/>
  <c r="H25" i="37"/>
  <c r="G21" i="37"/>
  <c r="G22" i="37"/>
  <c r="G47" i="37"/>
  <c r="G48" i="37"/>
  <c r="G49" i="37"/>
  <c r="G50" i="37"/>
  <c r="G51" i="37"/>
  <c r="G52" i="37"/>
  <c r="G53" i="37"/>
  <c r="G54" i="37"/>
  <c r="G44" i="37"/>
  <c r="G45" i="37"/>
  <c r="G46" i="37"/>
  <c r="G55" i="37"/>
  <c r="G56" i="37"/>
  <c r="G57" i="37"/>
  <c r="G58" i="37"/>
  <c r="G59" i="37"/>
  <c r="G43" i="37"/>
  <c r="G24" i="37"/>
  <c r="G25" i="37"/>
  <c r="F21" i="37"/>
  <c r="F22" i="37"/>
  <c r="F47" i="37"/>
  <c r="F48" i="37"/>
  <c r="F49" i="37"/>
  <c r="F50" i="37"/>
  <c r="F51" i="37"/>
  <c r="F52" i="37"/>
  <c r="F53" i="37"/>
  <c r="F54" i="37"/>
  <c r="F44" i="37"/>
  <c r="F45" i="37"/>
  <c r="F46" i="37"/>
  <c r="F55" i="37"/>
  <c r="F56" i="37"/>
  <c r="F57" i="37"/>
  <c r="F58" i="37"/>
  <c r="F59" i="37"/>
  <c r="F43" i="37"/>
  <c r="F24" i="37"/>
  <c r="F25" i="37"/>
  <c r="E21" i="37"/>
  <c r="E22" i="37"/>
  <c r="E47" i="37"/>
  <c r="E48" i="37"/>
  <c r="E49" i="37"/>
  <c r="E50" i="37"/>
  <c r="E51" i="37"/>
  <c r="E52" i="37"/>
  <c r="E53" i="37"/>
  <c r="E54" i="37"/>
  <c r="E44" i="37"/>
  <c r="E45" i="37"/>
  <c r="E46" i="37"/>
  <c r="E55" i="37"/>
  <c r="E56" i="37"/>
  <c r="E57" i="37"/>
  <c r="E58" i="37"/>
  <c r="E59" i="37"/>
  <c r="E43" i="37"/>
  <c r="E24" i="37"/>
  <c r="E25" i="37"/>
  <c r="D21" i="37"/>
  <c r="D22" i="37"/>
  <c r="D47" i="37"/>
  <c r="D48" i="37"/>
  <c r="D49" i="37"/>
  <c r="D50" i="37"/>
  <c r="D51" i="37"/>
  <c r="D52" i="37"/>
  <c r="D53" i="37"/>
  <c r="D54" i="37"/>
  <c r="D44" i="37"/>
  <c r="D45" i="37"/>
  <c r="D46" i="37"/>
  <c r="D55" i="37"/>
  <c r="D56" i="37"/>
  <c r="D57" i="37"/>
  <c r="D58" i="37"/>
  <c r="D59" i="37"/>
  <c r="D43" i="37"/>
  <c r="D24" i="37"/>
  <c r="D25" i="37"/>
  <c r="C21" i="37"/>
  <c r="C22" i="37"/>
  <c r="C47" i="37"/>
  <c r="C48" i="37"/>
  <c r="C49" i="37"/>
  <c r="C50" i="37"/>
  <c r="C51" i="37"/>
  <c r="C52" i="37"/>
  <c r="C53" i="37"/>
  <c r="C54" i="37"/>
  <c r="C44" i="37"/>
  <c r="C45" i="37"/>
  <c r="C46" i="37"/>
  <c r="C55" i="37"/>
  <c r="C56" i="37"/>
  <c r="C57" i="37"/>
  <c r="C58" i="37"/>
  <c r="C59" i="37"/>
  <c r="C43" i="37"/>
  <c r="C24" i="37"/>
  <c r="C25" i="37"/>
  <c r="P22" i="11"/>
  <c r="C4" i="11"/>
  <c r="C7" i="11"/>
  <c r="C13" i="11"/>
  <c r="P47" i="11"/>
  <c r="C5" i="11"/>
  <c r="C6" i="11"/>
  <c r="C11" i="11"/>
  <c r="C10" i="11"/>
  <c r="C12" i="11"/>
  <c r="P48" i="11"/>
  <c r="P50" i="11"/>
  <c r="P51" i="11"/>
  <c r="P52" i="11"/>
  <c r="P53" i="11"/>
  <c r="P54" i="11"/>
  <c r="P44" i="11"/>
  <c r="P45" i="11"/>
  <c r="P46" i="11"/>
  <c r="P55" i="11"/>
  <c r="P56" i="11"/>
  <c r="P57" i="11"/>
  <c r="P58" i="11"/>
  <c r="P59" i="11"/>
  <c r="P24" i="11"/>
  <c r="P25" i="11"/>
  <c r="P10" i="11"/>
  <c r="K21" i="11"/>
  <c r="I21" i="11"/>
  <c r="I22" i="11"/>
  <c r="I47" i="11"/>
  <c r="I48" i="11"/>
  <c r="I49" i="11"/>
  <c r="I50" i="11"/>
  <c r="I51" i="11"/>
  <c r="I52" i="11"/>
  <c r="I53" i="11"/>
  <c r="I54" i="11"/>
  <c r="I44" i="11"/>
  <c r="I45" i="11"/>
  <c r="I46" i="11"/>
  <c r="I55" i="11"/>
  <c r="I56" i="11"/>
  <c r="I57" i="11"/>
  <c r="I58" i="11"/>
  <c r="I59" i="11"/>
  <c r="I43" i="11"/>
  <c r="I24" i="11"/>
  <c r="I25" i="11"/>
  <c r="I23" i="11"/>
  <c r="I60" i="11"/>
  <c r="C17" i="11"/>
  <c r="I26" i="11"/>
  <c r="C27" i="11"/>
  <c r="I27" i="11"/>
  <c r="I28" i="11"/>
  <c r="I29" i="11"/>
  <c r="C8" i="11"/>
  <c r="C9" i="11"/>
  <c r="I30" i="11"/>
  <c r="I31" i="11"/>
  <c r="G69" i="11"/>
  <c r="C18" i="11"/>
  <c r="E66" i="11"/>
  <c r="E61" i="11"/>
  <c r="E62" i="11"/>
  <c r="E63" i="11"/>
  <c r="E64" i="11"/>
  <c r="E68" i="11"/>
  <c r="K4" i="11"/>
  <c r="G68" i="11"/>
  <c r="C66" i="11"/>
  <c r="C67" i="11"/>
  <c r="C61" i="11"/>
  <c r="C62" i="11"/>
  <c r="C63" i="11"/>
  <c r="C64" i="11"/>
  <c r="C65" i="11"/>
  <c r="C68" i="11"/>
  <c r="K3" i="11"/>
  <c r="I37" i="11"/>
  <c r="I34" i="11"/>
  <c r="K18" i="11"/>
  <c r="K17" i="11"/>
  <c r="I36" i="11"/>
  <c r="J6" i="11"/>
  <c r="K5" i="11"/>
  <c r="I32" i="11"/>
  <c r="I33" i="11"/>
  <c r="U33" i="11"/>
  <c r="V34" i="11"/>
  <c r="J21" i="11"/>
  <c r="J22" i="11"/>
  <c r="J47" i="11"/>
  <c r="J48" i="11"/>
  <c r="J49" i="11"/>
  <c r="J50" i="11"/>
  <c r="J51" i="11"/>
  <c r="J52" i="11"/>
  <c r="J53" i="11"/>
  <c r="J54" i="11"/>
  <c r="J44" i="11"/>
  <c r="J45" i="11"/>
  <c r="J46" i="11"/>
  <c r="J55" i="11"/>
  <c r="J56" i="11"/>
  <c r="J57" i="11"/>
  <c r="J58" i="11"/>
  <c r="J59" i="11"/>
  <c r="J43" i="11"/>
  <c r="J24" i="11"/>
  <c r="J25" i="11"/>
  <c r="J23" i="11"/>
  <c r="J60" i="11"/>
  <c r="J26" i="11"/>
  <c r="J27" i="11"/>
  <c r="J28" i="11"/>
  <c r="J29" i="11"/>
  <c r="J30" i="11"/>
  <c r="J31" i="11"/>
  <c r="J37" i="11"/>
  <c r="J34" i="11"/>
  <c r="J36" i="11"/>
  <c r="J32" i="11"/>
  <c r="J33" i="11"/>
  <c r="V35" i="11"/>
  <c r="K22" i="11"/>
  <c r="K47" i="11"/>
  <c r="K48" i="11"/>
  <c r="K49" i="11"/>
  <c r="K50" i="11"/>
  <c r="K51" i="11"/>
  <c r="K52" i="11"/>
  <c r="K53" i="11"/>
  <c r="K54" i="11"/>
  <c r="K44" i="11"/>
  <c r="K45" i="11"/>
  <c r="K46" i="11"/>
  <c r="K55" i="11"/>
  <c r="K56" i="11"/>
  <c r="K57" i="11"/>
  <c r="K58" i="11"/>
  <c r="K59" i="11"/>
  <c r="K43" i="11"/>
  <c r="K24" i="11"/>
  <c r="K25" i="11"/>
  <c r="K23" i="11"/>
  <c r="K60" i="11"/>
  <c r="K26" i="11"/>
  <c r="K27" i="11"/>
  <c r="K28" i="11"/>
  <c r="K29" i="11"/>
  <c r="K30" i="11"/>
  <c r="K31" i="11"/>
  <c r="K37" i="11"/>
  <c r="K34" i="11"/>
  <c r="K36" i="11"/>
  <c r="K32" i="11"/>
  <c r="K33" i="11"/>
  <c r="T35" i="11"/>
  <c r="T36" i="11"/>
  <c r="U36" i="11"/>
  <c r="V36" i="11"/>
  <c r="T34" i="11"/>
  <c r="U35" i="11"/>
  <c r="U34" i="11"/>
  <c r="V33" i="11"/>
  <c r="M21" i="11"/>
  <c r="N21" i="11"/>
  <c r="O21" i="11"/>
  <c r="O22" i="11"/>
  <c r="O49" i="11"/>
  <c r="O47" i="11"/>
  <c r="O48" i="11"/>
  <c r="O50" i="11"/>
  <c r="O51" i="11"/>
  <c r="O52" i="11"/>
  <c r="O53" i="11"/>
  <c r="O54" i="11"/>
  <c r="O44" i="11"/>
  <c r="O45" i="11"/>
  <c r="O46" i="11"/>
  <c r="O55" i="11"/>
  <c r="O57" i="11"/>
  <c r="O56" i="11"/>
  <c r="O58" i="11"/>
  <c r="O59" i="11"/>
  <c r="O60" i="11"/>
  <c r="O43" i="11"/>
  <c r="O24" i="11"/>
  <c r="O25" i="11"/>
  <c r="N22" i="11"/>
  <c r="N49" i="11"/>
  <c r="N47" i="11"/>
  <c r="N48" i="11"/>
  <c r="N50" i="11"/>
  <c r="N51" i="11"/>
  <c r="N52" i="11"/>
  <c r="N53" i="11"/>
  <c r="N54" i="11"/>
  <c r="N44" i="11"/>
  <c r="N45" i="11"/>
  <c r="N46" i="11"/>
  <c r="N55" i="11"/>
  <c r="N57" i="11"/>
  <c r="N56" i="11"/>
  <c r="N58" i="11"/>
  <c r="N59" i="11"/>
  <c r="N60" i="11"/>
  <c r="N43" i="11"/>
  <c r="N24" i="11"/>
  <c r="N25" i="11"/>
  <c r="M22" i="11"/>
  <c r="M49" i="11"/>
  <c r="M47" i="11"/>
  <c r="M48" i="11"/>
  <c r="M50" i="11"/>
  <c r="M51" i="11"/>
  <c r="M52" i="11"/>
  <c r="M53" i="11"/>
  <c r="M54" i="11"/>
  <c r="M44" i="11"/>
  <c r="M45" i="11"/>
  <c r="M46" i="11"/>
  <c r="M55" i="11"/>
  <c r="M57" i="11"/>
  <c r="M56" i="11"/>
  <c r="M58" i="11"/>
  <c r="M59" i="11"/>
  <c r="M60" i="11"/>
  <c r="M43" i="11"/>
  <c r="M24" i="11"/>
  <c r="M25" i="11"/>
  <c r="L21" i="11"/>
  <c r="L22" i="11"/>
  <c r="L49" i="11"/>
  <c r="L47" i="11"/>
  <c r="L48" i="11"/>
  <c r="L50" i="11"/>
  <c r="L51" i="11"/>
  <c r="L52" i="11"/>
  <c r="L53" i="11"/>
  <c r="L54" i="11"/>
  <c r="L44" i="11"/>
  <c r="L45" i="11"/>
  <c r="L46" i="11"/>
  <c r="L55" i="11"/>
  <c r="L57" i="11"/>
  <c r="L56" i="11"/>
  <c r="L58" i="11"/>
  <c r="L59" i="11"/>
  <c r="L60" i="11"/>
  <c r="L43" i="11"/>
  <c r="L24" i="11"/>
  <c r="L25" i="11"/>
  <c r="H21" i="11"/>
  <c r="H22" i="11"/>
  <c r="H47" i="11"/>
  <c r="H48" i="11"/>
  <c r="H49" i="11"/>
  <c r="H50" i="11"/>
  <c r="H51" i="11"/>
  <c r="H52" i="11"/>
  <c r="H53" i="11"/>
  <c r="H54" i="11"/>
  <c r="H44" i="11"/>
  <c r="H45" i="11"/>
  <c r="H46" i="11"/>
  <c r="H55" i="11"/>
  <c r="H56" i="11"/>
  <c r="H57" i="11"/>
  <c r="H58" i="11"/>
  <c r="H59" i="11"/>
  <c r="H43" i="11"/>
  <c r="H24" i="11"/>
  <c r="H25" i="11"/>
  <c r="G21" i="11"/>
  <c r="G22" i="11"/>
  <c r="G47" i="11"/>
  <c r="G48" i="11"/>
  <c r="G49" i="11"/>
  <c r="G50" i="11"/>
  <c r="G51" i="11"/>
  <c r="G52" i="11"/>
  <c r="G53" i="11"/>
  <c r="G54" i="11"/>
  <c r="G44" i="11"/>
  <c r="G45" i="11"/>
  <c r="G46" i="11"/>
  <c r="G55" i="11"/>
  <c r="G56" i="11"/>
  <c r="G57" i="11"/>
  <c r="G58" i="11"/>
  <c r="G59" i="11"/>
  <c r="G43" i="11"/>
  <c r="G24" i="11"/>
  <c r="G25" i="11"/>
  <c r="F21" i="11"/>
  <c r="F22" i="11"/>
  <c r="F47" i="11"/>
  <c r="F48" i="11"/>
  <c r="F49" i="11"/>
  <c r="F50" i="11"/>
  <c r="F51" i="11"/>
  <c r="F52" i="11"/>
  <c r="F53" i="11"/>
  <c r="F54" i="11"/>
  <c r="F44" i="11"/>
  <c r="F45" i="11"/>
  <c r="F46" i="11"/>
  <c r="F55" i="11"/>
  <c r="F56" i="11"/>
  <c r="F57" i="11"/>
  <c r="F58" i="11"/>
  <c r="F59" i="11"/>
  <c r="F43" i="11"/>
  <c r="F24" i="11"/>
  <c r="F25" i="11"/>
  <c r="E21" i="11"/>
  <c r="E22" i="11"/>
  <c r="E47" i="11"/>
  <c r="E48" i="11"/>
  <c r="E49" i="11"/>
  <c r="E50" i="11"/>
  <c r="E51" i="11"/>
  <c r="E52" i="11"/>
  <c r="E53" i="11"/>
  <c r="E54" i="11"/>
  <c r="E44" i="11"/>
  <c r="E45" i="11"/>
  <c r="E46" i="11"/>
  <c r="E55" i="11"/>
  <c r="E56" i="11"/>
  <c r="E57" i="11"/>
  <c r="E58" i="11"/>
  <c r="E59" i="11"/>
  <c r="E43" i="11"/>
  <c r="E24" i="11"/>
  <c r="E25" i="11"/>
  <c r="D21" i="11"/>
  <c r="D22" i="11"/>
  <c r="D47" i="11"/>
  <c r="D48" i="11"/>
  <c r="D49" i="11"/>
  <c r="D50" i="11"/>
  <c r="D51" i="11"/>
  <c r="D52" i="11"/>
  <c r="D53" i="11"/>
  <c r="D54" i="11"/>
  <c r="D44" i="11"/>
  <c r="D45" i="11"/>
  <c r="D46" i="11"/>
  <c r="D55" i="11"/>
  <c r="D56" i="11"/>
  <c r="D57" i="11"/>
  <c r="D58" i="11"/>
  <c r="D59" i="11"/>
  <c r="D43" i="11"/>
  <c r="D24" i="11"/>
  <c r="D25" i="11"/>
  <c r="C21" i="11"/>
  <c r="C22" i="11"/>
  <c r="C47" i="11"/>
  <c r="C48" i="11"/>
  <c r="C49" i="11"/>
  <c r="C50" i="11"/>
  <c r="C51" i="11"/>
  <c r="C52" i="11"/>
  <c r="C53" i="11"/>
  <c r="C54" i="11"/>
  <c r="C44" i="11"/>
  <c r="C45" i="11"/>
  <c r="C46" i="11"/>
  <c r="C55" i="11"/>
  <c r="C56" i="11"/>
  <c r="C57" i="11"/>
  <c r="C58" i="11"/>
  <c r="C59" i="11"/>
  <c r="C43" i="11"/>
  <c r="C24" i="11"/>
  <c r="C25" i="11"/>
  <c r="C4" i="36"/>
  <c r="D91" i="4"/>
  <c r="D92" i="4"/>
  <c r="C7" i="36"/>
  <c r="C13" i="36"/>
  <c r="P47" i="36"/>
  <c r="C5" i="36"/>
  <c r="D94" i="4"/>
  <c r="D95" i="4"/>
  <c r="C6" i="36"/>
  <c r="C11" i="36"/>
  <c r="C10" i="36"/>
  <c r="C12" i="36"/>
  <c r="P48" i="36"/>
  <c r="P22" i="36"/>
  <c r="P49" i="36"/>
  <c r="P50" i="36"/>
  <c r="P51" i="36"/>
  <c r="P52" i="36"/>
  <c r="P53" i="36"/>
  <c r="P54" i="36"/>
  <c r="P44" i="36"/>
  <c r="P45" i="36"/>
  <c r="P46" i="36"/>
  <c r="P55" i="36"/>
  <c r="P56" i="36"/>
  <c r="P57" i="36"/>
  <c r="P58" i="36"/>
  <c r="P59" i="36"/>
  <c r="P60" i="36"/>
  <c r="P24" i="36"/>
  <c r="P25" i="36"/>
  <c r="P10" i="36"/>
  <c r="J21" i="36"/>
  <c r="I21" i="36"/>
  <c r="I22" i="36"/>
  <c r="I47" i="36"/>
  <c r="I48" i="36"/>
  <c r="I49" i="36"/>
  <c r="I50" i="36"/>
  <c r="I51" i="36"/>
  <c r="I52" i="36"/>
  <c r="I53" i="36"/>
  <c r="I54" i="36"/>
  <c r="I44" i="36"/>
  <c r="I45" i="36"/>
  <c r="I46" i="36"/>
  <c r="I55" i="36"/>
  <c r="I56" i="36"/>
  <c r="I57" i="36"/>
  <c r="I58" i="36"/>
  <c r="I59" i="36"/>
  <c r="I60" i="36"/>
  <c r="I43" i="36"/>
  <c r="I24" i="36"/>
  <c r="I25" i="36"/>
  <c r="I23" i="36"/>
  <c r="C17" i="36"/>
  <c r="I26" i="36"/>
  <c r="C27" i="36"/>
  <c r="I27" i="36"/>
  <c r="I28" i="36"/>
  <c r="I29" i="36"/>
  <c r="D96" i="4"/>
  <c r="C8" i="36"/>
  <c r="C9" i="36"/>
  <c r="I30" i="36"/>
  <c r="I31" i="36"/>
  <c r="E61" i="36"/>
  <c r="E62" i="36"/>
  <c r="E63" i="36"/>
  <c r="E64" i="36"/>
  <c r="C18" i="36"/>
  <c r="E66" i="36"/>
  <c r="E65" i="36"/>
  <c r="E68" i="36"/>
  <c r="K4" i="36"/>
  <c r="C61" i="36"/>
  <c r="C62" i="36"/>
  <c r="C63" i="36"/>
  <c r="C64" i="36"/>
  <c r="C65" i="36"/>
  <c r="C66" i="36"/>
  <c r="C67" i="36"/>
  <c r="C68" i="36"/>
  <c r="K3" i="36"/>
  <c r="I37" i="36"/>
  <c r="I34" i="36"/>
  <c r="K18" i="36"/>
  <c r="K17" i="36"/>
  <c r="I36" i="36"/>
  <c r="J6" i="36"/>
  <c r="K5" i="36"/>
  <c r="I32" i="36"/>
  <c r="I33" i="36"/>
  <c r="K63" i="8"/>
  <c r="E68" i="8"/>
  <c r="U33" i="36"/>
  <c r="V34" i="36"/>
  <c r="J22" i="36"/>
  <c r="J47" i="36"/>
  <c r="J48" i="36"/>
  <c r="J49" i="36"/>
  <c r="J50" i="36"/>
  <c r="J51" i="36"/>
  <c r="J52" i="36"/>
  <c r="J53" i="36"/>
  <c r="J54" i="36"/>
  <c r="J44" i="36"/>
  <c r="J45" i="36"/>
  <c r="J46" i="36"/>
  <c r="J55" i="36"/>
  <c r="J56" i="36"/>
  <c r="J57" i="36"/>
  <c r="J58" i="36"/>
  <c r="J59" i="36"/>
  <c r="J60" i="36"/>
  <c r="J43" i="36"/>
  <c r="J24" i="36"/>
  <c r="J25" i="36"/>
  <c r="J23" i="36"/>
  <c r="J26" i="36"/>
  <c r="J27" i="36"/>
  <c r="J28" i="36"/>
  <c r="J29" i="36"/>
  <c r="J30" i="36"/>
  <c r="J31" i="36"/>
  <c r="J37" i="36"/>
  <c r="J34" i="36"/>
  <c r="J36" i="36"/>
  <c r="J32" i="36"/>
  <c r="J33" i="36"/>
  <c r="V35" i="36"/>
  <c r="K21" i="36"/>
  <c r="K22" i="36"/>
  <c r="K47" i="36"/>
  <c r="K48" i="36"/>
  <c r="K49" i="36"/>
  <c r="K50" i="36"/>
  <c r="K51" i="36"/>
  <c r="K52" i="36"/>
  <c r="K53" i="36"/>
  <c r="K54" i="36"/>
  <c r="K44" i="36"/>
  <c r="K45" i="36"/>
  <c r="K46" i="36"/>
  <c r="K55" i="36"/>
  <c r="K56" i="36"/>
  <c r="K57" i="36"/>
  <c r="K58" i="36"/>
  <c r="K59" i="36"/>
  <c r="K60" i="36"/>
  <c r="K43" i="36"/>
  <c r="K24" i="36"/>
  <c r="K25" i="36"/>
  <c r="K23" i="36"/>
  <c r="K26" i="36"/>
  <c r="K27" i="36"/>
  <c r="K28" i="36"/>
  <c r="K29" i="36"/>
  <c r="K30" i="36"/>
  <c r="K31" i="36"/>
  <c r="K37" i="36"/>
  <c r="K34" i="36"/>
  <c r="K36" i="36"/>
  <c r="K32" i="36"/>
  <c r="K33" i="36"/>
  <c r="T35" i="36"/>
  <c r="T36" i="36"/>
  <c r="U36" i="36"/>
  <c r="V36" i="36"/>
  <c r="T34" i="36"/>
  <c r="U35" i="36"/>
  <c r="U34" i="36"/>
  <c r="V33" i="36"/>
  <c r="M21" i="36"/>
  <c r="N21" i="36"/>
  <c r="O21" i="36"/>
  <c r="O22" i="36"/>
  <c r="O49" i="36"/>
  <c r="O47" i="36"/>
  <c r="O48" i="36"/>
  <c r="O50" i="36"/>
  <c r="O51" i="36"/>
  <c r="O52" i="36"/>
  <c r="O53" i="36"/>
  <c r="O54" i="36"/>
  <c r="O44" i="36"/>
  <c r="O45" i="36"/>
  <c r="O46" i="36"/>
  <c r="O55" i="36"/>
  <c r="O57" i="36"/>
  <c r="O56" i="36"/>
  <c r="O58" i="36"/>
  <c r="O59" i="36"/>
  <c r="O60" i="36"/>
  <c r="O43" i="36"/>
  <c r="O24" i="36"/>
  <c r="O25" i="36"/>
  <c r="N22" i="36"/>
  <c r="N49" i="36"/>
  <c r="N47" i="36"/>
  <c r="N48" i="36"/>
  <c r="N50" i="36"/>
  <c r="N51" i="36"/>
  <c r="N52" i="36"/>
  <c r="N53" i="36"/>
  <c r="N54" i="36"/>
  <c r="N44" i="36"/>
  <c r="N45" i="36"/>
  <c r="N46" i="36"/>
  <c r="N55" i="36"/>
  <c r="N57" i="36"/>
  <c r="N56" i="36"/>
  <c r="N58" i="36"/>
  <c r="N59" i="36"/>
  <c r="N60" i="36"/>
  <c r="N43" i="36"/>
  <c r="N24" i="36"/>
  <c r="N25" i="36"/>
  <c r="M22" i="36"/>
  <c r="M49" i="36"/>
  <c r="M47" i="36"/>
  <c r="M48" i="36"/>
  <c r="M50" i="36"/>
  <c r="M51" i="36"/>
  <c r="M52" i="36"/>
  <c r="M53" i="36"/>
  <c r="M54" i="36"/>
  <c r="M44" i="36"/>
  <c r="M45" i="36"/>
  <c r="M46" i="36"/>
  <c r="M55" i="36"/>
  <c r="M57" i="36"/>
  <c r="M56" i="36"/>
  <c r="M58" i="36"/>
  <c r="M59" i="36"/>
  <c r="M60" i="36"/>
  <c r="M43" i="36"/>
  <c r="M24" i="36"/>
  <c r="M25" i="36"/>
  <c r="L21" i="36"/>
  <c r="L22" i="36"/>
  <c r="L49" i="36"/>
  <c r="L47" i="36"/>
  <c r="L48" i="36"/>
  <c r="L50" i="36"/>
  <c r="L51" i="36"/>
  <c r="L52" i="36"/>
  <c r="L53" i="36"/>
  <c r="L54" i="36"/>
  <c r="L44" i="36"/>
  <c r="L45" i="36"/>
  <c r="L46" i="36"/>
  <c r="L55" i="36"/>
  <c r="L57" i="36"/>
  <c r="L56" i="36"/>
  <c r="L58" i="36"/>
  <c r="L59" i="36"/>
  <c r="L60" i="36"/>
  <c r="L43" i="36"/>
  <c r="L24" i="36"/>
  <c r="L25" i="36"/>
  <c r="H21" i="36"/>
  <c r="H22" i="36"/>
  <c r="H47" i="36"/>
  <c r="H48" i="36"/>
  <c r="H49" i="36"/>
  <c r="H50" i="36"/>
  <c r="H51" i="36"/>
  <c r="H52" i="36"/>
  <c r="H53" i="36"/>
  <c r="H54" i="36"/>
  <c r="H44" i="36"/>
  <c r="H45" i="36"/>
  <c r="H46" i="36"/>
  <c r="H55" i="36"/>
  <c r="H56" i="36"/>
  <c r="H57" i="36"/>
  <c r="H58" i="36"/>
  <c r="H59" i="36"/>
  <c r="H60" i="36"/>
  <c r="H43" i="36"/>
  <c r="H24" i="36"/>
  <c r="H25" i="36"/>
  <c r="G21" i="36"/>
  <c r="G22" i="36"/>
  <c r="G47" i="36"/>
  <c r="G48" i="36"/>
  <c r="G49" i="36"/>
  <c r="G50" i="36"/>
  <c r="G51" i="36"/>
  <c r="G52" i="36"/>
  <c r="G53" i="36"/>
  <c r="G54" i="36"/>
  <c r="G44" i="36"/>
  <c r="G45" i="36"/>
  <c r="G46" i="36"/>
  <c r="G55" i="36"/>
  <c r="G56" i="36"/>
  <c r="G57" i="36"/>
  <c r="G58" i="36"/>
  <c r="G59" i="36"/>
  <c r="G60" i="36"/>
  <c r="G43" i="36"/>
  <c r="G24" i="36"/>
  <c r="G25" i="36"/>
  <c r="F21" i="36"/>
  <c r="F22" i="36"/>
  <c r="F47" i="36"/>
  <c r="F48" i="36"/>
  <c r="F49" i="36"/>
  <c r="F50" i="36"/>
  <c r="F51" i="36"/>
  <c r="F52" i="36"/>
  <c r="F53" i="36"/>
  <c r="F54" i="36"/>
  <c r="F44" i="36"/>
  <c r="F45" i="36"/>
  <c r="F46" i="36"/>
  <c r="F55" i="36"/>
  <c r="F56" i="36"/>
  <c r="F57" i="36"/>
  <c r="F58" i="36"/>
  <c r="F59" i="36"/>
  <c r="F60" i="36"/>
  <c r="F43" i="36"/>
  <c r="F24" i="36"/>
  <c r="F25" i="36"/>
  <c r="E21" i="36"/>
  <c r="E22" i="36"/>
  <c r="E47" i="36"/>
  <c r="E48" i="36"/>
  <c r="E49" i="36"/>
  <c r="E50" i="36"/>
  <c r="E51" i="36"/>
  <c r="E52" i="36"/>
  <c r="E53" i="36"/>
  <c r="E54" i="36"/>
  <c r="E44" i="36"/>
  <c r="E45" i="36"/>
  <c r="E46" i="36"/>
  <c r="E55" i="36"/>
  <c r="E56" i="36"/>
  <c r="E57" i="36"/>
  <c r="E58" i="36"/>
  <c r="E59" i="36"/>
  <c r="E60" i="36"/>
  <c r="E43" i="36"/>
  <c r="E24" i="36"/>
  <c r="E25" i="36"/>
  <c r="D21" i="36"/>
  <c r="D22" i="36"/>
  <c r="D47" i="36"/>
  <c r="D48" i="36"/>
  <c r="D49" i="36"/>
  <c r="D50" i="36"/>
  <c r="D51" i="36"/>
  <c r="D52" i="36"/>
  <c r="D53" i="36"/>
  <c r="D54" i="36"/>
  <c r="D44" i="36"/>
  <c r="D45" i="36"/>
  <c r="D46" i="36"/>
  <c r="D55" i="36"/>
  <c r="D56" i="36"/>
  <c r="D57" i="36"/>
  <c r="D58" i="36"/>
  <c r="D59" i="36"/>
  <c r="D60" i="36"/>
  <c r="D43" i="36"/>
  <c r="D24" i="36"/>
  <c r="D25" i="36"/>
  <c r="C21" i="36"/>
  <c r="C22" i="36"/>
  <c r="C47" i="36"/>
  <c r="C48" i="36"/>
  <c r="C49" i="36"/>
  <c r="C50" i="36"/>
  <c r="C51" i="36"/>
  <c r="C52" i="36"/>
  <c r="C53" i="36"/>
  <c r="C54" i="36"/>
  <c r="C44" i="36"/>
  <c r="C45" i="36"/>
  <c r="C46" i="36"/>
  <c r="C55" i="36"/>
  <c r="C56" i="36"/>
  <c r="C57" i="36"/>
  <c r="C58" i="36"/>
  <c r="C59" i="36"/>
  <c r="C60" i="36"/>
  <c r="C43" i="36"/>
  <c r="C24" i="36"/>
  <c r="C25" i="36"/>
  <c r="C4" i="9"/>
  <c r="C7" i="9"/>
  <c r="C13" i="9"/>
  <c r="P47" i="9"/>
  <c r="C5" i="9"/>
  <c r="C6" i="9"/>
  <c r="C11" i="9"/>
  <c r="C10" i="9"/>
  <c r="C12" i="9"/>
  <c r="P48" i="9"/>
  <c r="P22" i="9"/>
  <c r="P49" i="9"/>
  <c r="P50" i="9"/>
  <c r="P51" i="9"/>
  <c r="P52" i="9"/>
  <c r="P53" i="9"/>
  <c r="P54" i="9"/>
  <c r="P44" i="9"/>
  <c r="P45" i="9"/>
  <c r="P46" i="9"/>
  <c r="P55" i="9"/>
  <c r="P56" i="9"/>
  <c r="P57" i="9"/>
  <c r="P58" i="9"/>
  <c r="P59" i="9"/>
  <c r="P60" i="9"/>
  <c r="P24" i="9"/>
  <c r="P25" i="9"/>
  <c r="P10" i="9"/>
  <c r="K21" i="9"/>
  <c r="I21" i="9"/>
  <c r="I22" i="9"/>
  <c r="I47" i="9"/>
  <c r="I48" i="9"/>
  <c r="I49" i="9"/>
  <c r="I50" i="9"/>
  <c r="I51" i="9"/>
  <c r="I52" i="9"/>
  <c r="I53" i="9"/>
  <c r="I54" i="9"/>
  <c r="I44" i="9"/>
  <c r="I45" i="9"/>
  <c r="I46" i="9"/>
  <c r="I55" i="9"/>
  <c r="I56" i="9"/>
  <c r="I57" i="9"/>
  <c r="I58" i="9"/>
  <c r="I59" i="9"/>
  <c r="I60" i="9"/>
  <c r="I43" i="9"/>
  <c r="I24" i="9"/>
  <c r="I25" i="9"/>
  <c r="I23" i="9"/>
  <c r="C17" i="9"/>
  <c r="I26" i="9"/>
  <c r="C27" i="9"/>
  <c r="I27" i="9"/>
  <c r="I28" i="9"/>
  <c r="I29" i="9"/>
  <c r="C8" i="9"/>
  <c r="C9" i="9"/>
  <c r="I30" i="9"/>
  <c r="I31" i="9"/>
  <c r="E61" i="9"/>
  <c r="E62" i="9"/>
  <c r="E63" i="9"/>
  <c r="E64" i="9"/>
  <c r="C18" i="9"/>
  <c r="E66" i="9"/>
  <c r="E65" i="9"/>
  <c r="E68" i="9"/>
  <c r="K4" i="9"/>
  <c r="C61" i="9"/>
  <c r="C62" i="9"/>
  <c r="C63" i="9"/>
  <c r="C64" i="9"/>
  <c r="C65" i="9"/>
  <c r="C66" i="9"/>
  <c r="C67" i="9"/>
  <c r="C68" i="9"/>
  <c r="K3" i="9"/>
  <c r="I37" i="9"/>
  <c r="I34" i="9"/>
  <c r="K18" i="9"/>
  <c r="K17" i="9"/>
  <c r="I36" i="9"/>
  <c r="J6" i="9"/>
  <c r="K5" i="9"/>
  <c r="I32" i="9"/>
  <c r="I33" i="9"/>
  <c r="U33" i="9"/>
  <c r="V34" i="9"/>
  <c r="J21" i="9"/>
  <c r="J22" i="9"/>
  <c r="J47" i="9"/>
  <c r="J48" i="9"/>
  <c r="J49" i="9"/>
  <c r="J50" i="9"/>
  <c r="J51" i="9"/>
  <c r="J52" i="9"/>
  <c r="J53" i="9"/>
  <c r="J54" i="9"/>
  <c r="J44" i="9"/>
  <c r="J45" i="9"/>
  <c r="J46" i="9"/>
  <c r="J55" i="9"/>
  <c r="J56" i="9"/>
  <c r="J57" i="9"/>
  <c r="J58" i="9"/>
  <c r="J59" i="9"/>
  <c r="J60" i="9"/>
  <c r="J43" i="9"/>
  <c r="J24" i="9"/>
  <c r="J25" i="9"/>
  <c r="J23" i="9"/>
  <c r="J26" i="9"/>
  <c r="J27" i="9"/>
  <c r="J28" i="9"/>
  <c r="J29" i="9"/>
  <c r="J30" i="9"/>
  <c r="J31" i="9"/>
  <c r="J37" i="9"/>
  <c r="J34" i="9"/>
  <c r="J36" i="9"/>
  <c r="J32" i="9"/>
  <c r="J33" i="9"/>
  <c r="V35" i="9"/>
  <c r="K22" i="9"/>
  <c r="K47" i="9"/>
  <c r="K48" i="9"/>
  <c r="K49" i="9"/>
  <c r="K50" i="9"/>
  <c r="K51" i="9"/>
  <c r="K52" i="9"/>
  <c r="K53" i="9"/>
  <c r="K54" i="9"/>
  <c r="K44" i="9"/>
  <c r="K45" i="9"/>
  <c r="K46" i="9"/>
  <c r="K55" i="9"/>
  <c r="K56" i="9"/>
  <c r="K57" i="9"/>
  <c r="K58" i="9"/>
  <c r="K59" i="9"/>
  <c r="K60" i="9"/>
  <c r="K43" i="9"/>
  <c r="K24" i="9"/>
  <c r="K25" i="9"/>
  <c r="K23" i="9"/>
  <c r="K26" i="9"/>
  <c r="K27" i="9"/>
  <c r="K28" i="9"/>
  <c r="K29" i="9"/>
  <c r="K30" i="9"/>
  <c r="K31" i="9"/>
  <c r="K37" i="9"/>
  <c r="K34" i="9"/>
  <c r="K36" i="9"/>
  <c r="K32" i="9"/>
  <c r="K33" i="9"/>
  <c r="T35" i="9"/>
  <c r="T36" i="9"/>
  <c r="U36" i="9"/>
  <c r="V36" i="9"/>
  <c r="T34" i="9"/>
  <c r="U35" i="9"/>
  <c r="U34" i="9"/>
  <c r="V33" i="9"/>
  <c r="M21" i="9"/>
  <c r="N21" i="9"/>
  <c r="O21" i="9"/>
  <c r="O22" i="9"/>
  <c r="O49" i="9"/>
  <c r="O47" i="9"/>
  <c r="O48" i="9"/>
  <c r="O50" i="9"/>
  <c r="O51" i="9"/>
  <c r="O52" i="9"/>
  <c r="O53" i="9"/>
  <c r="O54" i="9"/>
  <c r="O44" i="9"/>
  <c r="O45" i="9"/>
  <c r="O46" i="9"/>
  <c r="O55" i="9"/>
  <c r="O57" i="9"/>
  <c r="O56" i="9"/>
  <c r="O58" i="9"/>
  <c r="O59" i="9"/>
  <c r="O60" i="9"/>
  <c r="O43" i="9"/>
  <c r="O24" i="9"/>
  <c r="O25" i="9"/>
  <c r="N22" i="9"/>
  <c r="N49" i="9"/>
  <c r="N47" i="9"/>
  <c r="N48" i="9"/>
  <c r="N50" i="9"/>
  <c r="N51" i="9"/>
  <c r="N52" i="9"/>
  <c r="N53" i="9"/>
  <c r="N54" i="9"/>
  <c r="N44" i="9"/>
  <c r="N45" i="9"/>
  <c r="N46" i="9"/>
  <c r="N55" i="9"/>
  <c r="N57" i="9"/>
  <c r="N56" i="9"/>
  <c r="N58" i="9"/>
  <c r="N59" i="9"/>
  <c r="N60" i="9"/>
  <c r="N43" i="9"/>
  <c r="N24" i="9"/>
  <c r="N25" i="9"/>
  <c r="M22" i="9"/>
  <c r="M49" i="9"/>
  <c r="M47" i="9"/>
  <c r="M48" i="9"/>
  <c r="M50" i="9"/>
  <c r="M51" i="9"/>
  <c r="M52" i="9"/>
  <c r="M53" i="9"/>
  <c r="M54" i="9"/>
  <c r="M44" i="9"/>
  <c r="M45" i="9"/>
  <c r="M46" i="9"/>
  <c r="M55" i="9"/>
  <c r="M57" i="9"/>
  <c r="M56" i="9"/>
  <c r="M58" i="9"/>
  <c r="M59" i="9"/>
  <c r="M60" i="9"/>
  <c r="M43" i="9"/>
  <c r="M24" i="9"/>
  <c r="M25" i="9"/>
  <c r="L21" i="9"/>
  <c r="L22" i="9"/>
  <c r="L49" i="9"/>
  <c r="L47" i="9"/>
  <c r="L48" i="9"/>
  <c r="L50" i="9"/>
  <c r="L51" i="9"/>
  <c r="L52" i="9"/>
  <c r="L53" i="9"/>
  <c r="L54" i="9"/>
  <c r="L44" i="9"/>
  <c r="L45" i="9"/>
  <c r="L46" i="9"/>
  <c r="L55" i="9"/>
  <c r="L57" i="9"/>
  <c r="L56" i="9"/>
  <c r="L58" i="9"/>
  <c r="L59" i="9"/>
  <c r="L60" i="9"/>
  <c r="L43" i="9"/>
  <c r="L24" i="9"/>
  <c r="L25" i="9"/>
  <c r="H21" i="9"/>
  <c r="H22" i="9"/>
  <c r="H47" i="9"/>
  <c r="H48" i="9"/>
  <c r="H49" i="9"/>
  <c r="H50" i="9"/>
  <c r="H51" i="9"/>
  <c r="H52" i="9"/>
  <c r="H53" i="9"/>
  <c r="H54" i="9"/>
  <c r="H44" i="9"/>
  <c r="H45" i="9"/>
  <c r="H46" i="9"/>
  <c r="H55" i="9"/>
  <c r="H56" i="9"/>
  <c r="H57" i="9"/>
  <c r="H58" i="9"/>
  <c r="H59" i="9"/>
  <c r="H60" i="9"/>
  <c r="H43" i="9"/>
  <c r="H24" i="9"/>
  <c r="H25" i="9"/>
  <c r="G21" i="9"/>
  <c r="G22" i="9"/>
  <c r="G47" i="9"/>
  <c r="G48" i="9"/>
  <c r="G49" i="9"/>
  <c r="G50" i="9"/>
  <c r="G51" i="9"/>
  <c r="G52" i="9"/>
  <c r="G53" i="9"/>
  <c r="G54" i="9"/>
  <c r="G44" i="9"/>
  <c r="G45" i="9"/>
  <c r="G46" i="9"/>
  <c r="G55" i="9"/>
  <c r="G56" i="9"/>
  <c r="G57" i="9"/>
  <c r="G58" i="9"/>
  <c r="G59" i="9"/>
  <c r="G60" i="9"/>
  <c r="G43" i="9"/>
  <c r="G24" i="9"/>
  <c r="G25" i="9"/>
  <c r="F21" i="9"/>
  <c r="F22" i="9"/>
  <c r="F47" i="9"/>
  <c r="F48" i="9"/>
  <c r="F49" i="9"/>
  <c r="F50" i="9"/>
  <c r="F51" i="9"/>
  <c r="F52" i="9"/>
  <c r="F53" i="9"/>
  <c r="F54" i="9"/>
  <c r="F44" i="9"/>
  <c r="F45" i="9"/>
  <c r="F46" i="9"/>
  <c r="F55" i="9"/>
  <c r="F56" i="9"/>
  <c r="F57" i="9"/>
  <c r="F58" i="9"/>
  <c r="F59" i="9"/>
  <c r="F60" i="9"/>
  <c r="F43" i="9"/>
  <c r="F24" i="9"/>
  <c r="F25" i="9"/>
  <c r="E21" i="9"/>
  <c r="E22" i="9"/>
  <c r="E47" i="9"/>
  <c r="E48" i="9"/>
  <c r="E49" i="9"/>
  <c r="E50" i="9"/>
  <c r="E51" i="9"/>
  <c r="E52" i="9"/>
  <c r="E53" i="9"/>
  <c r="E54" i="9"/>
  <c r="E44" i="9"/>
  <c r="E45" i="9"/>
  <c r="E46" i="9"/>
  <c r="E55" i="9"/>
  <c r="E56" i="9"/>
  <c r="E57" i="9"/>
  <c r="E58" i="9"/>
  <c r="E59" i="9"/>
  <c r="E60" i="9"/>
  <c r="E43" i="9"/>
  <c r="E24" i="9"/>
  <c r="E25" i="9"/>
  <c r="D21" i="9"/>
  <c r="D22" i="9"/>
  <c r="D47" i="9"/>
  <c r="D48" i="9"/>
  <c r="D49" i="9"/>
  <c r="D50" i="9"/>
  <c r="D51" i="9"/>
  <c r="D52" i="9"/>
  <c r="D53" i="9"/>
  <c r="D54" i="9"/>
  <c r="D44" i="9"/>
  <c r="D45" i="9"/>
  <c r="D46" i="9"/>
  <c r="D55" i="9"/>
  <c r="D56" i="9"/>
  <c r="D57" i="9"/>
  <c r="D58" i="9"/>
  <c r="D59" i="9"/>
  <c r="D60" i="9"/>
  <c r="D43" i="9"/>
  <c r="D24" i="9"/>
  <c r="D25" i="9"/>
  <c r="C21" i="9"/>
  <c r="C22" i="9"/>
  <c r="C47" i="9"/>
  <c r="C48" i="9"/>
  <c r="C49" i="9"/>
  <c r="C50" i="9"/>
  <c r="C51" i="9"/>
  <c r="C52" i="9"/>
  <c r="C53" i="9"/>
  <c r="C54" i="9"/>
  <c r="C44" i="9"/>
  <c r="C45" i="9"/>
  <c r="C46" i="9"/>
  <c r="C55" i="9"/>
  <c r="C56" i="9"/>
  <c r="C57" i="9"/>
  <c r="C58" i="9"/>
  <c r="C59" i="9"/>
  <c r="C60" i="9"/>
  <c r="C43" i="9"/>
  <c r="C24" i="9"/>
  <c r="C25" i="9"/>
  <c r="C4" i="35"/>
  <c r="C91" i="4"/>
  <c r="C92" i="4"/>
  <c r="C7" i="35"/>
  <c r="C13" i="35"/>
  <c r="P47" i="35"/>
  <c r="C5" i="35"/>
  <c r="C94" i="4"/>
  <c r="C95" i="4"/>
  <c r="C6" i="35"/>
  <c r="C11" i="35"/>
  <c r="C10" i="35"/>
  <c r="C12" i="35"/>
  <c r="P48" i="35"/>
  <c r="P22" i="35"/>
  <c r="P49" i="35"/>
  <c r="P50" i="35"/>
  <c r="P51" i="35"/>
  <c r="P52" i="35"/>
  <c r="P53" i="35"/>
  <c r="P54" i="35"/>
  <c r="P44" i="35"/>
  <c r="P45" i="35"/>
  <c r="P46" i="35"/>
  <c r="P55" i="35"/>
  <c r="P56" i="35"/>
  <c r="P57" i="35"/>
  <c r="P58" i="35"/>
  <c r="P59" i="35"/>
  <c r="P60" i="35"/>
  <c r="P24" i="35"/>
  <c r="P25" i="35"/>
  <c r="P10" i="35"/>
  <c r="J21" i="35"/>
  <c r="I21" i="35"/>
  <c r="I22" i="35"/>
  <c r="I47" i="35"/>
  <c r="I48" i="35"/>
  <c r="I49" i="35"/>
  <c r="I50" i="35"/>
  <c r="I51" i="35"/>
  <c r="I52" i="35"/>
  <c r="I53" i="35"/>
  <c r="I54" i="35"/>
  <c r="I44" i="35"/>
  <c r="I45" i="35"/>
  <c r="I46" i="35"/>
  <c r="I55" i="35"/>
  <c r="I56" i="35"/>
  <c r="I57" i="35"/>
  <c r="I58" i="35"/>
  <c r="I59" i="35"/>
  <c r="I60" i="35"/>
  <c r="I43" i="35"/>
  <c r="I24" i="35"/>
  <c r="I25" i="35"/>
  <c r="I23" i="35"/>
  <c r="C17" i="35"/>
  <c r="I26" i="35"/>
  <c r="C27" i="35"/>
  <c r="I27" i="35"/>
  <c r="I28" i="35"/>
  <c r="I29" i="35"/>
  <c r="C96" i="4"/>
  <c r="C8" i="35"/>
  <c r="C9" i="35"/>
  <c r="I30" i="35"/>
  <c r="I31" i="35"/>
  <c r="E61" i="35"/>
  <c r="E62" i="35"/>
  <c r="E63" i="35"/>
  <c r="E64" i="35"/>
  <c r="C18" i="35"/>
  <c r="E66" i="35"/>
  <c r="E65" i="35"/>
  <c r="E68" i="35"/>
  <c r="G69" i="35"/>
  <c r="K4" i="35"/>
  <c r="C61" i="35"/>
  <c r="C62" i="35"/>
  <c r="C63" i="35"/>
  <c r="C64" i="35"/>
  <c r="C65" i="35"/>
  <c r="C66" i="35"/>
  <c r="C67" i="35"/>
  <c r="C68" i="35"/>
  <c r="G68" i="35"/>
  <c r="K3" i="35"/>
  <c r="I37" i="35"/>
  <c r="I34" i="35"/>
  <c r="K18" i="35"/>
  <c r="K17" i="35"/>
  <c r="I36" i="35"/>
  <c r="J6" i="35"/>
  <c r="K5" i="35"/>
  <c r="I32" i="35"/>
  <c r="I33" i="35"/>
  <c r="K63" i="6"/>
  <c r="E68" i="6"/>
  <c r="G72" i="6"/>
  <c r="U33" i="35"/>
  <c r="V34" i="35"/>
  <c r="J22" i="35"/>
  <c r="J47" i="35"/>
  <c r="J48" i="35"/>
  <c r="J49" i="35"/>
  <c r="J50" i="35"/>
  <c r="J51" i="35"/>
  <c r="J52" i="35"/>
  <c r="J53" i="35"/>
  <c r="J54" i="35"/>
  <c r="J44" i="35"/>
  <c r="J45" i="35"/>
  <c r="J46" i="35"/>
  <c r="J55" i="35"/>
  <c r="J56" i="35"/>
  <c r="J57" i="35"/>
  <c r="J58" i="35"/>
  <c r="J59" i="35"/>
  <c r="J60" i="35"/>
  <c r="J43" i="35"/>
  <c r="J24" i="35"/>
  <c r="J25" i="35"/>
  <c r="J23" i="35"/>
  <c r="J26" i="35"/>
  <c r="J27" i="35"/>
  <c r="J28" i="35"/>
  <c r="J29" i="35"/>
  <c r="J30" i="35"/>
  <c r="J31" i="35"/>
  <c r="J37" i="35"/>
  <c r="J34" i="35"/>
  <c r="J36" i="35"/>
  <c r="J32" i="35"/>
  <c r="J33" i="35"/>
  <c r="V35" i="35"/>
  <c r="K21" i="35"/>
  <c r="K22" i="35"/>
  <c r="K47" i="35"/>
  <c r="K48" i="35"/>
  <c r="K49" i="35"/>
  <c r="K50" i="35"/>
  <c r="K51" i="35"/>
  <c r="K52" i="35"/>
  <c r="K53" i="35"/>
  <c r="K54" i="35"/>
  <c r="K44" i="35"/>
  <c r="K45" i="35"/>
  <c r="K46" i="35"/>
  <c r="K55" i="35"/>
  <c r="K56" i="35"/>
  <c r="K57" i="35"/>
  <c r="K58" i="35"/>
  <c r="K59" i="35"/>
  <c r="K60" i="35"/>
  <c r="K43" i="35"/>
  <c r="K24" i="35"/>
  <c r="K25" i="35"/>
  <c r="K23" i="35"/>
  <c r="K26" i="35"/>
  <c r="K27" i="35"/>
  <c r="K28" i="35"/>
  <c r="K29" i="35"/>
  <c r="K30" i="35"/>
  <c r="K31" i="35"/>
  <c r="K37" i="35"/>
  <c r="K34" i="35"/>
  <c r="K36" i="35"/>
  <c r="K32" i="35"/>
  <c r="K33" i="35"/>
  <c r="T35" i="35"/>
  <c r="T36" i="35"/>
  <c r="U36" i="35"/>
  <c r="V36" i="35"/>
  <c r="T34" i="35"/>
  <c r="U35" i="35"/>
  <c r="U34" i="35"/>
  <c r="V33" i="35"/>
  <c r="M21" i="35"/>
  <c r="N21" i="35"/>
  <c r="O21" i="35"/>
  <c r="O22" i="35"/>
  <c r="O49" i="35"/>
  <c r="O47" i="35"/>
  <c r="O48" i="35"/>
  <c r="O50" i="35"/>
  <c r="O51" i="35"/>
  <c r="O52" i="35"/>
  <c r="O53" i="35"/>
  <c r="O54" i="35"/>
  <c r="O44" i="35"/>
  <c r="O45" i="35"/>
  <c r="O46" i="35"/>
  <c r="O55" i="35"/>
  <c r="O57" i="35"/>
  <c r="O56" i="35"/>
  <c r="O58" i="35"/>
  <c r="O59" i="35"/>
  <c r="O60" i="35"/>
  <c r="O43" i="35"/>
  <c r="O24" i="35"/>
  <c r="O25" i="35"/>
  <c r="N22" i="35"/>
  <c r="N49" i="35"/>
  <c r="N47" i="35"/>
  <c r="N48" i="35"/>
  <c r="N50" i="35"/>
  <c r="N51" i="35"/>
  <c r="N52" i="35"/>
  <c r="N53" i="35"/>
  <c r="N54" i="35"/>
  <c r="N44" i="35"/>
  <c r="N45" i="35"/>
  <c r="N46" i="35"/>
  <c r="N55" i="35"/>
  <c r="N57" i="35"/>
  <c r="N56" i="35"/>
  <c r="N58" i="35"/>
  <c r="N59" i="35"/>
  <c r="N60" i="35"/>
  <c r="N43" i="35"/>
  <c r="N24" i="35"/>
  <c r="N25" i="35"/>
  <c r="M22" i="35"/>
  <c r="M49" i="35"/>
  <c r="M47" i="35"/>
  <c r="M48" i="35"/>
  <c r="M50" i="35"/>
  <c r="M51" i="35"/>
  <c r="M52" i="35"/>
  <c r="M53" i="35"/>
  <c r="M54" i="35"/>
  <c r="M44" i="35"/>
  <c r="M45" i="35"/>
  <c r="M46" i="35"/>
  <c r="M55" i="35"/>
  <c r="M57" i="35"/>
  <c r="M56" i="35"/>
  <c r="M58" i="35"/>
  <c r="M59" i="35"/>
  <c r="M60" i="35"/>
  <c r="M43" i="35"/>
  <c r="M24" i="35"/>
  <c r="M25" i="35"/>
  <c r="L21" i="35"/>
  <c r="L22" i="35"/>
  <c r="L49" i="35"/>
  <c r="L47" i="35"/>
  <c r="L48" i="35"/>
  <c r="L50" i="35"/>
  <c r="L51" i="35"/>
  <c r="L52" i="35"/>
  <c r="L53" i="35"/>
  <c r="L54" i="35"/>
  <c r="L44" i="35"/>
  <c r="L45" i="35"/>
  <c r="L46" i="35"/>
  <c r="L55" i="35"/>
  <c r="L57" i="35"/>
  <c r="L56" i="35"/>
  <c r="L58" i="35"/>
  <c r="L59" i="35"/>
  <c r="L60" i="35"/>
  <c r="L43" i="35"/>
  <c r="L24" i="35"/>
  <c r="L25" i="35"/>
  <c r="H21" i="35"/>
  <c r="H22" i="35"/>
  <c r="H47" i="35"/>
  <c r="H48" i="35"/>
  <c r="H49" i="35"/>
  <c r="H50" i="35"/>
  <c r="H51" i="35"/>
  <c r="H52" i="35"/>
  <c r="H53" i="35"/>
  <c r="H54" i="35"/>
  <c r="H44" i="35"/>
  <c r="H45" i="35"/>
  <c r="H46" i="35"/>
  <c r="H55" i="35"/>
  <c r="H56" i="35"/>
  <c r="H57" i="35"/>
  <c r="H58" i="35"/>
  <c r="H59" i="35"/>
  <c r="H60" i="35"/>
  <c r="H43" i="35"/>
  <c r="H24" i="35"/>
  <c r="H25" i="35"/>
  <c r="G21" i="35"/>
  <c r="G22" i="35"/>
  <c r="G47" i="35"/>
  <c r="G48" i="35"/>
  <c r="G49" i="35"/>
  <c r="G50" i="35"/>
  <c r="G51" i="35"/>
  <c r="G52" i="35"/>
  <c r="G53" i="35"/>
  <c r="G54" i="35"/>
  <c r="G44" i="35"/>
  <c r="G45" i="35"/>
  <c r="G46" i="35"/>
  <c r="G55" i="35"/>
  <c r="G56" i="35"/>
  <c r="G57" i="35"/>
  <c r="G58" i="35"/>
  <c r="G59" i="35"/>
  <c r="G60" i="35"/>
  <c r="G43" i="35"/>
  <c r="G24" i="35"/>
  <c r="G25" i="35"/>
  <c r="F21" i="35"/>
  <c r="F22" i="35"/>
  <c r="F47" i="35"/>
  <c r="F48" i="35"/>
  <c r="F49" i="35"/>
  <c r="F50" i="35"/>
  <c r="F51" i="35"/>
  <c r="F52" i="35"/>
  <c r="F53" i="35"/>
  <c r="F54" i="35"/>
  <c r="F44" i="35"/>
  <c r="F45" i="35"/>
  <c r="F46" i="35"/>
  <c r="F55" i="35"/>
  <c r="F56" i="35"/>
  <c r="F57" i="35"/>
  <c r="F58" i="35"/>
  <c r="F59" i="35"/>
  <c r="F60" i="35"/>
  <c r="F43" i="35"/>
  <c r="F24" i="35"/>
  <c r="F25" i="35"/>
  <c r="E21" i="35"/>
  <c r="E22" i="35"/>
  <c r="E47" i="35"/>
  <c r="E48" i="35"/>
  <c r="E49" i="35"/>
  <c r="E50" i="35"/>
  <c r="E51" i="35"/>
  <c r="E52" i="35"/>
  <c r="E53" i="35"/>
  <c r="E54" i="35"/>
  <c r="E44" i="35"/>
  <c r="E45" i="35"/>
  <c r="E46" i="35"/>
  <c r="E55" i="35"/>
  <c r="E56" i="35"/>
  <c r="E57" i="35"/>
  <c r="E58" i="35"/>
  <c r="E59" i="35"/>
  <c r="E60" i="35"/>
  <c r="E43" i="35"/>
  <c r="E24" i="35"/>
  <c r="E25" i="35"/>
  <c r="D21" i="35"/>
  <c r="D22" i="35"/>
  <c r="D47" i="35"/>
  <c r="D48" i="35"/>
  <c r="D49" i="35"/>
  <c r="D50" i="35"/>
  <c r="D51" i="35"/>
  <c r="D52" i="35"/>
  <c r="D53" i="35"/>
  <c r="D54" i="35"/>
  <c r="D44" i="35"/>
  <c r="D45" i="35"/>
  <c r="D46" i="35"/>
  <c r="D55" i="35"/>
  <c r="D56" i="35"/>
  <c r="D57" i="35"/>
  <c r="D58" i="35"/>
  <c r="D59" i="35"/>
  <c r="D60" i="35"/>
  <c r="D43" i="35"/>
  <c r="D24" i="35"/>
  <c r="D25" i="35"/>
  <c r="C21" i="35"/>
  <c r="C22" i="35"/>
  <c r="C47" i="35"/>
  <c r="C48" i="35"/>
  <c r="C49" i="35"/>
  <c r="C50" i="35"/>
  <c r="C51" i="35"/>
  <c r="C52" i="35"/>
  <c r="C53" i="35"/>
  <c r="C54" i="35"/>
  <c r="C44" i="35"/>
  <c r="C45" i="35"/>
  <c r="C46" i="35"/>
  <c r="C55" i="35"/>
  <c r="C56" i="35"/>
  <c r="C57" i="35"/>
  <c r="C58" i="35"/>
  <c r="C59" i="35"/>
  <c r="C60" i="35"/>
  <c r="C43" i="35"/>
  <c r="C24" i="35"/>
  <c r="C25" i="35"/>
  <c r="C4" i="7"/>
  <c r="C7" i="7"/>
  <c r="C13" i="7"/>
  <c r="P47" i="7"/>
  <c r="C5" i="7"/>
  <c r="C6" i="7"/>
  <c r="C11" i="7"/>
  <c r="C10" i="7"/>
  <c r="C12" i="7"/>
  <c r="P48" i="7"/>
  <c r="P22" i="7"/>
  <c r="P49" i="7"/>
  <c r="P50" i="7"/>
  <c r="P51" i="7"/>
  <c r="P52" i="7"/>
  <c r="P53" i="7"/>
  <c r="P54" i="7"/>
  <c r="P44" i="7"/>
  <c r="P45" i="7"/>
  <c r="P46" i="7"/>
  <c r="P55" i="7"/>
  <c r="P56" i="7"/>
  <c r="P57" i="7"/>
  <c r="P58" i="7"/>
  <c r="P59" i="7"/>
  <c r="P60" i="7"/>
  <c r="P24" i="7"/>
  <c r="P25" i="7"/>
  <c r="P10" i="7"/>
  <c r="K21" i="7"/>
  <c r="I21" i="7"/>
  <c r="I22" i="7"/>
  <c r="I47" i="7"/>
  <c r="I48" i="7"/>
  <c r="I49" i="7"/>
  <c r="I50" i="7"/>
  <c r="I51" i="7"/>
  <c r="I52" i="7"/>
  <c r="I53" i="7"/>
  <c r="I54" i="7"/>
  <c r="I44" i="7"/>
  <c r="I45" i="7"/>
  <c r="I46" i="7"/>
  <c r="I55" i="7"/>
  <c r="I56" i="7"/>
  <c r="I57" i="7"/>
  <c r="I58" i="7"/>
  <c r="I59" i="7"/>
  <c r="I60" i="7"/>
  <c r="I43" i="7"/>
  <c r="I24" i="7"/>
  <c r="I25" i="7"/>
  <c r="I23" i="7"/>
  <c r="C17" i="7"/>
  <c r="I26" i="7"/>
  <c r="C27" i="7"/>
  <c r="I27" i="7"/>
  <c r="I28" i="7"/>
  <c r="I29" i="7"/>
  <c r="C8" i="7"/>
  <c r="C9" i="7"/>
  <c r="I30" i="7"/>
  <c r="I31" i="7"/>
  <c r="E61" i="7"/>
  <c r="E62" i="7"/>
  <c r="E63" i="7"/>
  <c r="E64" i="7"/>
  <c r="C18" i="7"/>
  <c r="E66" i="7"/>
  <c r="E65" i="7"/>
  <c r="E68" i="7"/>
  <c r="G69" i="7"/>
  <c r="K4" i="7"/>
  <c r="C61" i="7"/>
  <c r="C62" i="7"/>
  <c r="C63" i="7"/>
  <c r="C64" i="7"/>
  <c r="C65" i="7"/>
  <c r="C66" i="7"/>
  <c r="C67" i="7"/>
  <c r="C68" i="7"/>
  <c r="G68" i="7"/>
  <c r="K3" i="7"/>
  <c r="I37" i="7"/>
  <c r="I34" i="7"/>
  <c r="K18" i="7"/>
  <c r="K17" i="7"/>
  <c r="I36" i="7"/>
  <c r="J6" i="7"/>
  <c r="K5" i="7"/>
  <c r="I32" i="7"/>
  <c r="I33" i="7"/>
  <c r="U33" i="7"/>
  <c r="V34" i="7"/>
  <c r="J21" i="7"/>
  <c r="J22" i="7"/>
  <c r="J47" i="7"/>
  <c r="J48" i="7"/>
  <c r="J49" i="7"/>
  <c r="J50" i="7"/>
  <c r="J51" i="7"/>
  <c r="J52" i="7"/>
  <c r="J53" i="7"/>
  <c r="J54" i="7"/>
  <c r="J44" i="7"/>
  <c r="J45" i="7"/>
  <c r="J46" i="7"/>
  <c r="J55" i="7"/>
  <c r="J56" i="7"/>
  <c r="J57" i="7"/>
  <c r="J58" i="7"/>
  <c r="J59" i="7"/>
  <c r="J60" i="7"/>
  <c r="J43" i="7"/>
  <c r="J24" i="7"/>
  <c r="J25" i="7"/>
  <c r="J23" i="7"/>
  <c r="J26" i="7"/>
  <c r="J27" i="7"/>
  <c r="J28" i="7"/>
  <c r="J29" i="7"/>
  <c r="J30" i="7"/>
  <c r="J31" i="7"/>
  <c r="J37" i="7"/>
  <c r="J34" i="7"/>
  <c r="J36" i="7"/>
  <c r="J32" i="7"/>
  <c r="J33" i="7"/>
  <c r="V35" i="7"/>
  <c r="K22" i="7"/>
  <c r="K47" i="7"/>
  <c r="K48" i="7"/>
  <c r="K49" i="7"/>
  <c r="K50" i="7"/>
  <c r="K51" i="7"/>
  <c r="K52" i="7"/>
  <c r="K53" i="7"/>
  <c r="K54" i="7"/>
  <c r="K44" i="7"/>
  <c r="K45" i="7"/>
  <c r="K46" i="7"/>
  <c r="K55" i="7"/>
  <c r="K56" i="7"/>
  <c r="K57" i="7"/>
  <c r="K58" i="7"/>
  <c r="K59" i="7"/>
  <c r="K60" i="7"/>
  <c r="K43" i="7"/>
  <c r="K24" i="7"/>
  <c r="K25" i="7"/>
  <c r="K23" i="7"/>
  <c r="K26" i="7"/>
  <c r="K27" i="7"/>
  <c r="K28" i="7"/>
  <c r="K29" i="7"/>
  <c r="K30" i="7"/>
  <c r="K31" i="7"/>
  <c r="K37" i="7"/>
  <c r="K34" i="7"/>
  <c r="K36" i="7"/>
  <c r="K32" i="7"/>
  <c r="K33" i="7"/>
  <c r="T35" i="7"/>
  <c r="T36" i="7"/>
  <c r="U36" i="7"/>
  <c r="V36" i="7"/>
  <c r="T34" i="7"/>
  <c r="U35" i="7"/>
  <c r="U34" i="7"/>
  <c r="V33" i="7"/>
  <c r="M21" i="7"/>
  <c r="N21" i="7"/>
  <c r="O21" i="7"/>
  <c r="O22" i="7"/>
  <c r="O49" i="7"/>
  <c r="O47" i="7"/>
  <c r="O48" i="7"/>
  <c r="O50" i="7"/>
  <c r="O51" i="7"/>
  <c r="O52" i="7"/>
  <c r="O53" i="7"/>
  <c r="O54" i="7"/>
  <c r="O44" i="7"/>
  <c r="O45" i="7"/>
  <c r="O46" i="7"/>
  <c r="O55" i="7"/>
  <c r="O57" i="7"/>
  <c r="O56" i="7"/>
  <c r="O58" i="7"/>
  <c r="O59" i="7"/>
  <c r="O60" i="7"/>
  <c r="O43" i="7"/>
  <c r="O24" i="7"/>
  <c r="O25" i="7"/>
  <c r="N22" i="7"/>
  <c r="N49" i="7"/>
  <c r="N47" i="7"/>
  <c r="N48" i="7"/>
  <c r="N50" i="7"/>
  <c r="N51" i="7"/>
  <c r="N52" i="7"/>
  <c r="N53" i="7"/>
  <c r="N54" i="7"/>
  <c r="N44" i="7"/>
  <c r="N45" i="7"/>
  <c r="N46" i="7"/>
  <c r="N55" i="7"/>
  <c r="N57" i="7"/>
  <c r="N56" i="7"/>
  <c r="N58" i="7"/>
  <c r="N59" i="7"/>
  <c r="N60" i="7"/>
  <c r="N43" i="7"/>
  <c r="N24" i="7"/>
  <c r="N25" i="7"/>
  <c r="M22" i="7"/>
  <c r="M49" i="7"/>
  <c r="M47" i="7"/>
  <c r="M48" i="7"/>
  <c r="M50" i="7"/>
  <c r="M51" i="7"/>
  <c r="M52" i="7"/>
  <c r="M53" i="7"/>
  <c r="M54" i="7"/>
  <c r="M44" i="7"/>
  <c r="M45" i="7"/>
  <c r="M46" i="7"/>
  <c r="M55" i="7"/>
  <c r="M57" i="7"/>
  <c r="M56" i="7"/>
  <c r="M58" i="7"/>
  <c r="M59" i="7"/>
  <c r="M60" i="7"/>
  <c r="M43" i="7"/>
  <c r="M24" i="7"/>
  <c r="M25" i="7"/>
  <c r="L21" i="7"/>
  <c r="L22" i="7"/>
  <c r="L49" i="7"/>
  <c r="L47" i="7"/>
  <c r="L48" i="7"/>
  <c r="L50" i="7"/>
  <c r="L51" i="7"/>
  <c r="L52" i="7"/>
  <c r="L53" i="7"/>
  <c r="L54" i="7"/>
  <c r="L44" i="7"/>
  <c r="L45" i="7"/>
  <c r="L46" i="7"/>
  <c r="L55" i="7"/>
  <c r="L57" i="7"/>
  <c r="L56" i="7"/>
  <c r="L58" i="7"/>
  <c r="L59" i="7"/>
  <c r="L60" i="7"/>
  <c r="L43" i="7"/>
  <c r="L24" i="7"/>
  <c r="L25" i="7"/>
  <c r="H21" i="7"/>
  <c r="H22" i="7"/>
  <c r="H47" i="7"/>
  <c r="H48" i="7"/>
  <c r="H49" i="7"/>
  <c r="H50" i="7"/>
  <c r="H51" i="7"/>
  <c r="H52" i="7"/>
  <c r="H53" i="7"/>
  <c r="H54" i="7"/>
  <c r="H44" i="7"/>
  <c r="H45" i="7"/>
  <c r="H46" i="7"/>
  <c r="H55" i="7"/>
  <c r="H56" i="7"/>
  <c r="H57" i="7"/>
  <c r="H58" i="7"/>
  <c r="H59" i="7"/>
  <c r="H60" i="7"/>
  <c r="H43" i="7"/>
  <c r="H24" i="7"/>
  <c r="H25" i="7"/>
  <c r="G21" i="7"/>
  <c r="G22" i="7"/>
  <c r="G47" i="7"/>
  <c r="G48" i="7"/>
  <c r="G49" i="7"/>
  <c r="G50" i="7"/>
  <c r="G51" i="7"/>
  <c r="G52" i="7"/>
  <c r="G53" i="7"/>
  <c r="G54" i="7"/>
  <c r="G44" i="7"/>
  <c r="G45" i="7"/>
  <c r="G46" i="7"/>
  <c r="G55" i="7"/>
  <c r="G56" i="7"/>
  <c r="G57" i="7"/>
  <c r="G58" i="7"/>
  <c r="G59" i="7"/>
  <c r="G60" i="7"/>
  <c r="G43" i="7"/>
  <c r="G24" i="7"/>
  <c r="G25" i="7"/>
  <c r="F21" i="7"/>
  <c r="F22" i="7"/>
  <c r="F47" i="7"/>
  <c r="F48" i="7"/>
  <c r="F49" i="7"/>
  <c r="F50" i="7"/>
  <c r="F51" i="7"/>
  <c r="F52" i="7"/>
  <c r="F53" i="7"/>
  <c r="F54" i="7"/>
  <c r="F44" i="7"/>
  <c r="F45" i="7"/>
  <c r="F46" i="7"/>
  <c r="F55" i="7"/>
  <c r="F56" i="7"/>
  <c r="F57" i="7"/>
  <c r="F58" i="7"/>
  <c r="F59" i="7"/>
  <c r="F60" i="7"/>
  <c r="F43" i="7"/>
  <c r="F24" i="7"/>
  <c r="F25" i="7"/>
  <c r="E21" i="7"/>
  <c r="E22" i="7"/>
  <c r="E47" i="7"/>
  <c r="E48" i="7"/>
  <c r="E49" i="7"/>
  <c r="E50" i="7"/>
  <c r="E51" i="7"/>
  <c r="E52" i="7"/>
  <c r="E53" i="7"/>
  <c r="E54" i="7"/>
  <c r="E44" i="7"/>
  <c r="E45" i="7"/>
  <c r="E46" i="7"/>
  <c r="E55" i="7"/>
  <c r="E56" i="7"/>
  <c r="E57" i="7"/>
  <c r="E58" i="7"/>
  <c r="E59" i="7"/>
  <c r="E60" i="7"/>
  <c r="E43" i="7"/>
  <c r="E24" i="7"/>
  <c r="E25" i="7"/>
  <c r="D21" i="7"/>
  <c r="D22" i="7"/>
  <c r="D47" i="7"/>
  <c r="D48" i="7"/>
  <c r="D49" i="7"/>
  <c r="D50" i="7"/>
  <c r="D51" i="7"/>
  <c r="D52" i="7"/>
  <c r="D53" i="7"/>
  <c r="D54" i="7"/>
  <c r="D44" i="7"/>
  <c r="D45" i="7"/>
  <c r="D46" i="7"/>
  <c r="D55" i="7"/>
  <c r="D56" i="7"/>
  <c r="D57" i="7"/>
  <c r="D58" i="7"/>
  <c r="D59" i="7"/>
  <c r="D60" i="7"/>
  <c r="D43" i="7"/>
  <c r="D24" i="7"/>
  <c r="D25" i="7"/>
  <c r="C21" i="7"/>
  <c r="C22" i="7"/>
  <c r="C47" i="7"/>
  <c r="C48" i="7"/>
  <c r="C49" i="7"/>
  <c r="C50" i="7"/>
  <c r="C51" i="7"/>
  <c r="C52" i="7"/>
  <c r="C53" i="7"/>
  <c r="C54" i="7"/>
  <c r="C44" i="7"/>
  <c r="C45" i="7"/>
  <c r="C46" i="7"/>
  <c r="C55" i="7"/>
  <c r="C56" i="7"/>
  <c r="C57" i="7"/>
  <c r="C58" i="7"/>
  <c r="C59" i="7"/>
  <c r="C60" i="7"/>
  <c r="C43" i="7"/>
  <c r="C24" i="7"/>
  <c r="C25" i="7"/>
  <c r="P22" i="10"/>
  <c r="P50" i="10"/>
  <c r="P51" i="10"/>
  <c r="P53" i="10"/>
  <c r="P54" i="10"/>
  <c r="P55" i="10"/>
  <c r="P56" i="10"/>
  <c r="P57" i="10"/>
  <c r="P47" i="10"/>
  <c r="P48" i="10"/>
  <c r="P49" i="10"/>
  <c r="P58" i="10"/>
  <c r="P59" i="10"/>
  <c r="P60" i="10"/>
  <c r="P61" i="10"/>
  <c r="P62" i="10"/>
  <c r="P24" i="10"/>
  <c r="P25" i="10"/>
  <c r="L21" i="10"/>
  <c r="M21" i="10"/>
  <c r="N21" i="10"/>
  <c r="O21" i="10"/>
  <c r="O22" i="10"/>
  <c r="O50" i="10"/>
  <c r="O51" i="10"/>
  <c r="O52" i="10"/>
  <c r="O53" i="10"/>
  <c r="O54" i="10"/>
  <c r="O55" i="10"/>
  <c r="O56" i="10"/>
  <c r="O57" i="10"/>
  <c r="O47" i="10"/>
  <c r="O48" i="10"/>
  <c r="O49" i="10"/>
  <c r="O58" i="10"/>
  <c r="O59" i="10"/>
  <c r="O60" i="10"/>
  <c r="O61" i="10"/>
  <c r="O62" i="10"/>
  <c r="O46" i="10"/>
  <c r="O24" i="10"/>
  <c r="O25" i="10"/>
  <c r="N22" i="10"/>
  <c r="N50" i="10"/>
  <c r="N51" i="10"/>
  <c r="N52" i="10"/>
  <c r="N53" i="10"/>
  <c r="N54" i="10"/>
  <c r="N55" i="10"/>
  <c r="N56" i="10"/>
  <c r="N57" i="10"/>
  <c r="N47" i="10"/>
  <c r="N48" i="10"/>
  <c r="N49" i="10"/>
  <c r="N58" i="10"/>
  <c r="N59" i="10"/>
  <c r="N60" i="10"/>
  <c r="N61" i="10"/>
  <c r="N62" i="10"/>
  <c r="N46" i="10"/>
  <c r="N24" i="10"/>
  <c r="N25" i="10"/>
  <c r="M22" i="10"/>
  <c r="M50" i="10"/>
  <c r="M51" i="10"/>
  <c r="M52" i="10"/>
  <c r="M53" i="10"/>
  <c r="M54" i="10"/>
  <c r="M55" i="10"/>
  <c r="M56" i="10"/>
  <c r="M57" i="10"/>
  <c r="M47" i="10"/>
  <c r="M48" i="10"/>
  <c r="M49" i="10"/>
  <c r="M58" i="10"/>
  <c r="M59" i="10"/>
  <c r="M60" i="10"/>
  <c r="M61" i="10"/>
  <c r="M62" i="10"/>
  <c r="M46" i="10"/>
  <c r="M24" i="10"/>
  <c r="M25" i="10"/>
  <c r="L22" i="10"/>
  <c r="L50" i="10"/>
  <c r="L51" i="10"/>
  <c r="L52" i="10"/>
  <c r="L53" i="10"/>
  <c r="L54" i="10"/>
  <c r="L55" i="10"/>
  <c r="L56" i="10"/>
  <c r="L57" i="10"/>
  <c r="L47" i="10"/>
  <c r="L48" i="10"/>
  <c r="L49" i="10"/>
  <c r="L58" i="10"/>
  <c r="L59" i="10"/>
  <c r="L60" i="10"/>
  <c r="L61" i="10"/>
  <c r="L62" i="10"/>
  <c r="L46" i="10"/>
  <c r="L24" i="10"/>
  <c r="L25" i="10"/>
  <c r="J21" i="10"/>
  <c r="J22" i="10"/>
  <c r="J50" i="10"/>
  <c r="J51" i="10"/>
  <c r="J52" i="10"/>
  <c r="J53" i="10"/>
  <c r="J54" i="10"/>
  <c r="J55" i="10"/>
  <c r="J56" i="10"/>
  <c r="J57" i="10"/>
  <c r="J47" i="10"/>
  <c r="J48" i="10"/>
  <c r="J49" i="10"/>
  <c r="J58" i="10"/>
  <c r="J59" i="10"/>
  <c r="J60" i="10"/>
  <c r="J61" i="10"/>
  <c r="J62" i="10"/>
  <c r="J46" i="10"/>
  <c r="J24" i="10"/>
  <c r="J25" i="10"/>
  <c r="I21" i="10"/>
  <c r="I22" i="10"/>
  <c r="I50" i="10"/>
  <c r="I51" i="10"/>
  <c r="I52" i="10"/>
  <c r="I53" i="10"/>
  <c r="I54" i="10"/>
  <c r="I55" i="10"/>
  <c r="I56" i="10"/>
  <c r="I57" i="10"/>
  <c r="I47" i="10"/>
  <c r="I48" i="10"/>
  <c r="I49" i="10"/>
  <c r="I58" i="10"/>
  <c r="I59" i="10"/>
  <c r="I60" i="10"/>
  <c r="I61" i="10"/>
  <c r="I62" i="10"/>
  <c r="I46" i="10"/>
  <c r="I24" i="10"/>
  <c r="I25" i="10"/>
  <c r="H21" i="10"/>
  <c r="H22" i="10"/>
  <c r="H50" i="10"/>
  <c r="H51" i="10"/>
  <c r="H52" i="10"/>
  <c r="H53" i="10"/>
  <c r="H54" i="10"/>
  <c r="H55" i="10"/>
  <c r="H56" i="10"/>
  <c r="H57" i="10"/>
  <c r="H47" i="10"/>
  <c r="H48" i="10"/>
  <c r="H49" i="10"/>
  <c r="H58" i="10"/>
  <c r="H59" i="10"/>
  <c r="H60" i="10"/>
  <c r="H61" i="10"/>
  <c r="H62" i="10"/>
  <c r="H46" i="10"/>
  <c r="H24" i="10"/>
  <c r="H25" i="10"/>
  <c r="G21" i="10"/>
  <c r="G22" i="10"/>
  <c r="G50" i="10"/>
  <c r="G51" i="10"/>
  <c r="G52" i="10"/>
  <c r="G53" i="10"/>
  <c r="G54" i="10"/>
  <c r="G55" i="10"/>
  <c r="G56" i="10"/>
  <c r="G57" i="10"/>
  <c r="G47" i="10"/>
  <c r="G48" i="10"/>
  <c r="G49" i="10"/>
  <c r="G58" i="10"/>
  <c r="G59" i="10"/>
  <c r="G60" i="10"/>
  <c r="G61" i="10"/>
  <c r="G62" i="10"/>
  <c r="G46" i="10"/>
  <c r="G24" i="10"/>
  <c r="G25" i="10"/>
  <c r="F21" i="10"/>
  <c r="F22" i="10"/>
  <c r="F50" i="10"/>
  <c r="F51" i="10"/>
  <c r="F52" i="10"/>
  <c r="F53" i="10"/>
  <c r="F54" i="10"/>
  <c r="F55" i="10"/>
  <c r="F56" i="10"/>
  <c r="F57" i="10"/>
  <c r="F47" i="10"/>
  <c r="F48" i="10"/>
  <c r="F49" i="10"/>
  <c r="F58" i="10"/>
  <c r="F59" i="10"/>
  <c r="F60" i="10"/>
  <c r="F61" i="10"/>
  <c r="F62" i="10"/>
  <c r="F46" i="10"/>
  <c r="F24" i="10"/>
  <c r="F25" i="10"/>
  <c r="E21" i="10"/>
  <c r="E22" i="10"/>
  <c r="E50" i="10"/>
  <c r="E51" i="10"/>
  <c r="E52" i="10"/>
  <c r="E53" i="10"/>
  <c r="E54" i="10"/>
  <c r="E55" i="10"/>
  <c r="E56" i="10"/>
  <c r="E57" i="10"/>
  <c r="E47" i="10"/>
  <c r="E48" i="10"/>
  <c r="E49" i="10"/>
  <c r="E58" i="10"/>
  <c r="E59" i="10"/>
  <c r="E60" i="10"/>
  <c r="E61" i="10"/>
  <c r="E62" i="10"/>
  <c r="E46" i="10"/>
  <c r="E24" i="10"/>
  <c r="E25" i="10"/>
  <c r="D21" i="10"/>
  <c r="D22" i="10"/>
  <c r="D50" i="10"/>
  <c r="D51" i="10"/>
  <c r="D52" i="10"/>
  <c r="D53" i="10"/>
  <c r="D54" i="10"/>
  <c r="D55" i="10"/>
  <c r="D56" i="10"/>
  <c r="D57" i="10"/>
  <c r="D47" i="10"/>
  <c r="D48" i="10"/>
  <c r="D49" i="10"/>
  <c r="D58" i="10"/>
  <c r="D59" i="10"/>
  <c r="D60" i="10"/>
  <c r="D61" i="10"/>
  <c r="D62" i="10"/>
  <c r="D46" i="10"/>
  <c r="D24" i="10"/>
  <c r="D25" i="10"/>
  <c r="C21" i="10"/>
  <c r="C22" i="10"/>
  <c r="C50" i="10"/>
  <c r="C51" i="10"/>
  <c r="C52" i="10"/>
  <c r="C53" i="10"/>
  <c r="C54" i="10"/>
  <c r="C55" i="10"/>
  <c r="C56" i="10"/>
  <c r="C57" i="10"/>
  <c r="C47" i="10"/>
  <c r="C48" i="10"/>
  <c r="C49" i="10"/>
  <c r="C58" i="10"/>
  <c r="C59" i="10"/>
  <c r="C60" i="10"/>
  <c r="C61" i="10"/>
  <c r="C62" i="10"/>
  <c r="C46" i="10"/>
  <c r="C24" i="10"/>
  <c r="C25" i="10"/>
  <c r="P50" i="8"/>
  <c r="P51" i="8"/>
  <c r="P22" i="8"/>
  <c r="P52" i="8"/>
  <c r="P53" i="8"/>
  <c r="P54" i="8"/>
  <c r="P55" i="8"/>
  <c r="P56" i="8"/>
  <c r="P57" i="8"/>
  <c r="P47" i="8"/>
  <c r="P48" i="8"/>
  <c r="P49" i="8"/>
  <c r="P58" i="8"/>
  <c r="P59" i="8"/>
  <c r="P60" i="8"/>
  <c r="P61" i="8"/>
  <c r="P62" i="8"/>
  <c r="P63" i="8"/>
  <c r="P24" i="8"/>
  <c r="P25" i="8"/>
  <c r="L21" i="8"/>
  <c r="M21" i="8"/>
  <c r="N21" i="8"/>
  <c r="O21" i="8"/>
  <c r="O22" i="8"/>
  <c r="O52" i="8"/>
  <c r="O50" i="8"/>
  <c r="O51" i="8"/>
  <c r="O53" i="8"/>
  <c r="O54" i="8"/>
  <c r="O55" i="8"/>
  <c r="O56" i="8"/>
  <c r="O57" i="8"/>
  <c r="O47" i="8"/>
  <c r="O48" i="8"/>
  <c r="O49" i="8"/>
  <c r="O58" i="8"/>
  <c r="O60" i="8"/>
  <c r="O59" i="8"/>
  <c r="O61" i="8"/>
  <c r="O62" i="8"/>
  <c r="O63" i="8"/>
  <c r="O46" i="8"/>
  <c r="O24" i="8"/>
  <c r="O25" i="8"/>
  <c r="N22" i="8"/>
  <c r="N52" i="8"/>
  <c r="N50" i="8"/>
  <c r="N51" i="8"/>
  <c r="N53" i="8"/>
  <c r="N54" i="8"/>
  <c r="N55" i="8"/>
  <c r="N56" i="8"/>
  <c r="N57" i="8"/>
  <c r="N47" i="8"/>
  <c r="N48" i="8"/>
  <c r="N49" i="8"/>
  <c r="N58" i="8"/>
  <c r="N60" i="8"/>
  <c r="N59" i="8"/>
  <c r="N61" i="8"/>
  <c r="N62" i="8"/>
  <c r="N63" i="8"/>
  <c r="N46" i="8"/>
  <c r="N24" i="8"/>
  <c r="N25" i="8"/>
  <c r="M22" i="8"/>
  <c r="M52" i="8"/>
  <c r="M50" i="8"/>
  <c r="M51" i="8"/>
  <c r="M53" i="8"/>
  <c r="M54" i="8"/>
  <c r="M55" i="8"/>
  <c r="M56" i="8"/>
  <c r="M57" i="8"/>
  <c r="M47" i="8"/>
  <c r="M48" i="8"/>
  <c r="M49" i="8"/>
  <c r="M58" i="8"/>
  <c r="M60" i="8"/>
  <c r="M59" i="8"/>
  <c r="M61" i="8"/>
  <c r="M62" i="8"/>
  <c r="M63" i="8"/>
  <c r="M46" i="8"/>
  <c r="M24" i="8"/>
  <c r="M25" i="8"/>
  <c r="L22" i="8"/>
  <c r="L52" i="8"/>
  <c r="L50" i="8"/>
  <c r="L51" i="8"/>
  <c r="L53" i="8"/>
  <c r="L54" i="8"/>
  <c r="L55" i="8"/>
  <c r="L56" i="8"/>
  <c r="L57" i="8"/>
  <c r="L47" i="8"/>
  <c r="L48" i="8"/>
  <c r="L49" i="8"/>
  <c r="L58" i="8"/>
  <c r="L60" i="8"/>
  <c r="L59" i="8"/>
  <c r="L61" i="8"/>
  <c r="L62" i="8"/>
  <c r="L63" i="8"/>
  <c r="L46" i="8"/>
  <c r="L24" i="8"/>
  <c r="L25" i="8"/>
  <c r="J21" i="8"/>
  <c r="J22" i="8"/>
  <c r="J52" i="8"/>
  <c r="J50" i="8"/>
  <c r="J51" i="8"/>
  <c r="J53" i="8"/>
  <c r="J54" i="8"/>
  <c r="J55" i="8"/>
  <c r="J56" i="8"/>
  <c r="J57" i="8"/>
  <c r="J47" i="8"/>
  <c r="J48" i="8"/>
  <c r="J49" i="8"/>
  <c r="J58" i="8"/>
  <c r="J60" i="8"/>
  <c r="J59" i="8"/>
  <c r="J61" i="8"/>
  <c r="J62" i="8"/>
  <c r="J63" i="8"/>
  <c r="J46" i="8"/>
  <c r="J24" i="8"/>
  <c r="J25" i="8"/>
  <c r="I21" i="8"/>
  <c r="I22" i="8"/>
  <c r="I52" i="8"/>
  <c r="I50" i="8"/>
  <c r="I51" i="8"/>
  <c r="I53" i="8"/>
  <c r="I54" i="8"/>
  <c r="I55" i="8"/>
  <c r="I56" i="8"/>
  <c r="I57" i="8"/>
  <c r="I47" i="8"/>
  <c r="I48" i="8"/>
  <c r="I49" i="8"/>
  <c r="I58" i="8"/>
  <c r="I60" i="8"/>
  <c r="I59" i="8"/>
  <c r="I61" i="8"/>
  <c r="I62" i="8"/>
  <c r="I63" i="8"/>
  <c r="I46" i="8"/>
  <c r="I24" i="8"/>
  <c r="I25" i="8"/>
  <c r="H21" i="8"/>
  <c r="H22" i="8"/>
  <c r="H52" i="8"/>
  <c r="H50" i="8"/>
  <c r="H51" i="8"/>
  <c r="H53" i="8"/>
  <c r="H54" i="8"/>
  <c r="H55" i="8"/>
  <c r="H56" i="8"/>
  <c r="H57" i="8"/>
  <c r="H47" i="8"/>
  <c r="H48" i="8"/>
  <c r="H49" i="8"/>
  <c r="H58" i="8"/>
  <c r="H60" i="8"/>
  <c r="H59" i="8"/>
  <c r="H61" i="8"/>
  <c r="H62" i="8"/>
  <c r="H63" i="8"/>
  <c r="H46" i="8"/>
  <c r="H24" i="8"/>
  <c r="H25" i="8"/>
  <c r="G21" i="8"/>
  <c r="G22" i="8"/>
  <c r="G52" i="8"/>
  <c r="G50" i="8"/>
  <c r="G51" i="8"/>
  <c r="G53" i="8"/>
  <c r="G54" i="8"/>
  <c r="G55" i="8"/>
  <c r="G56" i="8"/>
  <c r="G57" i="8"/>
  <c r="G47" i="8"/>
  <c r="G48" i="8"/>
  <c r="G49" i="8"/>
  <c r="G58" i="8"/>
  <c r="G60" i="8"/>
  <c r="G59" i="8"/>
  <c r="G61" i="8"/>
  <c r="G62" i="8"/>
  <c r="G63" i="8"/>
  <c r="G46" i="8"/>
  <c r="G24" i="8"/>
  <c r="G25" i="8"/>
  <c r="F21" i="8"/>
  <c r="F22" i="8"/>
  <c r="F52" i="8"/>
  <c r="F50" i="8"/>
  <c r="F51" i="8"/>
  <c r="F53" i="8"/>
  <c r="F54" i="8"/>
  <c r="F55" i="8"/>
  <c r="F56" i="8"/>
  <c r="F57" i="8"/>
  <c r="F47" i="8"/>
  <c r="F48" i="8"/>
  <c r="F49" i="8"/>
  <c r="F58" i="8"/>
  <c r="F60" i="8"/>
  <c r="F59" i="8"/>
  <c r="F61" i="8"/>
  <c r="F62" i="8"/>
  <c r="F63" i="8"/>
  <c r="F46" i="8"/>
  <c r="F24" i="8"/>
  <c r="F25" i="8"/>
  <c r="E21" i="8"/>
  <c r="E22" i="8"/>
  <c r="E52" i="8"/>
  <c r="E50" i="8"/>
  <c r="E51" i="8"/>
  <c r="E53" i="8"/>
  <c r="E54" i="8"/>
  <c r="E55" i="8"/>
  <c r="E56" i="8"/>
  <c r="E57" i="8"/>
  <c r="E47" i="8"/>
  <c r="E48" i="8"/>
  <c r="E49" i="8"/>
  <c r="E58" i="8"/>
  <c r="E60" i="8"/>
  <c r="E59" i="8"/>
  <c r="E61" i="8"/>
  <c r="E62" i="8"/>
  <c r="E63" i="8"/>
  <c r="E46" i="8"/>
  <c r="E24" i="8"/>
  <c r="E25" i="8"/>
  <c r="D21" i="8"/>
  <c r="D22" i="8"/>
  <c r="D52" i="8"/>
  <c r="D50" i="8"/>
  <c r="D51" i="8"/>
  <c r="D53" i="8"/>
  <c r="D54" i="8"/>
  <c r="D55" i="8"/>
  <c r="D56" i="8"/>
  <c r="D57" i="8"/>
  <c r="D47" i="8"/>
  <c r="D48" i="8"/>
  <c r="D49" i="8"/>
  <c r="D58" i="8"/>
  <c r="D60" i="8"/>
  <c r="D59" i="8"/>
  <c r="D61" i="8"/>
  <c r="D62" i="8"/>
  <c r="D63" i="8"/>
  <c r="D46" i="8"/>
  <c r="D24" i="8"/>
  <c r="D25" i="8"/>
  <c r="C21" i="8"/>
  <c r="C22" i="8"/>
  <c r="C52" i="8"/>
  <c r="C50" i="8"/>
  <c r="C51" i="8"/>
  <c r="C53" i="8"/>
  <c r="C54" i="8"/>
  <c r="C55" i="8"/>
  <c r="C56" i="8"/>
  <c r="C57" i="8"/>
  <c r="C47" i="8"/>
  <c r="C48" i="8"/>
  <c r="C49" i="8"/>
  <c r="C58" i="8"/>
  <c r="C60" i="8"/>
  <c r="C59" i="8"/>
  <c r="C61" i="8"/>
  <c r="C62" i="8"/>
  <c r="C63" i="8"/>
  <c r="C46" i="8"/>
  <c r="C24" i="8"/>
  <c r="C25" i="8"/>
  <c r="J21" i="6"/>
  <c r="I21" i="6"/>
  <c r="I22" i="6"/>
  <c r="I50" i="6"/>
  <c r="I51" i="6"/>
  <c r="I52" i="6"/>
  <c r="I53" i="6"/>
  <c r="I54" i="6"/>
  <c r="I55" i="6"/>
  <c r="I56" i="6"/>
  <c r="I57" i="6"/>
  <c r="I47" i="6"/>
  <c r="I48" i="6"/>
  <c r="I49" i="6"/>
  <c r="I58" i="6"/>
  <c r="I59" i="6"/>
  <c r="I60" i="6"/>
  <c r="I61" i="6"/>
  <c r="I62" i="6"/>
  <c r="I63" i="6"/>
  <c r="I46" i="6"/>
  <c r="I24" i="6"/>
  <c r="I25" i="6"/>
  <c r="J22" i="6"/>
  <c r="J50" i="6"/>
  <c r="J51" i="6"/>
  <c r="J52" i="6"/>
  <c r="J53" i="6"/>
  <c r="J54" i="6"/>
  <c r="J55" i="6"/>
  <c r="J56" i="6"/>
  <c r="J57" i="6"/>
  <c r="J47" i="6"/>
  <c r="J48" i="6"/>
  <c r="J49" i="6"/>
  <c r="J58" i="6"/>
  <c r="J59" i="6"/>
  <c r="J60" i="6"/>
  <c r="J61" i="6"/>
  <c r="J62" i="6"/>
  <c r="J63" i="6"/>
  <c r="J46" i="6"/>
  <c r="J24" i="6"/>
  <c r="J25" i="6"/>
  <c r="L21" i="6"/>
  <c r="L22" i="6"/>
  <c r="L50" i="6"/>
  <c r="L51" i="6"/>
  <c r="L52" i="6"/>
  <c r="L53" i="6"/>
  <c r="L54" i="6"/>
  <c r="L55" i="6"/>
  <c r="L56" i="6"/>
  <c r="L57" i="6"/>
  <c r="L47" i="6"/>
  <c r="L48" i="6"/>
  <c r="L49" i="6"/>
  <c r="L58" i="6"/>
  <c r="L59" i="6"/>
  <c r="L60" i="6"/>
  <c r="L61" i="6"/>
  <c r="L62" i="6"/>
  <c r="L63" i="6"/>
  <c r="L46" i="6"/>
  <c r="L24" i="6"/>
  <c r="L25" i="6"/>
  <c r="M21" i="6"/>
  <c r="M22" i="6"/>
  <c r="M50" i="6"/>
  <c r="M51" i="6"/>
  <c r="M52" i="6"/>
  <c r="M53" i="6"/>
  <c r="M54" i="6"/>
  <c r="M55" i="6"/>
  <c r="M56" i="6"/>
  <c r="M57" i="6"/>
  <c r="M47" i="6"/>
  <c r="M48" i="6"/>
  <c r="M49" i="6"/>
  <c r="M58" i="6"/>
  <c r="M59" i="6"/>
  <c r="M60" i="6"/>
  <c r="M61" i="6"/>
  <c r="M62" i="6"/>
  <c r="M63" i="6"/>
  <c r="M46" i="6"/>
  <c r="M24" i="6"/>
  <c r="M25" i="6"/>
  <c r="N21" i="6"/>
  <c r="N22" i="6"/>
  <c r="N50" i="6"/>
  <c r="N51" i="6"/>
  <c r="N52" i="6"/>
  <c r="N53" i="6"/>
  <c r="N54" i="6"/>
  <c r="N55" i="6"/>
  <c r="N56" i="6"/>
  <c r="N57" i="6"/>
  <c r="N47" i="6"/>
  <c r="N48" i="6"/>
  <c r="N49" i="6"/>
  <c r="N58" i="6"/>
  <c r="N59" i="6"/>
  <c r="N60" i="6"/>
  <c r="N61" i="6"/>
  <c r="N62" i="6"/>
  <c r="N63" i="6"/>
  <c r="N46" i="6"/>
  <c r="N24" i="6"/>
  <c r="N25" i="6"/>
  <c r="O21" i="6"/>
  <c r="O22" i="6"/>
  <c r="O50" i="6"/>
  <c r="O51" i="6"/>
  <c r="O52" i="6"/>
  <c r="O53" i="6"/>
  <c r="O54" i="6"/>
  <c r="O55" i="6"/>
  <c r="O56" i="6"/>
  <c r="O57" i="6"/>
  <c r="O47" i="6"/>
  <c r="O48" i="6"/>
  <c r="O49" i="6"/>
  <c r="O58" i="6"/>
  <c r="O59" i="6"/>
  <c r="O60" i="6"/>
  <c r="O61" i="6"/>
  <c r="O62" i="6"/>
  <c r="O63" i="6"/>
  <c r="O46" i="6"/>
  <c r="O24" i="6"/>
  <c r="O25" i="6"/>
  <c r="P50" i="6"/>
  <c r="P51" i="6"/>
  <c r="P22" i="6"/>
  <c r="P52" i="6"/>
  <c r="P53" i="6"/>
  <c r="P54" i="6"/>
  <c r="P55" i="6"/>
  <c r="P56" i="6"/>
  <c r="P57" i="6"/>
  <c r="P47" i="6"/>
  <c r="P48" i="6"/>
  <c r="P49" i="6"/>
  <c r="P58" i="6"/>
  <c r="P59" i="6"/>
  <c r="P60" i="6"/>
  <c r="P61" i="6"/>
  <c r="P62" i="6"/>
  <c r="P63" i="6"/>
  <c r="P46" i="6"/>
  <c r="P24" i="6"/>
  <c r="P25" i="6"/>
  <c r="H21" i="6"/>
  <c r="G21" i="6"/>
  <c r="F21" i="6"/>
  <c r="E21" i="6"/>
  <c r="E22" i="6"/>
  <c r="E50" i="6"/>
  <c r="E51" i="6"/>
  <c r="E52" i="6"/>
  <c r="E53" i="6"/>
  <c r="E54" i="6"/>
  <c r="E55" i="6"/>
  <c r="E56" i="6"/>
  <c r="E57" i="6"/>
  <c r="E47" i="6"/>
  <c r="E48" i="6"/>
  <c r="E49" i="6"/>
  <c r="E58" i="6"/>
  <c r="E59" i="6"/>
  <c r="E60" i="6"/>
  <c r="E61" i="6"/>
  <c r="E62" i="6"/>
  <c r="E63" i="6"/>
  <c r="E46" i="6"/>
  <c r="E24" i="6"/>
  <c r="E25" i="6"/>
  <c r="F22" i="6"/>
  <c r="F50" i="6"/>
  <c r="F51" i="6"/>
  <c r="F52" i="6"/>
  <c r="F53" i="6"/>
  <c r="F54" i="6"/>
  <c r="F55" i="6"/>
  <c r="F56" i="6"/>
  <c r="F57" i="6"/>
  <c r="F47" i="6"/>
  <c r="F48" i="6"/>
  <c r="F49" i="6"/>
  <c r="F58" i="6"/>
  <c r="F59" i="6"/>
  <c r="F60" i="6"/>
  <c r="F61" i="6"/>
  <c r="F62" i="6"/>
  <c r="F63" i="6"/>
  <c r="F46" i="6"/>
  <c r="F24" i="6"/>
  <c r="F25" i="6"/>
  <c r="G22" i="6"/>
  <c r="G50" i="6"/>
  <c r="G51" i="6"/>
  <c r="G52" i="6"/>
  <c r="G53" i="6"/>
  <c r="G54" i="6"/>
  <c r="G55" i="6"/>
  <c r="G56" i="6"/>
  <c r="G57" i="6"/>
  <c r="G47" i="6"/>
  <c r="G48" i="6"/>
  <c r="G49" i="6"/>
  <c r="G58" i="6"/>
  <c r="G59" i="6"/>
  <c r="G60" i="6"/>
  <c r="G61" i="6"/>
  <c r="G62" i="6"/>
  <c r="G63" i="6"/>
  <c r="G46" i="6"/>
  <c r="G24" i="6"/>
  <c r="G25" i="6"/>
  <c r="H22" i="6"/>
  <c r="H50" i="6"/>
  <c r="H51" i="6"/>
  <c r="H52" i="6"/>
  <c r="H53" i="6"/>
  <c r="H54" i="6"/>
  <c r="H55" i="6"/>
  <c r="H56" i="6"/>
  <c r="H57" i="6"/>
  <c r="H47" i="6"/>
  <c r="H48" i="6"/>
  <c r="H49" i="6"/>
  <c r="H58" i="6"/>
  <c r="H59" i="6"/>
  <c r="H60" i="6"/>
  <c r="H61" i="6"/>
  <c r="H62" i="6"/>
  <c r="H63" i="6"/>
  <c r="H46" i="6"/>
  <c r="H24" i="6"/>
  <c r="H25" i="6"/>
  <c r="D21" i="6"/>
  <c r="D22" i="6"/>
  <c r="D50" i="6"/>
  <c r="D51" i="6"/>
  <c r="D52" i="6"/>
  <c r="D53" i="6"/>
  <c r="D54" i="6"/>
  <c r="D55" i="6"/>
  <c r="D56" i="6"/>
  <c r="D57" i="6"/>
  <c r="D47" i="6"/>
  <c r="D48" i="6"/>
  <c r="D49" i="6"/>
  <c r="D58" i="6"/>
  <c r="D59" i="6"/>
  <c r="D60" i="6"/>
  <c r="D61" i="6"/>
  <c r="D62" i="6"/>
  <c r="D63" i="6"/>
  <c r="D46" i="6"/>
  <c r="D24" i="6"/>
  <c r="D25" i="6"/>
  <c r="C21" i="6"/>
  <c r="C22" i="6"/>
  <c r="C50" i="6"/>
  <c r="C51" i="6"/>
  <c r="C52" i="6"/>
  <c r="C53" i="6"/>
  <c r="C54" i="6"/>
  <c r="C55" i="6"/>
  <c r="C56" i="6"/>
  <c r="C57" i="6"/>
  <c r="C47" i="6"/>
  <c r="C48" i="6"/>
  <c r="C49" i="6"/>
  <c r="C58" i="6"/>
  <c r="C59" i="6"/>
  <c r="C60" i="6"/>
  <c r="C61" i="6"/>
  <c r="C62" i="6"/>
  <c r="C63" i="6"/>
  <c r="C46" i="6"/>
  <c r="C24" i="6"/>
  <c r="C25" i="6"/>
  <c r="M26" i="37"/>
  <c r="M26" i="10"/>
  <c r="F26" i="11"/>
  <c r="P26" i="37"/>
  <c r="N26" i="37"/>
  <c r="L26" i="37"/>
  <c r="G26" i="37"/>
  <c r="F26" i="37"/>
  <c r="C26" i="37"/>
  <c r="N26" i="11"/>
  <c r="H26" i="11"/>
  <c r="E26" i="11"/>
  <c r="D26" i="11"/>
  <c r="N26" i="10"/>
  <c r="I26" i="10"/>
  <c r="P26" i="25"/>
  <c r="O26" i="14"/>
  <c r="N26" i="14"/>
  <c r="J26" i="14"/>
  <c r="I26" i="14"/>
  <c r="P26" i="7"/>
  <c r="O26" i="7"/>
  <c r="N26" i="7"/>
  <c r="M26" i="7"/>
  <c r="L26" i="7"/>
  <c r="H26" i="7"/>
  <c r="G26" i="7"/>
  <c r="F26" i="7"/>
  <c r="E26" i="7"/>
  <c r="D26" i="7"/>
  <c r="C26" i="7"/>
  <c r="D26" i="6"/>
  <c r="E26" i="6"/>
  <c r="F26" i="6"/>
  <c r="H26" i="6"/>
  <c r="I26" i="6"/>
  <c r="J26" i="6"/>
  <c r="M26" i="6"/>
  <c r="N26" i="6"/>
  <c r="P26" i="6"/>
  <c r="C26" i="6"/>
  <c r="L27" i="6"/>
  <c r="M27" i="6"/>
  <c r="N27" i="6"/>
  <c r="O27" i="6"/>
  <c r="P27" i="6"/>
  <c r="G72" i="25"/>
  <c r="G72" i="13"/>
  <c r="G69" i="36"/>
  <c r="G69" i="9"/>
  <c r="G72" i="8"/>
  <c r="G72" i="14"/>
  <c r="N26" i="36"/>
  <c r="O3" i="27"/>
  <c r="L3" i="27"/>
  <c r="I4" i="27"/>
  <c r="I5" i="27"/>
  <c r="I7" i="27"/>
  <c r="I11" i="27"/>
  <c r="L27" i="35"/>
  <c r="M27" i="35"/>
  <c r="N27" i="35"/>
  <c r="O27" i="35"/>
  <c r="P27" i="35"/>
  <c r="L27" i="7"/>
  <c r="M27" i="7"/>
  <c r="N27" i="7"/>
  <c r="O27" i="7"/>
  <c r="P27" i="7"/>
  <c r="C4" i="47"/>
  <c r="E4" i="47"/>
  <c r="G4" i="47"/>
  <c r="I4" i="47"/>
  <c r="K4" i="47"/>
  <c r="M4" i="47"/>
  <c r="C5" i="47"/>
  <c r="E5" i="47"/>
  <c r="G5" i="47"/>
  <c r="I5" i="47"/>
  <c r="K5" i="47"/>
  <c r="M5" i="47"/>
  <c r="C6" i="47"/>
  <c r="E6" i="47"/>
  <c r="G6" i="47"/>
  <c r="I6" i="47"/>
  <c r="K6" i="47"/>
  <c r="M6" i="47"/>
  <c r="C7" i="47"/>
  <c r="E7" i="47"/>
  <c r="G7" i="47"/>
  <c r="I7" i="47"/>
  <c r="K7" i="47"/>
  <c r="M7" i="47"/>
  <c r="C8" i="47"/>
  <c r="E8" i="47"/>
  <c r="G8" i="47"/>
  <c r="I8" i="47"/>
  <c r="K8" i="47"/>
  <c r="M8" i="47"/>
  <c r="C9" i="47"/>
  <c r="E9" i="47"/>
  <c r="G9" i="47"/>
  <c r="I9" i="47"/>
  <c r="K9" i="47"/>
  <c r="M9" i="47"/>
  <c r="C10" i="47"/>
  <c r="E10" i="47"/>
  <c r="G10" i="47"/>
  <c r="I10" i="47"/>
  <c r="K10" i="47"/>
  <c r="M10" i="47"/>
  <c r="C11" i="47"/>
  <c r="E11" i="47"/>
  <c r="G11" i="47"/>
  <c r="I11" i="47"/>
  <c r="K11" i="47"/>
  <c r="M11" i="47"/>
  <c r="C12" i="47"/>
  <c r="E12" i="47"/>
  <c r="G12" i="47"/>
  <c r="I12" i="47"/>
  <c r="K12" i="47"/>
  <c r="M12" i="47"/>
  <c r="C13" i="47"/>
  <c r="E13" i="47"/>
  <c r="G13" i="47"/>
  <c r="I13" i="47"/>
  <c r="K13" i="47"/>
  <c r="M13" i="47"/>
  <c r="C14" i="47"/>
  <c r="E14" i="47"/>
  <c r="G14" i="47"/>
  <c r="I14" i="47"/>
  <c r="K14" i="47"/>
  <c r="M14" i="47"/>
  <c r="C15" i="47"/>
  <c r="E15" i="47"/>
  <c r="G15" i="47"/>
  <c r="I15" i="47"/>
  <c r="K15" i="47"/>
  <c r="M15" i="47"/>
  <c r="C16" i="47"/>
  <c r="E16" i="47"/>
  <c r="G16" i="47"/>
  <c r="I16" i="47"/>
  <c r="K16" i="47"/>
  <c r="M16" i="47"/>
  <c r="C17" i="47"/>
  <c r="E17" i="47"/>
  <c r="G17" i="47"/>
  <c r="I17" i="47"/>
  <c r="K17" i="47"/>
  <c r="M17" i="47"/>
  <c r="C18" i="47"/>
  <c r="E18" i="47"/>
  <c r="G18" i="47"/>
  <c r="I18" i="47"/>
  <c r="K18" i="47"/>
  <c r="M18" i="47"/>
  <c r="C19" i="47"/>
  <c r="E19" i="47"/>
  <c r="G19" i="47"/>
  <c r="I19" i="47"/>
  <c r="K19" i="47"/>
  <c r="M19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D3" i="46"/>
  <c r="F3" i="46"/>
  <c r="D4" i="46"/>
  <c r="F4" i="46"/>
  <c r="D5" i="46"/>
  <c r="F5" i="46"/>
  <c r="D6" i="46"/>
  <c r="F6" i="46"/>
  <c r="D7" i="46"/>
  <c r="F7" i="46"/>
  <c r="D8" i="46"/>
  <c r="F8" i="46"/>
  <c r="D9" i="46"/>
  <c r="F9" i="46"/>
  <c r="D10" i="46"/>
  <c r="F10" i="46"/>
  <c r="D11" i="46"/>
  <c r="F11" i="46"/>
  <c r="D12" i="46"/>
  <c r="F12" i="46"/>
  <c r="D13" i="46"/>
  <c r="F13" i="46"/>
  <c r="D14" i="46"/>
  <c r="F14" i="46"/>
  <c r="D15" i="46"/>
  <c r="F15" i="46"/>
  <c r="D16" i="46"/>
  <c r="F16" i="46"/>
  <c r="D17" i="46"/>
  <c r="F17" i="46"/>
  <c r="D18" i="46"/>
  <c r="F18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51" i="46"/>
  <c r="L27" i="13"/>
  <c r="M27" i="13"/>
  <c r="N27" i="13"/>
  <c r="O27" i="13"/>
  <c r="P27" i="13"/>
  <c r="C8" i="12"/>
  <c r="L27" i="14"/>
  <c r="M27" i="14"/>
  <c r="N27" i="14"/>
  <c r="O27" i="14"/>
  <c r="P27" i="14"/>
  <c r="D9" i="12"/>
  <c r="E10" i="12"/>
  <c r="F9" i="12"/>
  <c r="B9" i="12"/>
  <c r="I6" i="27"/>
  <c r="C8" i="45"/>
  <c r="D8" i="45"/>
  <c r="D9" i="45"/>
  <c r="E8" i="45"/>
  <c r="B11" i="45"/>
  <c r="C11" i="45"/>
  <c r="D11" i="45"/>
  <c r="E11" i="45"/>
  <c r="F11" i="45"/>
  <c r="B12" i="45"/>
  <c r="C12" i="45"/>
  <c r="D12" i="45"/>
  <c r="E12" i="45"/>
  <c r="F12" i="45"/>
  <c r="B13" i="45"/>
  <c r="C13" i="45"/>
  <c r="D13" i="45"/>
  <c r="E13" i="45"/>
  <c r="F13" i="45"/>
  <c r="B14" i="45"/>
  <c r="C14" i="45"/>
  <c r="D14" i="45"/>
  <c r="E14" i="45"/>
  <c r="F14" i="45"/>
  <c r="B16" i="45"/>
  <c r="C16" i="45"/>
  <c r="D16" i="45"/>
  <c r="E16" i="45"/>
  <c r="F16" i="45"/>
  <c r="B17" i="45"/>
  <c r="C17" i="45"/>
  <c r="D17" i="45"/>
  <c r="E17" i="45"/>
  <c r="F17" i="45"/>
  <c r="B18" i="45"/>
  <c r="C18" i="45"/>
  <c r="D18" i="45"/>
  <c r="E18" i="45"/>
  <c r="F18" i="45"/>
  <c r="B19" i="45"/>
  <c r="C19" i="45"/>
  <c r="D19" i="45"/>
  <c r="E19" i="45"/>
  <c r="F19" i="45"/>
  <c r="K25" i="45"/>
  <c r="K32" i="45"/>
  <c r="K26" i="45"/>
  <c r="K27" i="45"/>
  <c r="D27" i="45"/>
  <c r="D29" i="45"/>
  <c r="D41" i="45"/>
  <c r="D28" i="45"/>
  <c r="C111" i="45"/>
  <c r="E111" i="45"/>
  <c r="G111" i="45"/>
  <c r="H111" i="45"/>
  <c r="C112" i="45"/>
  <c r="E112" i="45"/>
  <c r="G112" i="45"/>
  <c r="H112" i="45"/>
  <c r="C113" i="45"/>
  <c r="E113" i="45"/>
  <c r="G113" i="45"/>
  <c r="H113" i="45"/>
  <c r="C114" i="45"/>
  <c r="E114" i="45"/>
  <c r="G114" i="45"/>
  <c r="H114" i="45"/>
  <c r="C146" i="45"/>
  <c r="E146" i="45"/>
  <c r="G146" i="45"/>
  <c r="H146" i="45"/>
  <c r="C147" i="45"/>
  <c r="E147" i="45"/>
  <c r="G147" i="45"/>
  <c r="H147" i="45"/>
  <c r="C148" i="45"/>
  <c r="E148" i="45"/>
  <c r="G148" i="45"/>
  <c r="H148" i="45"/>
  <c r="C149" i="45"/>
  <c r="E149" i="45"/>
  <c r="G149" i="45"/>
  <c r="H149" i="45"/>
  <c r="M63" i="25"/>
  <c r="E68" i="25"/>
  <c r="N63" i="25"/>
  <c r="L63" i="25"/>
  <c r="E68" i="13"/>
  <c r="C63" i="25"/>
  <c r="D63" i="25"/>
  <c r="E63" i="25"/>
  <c r="F63" i="25"/>
  <c r="G63" i="25"/>
  <c r="H63" i="25"/>
  <c r="I63" i="25"/>
  <c r="J63" i="25"/>
  <c r="K63" i="25"/>
  <c r="O63" i="25"/>
  <c r="P63" i="25"/>
  <c r="D60" i="37"/>
  <c r="E60" i="37"/>
  <c r="F60" i="37"/>
  <c r="G60" i="37"/>
  <c r="H60" i="37"/>
  <c r="E65" i="37"/>
  <c r="E68" i="10"/>
  <c r="C60" i="37"/>
  <c r="D60" i="11"/>
  <c r="E60" i="11"/>
  <c r="F60" i="11"/>
  <c r="G60" i="11"/>
  <c r="H60" i="11"/>
  <c r="E65" i="11"/>
  <c r="C60" i="11"/>
  <c r="D63" i="10"/>
  <c r="E63" i="10"/>
  <c r="F63" i="10"/>
  <c r="G63" i="10"/>
  <c r="H63" i="10"/>
  <c r="I63" i="10"/>
  <c r="J63" i="10"/>
  <c r="L63" i="10"/>
  <c r="M63" i="10"/>
  <c r="N63" i="10"/>
  <c r="O63" i="10"/>
  <c r="C63" i="10"/>
  <c r="K9" i="35"/>
  <c r="K10" i="35"/>
  <c r="E68" i="14"/>
  <c r="H27" i="7"/>
  <c r="C41" i="4"/>
  <c r="C1" i="26"/>
  <c r="E41" i="4"/>
  <c r="D41" i="4"/>
  <c r="P73" i="13"/>
  <c r="P73" i="8"/>
  <c r="P73" i="10"/>
  <c r="P49" i="11"/>
  <c r="P70" i="9"/>
  <c r="F12" i="43"/>
  <c r="M12" i="43"/>
  <c r="T12" i="43"/>
  <c r="O117" i="43"/>
  <c r="S52" i="43"/>
  <c r="L52" i="43"/>
  <c r="E52" i="43"/>
  <c r="S12" i="43"/>
  <c r="L12" i="43"/>
  <c r="E12" i="43"/>
  <c r="K9" i="37"/>
  <c r="K10" i="37"/>
  <c r="P60" i="37"/>
  <c r="K9" i="36"/>
  <c r="K10" i="36"/>
  <c r="H27" i="35"/>
  <c r="K9" i="25"/>
  <c r="K10" i="25"/>
  <c r="K9" i="11"/>
  <c r="K10" i="11"/>
  <c r="P60" i="11"/>
  <c r="K9" i="10"/>
  <c r="K10" i="10"/>
  <c r="P63" i="10"/>
  <c r="K9" i="13"/>
  <c r="K10" i="13"/>
  <c r="K9" i="9"/>
  <c r="K10" i="9"/>
  <c r="K9" i="8"/>
  <c r="K10" i="8"/>
  <c r="K9" i="14"/>
  <c r="K10" i="14"/>
  <c r="K9" i="7"/>
  <c r="K10" i="7"/>
  <c r="K9" i="6"/>
  <c r="K10" i="6"/>
  <c r="D27" i="7"/>
  <c r="E27" i="7"/>
  <c r="G8" i="12"/>
  <c r="P73" i="6"/>
  <c r="P70" i="11"/>
  <c r="E8" i="12"/>
  <c r="G10" i="12"/>
  <c r="P73" i="14"/>
  <c r="P70" i="35"/>
  <c r="D30" i="45"/>
  <c r="C9" i="45"/>
  <c r="C20" i="45"/>
  <c r="B9" i="45"/>
  <c r="B20" i="45"/>
  <c r="B15" i="45"/>
  <c r="D44" i="45"/>
  <c r="D46" i="45"/>
  <c r="D32" i="45"/>
  <c r="D33" i="45"/>
  <c r="D50" i="45"/>
  <c r="I46" i="27"/>
  <c r="D31" i="45"/>
  <c r="K30" i="45"/>
  <c r="K29" i="45"/>
  <c r="P52" i="10"/>
  <c r="P70" i="7"/>
  <c r="C10" i="12"/>
  <c r="D27" i="12"/>
  <c r="D52" i="45"/>
  <c r="D51" i="45"/>
  <c r="I16" i="27"/>
  <c r="I17" i="27"/>
  <c r="D35" i="45"/>
  <c r="I21" i="27"/>
  <c r="D12" i="4"/>
  <c r="I36" i="27"/>
  <c r="I37" i="27"/>
  <c r="D45" i="45"/>
  <c r="C7" i="4"/>
  <c r="J15" i="43"/>
  <c r="D36" i="45"/>
  <c r="E12" i="4"/>
  <c r="C90" i="4"/>
  <c r="Q15" i="43"/>
  <c r="E8" i="27"/>
  <c r="E9" i="26"/>
  <c r="D9" i="26"/>
  <c r="D8" i="27"/>
  <c r="N26" i="13"/>
  <c r="O26" i="13"/>
  <c r="N26" i="9"/>
  <c r="O26" i="36"/>
  <c r="E26" i="13"/>
  <c r="P26" i="13"/>
  <c r="C26" i="36"/>
  <c r="F26" i="13"/>
  <c r="L26" i="13"/>
  <c r="M26" i="8"/>
  <c r="E26" i="36"/>
  <c r="G26" i="13"/>
  <c r="F26" i="36"/>
  <c r="H26" i="13"/>
  <c r="H26" i="36"/>
  <c r="I26" i="13"/>
  <c r="J26" i="13"/>
  <c r="M26" i="36"/>
  <c r="D26" i="8"/>
  <c r="H26" i="8"/>
  <c r="I26" i="8"/>
  <c r="L26" i="8"/>
  <c r="E26" i="9"/>
  <c r="C26" i="13"/>
  <c r="M26" i="13"/>
  <c r="P26" i="8"/>
  <c r="M26" i="9"/>
  <c r="P73" i="25"/>
  <c r="P52" i="25"/>
  <c r="F27" i="12"/>
  <c r="K28" i="45"/>
  <c r="D38" i="45"/>
  <c r="E9" i="45"/>
  <c r="F8" i="45"/>
  <c r="F9" i="45"/>
  <c r="D37" i="45"/>
  <c r="P70" i="36"/>
  <c r="B27" i="12"/>
  <c r="C99" i="4"/>
  <c r="C102" i="4"/>
  <c r="P49" i="37"/>
  <c r="P70" i="37"/>
  <c r="C26" i="35"/>
  <c r="D26" i="14"/>
  <c r="L26" i="14"/>
  <c r="F26" i="25"/>
  <c r="N26" i="25"/>
  <c r="F26" i="8"/>
  <c r="N26" i="8"/>
  <c r="G26" i="10"/>
  <c r="O26" i="10"/>
  <c r="G26" i="9"/>
  <c r="O26" i="9"/>
  <c r="P26" i="36"/>
  <c r="D26" i="35"/>
  <c r="L26" i="35"/>
  <c r="E26" i="14"/>
  <c r="M26" i="14"/>
  <c r="O26" i="25"/>
  <c r="G26" i="8"/>
  <c r="O26" i="8"/>
  <c r="H26" i="10"/>
  <c r="P26" i="10"/>
  <c r="H26" i="9"/>
  <c r="P26" i="9"/>
  <c r="E26" i="35"/>
  <c r="M26" i="35"/>
  <c r="F26" i="35"/>
  <c r="N26" i="35"/>
  <c r="J26" i="10"/>
  <c r="O26" i="6"/>
  <c r="G26" i="6"/>
  <c r="G26" i="35"/>
  <c r="O26" i="35"/>
  <c r="H26" i="14"/>
  <c r="P26" i="14"/>
  <c r="J26" i="25"/>
  <c r="J26" i="8"/>
  <c r="C26" i="10"/>
  <c r="C26" i="9"/>
  <c r="D26" i="36"/>
  <c r="L26" i="36"/>
  <c r="D27" i="35"/>
  <c r="E27" i="35"/>
  <c r="H26" i="35"/>
  <c r="P26" i="35"/>
  <c r="C26" i="25"/>
  <c r="C26" i="8"/>
  <c r="D26" i="10"/>
  <c r="L26" i="10"/>
  <c r="D26" i="9"/>
  <c r="L26" i="9"/>
  <c r="L26" i="6"/>
  <c r="C26" i="14"/>
  <c r="D26" i="13"/>
  <c r="E26" i="25"/>
  <c r="E26" i="8"/>
  <c r="F26" i="10"/>
  <c r="F26" i="9"/>
  <c r="G26" i="36"/>
  <c r="C101" i="4"/>
  <c r="C100" i="4"/>
  <c r="G27" i="12"/>
  <c r="F20" i="45"/>
  <c r="F15" i="45"/>
  <c r="E20" i="45"/>
  <c r="D47" i="45"/>
  <c r="I31" i="27"/>
  <c r="I33" i="27"/>
  <c r="E15" i="45"/>
  <c r="D40" i="45"/>
  <c r="I26" i="27"/>
  <c r="I27" i="27"/>
  <c r="D39" i="45"/>
  <c r="I28" i="27"/>
  <c r="K31" i="45"/>
  <c r="D18" i="9"/>
  <c r="D48" i="45"/>
  <c r="D18" i="8"/>
  <c r="I32" i="27"/>
  <c r="E26" i="37"/>
  <c r="M26" i="11"/>
  <c r="C26" i="11"/>
  <c r="O26" i="11"/>
  <c r="H26" i="37"/>
  <c r="P26" i="11"/>
  <c r="G26" i="25"/>
  <c r="E26" i="10"/>
  <c r="G26" i="11"/>
  <c r="D26" i="37"/>
  <c r="O26" i="37"/>
  <c r="L26" i="11"/>
  <c r="D42" i="45"/>
  <c r="D43" i="45"/>
  <c r="I41" i="27"/>
  <c r="I12" i="27"/>
  <c r="I13" i="27"/>
  <c r="P21" i="7"/>
  <c r="C36" i="4"/>
  <c r="D49" i="45"/>
  <c r="L21" i="27"/>
  <c r="I23" i="27"/>
  <c r="O21" i="27"/>
  <c r="I22" i="27"/>
  <c r="I48" i="27"/>
  <c r="I47" i="27"/>
  <c r="D31" i="12"/>
  <c r="D15" i="45"/>
  <c r="D20" i="45"/>
  <c r="L27" i="10"/>
  <c r="M27" i="10"/>
  <c r="N27" i="10"/>
  <c r="O27" i="10"/>
  <c r="P27" i="10"/>
  <c r="L27" i="25"/>
  <c r="M27" i="25"/>
  <c r="N27" i="25"/>
  <c r="O27" i="25"/>
  <c r="P27" i="25"/>
  <c r="B29" i="12"/>
  <c r="F28" i="12"/>
  <c r="C9" i="26"/>
  <c r="C8" i="27"/>
  <c r="I38" i="27"/>
  <c r="D34" i="45"/>
  <c r="C15" i="45"/>
  <c r="G26" i="14"/>
  <c r="H26" i="25"/>
  <c r="D90" i="4"/>
  <c r="I18" i="27"/>
  <c r="F26" i="14"/>
  <c r="I26" i="25"/>
  <c r="D99" i="4"/>
  <c r="L27" i="8"/>
  <c r="M27" i="8"/>
  <c r="N27" i="8"/>
  <c r="O27" i="8"/>
  <c r="P27" i="8"/>
  <c r="L26" i="25"/>
  <c r="C15" i="43"/>
  <c r="E57" i="43"/>
  <c r="D26" i="25"/>
  <c r="M26" i="25"/>
  <c r="P23" i="7"/>
  <c r="C43" i="12"/>
  <c r="C32" i="12"/>
  <c r="C30" i="12"/>
  <c r="C29" i="12"/>
  <c r="C28" i="12"/>
  <c r="E43" i="12"/>
  <c r="E30" i="12"/>
  <c r="E32" i="12"/>
  <c r="G30" i="8"/>
  <c r="P21" i="35"/>
  <c r="I43" i="27"/>
  <c r="I42" i="27"/>
  <c r="C27" i="12"/>
  <c r="C14" i="12"/>
  <c r="L27" i="37"/>
  <c r="M27" i="37"/>
  <c r="N27" i="37"/>
  <c r="O27" i="37"/>
  <c r="P27" i="37"/>
  <c r="D27" i="37"/>
  <c r="E27" i="37"/>
  <c r="E90" i="4"/>
  <c r="E99" i="4"/>
  <c r="P21" i="14"/>
  <c r="E28" i="12"/>
  <c r="L27" i="36"/>
  <c r="M27" i="36"/>
  <c r="N27" i="36"/>
  <c r="O27" i="36"/>
  <c r="P27" i="36"/>
  <c r="D27" i="36"/>
  <c r="E27" i="36"/>
  <c r="G31" i="12"/>
  <c r="F30" i="10"/>
  <c r="D30" i="10"/>
  <c r="H30" i="10"/>
  <c r="N30" i="10"/>
  <c r="J30" i="10"/>
  <c r="O30" i="10"/>
  <c r="C30" i="10"/>
  <c r="I30" i="10"/>
  <c r="L30" i="10"/>
  <c r="M30" i="10"/>
  <c r="E30" i="10"/>
  <c r="G30" i="10"/>
  <c r="E7" i="4"/>
  <c r="C12" i="4"/>
  <c r="F31" i="12"/>
  <c r="E29" i="12"/>
  <c r="E31" i="12"/>
  <c r="Q31" i="6"/>
  <c r="R31" i="6"/>
  <c r="D7" i="4"/>
  <c r="G30" i="12"/>
  <c r="G29" i="12"/>
  <c r="G43" i="12"/>
  <c r="G32" i="12"/>
  <c r="G14" i="12"/>
  <c r="L27" i="11"/>
  <c r="M27" i="11"/>
  <c r="N27" i="11"/>
  <c r="O27" i="11"/>
  <c r="P27" i="11"/>
  <c r="D27" i="11"/>
  <c r="E27" i="11"/>
  <c r="D18" i="11"/>
  <c r="B31" i="12"/>
  <c r="L27" i="9"/>
  <c r="M27" i="9"/>
  <c r="N27" i="9"/>
  <c r="O27" i="9"/>
  <c r="P27" i="9"/>
  <c r="D27" i="9"/>
  <c r="E27" i="9"/>
  <c r="D100" i="4"/>
  <c r="D101" i="4"/>
  <c r="D102" i="4"/>
  <c r="F14" i="12"/>
  <c r="F30" i="12"/>
  <c r="F32" i="12"/>
  <c r="F29" i="12"/>
  <c r="F43" i="12"/>
  <c r="D18" i="10"/>
  <c r="C31" i="12"/>
  <c r="E27" i="12"/>
  <c r="E14" i="12"/>
  <c r="L30" i="8"/>
  <c r="I30" i="8"/>
  <c r="J30" i="8"/>
  <c r="O30" i="8"/>
  <c r="N30" i="8"/>
  <c r="M30" i="8"/>
  <c r="H30" i="8"/>
  <c r="B30" i="12"/>
  <c r="B32" i="12"/>
  <c r="B14" i="12"/>
  <c r="B43" i="12"/>
  <c r="B28" i="12"/>
  <c r="D29" i="12"/>
  <c r="D14" i="12"/>
  <c r="D43" i="12"/>
  <c r="D28" i="12"/>
  <c r="D32" i="12"/>
  <c r="D30" i="12"/>
  <c r="G28" i="12"/>
  <c r="P21" i="6"/>
  <c r="C42" i="43"/>
  <c r="C44" i="43"/>
  <c r="K73" i="6"/>
  <c r="D18" i="6"/>
  <c r="P23" i="14"/>
  <c r="J30" i="6"/>
  <c r="L30" i="6"/>
  <c r="E102" i="4"/>
  <c r="E100" i="4"/>
  <c r="E101" i="4"/>
  <c r="M23" i="14"/>
  <c r="L23" i="6"/>
  <c r="G23" i="7"/>
  <c r="E15" i="43"/>
  <c r="P23" i="35"/>
  <c r="J23" i="6"/>
  <c r="G23" i="35"/>
  <c r="H23" i="7"/>
  <c r="F23" i="35"/>
  <c r="F23" i="7"/>
  <c r="P23" i="6"/>
  <c r="C45" i="43"/>
  <c r="H23" i="35"/>
  <c r="D18" i="7"/>
  <c r="J29" i="43"/>
  <c r="E23" i="35"/>
  <c r="M23" i="6"/>
  <c r="K70" i="7"/>
  <c r="F70" i="35"/>
  <c r="D36" i="4"/>
  <c r="G70" i="7"/>
  <c r="K73" i="14"/>
  <c r="G70" i="35"/>
  <c r="F23" i="13"/>
  <c r="J23" i="14"/>
  <c r="J70" i="35"/>
  <c r="H70" i="35"/>
  <c r="F70" i="7"/>
  <c r="E23" i="7"/>
  <c r="I23" i="25"/>
  <c r="E36" i="4"/>
  <c r="M30" i="6"/>
  <c r="D23" i="36"/>
  <c r="F23" i="8"/>
  <c r="F30" i="8"/>
  <c r="I23" i="6"/>
  <c r="L23" i="14"/>
  <c r="I30" i="6"/>
  <c r="O23" i="25"/>
  <c r="M73" i="14"/>
  <c r="H70" i="7"/>
  <c r="J73" i="6"/>
  <c r="E16" i="43"/>
  <c r="F15" i="43"/>
  <c r="F16" i="43"/>
  <c r="C21" i="43"/>
  <c r="L73" i="6"/>
  <c r="N23" i="14"/>
  <c r="G5" i="43"/>
  <c r="C20" i="43"/>
  <c r="D70" i="36"/>
  <c r="C22" i="4"/>
  <c r="I73" i="6"/>
  <c r="C23" i="36"/>
  <c r="C22" i="43"/>
  <c r="S57" i="43"/>
  <c r="J73" i="14"/>
  <c r="E23" i="13"/>
  <c r="I70" i="35"/>
  <c r="H23" i="25"/>
  <c r="L57" i="43"/>
  <c r="I23" i="14"/>
  <c r="P21" i="9"/>
  <c r="F23" i="9"/>
  <c r="G23" i="9"/>
  <c r="H23" i="9"/>
  <c r="E23" i="9"/>
  <c r="D23" i="9"/>
  <c r="P21" i="8"/>
  <c r="J23" i="8"/>
  <c r="M23" i="8"/>
  <c r="L23" i="8"/>
  <c r="I23" i="8"/>
  <c r="N23" i="8"/>
  <c r="H23" i="8"/>
  <c r="G23" i="8"/>
  <c r="O23" i="8"/>
  <c r="D23" i="35"/>
  <c r="F73" i="8"/>
  <c r="P21" i="36"/>
  <c r="H23" i="36"/>
  <c r="F23" i="36"/>
  <c r="G23" i="36"/>
  <c r="E23" i="36"/>
  <c r="E70" i="35"/>
  <c r="I70" i="7"/>
  <c r="S15" i="43"/>
  <c r="L73" i="14"/>
  <c r="L15" i="43"/>
  <c r="C23" i="9"/>
  <c r="N73" i="14"/>
  <c r="E23" i="8"/>
  <c r="E30" i="8"/>
  <c r="G23" i="11"/>
  <c r="P21" i="11"/>
  <c r="H23" i="11"/>
  <c r="F23" i="11"/>
  <c r="E23" i="11"/>
  <c r="D23" i="11"/>
  <c r="E70" i="7"/>
  <c r="J23" i="13"/>
  <c r="M23" i="13"/>
  <c r="P21" i="13"/>
  <c r="I23" i="13"/>
  <c r="N23" i="13"/>
  <c r="O23" i="13"/>
  <c r="L23" i="13"/>
  <c r="H23" i="13"/>
  <c r="G23" i="13"/>
  <c r="C23" i="11"/>
  <c r="O23" i="14"/>
  <c r="Q29" i="43"/>
  <c r="H23" i="6"/>
  <c r="H30" i="6"/>
  <c r="O23" i="10"/>
  <c r="J23" i="10"/>
  <c r="M23" i="10"/>
  <c r="N23" i="10"/>
  <c r="P21" i="10"/>
  <c r="D23" i="10"/>
  <c r="I23" i="10"/>
  <c r="H23" i="10"/>
  <c r="G23" i="10"/>
  <c r="F23" i="10"/>
  <c r="L23" i="10"/>
  <c r="E23" i="10"/>
  <c r="C23" i="10"/>
  <c r="D23" i="7"/>
  <c r="C70" i="11"/>
  <c r="N23" i="6"/>
  <c r="N30" i="6"/>
  <c r="P21" i="37"/>
  <c r="D23" i="37"/>
  <c r="F23" i="37"/>
  <c r="E23" i="37"/>
  <c r="H23" i="37"/>
  <c r="C23" i="37"/>
  <c r="G23" i="37"/>
  <c r="K70" i="35"/>
  <c r="M73" i="6"/>
  <c r="N5" i="43"/>
  <c r="J20" i="43"/>
  <c r="P21" i="25"/>
  <c r="M23" i="25"/>
  <c r="J23" i="25"/>
  <c r="N23" i="25"/>
  <c r="L23" i="25"/>
  <c r="F73" i="13"/>
  <c r="J70" i="7"/>
  <c r="J42" i="43"/>
  <c r="G70" i="37"/>
  <c r="I73" i="25"/>
  <c r="C70" i="37"/>
  <c r="J70" i="37"/>
  <c r="N73" i="6"/>
  <c r="D70" i="7"/>
  <c r="D73" i="10"/>
  <c r="O73" i="14"/>
  <c r="H73" i="13"/>
  <c r="J73" i="13"/>
  <c r="C70" i="9"/>
  <c r="E70" i="36"/>
  <c r="K70" i="9"/>
  <c r="H70" i="9"/>
  <c r="K43" i="43"/>
  <c r="J45" i="43"/>
  <c r="D23" i="13"/>
  <c r="C23" i="7"/>
  <c r="H73" i="10"/>
  <c r="N73" i="10"/>
  <c r="H73" i="6"/>
  <c r="N73" i="13"/>
  <c r="I70" i="36"/>
  <c r="D70" i="35"/>
  <c r="H73" i="8"/>
  <c r="G70" i="9"/>
  <c r="E73" i="13"/>
  <c r="R43" i="43"/>
  <c r="D70" i="37"/>
  <c r="K73" i="10"/>
  <c r="P23" i="10"/>
  <c r="I73" i="10"/>
  <c r="G23" i="6"/>
  <c r="G30" i="6"/>
  <c r="O73" i="13"/>
  <c r="I70" i="11"/>
  <c r="F70" i="36"/>
  <c r="C23" i="35"/>
  <c r="I70" i="9"/>
  <c r="J73" i="25"/>
  <c r="F73" i="10"/>
  <c r="L73" i="10"/>
  <c r="E70" i="11"/>
  <c r="K70" i="11"/>
  <c r="E73" i="8"/>
  <c r="K73" i="8"/>
  <c r="P23" i="8"/>
  <c r="D70" i="9"/>
  <c r="F70" i="9"/>
  <c r="K73" i="25"/>
  <c r="P23" i="25"/>
  <c r="I70" i="37"/>
  <c r="M73" i="25"/>
  <c r="P23" i="37"/>
  <c r="C73" i="10"/>
  <c r="E73" i="10"/>
  <c r="J73" i="10"/>
  <c r="Q42" i="43"/>
  <c r="Q45" i="43"/>
  <c r="H70" i="11"/>
  <c r="D23" i="8"/>
  <c r="D30" i="8"/>
  <c r="L16" i="43"/>
  <c r="M15" i="43"/>
  <c r="M16" i="43"/>
  <c r="J21" i="43"/>
  <c r="J22" i="43"/>
  <c r="S16" i="43"/>
  <c r="T15" i="43"/>
  <c r="T16" i="43"/>
  <c r="Q21" i="43"/>
  <c r="H70" i="36"/>
  <c r="O73" i="8"/>
  <c r="J73" i="8"/>
  <c r="J70" i="9"/>
  <c r="O73" i="10"/>
  <c r="U5" i="43"/>
  <c r="Q20" i="43"/>
  <c r="Q22" i="43"/>
  <c r="G73" i="13"/>
  <c r="M73" i="13"/>
  <c r="G70" i="11"/>
  <c r="P23" i="11"/>
  <c r="J70" i="11"/>
  <c r="K70" i="36"/>
  <c r="J70" i="36"/>
  <c r="I73" i="8"/>
  <c r="L73" i="8"/>
  <c r="H73" i="25"/>
  <c r="K70" i="37"/>
  <c r="F70" i="37"/>
  <c r="O23" i="6"/>
  <c r="O30" i="6"/>
  <c r="M73" i="10"/>
  <c r="L73" i="13"/>
  <c r="K73" i="13"/>
  <c r="D70" i="11"/>
  <c r="F70" i="11"/>
  <c r="O73" i="25"/>
  <c r="P23" i="36"/>
  <c r="G73" i="8"/>
  <c r="M73" i="8"/>
  <c r="I73" i="14"/>
  <c r="G23" i="25"/>
  <c r="C70" i="36"/>
  <c r="C28" i="43"/>
  <c r="L73" i="25"/>
  <c r="J44" i="43"/>
  <c r="K44" i="43"/>
  <c r="K42" i="43"/>
  <c r="N73" i="25"/>
  <c r="H70" i="37"/>
  <c r="E70" i="37"/>
  <c r="G73" i="10"/>
  <c r="I73" i="13"/>
  <c r="P23" i="13"/>
  <c r="G70" i="36"/>
  <c r="N73" i="8"/>
  <c r="E70" i="9"/>
  <c r="P23" i="9"/>
  <c r="H23" i="14"/>
  <c r="G73" i="25"/>
  <c r="O73" i="6"/>
  <c r="D73" i="8"/>
  <c r="C23" i="8"/>
  <c r="C30" i="8"/>
  <c r="C23" i="13"/>
  <c r="F23" i="6"/>
  <c r="F30" i="6"/>
  <c r="D73" i="13"/>
  <c r="C28" i="4"/>
  <c r="E22" i="4"/>
  <c r="C70" i="35"/>
  <c r="H73" i="14"/>
  <c r="G23" i="14"/>
  <c r="F23" i="25"/>
  <c r="D22" i="4"/>
  <c r="Q44" i="43"/>
  <c r="R44" i="43"/>
  <c r="R42" i="43"/>
  <c r="G73" i="6"/>
  <c r="C70" i="7"/>
  <c r="J28" i="43"/>
  <c r="G73" i="14"/>
  <c r="E23" i="6"/>
  <c r="E30" i="6"/>
  <c r="C31" i="4"/>
  <c r="F23" i="14"/>
  <c r="C73" i="13"/>
  <c r="F73" i="6"/>
  <c r="E23" i="25"/>
  <c r="F28" i="7"/>
  <c r="O28" i="7"/>
  <c r="N28" i="7"/>
  <c r="M28" i="7"/>
  <c r="D28" i="7"/>
  <c r="H28" i="7"/>
  <c r="P28" i="7"/>
  <c r="E28" i="7"/>
  <c r="L28" i="7"/>
  <c r="C28" i="7"/>
  <c r="G28" i="7"/>
  <c r="F73" i="25"/>
  <c r="M28" i="35"/>
  <c r="H28" i="35"/>
  <c r="C28" i="35"/>
  <c r="N28" i="35"/>
  <c r="O28" i="35"/>
  <c r="E28" i="35"/>
  <c r="D28" i="35"/>
  <c r="G28" i="35"/>
  <c r="L28" i="35"/>
  <c r="P28" i="35"/>
  <c r="F28" i="35"/>
  <c r="C73" i="8"/>
  <c r="Q28" i="43"/>
  <c r="D23" i="25"/>
  <c r="E73" i="25"/>
  <c r="F73" i="14"/>
  <c r="D23" i="6"/>
  <c r="D30" i="6"/>
  <c r="E23" i="14"/>
  <c r="D28" i="4"/>
  <c r="C69" i="7"/>
  <c r="E69" i="7"/>
  <c r="E73" i="6"/>
  <c r="C5" i="27"/>
  <c r="C4" i="26"/>
  <c r="F28" i="36"/>
  <c r="P28" i="36"/>
  <c r="M28" i="36"/>
  <c r="O28" i="36"/>
  <c r="H28" i="36"/>
  <c r="L28" i="36"/>
  <c r="C28" i="36"/>
  <c r="G28" i="36"/>
  <c r="D28" i="36"/>
  <c r="E28" i="36"/>
  <c r="N28" i="36"/>
  <c r="N28" i="9"/>
  <c r="P28" i="9"/>
  <c r="F28" i="9"/>
  <c r="L28" i="9"/>
  <c r="O28" i="9"/>
  <c r="D28" i="9"/>
  <c r="C28" i="9"/>
  <c r="H28" i="9"/>
  <c r="M28" i="9"/>
  <c r="G28" i="9"/>
  <c r="E28" i="9"/>
  <c r="D73" i="6"/>
  <c r="C23" i="6"/>
  <c r="C30" i="6"/>
  <c r="D31" i="4"/>
  <c r="C23" i="25"/>
  <c r="C74" i="4"/>
  <c r="C5" i="26"/>
  <c r="D73" i="25"/>
  <c r="D23" i="14"/>
  <c r="P37" i="7"/>
  <c r="H37" i="7"/>
  <c r="F37" i="7"/>
  <c r="G37" i="7"/>
  <c r="E37" i="7"/>
  <c r="D37" i="7"/>
  <c r="C37" i="7"/>
  <c r="E28" i="4"/>
  <c r="C4" i="27"/>
  <c r="C3" i="26"/>
  <c r="C3" i="27"/>
  <c r="C27" i="4"/>
  <c r="C25" i="4"/>
  <c r="C30" i="4"/>
  <c r="E73" i="14"/>
  <c r="P43" i="7"/>
  <c r="G29" i="7"/>
  <c r="G30" i="7"/>
  <c r="H29" i="7"/>
  <c r="H30" i="7"/>
  <c r="F29" i="7"/>
  <c r="F30" i="7"/>
  <c r="D29" i="7"/>
  <c r="D30" i="7"/>
  <c r="C93" i="4"/>
  <c r="G28" i="37"/>
  <c r="N28" i="37"/>
  <c r="C28" i="37"/>
  <c r="H28" i="37"/>
  <c r="F28" i="37"/>
  <c r="E28" i="37"/>
  <c r="D28" i="37"/>
  <c r="L28" i="37"/>
  <c r="M28" i="37"/>
  <c r="O28" i="37"/>
  <c r="P28" i="37"/>
  <c r="G68" i="9"/>
  <c r="C69" i="9"/>
  <c r="E69" i="9"/>
  <c r="C7" i="26"/>
  <c r="E29" i="7"/>
  <c r="E30" i="7"/>
  <c r="L28" i="6"/>
  <c r="I28" i="6"/>
  <c r="J28" i="6"/>
  <c r="G28" i="6"/>
  <c r="M28" i="6"/>
  <c r="E28" i="6"/>
  <c r="D28" i="6"/>
  <c r="C28" i="6"/>
  <c r="F28" i="6"/>
  <c r="O28" i="6"/>
  <c r="N28" i="6"/>
  <c r="H28" i="6"/>
  <c r="P28" i="6"/>
  <c r="O28" i="11"/>
  <c r="H28" i="11"/>
  <c r="D28" i="11"/>
  <c r="F28" i="11"/>
  <c r="M28" i="11"/>
  <c r="G28" i="11"/>
  <c r="P28" i="11"/>
  <c r="C28" i="11"/>
  <c r="E28" i="11"/>
  <c r="L28" i="11"/>
  <c r="N28" i="11"/>
  <c r="C23" i="14"/>
  <c r="C6" i="26"/>
  <c r="D73" i="14"/>
  <c r="C73" i="25"/>
  <c r="C73" i="6"/>
  <c r="C6" i="27"/>
  <c r="E31" i="4"/>
  <c r="D37" i="9"/>
  <c r="D31" i="7"/>
  <c r="D34" i="7"/>
  <c r="D35" i="7"/>
  <c r="J35" i="7"/>
  <c r="E34" i="7"/>
  <c r="E31" i="7"/>
  <c r="E35" i="7"/>
  <c r="D5" i="27"/>
  <c r="D4" i="26"/>
  <c r="H34" i="7"/>
  <c r="H31" i="7"/>
  <c r="H35" i="7"/>
  <c r="G35" i="7"/>
  <c r="G31" i="7"/>
  <c r="G34" i="7"/>
  <c r="F35" i="7"/>
  <c r="F31" i="7"/>
  <c r="F34" i="7"/>
  <c r="C69" i="11"/>
  <c r="E69" i="11"/>
  <c r="D28" i="14"/>
  <c r="C28" i="14"/>
  <c r="N28" i="14"/>
  <c r="P28" i="14"/>
  <c r="H28" i="14"/>
  <c r="F28" i="14"/>
  <c r="G28" i="14"/>
  <c r="L28" i="14"/>
  <c r="J28" i="14"/>
  <c r="O28" i="14"/>
  <c r="M28" i="14"/>
  <c r="I28" i="14"/>
  <c r="E28" i="14"/>
  <c r="D74" i="4"/>
  <c r="D5" i="26"/>
  <c r="C73" i="14"/>
  <c r="C29" i="7"/>
  <c r="C30" i="7"/>
  <c r="D25" i="4"/>
  <c r="D30" i="4"/>
  <c r="D27" i="4"/>
  <c r="D3" i="27"/>
  <c r="D4" i="27"/>
  <c r="D3" i="26"/>
  <c r="H37" i="9"/>
  <c r="G37" i="9"/>
  <c r="E37" i="9"/>
  <c r="P37" i="9"/>
  <c r="K35" i="7"/>
  <c r="P29" i="7"/>
  <c r="P30" i="7"/>
  <c r="C7" i="27"/>
  <c r="C8" i="26"/>
  <c r="C72" i="6"/>
  <c r="E72" i="6"/>
  <c r="D18" i="35"/>
  <c r="C37" i="9"/>
  <c r="F37" i="9"/>
  <c r="E74" i="4"/>
  <c r="E5" i="26"/>
  <c r="H29" i="9"/>
  <c r="H30" i="9"/>
  <c r="C29" i="9"/>
  <c r="C30" i="9"/>
  <c r="G29" i="9"/>
  <c r="G30" i="9"/>
  <c r="C34" i="7"/>
  <c r="C31" i="7"/>
  <c r="C35" i="7"/>
  <c r="P43" i="9"/>
  <c r="P35" i="7"/>
  <c r="P34" i="7"/>
  <c r="P31" i="7"/>
  <c r="I35" i="7"/>
  <c r="E5" i="27"/>
  <c r="E4" i="26"/>
  <c r="E36" i="7"/>
  <c r="E32" i="7"/>
  <c r="E33" i="7"/>
  <c r="D7" i="26"/>
  <c r="F36" i="7"/>
  <c r="F32" i="7"/>
  <c r="F33" i="7"/>
  <c r="F38" i="7"/>
  <c r="E38" i="7"/>
  <c r="D18" i="14"/>
  <c r="K38" i="7"/>
  <c r="H36" i="7"/>
  <c r="H32" i="7"/>
  <c r="H33" i="7"/>
  <c r="H38" i="7"/>
  <c r="E25" i="4"/>
  <c r="E30" i="4"/>
  <c r="E27" i="4"/>
  <c r="D6" i="26"/>
  <c r="J38" i="7"/>
  <c r="E29" i="9"/>
  <c r="E30" i="9"/>
  <c r="I28" i="8"/>
  <c r="J28" i="8"/>
  <c r="D28" i="8"/>
  <c r="C28" i="8"/>
  <c r="M28" i="8"/>
  <c r="E28" i="8"/>
  <c r="O28" i="8"/>
  <c r="L28" i="8"/>
  <c r="F28" i="8"/>
  <c r="G28" i="8"/>
  <c r="H28" i="8"/>
  <c r="P28" i="8"/>
  <c r="N28" i="8"/>
  <c r="D6" i="27"/>
  <c r="C69" i="35"/>
  <c r="E69" i="35"/>
  <c r="L40" i="6"/>
  <c r="J40" i="6"/>
  <c r="P40" i="6"/>
  <c r="I40" i="6"/>
  <c r="M40" i="6"/>
  <c r="H40" i="6"/>
  <c r="N40" i="6"/>
  <c r="O40" i="6"/>
  <c r="G40" i="6"/>
  <c r="F40" i="6"/>
  <c r="E40" i="6"/>
  <c r="D40" i="6"/>
  <c r="C40" i="6"/>
  <c r="E3" i="26"/>
  <c r="E3" i="27"/>
  <c r="E4" i="27"/>
  <c r="E7" i="26"/>
  <c r="D93" i="4"/>
  <c r="G36" i="7"/>
  <c r="G32" i="7"/>
  <c r="G38" i="7"/>
  <c r="D36" i="7"/>
  <c r="D32" i="7"/>
  <c r="D38" i="7"/>
  <c r="D29" i="9"/>
  <c r="D30" i="9"/>
  <c r="C37" i="11"/>
  <c r="P37" i="11"/>
  <c r="G33" i="7"/>
  <c r="D33" i="7"/>
  <c r="F37" i="11"/>
  <c r="H37" i="11"/>
  <c r="D37" i="11"/>
  <c r="G37" i="11"/>
  <c r="E37" i="11"/>
  <c r="C29" i="11"/>
  <c r="C30" i="11"/>
  <c r="F29" i="11"/>
  <c r="F30" i="11"/>
  <c r="D29" i="11"/>
  <c r="D30" i="11"/>
  <c r="E29" i="11"/>
  <c r="E30" i="11"/>
  <c r="H29" i="11"/>
  <c r="H30" i="11"/>
  <c r="Q35" i="7"/>
  <c r="Q34" i="7"/>
  <c r="M29" i="6"/>
  <c r="P29" i="6"/>
  <c r="P33" i="6"/>
  <c r="H29" i="6"/>
  <c r="H31" i="9"/>
  <c r="H34" i="9"/>
  <c r="H35" i="9"/>
  <c r="D34" i="9"/>
  <c r="D35" i="9"/>
  <c r="D31" i="9"/>
  <c r="N29" i="6"/>
  <c r="P43" i="11"/>
  <c r="O29" i="6"/>
  <c r="I29" i="6"/>
  <c r="G29" i="11"/>
  <c r="G30" i="11"/>
  <c r="J35" i="9"/>
  <c r="C34" i="9"/>
  <c r="C35" i="9"/>
  <c r="C31" i="9"/>
  <c r="F29" i="6"/>
  <c r="E28" i="13"/>
  <c r="F28" i="13"/>
  <c r="J28" i="13"/>
  <c r="G28" i="13"/>
  <c r="P28" i="13"/>
  <c r="I28" i="13"/>
  <c r="L28" i="13"/>
  <c r="N28" i="13"/>
  <c r="O28" i="13"/>
  <c r="C28" i="13"/>
  <c r="D28" i="13"/>
  <c r="H28" i="13"/>
  <c r="M28" i="13"/>
  <c r="D7" i="27"/>
  <c r="D8" i="26"/>
  <c r="H39" i="7"/>
  <c r="H41" i="7"/>
  <c r="H42" i="7"/>
  <c r="H40" i="7"/>
  <c r="D18" i="36"/>
  <c r="G71" i="8"/>
  <c r="C72" i="8"/>
  <c r="E72" i="8"/>
  <c r="K40" i="7"/>
  <c r="K39" i="7"/>
  <c r="K41" i="7"/>
  <c r="K42" i="7"/>
  <c r="H30" i="14"/>
  <c r="L30" i="14"/>
  <c r="C30" i="14"/>
  <c r="I30" i="14"/>
  <c r="G30" i="14"/>
  <c r="N30" i="14"/>
  <c r="D30" i="14"/>
  <c r="F30" i="14"/>
  <c r="J30" i="14"/>
  <c r="E30" i="14"/>
  <c r="O30" i="14"/>
  <c r="M30" i="14"/>
  <c r="P36" i="7"/>
  <c r="P32" i="7"/>
  <c r="P33" i="7"/>
  <c r="P38" i="7"/>
  <c r="L29" i="6"/>
  <c r="O28" i="10"/>
  <c r="C28" i="10"/>
  <c r="J28" i="10"/>
  <c r="N28" i="10"/>
  <c r="F28" i="10"/>
  <c r="M28" i="10"/>
  <c r="L28" i="10"/>
  <c r="I28" i="10"/>
  <c r="P28" i="10"/>
  <c r="D28" i="10"/>
  <c r="G28" i="10"/>
  <c r="E28" i="10"/>
  <c r="H28" i="10"/>
  <c r="E6" i="26"/>
  <c r="I38" i="7"/>
  <c r="D29" i="6"/>
  <c r="F29" i="9"/>
  <c r="F30" i="9"/>
  <c r="E6" i="27"/>
  <c r="Q36" i="7"/>
  <c r="E29" i="6"/>
  <c r="J40" i="7"/>
  <c r="J39" i="7"/>
  <c r="J41" i="7"/>
  <c r="J42" i="7"/>
  <c r="E39" i="7"/>
  <c r="E41" i="7"/>
  <c r="E42" i="7"/>
  <c r="E40" i="7"/>
  <c r="P29" i="9"/>
  <c r="P30" i="9"/>
  <c r="G39" i="7"/>
  <c r="G41" i="7"/>
  <c r="G42" i="7"/>
  <c r="G40" i="7"/>
  <c r="C72" i="14"/>
  <c r="E72" i="14"/>
  <c r="D39" i="7"/>
  <c r="D41" i="7"/>
  <c r="D42" i="7"/>
  <c r="D40" i="7"/>
  <c r="E34" i="9"/>
  <c r="E31" i="9"/>
  <c r="E35" i="9"/>
  <c r="F40" i="7"/>
  <c r="F39" i="7"/>
  <c r="F41" i="7"/>
  <c r="F42" i="7"/>
  <c r="G34" i="9"/>
  <c r="G31" i="9"/>
  <c r="G35" i="9"/>
  <c r="F37" i="35"/>
  <c r="G37" i="35"/>
  <c r="P37" i="35"/>
  <c r="H37" i="35"/>
  <c r="E37" i="35"/>
  <c r="D37" i="35"/>
  <c r="C37" i="35"/>
  <c r="C29" i="6"/>
  <c r="E93" i="4"/>
  <c r="C36" i="7"/>
  <c r="C32" i="7"/>
  <c r="C33" i="7"/>
  <c r="C38" i="7"/>
  <c r="E33" i="6"/>
  <c r="E32" i="6"/>
  <c r="E31" i="6"/>
  <c r="K35" i="11"/>
  <c r="I35" i="9"/>
  <c r="L32" i="6"/>
  <c r="L31" i="6"/>
  <c r="L33" i="6"/>
  <c r="F31" i="11"/>
  <c r="F35" i="11"/>
  <c r="F34" i="11"/>
  <c r="G71" i="13"/>
  <c r="C72" i="13"/>
  <c r="E72" i="13"/>
  <c r="H35" i="11"/>
  <c r="H31" i="11"/>
  <c r="H34" i="11"/>
  <c r="D35" i="11"/>
  <c r="D31" i="11"/>
  <c r="D34" i="11"/>
  <c r="F32" i="6"/>
  <c r="F31" i="6"/>
  <c r="F33" i="6"/>
  <c r="C33" i="6"/>
  <c r="C32" i="6"/>
  <c r="C31" i="6"/>
  <c r="E31" i="11"/>
  <c r="E34" i="11"/>
  <c r="E35" i="11"/>
  <c r="J35" i="11"/>
  <c r="M32" i="6"/>
  <c r="M31" i="6"/>
  <c r="M33" i="6"/>
  <c r="I35" i="11"/>
  <c r="K32" i="6"/>
  <c r="K31" i="6"/>
  <c r="C44" i="4"/>
  <c r="N33" i="6"/>
  <c r="N32" i="6"/>
  <c r="N31" i="6"/>
  <c r="E36" i="9"/>
  <c r="E32" i="9"/>
  <c r="E38" i="9"/>
  <c r="G36" i="9"/>
  <c r="G32" i="9"/>
  <c r="G38" i="9"/>
  <c r="P43" i="35"/>
  <c r="J29" i="6"/>
  <c r="P40" i="7"/>
  <c r="P39" i="7"/>
  <c r="P41" i="7"/>
  <c r="P42" i="7"/>
  <c r="C36" i="9"/>
  <c r="C32" i="9"/>
  <c r="C33" i="9"/>
  <c r="C38" i="9"/>
  <c r="O32" i="6"/>
  <c r="O31" i="6"/>
  <c r="O33" i="6"/>
  <c r="P37" i="6"/>
  <c r="P38" i="6"/>
  <c r="P34" i="6"/>
  <c r="P40" i="14"/>
  <c r="M40" i="14"/>
  <c r="L40" i="14"/>
  <c r="J40" i="14"/>
  <c r="N40" i="14"/>
  <c r="O40" i="14"/>
  <c r="I40" i="14"/>
  <c r="H40" i="14"/>
  <c r="G40" i="14"/>
  <c r="F40" i="14"/>
  <c r="E40" i="14"/>
  <c r="D40" i="14"/>
  <c r="C40" i="14"/>
  <c r="P35" i="9"/>
  <c r="P31" i="9"/>
  <c r="P34" i="9"/>
  <c r="D32" i="6"/>
  <c r="D31" i="6"/>
  <c r="D33" i="6"/>
  <c r="G29" i="6"/>
  <c r="I33" i="6"/>
  <c r="I32" i="6"/>
  <c r="I31" i="6"/>
  <c r="D36" i="9"/>
  <c r="D32" i="9"/>
  <c r="D33" i="9"/>
  <c r="D38" i="9"/>
  <c r="C39" i="7"/>
  <c r="C41" i="7"/>
  <c r="C42" i="7"/>
  <c r="C40" i="7"/>
  <c r="E33" i="9"/>
  <c r="E8" i="26"/>
  <c r="E7" i="27"/>
  <c r="J38" i="9"/>
  <c r="R35" i="7"/>
  <c r="R34" i="7"/>
  <c r="M28" i="25"/>
  <c r="D28" i="25"/>
  <c r="I28" i="25"/>
  <c r="E28" i="25"/>
  <c r="P28" i="25"/>
  <c r="N28" i="25"/>
  <c r="H28" i="25"/>
  <c r="J28" i="25"/>
  <c r="C28" i="25"/>
  <c r="F28" i="25"/>
  <c r="O28" i="25"/>
  <c r="G28" i="25"/>
  <c r="L28" i="25"/>
  <c r="F34" i="9"/>
  <c r="F31" i="9"/>
  <c r="F35" i="9"/>
  <c r="I40" i="7"/>
  <c r="I39" i="7"/>
  <c r="I41" i="7"/>
  <c r="I42" i="7"/>
  <c r="D18" i="13"/>
  <c r="G31" i="11"/>
  <c r="G35" i="11"/>
  <c r="G34" i="11"/>
  <c r="P29" i="11"/>
  <c r="P30" i="11"/>
  <c r="H36" i="9"/>
  <c r="H32" i="9"/>
  <c r="H33" i="9"/>
  <c r="H38" i="9"/>
  <c r="R36" i="7"/>
  <c r="D18" i="37"/>
  <c r="K35" i="9"/>
  <c r="C72" i="10"/>
  <c r="E72" i="10"/>
  <c r="G68" i="36"/>
  <c r="C69" i="36"/>
  <c r="E69" i="36"/>
  <c r="G33" i="9"/>
  <c r="C35" i="11"/>
  <c r="C31" i="11"/>
  <c r="C34" i="11"/>
  <c r="H32" i="6"/>
  <c r="H31" i="6"/>
  <c r="H33" i="6"/>
  <c r="I29" i="8"/>
  <c r="F29" i="8"/>
  <c r="J29" i="8"/>
  <c r="C29" i="8"/>
  <c r="D29" i="8"/>
  <c r="M29" i="8"/>
  <c r="O29" i="8"/>
  <c r="Q36" i="9"/>
  <c r="C72" i="25"/>
  <c r="E72" i="25"/>
  <c r="N29" i="8"/>
  <c r="H29" i="8"/>
  <c r="G33" i="6"/>
  <c r="G32" i="6"/>
  <c r="G31" i="6"/>
  <c r="P46" i="8"/>
  <c r="K35" i="35"/>
  <c r="J35" i="35"/>
  <c r="L29" i="8"/>
  <c r="G29" i="35"/>
  <c r="G30" i="35"/>
  <c r="G36" i="11"/>
  <c r="G32" i="11"/>
  <c r="G38" i="11"/>
  <c r="D39" i="9"/>
  <c r="D41" i="9"/>
  <c r="D42" i="9"/>
  <c r="D40" i="9"/>
  <c r="P36" i="9"/>
  <c r="P32" i="9"/>
  <c r="P33" i="9"/>
  <c r="P38" i="9"/>
  <c r="G40" i="9"/>
  <c r="G39" i="9"/>
  <c r="G41" i="9"/>
  <c r="G42" i="9"/>
  <c r="E39" i="9"/>
  <c r="E41" i="9"/>
  <c r="E42" i="9"/>
  <c r="E40" i="9"/>
  <c r="E29" i="35"/>
  <c r="E30" i="35"/>
  <c r="D30" i="13"/>
  <c r="G30" i="13"/>
  <c r="C30" i="13"/>
  <c r="H30" i="13"/>
  <c r="M30" i="13"/>
  <c r="F30" i="13"/>
  <c r="L30" i="13"/>
  <c r="O30" i="13"/>
  <c r="N30" i="13"/>
  <c r="I30" i="13"/>
  <c r="J30" i="13"/>
  <c r="E30" i="13"/>
  <c r="C40" i="9"/>
  <c r="C39" i="9"/>
  <c r="C41" i="9"/>
  <c r="C42" i="9"/>
  <c r="M34" i="6"/>
  <c r="M38" i="6"/>
  <c r="M37" i="6"/>
  <c r="I38" i="9"/>
  <c r="C29" i="35"/>
  <c r="C30" i="35"/>
  <c r="G33" i="11"/>
  <c r="D37" i="6"/>
  <c r="D38" i="6"/>
  <c r="D34" i="6"/>
  <c r="J33" i="6"/>
  <c r="J32" i="6"/>
  <c r="J31" i="6"/>
  <c r="H36" i="11"/>
  <c r="H32" i="11"/>
  <c r="H33" i="11"/>
  <c r="H38" i="11"/>
  <c r="C69" i="37"/>
  <c r="E69" i="37"/>
  <c r="J40" i="9"/>
  <c r="J39" i="9"/>
  <c r="J41" i="9"/>
  <c r="J42" i="9"/>
  <c r="I37" i="6"/>
  <c r="I38" i="6"/>
  <c r="I34" i="6"/>
  <c r="N34" i="6"/>
  <c r="N38" i="6"/>
  <c r="N37" i="6"/>
  <c r="F36" i="11"/>
  <c r="F32" i="11"/>
  <c r="F33" i="11"/>
  <c r="F38" i="11"/>
  <c r="H34" i="6"/>
  <c r="H38" i="6"/>
  <c r="H37" i="6"/>
  <c r="H39" i="9"/>
  <c r="H41" i="9"/>
  <c r="H42" i="9"/>
  <c r="H40" i="9"/>
  <c r="F36" i="9"/>
  <c r="F32" i="9"/>
  <c r="F33" i="9"/>
  <c r="F38" i="9"/>
  <c r="P29" i="35"/>
  <c r="P30" i="35"/>
  <c r="J38" i="11"/>
  <c r="C34" i="6"/>
  <c r="C38" i="6"/>
  <c r="C37" i="6"/>
  <c r="K38" i="11"/>
  <c r="H37" i="36"/>
  <c r="F37" i="36"/>
  <c r="G37" i="36"/>
  <c r="E37" i="36"/>
  <c r="D37" i="36"/>
  <c r="C37" i="36"/>
  <c r="P37" i="36"/>
  <c r="L40" i="8"/>
  <c r="I40" i="8"/>
  <c r="J40" i="8"/>
  <c r="M40" i="8"/>
  <c r="N40" i="8"/>
  <c r="H40" i="8"/>
  <c r="G40" i="8"/>
  <c r="O40" i="8"/>
  <c r="F40" i="8"/>
  <c r="E40" i="8"/>
  <c r="D40" i="8"/>
  <c r="P40" i="8"/>
  <c r="C40" i="8"/>
  <c r="D29" i="14"/>
  <c r="P46" i="14"/>
  <c r="H29" i="35"/>
  <c r="H30" i="35"/>
  <c r="P39" i="6"/>
  <c r="P35" i="6"/>
  <c r="P36" i="6"/>
  <c r="P41" i="6"/>
  <c r="K38" i="6"/>
  <c r="F38" i="6"/>
  <c r="F37" i="6"/>
  <c r="F34" i="6"/>
  <c r="C36" i="11"/>
  <c r="C32" i="11"/>
  <c r="C33" i="11"/>
  <c r="C38" i="11"/>
  <c r="K38" i="9"/>
  <c r="P31" i="11"/>
  <c r="P34" i="11"/>
  <c r="P35" i="11"/>
  <c r="D18" i="25"/>
  <c r="E29" i="14"/>
  <c r="C29" i="14"/>
  <c r="F29" i="35"/>
  <c r="F30" i="35"/>
  <c r="I40" i="13"/>
  <c r="N40" i="13"/>
  <c r="O40" i="13"/>
  <c r="M40" i="13"/>
  <c r="J40" i="13"/>
  <c r="H40" i="13"/>
  <c r="L40" i="13"/>
  <c r="G40" i="13"/>
  <c r="F40" i="13"/>
  <c r="E40" i="13"/>
  <c r="P40" i="13"/>
  <c r="D40" i="13"/>
  <c r="C40" i="13"/>
  <c r="L37" i="6"/>
  <c r="L34" i="6"/>
  <c r="L38" i="6"/>
  <c r="O37" i="6"/>
  <c r="O34" i="6"/>
  <c r="O38" i="6"/>
  <c r="D29" i="35"/>
  <c r="D30" i="35"/>
  <c r="I38" i="11"/>
  <c r="E36" i="11"/>
  <c r="E32" i="11"/>
  <c r="E33" i="11"/>
  <c r="E38" i="11"/>
  <c r="D36" i="11"/>
  <c r="D32" i="11"/>
  <c r="D33" i="11"/>
  <c r="D38" i="11"/>
  <c r="E34" i="6"/>
  <c r="E38" i="6"/>
  <c r="E37" i="6"/>
  <c r="F40" i="10"/>
  <c r="E40" i="10"/>
  <c r="J40" i="10"/>
  <c r="P40" i="10"/>
  <c r="C40" i="10"/>
  <c r="O40" i="10"/>
  <c r="I40" i="10"/>
  <c r="M40" i="10"/>
  <c r="N40" i="10"/>
  <c r="D40" i="10"/>
  <c r="H40" i="10"/>
  <c r="L40" i="10"/>
  <c r="G40" i="10"/>
  <c r="G29" i="13"/>
  <c r="H29" i="13"/>
  <c r="F29" i="10"/>
  <c r="E29" i="8"/>
  <c r="C29" i="36"/>
  <c r="C30" i="36"/>
  <c r="E29" i="10"/>
  <c r="M29" i="10"/>
  <c r="D29" i="10"/>
  <c r="D31" i="35"/>
  <c r="D35" i="35"/>
  <c r="D34" i="35"/>
  <c r="C31" i="35"/>
  <c r="C34" i="35"/>
  <c r="C35" i="35"/>
  <c r="M33" i="8"/>
  <c r="M32" i="8"/>
  <c r="M31" i="8"/>
  <c r="D33" i="14"/>
  <c r="D32" i="14"/>
  <c r="D31" i="14"/>
  <c r="C29" i="13"/>
  <c r="O32" i="8"/>
  <c r="O31" i="8"/>
  <c r="O33" i="8"/>
  <c r="N32" i="8"/>
  <c r="N31" i="8"/>
  <c r="N33" i="8"/>
  <c r="L33" i="8"/>
  <c r="L32" i="8"/>
  <c r="L31" i="8"/>
  <c r="D32" i="8"/>
  <c r="D31" i="8"/>
  <c r="D33" i="8"/>
  <c r="I35" i="35"/>
  <c r="E29" i="13"/>
  <c r="I29" i="13"/>
  <c r="M29" i="13"/>
  <c r="C33" i="8"/>
  <c r="C32" i="8"/>
  <c r="C31" i="8"/>
  <c r="H32" i="8"/>
  <c r="H31" i="8"/>
  <c r="H33" i="8"/>
  <c r="P34" i="35"/>
  <c r="P35" i="35"/>
  <c r="P31" i="35"/>
  <c r="Q34" i="9"/>
  <c r="Q35" i="9"/>
  <c r="R36" i="9"/>
  <c r="F32" i="8"/>
  <c r="F31" i="8"/>
  <c r="F33" i="8"/>
  <c r="F35" i="35"/>
  <c r="F31" i="35"/>
  <c r="F34" i="35"/>
  <c r="G31" i="35"/>
  <c r="G34" i="35"/>
  <c r="G35" i="35"/>
  <c r="E39" i="6"/>
  <c r="E35" i="6"/>
  <c r="E41" i="6"/>
  <c r="C32" i="14"/>
  <c r="C31" i="14"/>
  <c r="C33" i="14"/>
  <c r="C39" i="11"/>
  <c r="C41" i="11"/>
  <c r="C42" i="11"/>
  <c r="C40" i="11"/>
  <c r="P42" i="6"/>
  <c r="P44" i="6"/>
  <c r="P45" i="6"/>
  <c r="P43" i="6"/>
  <c r="E33" i="14"/>
  <c r="E32" i="14"/>
  <c r="E31" i="14"/>
  <c r="D29" i="13"/>
  <c r="D40" i="11"/>
  <c r="D39" i="11"/>
  <c r="D41" i="11"/>
  <c r="D42" i="11"/>
  <c r="H29" i="10"/>
  <c r="G29" i="8"/>
  <c r="K41" i="6"/>
  <c r="J40" i="11"/>
  <c r="J39" i="11"/>
  <c r="J41" i="11"/>
  <c r="J42" i="11"/>
  <c r="I29" i="14"/>
  <c r="D39" i="6"/>
  <c r="D35" i="6"/>
  <c r="D36" i="6"/>
  <c r="Q34" i="11"/>
  <c r="Q35" i="11"/>
  <c r="H35" i="35"/>
  <c r="H34" i="35"/>
  <c r="H31" i="35"/>
  <c r="N29" i="14"/>
  <c r="H39" i="6"/>
  <c r="H35" i="6"/>
  <c r="H41" i="6"/>
  <c r="M29" i="14"/>
  <c r="K32" i="8"/>
  <c r="K31" i="8"/>
  <c r="D44" i="4"/>
  <c r="J29" i="13"/>
  <c r="P36" i="11"/>
  <c r="P32" i="11"/>
  <c r="P33" i="11"/>
  <c r="P38" i="11"/>
  <c r="J29" i="14"/>
  <c r="P46" i="10"/>
  <c r="P46" i="13"/>
  <c r="F40" i="9"/>
  <c r="F39" i="9"/>
  <c r="F41" i="9"/>
  <c r="F42" i="9"/>
  <c r="D41" i="6"/>
  <c r="L29" i="14"/>
  <c r="L29" i="13"/>
  <c r="E39" i="11"/>
  <c r="E41" i="11"/>
  <c r="E42" i="11"/>
  <c r="E40" i="11"/>
  <c r="L39" i="6"/>
  <c r="L35" i="6"/>
  <c r="L41" i="6"/>
  <c r="F39" i="6"/>
  <c r="F35" i="6"/>
  <c r="F36" i="6"/>
  <c r="K40" i="11"/>
  <c r="K39" i="11"/>
  <c r="K41" i="11"/>
  <c r="K42" i="11"/>
  <c r="C29" i="10"/>
  <c r="H36" i="6"/>
  <c r="I39" i="6"/>
  <c r="I35" i="6"/>
  <c r="I36" i="6"/>
  <c r="I41" i="6"/>
  <c r="G29" i="14"/>
  <c r="M39" i="6"/>
  <c r="M35" i="6"/>
  <c r="M41" i="6"/>
  <c r="G40" i="11"/>
  <c r="G39" i="11"/>
  <c r="G41" i="11"/>
  <c r="G42" i="11"/>
  <c r="I33" i="8"/>
  <c r="I32" i="8"/>
  <c r="I31" i="8"/>
  <c r="M40" i="25"/>
  <c r="L40" i="25"/>
  <c r="J40" i="25"/>
  <c r="N40" i="25"/>
  <c r="I40" i="25"/>
  <c r="O40" i="25"/>
  <c r="H40" i="25"/>
  <c r="P40" i="25"/>
  <c r="G40" i="25"/>
  <c r="F40" i="25"/>
  <c r="E40" i="25"/>
  <c r="D40" i="25"/>
  <c r="C40" i="25"/>
  <c r="L36" i="6"/>
  <c r="F29" i="14"/>
  <c r="I40" i="11"/>
  <c r="I39" i="11"/>
  <c r="I41" i="11"/>
  <c r="I42" i="11"/>
  <c r="O39" i="6"/>
  <c r="O35" i="6"/>
  <c r="O36" i="6"/>
  <c r="O41" i="6"/>
  <c r="K40" i="9"/>
  <c r="K39" i="9"/>
  <c r="K41" i="9"/>
  <c r="K42" i="9"/>
  <c r="F41" i="6"/>
  <c r="P29" i="14"/>
  <c r="P33" i="14"/>
  <c r="F40" i="11"/>
  <c r="F39" i="11"/>
  <c r="F41" i="11"/>
  <c r="F42" i="11"/>
  <c r="H29" i="14"/>
  <c r="H39" i="11"/>
  <c r="H41" i="11"/>
  <c r="H42" i="11"/>
  <c r="H40" i="11"/>
  <c r="J37" i="6"/>
  <c r="J38" i="6"/>
  <c r="J34" i="6"/>
  <c r="Q36" i="11"/>
  <c r="P43" i="36"/>
  <c r="P40" i="9"/>
  <c r="P39" i="9"/>
  <c r="P41" i="9"/>
  <c r="P42" i="9"/>
  <c r="P29" i="8"/>
  <c r="P33" i="8"/>
  <c r="N29" i="10"/>
  <c r="C39" i="6"/>
  <c r="C35" i="6"/>
  <c r="C36" i="6"/>
  <c r="C41" i="6"/>
  <c r="N29" i="13"/>
  <c r="O29" i="14"/>
  <c r="M36" i="6"/>
  <c r="K38" i="35"/>
  <c r="J29" i="10"/>
  <c r="O29" i="13"/>
  <c r="G34" i="6"/>
  <c r="G38" i="6"/>
  <c r="G37" i="6"/>
  <c r="G30" i="25"/>
  <c r="D30" i="25"/>
  <c r="F30" i="25"/>
  <c r="C30" i="25"/>
  <c r="O30" i="25"/>
  <c r="N30" i="25"/>
  <c r="J30" i="25"/>
  <c r="M30" i="25"/>
  <c r="L30" i="25"/>
  <c r="I30" i="25"/>
  <c r="H30" i="25"/>
  <c r="E30" i="25"/>
  <c r="E36" i="6"/>
  <c r="N39" i="6"/>
  <c r="N35" i="6"/>
  <c r="N36" i="6"/>
  <c r="N41" i="6"/>
  <c r="I39" i="9"/>
  <c r="I41" i="9"/>
  <c r="I42" i="9"/>
  <c r="I40" i="9"/>
  <c r="E35" i="35"/>
  <c r="E34" i="35"/>
  <c r="E31" i="35"/>
  <c r="J38" i="35"/>
  <c r="J33" i="8"/>
  <c r="J32" i="8"/>
  <c r="J31" i="8"/>
  <c r="G37" i="37"/>
  <c r="D37" i="37"/>
  <c r="C37" i="37"/>
  <c r="F37" i="37"/>
  <c r="E37" i="37"/>
  <c r="P37" i="37"/>
  <c r="H37" i="37"/>
  <c r="I29" i="25"/>
  <c r="L29" i="10"/>
  <c r="E32" i="8"/>
  <c r="E31" i="8"/>
  <c r="E33" i="8"/>
  <c r="E38" i="8"/>
  <c r="D29" i="25"/>
  <c r="E29" i="25"/>
  <c r="P34" i="8"/>
  <c r="P37" i="8"/>
  <c r="P38" i="8"/>
  <c r="K32" i="10"/>
  <c r="K31" i="10"/>
  <c r="E44" i="4"/>
  <c r="L29" i="25"/>
  <c r="K32" i="14"/>
  <c r="K31" i="14"/>
  <c r="C31" i="36"/>
  <c r="C35" i="36"/>
  <c r="C34" i="36"/>
  <c r="J32" i="14"/>
  <c r="J31" i="14"/>
  <c r="J33" i="14"/>
  <c r="C29" i="25"/>
  <c r="P46" i="25"/>
  <c r="N33" i="13"/>
  <c r="N32" i="13"/>
  <c r="N31" i="13"/>
  <c r="G32" i="13"/>
  <c r="G31" i="13"/>
  <c r="G33" i="13"/>
  <c r="G32" i="8"/>
  <c r="G31" i="8"/>
  <c r="G33" i="8"/>
  <c r="E32" i="13"/>
  <c r="E31" i="13"/>
  <c r="E33" i="13"/>
  <c r="C33" i="13"/>
  <c r="C32" i="13"/>
  <c r="C31" i="13"/>
  <c r="H32" i="13"/>
  <c r="H31" i="13"/>
  <c r="H33" i="13"/>
  <c r="O29" i="25"/>
  <c r="I33" i="14"/>
  <c r="I32" i="14"/>
  <c r="I31" i="14"/>
  <c r="N29" i="25"/>
  <c r="H32" i="10"/>
  <c r="H31" i="10"/>
  <c r="H33" i="10"/>
  <c r="M32" i="10"/>
  <c r="M31" i="10"/>
  <c r="M33" i="10"/>
  <c r="G29" i="25"/>
  <c r="F29" i="25"/>
  <c r="H32" i="14"/>
  <c r="H31" i="14"/>
  <c r="H33" i="14"/>
  <c r="J33" i="13"/>
  <c r="J32" i="13"/>
  <c r="J31" i="13"/>
  <c r="M32" i="13"/>
  <c r="M31" i="13"/>
  <c r="M33" i="13"/>
  <c r="L33" i="14"/>
  <c r="L32" i="14"/>
  <c r="L31" i="14"/>
  <c r="I33" i="13"/>
  <c r="I32" i="13"/>
  <c r="I31" i="13"/>
  <c r="N33" i="10"/>
  <c r="N32" i="10"/>
  <c r="N31" i="10"/>
  <c r="D33" i="13"/>
  <c r="D32" i="13"/>
  <c r="D31" i="13"/>
  <c r="D32" i="10"/>
  <c r="D31" i="10"/>
  <c r="D33" i="10"/>
  <c r="M29" i="25"/>
  <c r="E36" i="35"/>
  <c r="E32" i="35"/>
  <c r="E33" i="35"/>
  <c r="E38" i="35"/>
  <c r="E29" i="36"/>
  <c r="E30" i="36"/>
  <c r="P29" i="13"/>
  <c r="P33" i="13"/>
  <c r="K38" i="8"/>
  <c r="D29" i="36"/>
  <c r="D30" i="36"/>
  <c r="P43" i="37"/>
  <c r="N43" i="6"/>
  <c r="N42" i="6"/>
  <c r="N44" i="6"/>
  <c r="N45" i="6"/>
  <c r="I29" i="10"/>
  <c r="J33" i="10"/>
  <c r="J32" i="10"/>
  <c r="J31" i="10"/>
  <c r="O32" i="14"/>
  <c r="O31" i="14"/>
  <c r="O33" i="14"/>
  <c r="I38" i="8"/>
  <c r="I34" i="8"/>
  <c r="I37" i="8"/>
  <c r="O29" i="10"/>
  <c r="N33" i="14"/>
  <c r="N32" i="14"/>
  <c r="N31" i="14"/>
  <c r="R33" i="7"/>
  <c r="R33" i="35"/>
  <c r="C25" i="43"/>
  <c r="C54" i="4"/>
  <c r="E38" i="14"/>
  <c r="E37" i="14"/>
  <c r="E34" i="14"/>
  <c r="G36" i="35"/>
  <c r="G32" i="35"/>
  <c r="G33" i="35"/>
  <c r="H36" i="35"/>
  <c r="H32" i="35"/>
  <c r="H33" i="35"/>
  <c r="Q36" i="35"/>
  <c r="G38" i="35"/>
  <c r="F33" i="10"/>
  <c r="F32" i="10"/>
  <c r="F31" i="10"/>
  <c r="J38" i="8"/>
  <c r="J34" i="8"/>
  <c r="J37" i="8"/>
  <c r="G39" i="6"/>
  <c r="G35" i="6"/>
  <c r="G41" i="6"/>
  <c r="F29" i="13"/>
  <c r="P29" i="10"/>
  <c r="P33" i="10"/>
  <c r="P39" i="11"/>
  <c r="P41" i="11"/>
  <c r="P42" i="11"/>
  <c r="P40" i="11"/>
  <c r="F29" i="36"/>
  <c r="F30" i="36"/>
  <c r="R36" i="11"/>
  <c r="C38" i="14"/>
  <c r="C34" i="14"/>
  <c r="C37" i="14"/>
  <c r="C34" i="8"/>
  <c r="C37" i="8"/>
  <c r="C38" i="8"/>
  <c r="N34" i="8"/>
  <c r="N38" i="8"/>
  <c r="N37" i="8"/>
  <c r="J39" i="35"/>
  <c r="J41" i="35"/>
  <c r="J42" i="35"/>
  <c r="J40" i="35"/>
  <c r="K32" i="13"/>
  <c r="K31" i="13"/>
  <c r="L43" i="6"/>
  <c r="L42" i="6"/>
  <c r="L44" i="6"/>
  <c r="L45" i="6"/>
  <c r="R35" i="11"/>
  <c r="R34" i="11"/>
  <c r="F36" i="35"/>
  <c r="F32" i="35"/>
  <c r="F38" i="35"/>
  <c r="R35" i="9"/>
  <c r="R34" i="9"/>
  <c r="E32" i="10"/>
  <c r="E31" i="10"/>
  <c r="E33" i="10"/>
  <c r="I38" i="35"/>
  <c r="D34" i="14"/>
  <c r="D37" i="14"/>
  <c r="D38" i="14"/>
  <c r="D36" i="35"/>
  <c r="D32" i="35"/>
  <c r="D38" i="35"/>
  <c r="G36" i="6"/>
  <c r="C43" i="6"/>
  <c r="C42" i="6"/>
  <c r="C44" i="6"/>
  <c r="C45" i="6"/>
  <c r="H29" i="36"/>
  <c r="H30" i="36"/>
  <c r="J39" i="6"/>
  <c r="J35" i="6"/>
  <c r="J36" i="6"/>
  <c r="J41" i="6"/>
  <c r="O43" i="6"/>
  <c r="O42" i="6"/>
  <c r="O44" i="6"/>
  <c r="O45" i="6"/>
  <c r="M43" i="6"/>
  <c r="M42" i="6"/>
  <c r="M44" i="6"/>
  <c r="M45" i="6"/>
  <c r="I42" i="6"/>
  <c r="I44" i="6"/>
  <c r="I45" i="6"/>
  <c r="I43" i="6"/>
  <c r="K43" i="6"/>
  <c r="K42" i="6"/>
  <c r="K44" i="6"/>
  <c r="K45" i="6"/>
  <c r="F33" i="35"/>
  <c r="D37" i="8"/>
  <c r="D38" i="8"/>
  <c r="D34" i="8"/>
  <c r="O38" i="8"/>
  <c r="O37" i="8"/>
  <c r="O34" i="8"/>
  <c r="K40" i="35"/>
  <c r="K39" i="35"/>
  <c r="K41" i="35"/>
  <c r="K42" i="35"/>
  <c r="P38" i="14"/>
  <c r="P34" i="14"/>
  <c r="P37" i="14"/>
  <c r="G29" i="10"/>
  <c r="F32" i="14"/>
  <c r="F31" i="14"/>
  <c r="F33" i="14"/>
  <c r="M33" i="14"/>
  <c r="M32" i="14"/>
  <c r="M31" i="14"/>
  <c r="M38" i="8"/>
  <c r="M34" i="8"/>
  <c r="M37" i="8"/>
  <c r="D33" i="35"/>
  <c r="P29" i="36"/>
  <c r="P30" i="36"/>
  <c r="F29" i="37"/>
  <c r="F30" i="37"/>
  <c r="E43" i="6"/>
  <c r="E42" i="6"/>
  <c r="E44" i="6"/>
  <c r="E45" i="6"/>
  <c r="F37" i="8"/>
  <c r="F38" i="8"/>
  <c r="F34" i="8"/>
  <c r="P36" i="35"/>
  <c r="P32" i="35"/>
  <c r="P33" i="35"/>
  <c r="P38" i="35"/>
  <c r="G29" i="36"/>
  <c r="G30" i="36"/>
  <c r="O33" i="13"/>
  <c r="O32" i="13"/>
  <c r="O31" i="13"/>
  <c r="F42" i="6"/>
  <c r="F44" i="6"/>
  <c r="F45" i="6"/>
  <c r="F43" i="6"/>
  <c r="K35" i="36"/>
  <c r="G33" i="14"/>
  <c r="G32" i="14"/>
  <c r="G31" i="14"/>
  <c r="C33" i="10"/>
  <c r="C32" i="10"/>
  <c r="C31" i="10"/>
  <c r="L33" i="13"/>
  <c r="L32" i="13"/>
  <c r="L31" i="13"/>
  <c r="D43" i="6"/>
  <c r="D42" i="6"/>
  <c r="D44" i="6"/>
  <c r="D45" i="6"/>
  <c r="H43" i="6"/>
  <c r="H42" i="6"/>
  <c r="H44" i="6"/>
  <c r="H45" i="6"/>
  <c r="H38" i="35"/>
  <c r="H38" i="8"/>
  <c r="H34" i="8"/>
  <c r="H37" i="8"/>
  <c r="L38" i="8"/>
  <c r="L37" i="8"/>
  <c r="L34" i="8"/>
  <c r="C36" i="35"/>
  <c r="C32" i="35"/>
  <c r="C33" i="35"/>
  <c r="C38" i="35"/>
  <c r="E34" i="8"/>
  <c r="E37" i="8"/>
  <c r="E41" i="8"/>
  <c r="L32" i="10"/>
  <c r="L31" i="10"/>
  <c r="L33" i="10"/>
  <c r="L34" i="10"/>
  <c r="G34" i="36"/>
  <c r="G35" i="36"/>
  <c r="G31" i="36"/>
  <c r="E33" i="25"/>
  <c r="E32" i="25"/>
  <c r="E31" i="25"/>
  <c r="P38" i="13"/>
  <c r="P37" i="13"/>
  <c r="P34" i="13"/>
  <c r="D32" i="25"/>
  <c r="D31" i="25"/>
  <c r="D33" i="25"/>
  <c r="F34" i="37"/>
  <c r="F35" i="37"/>
  <c r="F31" i="37"/>
  <c r="H35" i="36"/>
  <c r="H31" i="36"/>
  <c r="H34" i="36"/>
  <c r="L33" i="25"/>
  <c r="L32" i="25"/>
  <c r="L31" i="25"/>
  <c r="G33" i="10"/>
  <c r="G32" i="10"/>
  <c r="G31" i="10"/>
  <c r="K32" i="25"/>
  <c r="K31" i="25"/>
  <c r="F31" i="36"/>
  <c r="F35" i="36"/>
  <c r="F34" i="36"/>
  <c r="G33" i="25"/>
  <c r="G32" i="25"/>
  <c r="G31" i="25"/>
  <c r="I32" i="25"/>
  <c r="I31" i="25"/>
  <c r="I33" i="25"/>
  <c r="C40" i="35"/>
  <c r="C39" i="35"/>
  <c r="C41" i="35"/>
  <c r="C42" i="35"/>
  <c r="H39" i="35"/>
  <c r="H41" i="35"/>
  <c r="H42" i="35"/>
  <c r="H40" i="35"/>
  <c r="L34" i="13"/>
  <c r="L37" i="13"/>
  <c r="L38" i="13"/>
  <c r="O39" i="8"/>
  <c r="O35" i="8"/>
  <c r="O41" i="8"/>
  <c r="E34" i="10"/>
  <c r="E37" i="10"/>
  <c r="E38" i="10"/>
  <c r="L39" i="8"/>
  <c r="L35" i="8"/>
  <c r="L36" i="8"/>
  <c r="L41" i="8"/>
  <c r="C34" i="10"/>
  <c r="C38" i="10"/>
  <c r="C37" i="10"/>
  <c r="M39" i="8"/>
  <c r="M35" i="8"/>
  <c r="M36" i="8"/>
  <c r="M41" i="8"/>
  <c r="P39" i="14"/>
  <c r="P35" i="14"/>
  <c r="P41" i="14"/>
  <c r="J43" i="6"/>
  <c r="J42" i="6"/>
  <c r="J44" i="6"/>
  <c r="J45" i="6"/>
  <c r="D40" i="35"/>
  <c r="D39" i="35"/>
  <c r="D41" i="35"/>
  <c r="D42" i="35"/>
  <c r="C27" i="43"/>
  <c r="N38" i="14"/>
  <c r="N34" i="14"/>
  <c r="N37" i="14"/>
  <c r="M37" i="13"/>
  <c r="M38" i="13"/>
  <c r="M34" i="13"/>
  <c r="C36" i="36"/>
  <c r="C32" i="36"/>
  <c r="C33" i="36"/>
  <c r="C38" i="36"/>
  <c r="P40" i="35"/>
  <c r="P39" i="35"/>
  <c r="P41" i="35"/>
  <c r="P42" i="35"/>
  <c r="P36" i="14"/>
  <c r="E29" i="37"/>
  <c r="E30" i="37"/>
  <c r="N39" i="8"/>
  <c r="N35" i="8"/>
  <c r="N36" i="8"/>
  <c r="N41" i="8"/>
  <c r="C39" i="14"/>
  <c r="C35" i="14"/>
  <c r="C41" i="14"/>
  <c r="F32" i="13"/>
  <c r="F31" i="13"/>
  <c r="F33" i="13"/>
  <c r="E39" i="14"/>
  <c r="E35" i="14"/>
  <c r="E36" i="14"/>
  <c r="E41" i="14"/>
  <c r="J38" i="10"/>
  <c r="J37" i="10"/>
  <c r="J34" i="10"/>
  <c r="P29" i="37"/>
  <c r="P30" i="37"/>
  <c r="N34" i="10"/>
  <c r="N37" i="10"/>
  <c r="N38" i="10"/>
  <c r="N32" i="25"/>
  <c r="N31" i="25"/>
  <c r="N33" i="25"/>
  <c r="C38" i="13"/>
  <c r="C37" i="13"/>
  <c r="C34" i="13"/>
  <c r="N34" i="13"/>
  <c r="N38" i="13"/>
  <c r="N37" i="13"/>
  <c r="H39" i="8"/>
  <c r="H35" i="8"/>
  <c r="H36" i="8"/>
  <c r="H41" i="8"/>
  <c r="C36" i="14"/>
  <c r="S34" i="35"/>
  <c r="S35" i="35"/>
  <c r="S36" i="35"/>
  <c r="H29" i="37"/>
  <c r="H30" i="37"/>
  <c r="E39" i="35"/>
  <c r="E41" i="35"/>
  <c r="E42" i="35"/>
  <c r="E40" i="35"/>
  <c r="M33" i="25"/>
  <c r="M32" i="25"/>
  <c r="M31" i="25"/>
  <c r="E37" i="13"/>
  <c r="E38" i="13"/>
  <c r="E34" i="13"/>
  <c r="P39" i="8"/>
  <c r="P35" i="8"/>
  <c r="P36" i="8"/>
  <c r="P41" i="8"/>
  <c r="G29" i="37"/>
  <c r="G30" i="37"/>
  <c r="D39" i="14"/>
  <c r="D35" i="14"/>
  <c r="D36" i="14"/>
  <c r="D41" i="14"/>
  <c r="F39" i="35"/>
  <c r="F41" i="35"/>
  <c r="F42" i="35"/>
  <c r="F40" i="35"/>
  <c r="G43" i="6"/>
  <c r="G42" i="6"/>
  <c r="G44" i="6"/>
  <c r="G45" i="6"/>
  <c r="F38" i="10"/>
  <c r="F34" i="10"/>
  <c r="F37" i="10"/>
  <c r="O33" i="10"/>
  <c r="O32" i="10"/>
  <c r="O31" i="10"/>
  <c r="I32" i="10"/>
  <c r="I31" i="10"/>
  <c r="I33" i="10"/>
  <c r="D31" i="36"/>
  <c r="D34" i="36"/>
  <c r="D35" i="36"/>
  <c r="I37" i="13"/>
  <c r="I38" i="13"/>
  <c r="I34" i="13"/>
  <c r="J37" i="13"/>
  <c r="J38" i="13"/>
  <c r="J34" i="13"/>
  <c r="I38" i="14"/>
  <c r="I34" i="14"/>
  <c r="I37" i="14"/>
  <c r="P29" i="25"/>
  <c r="P33" i="25"/>
  <c r="K38" i="14"/>
  <c r="G38" i="14"/>
  <c r="G34" i="14"/>
  <c r="G37" i="14"/>
  <c r="O37" i="13"/>
  <c r="O38" i="13"/>
  <c r="O34" i="13"/>
  <c r="P35" i="36"/>
  <c r="P34" i="36"/>
  <c r="P31" i="36"/>
  <c r="D39" i="8"/>
  <c r="D35" i="8"/>
  <c r="D36" i="8"/>
  <c r="D41" i="8"/>
  <c r="K38" i="13"/>
  <c r="K38" i="36"/>
  <c r="F34" i="14"/>
  <c r="F38" i="14"/>
  <c r="F37" i="14"/>
  <c r="S35" i="7"/>
  <c r="S34" i="7"/>
  <c r="S36" i="7"/>
  <c r="S33" i="7"/>
  <c r="D34" i="10"/>
  <c r="D38" i="10"/>
  <c r="D37" i="10"/>
  <c r="H37" i="14"/>
  <c r="H34" i="14"/>
  <c r="H38" i="14"/>
  <c r="M34" i="10"/>
  <c r="M37" i="10"/>
  <c r="M38" i="10"/>
  <c r="G34" i="8"/>
  <c r="G38" i="8"/>
  <c r="G37" i="8"/>
  <c r="F39" i="8"/>
  <c r="F35" i="8"/>
  <c r="F36" i="8"/>
  <c r="F41" i="8"/>
  <c r="Q34" i="35"/>
  <c r="Q35" i="35"/>
  <c r="R36" i="35"/>
  <c r="I40" i="35"/>
  <c r="I39" i="35"/>
  <c r="I41" i="35"/>
  <c r="I42" i="35"/>
  <c r="C29" i="37"/>
  <c r="C30" i="37"/>
  <c r="J29" i="25"/>
  <c r="H29" i="25"/>
  <c r="E31" i="36"/>
  <c r="E35" i="36"/>
  <c r="E34" i="36"/>
  <c r="J35" i="36"/>
  <c r="L34" i="14"/>
  <c r="L38" i="14"/>
  <c r="L37" i="14"/>
  <c r="O32" i="25"/>
  <c r="O31" i="25"/>
  <c r="O33" i="25"/>
  <c r="C33" i="25"/>
  <c r="C32" i="25"/>
  <c r="C31" i="25"/>
  <c r="O36" i="8"/>
  <c r="D29" i="37"/>
  <c r="D30" i="37"/>
  <c r="C39" i="8"/>
  <c r="C35" i="8"/>
  <c r="C36" i="8"/>
  <c r="C41" i="8"/>
  <c r="J39" i="8"/>
  <c r="J35" i="8"/>
  <c r="J36" i="8"/>
  <c r="J41" i="8"/>
  <c r="G40" i="35"/>
  <c r="G39" i="35"/>
  <c r="G41" i="35"/>
  <c r="G42" i="35"/>
  <c r="I39" i="8"/>
  <c r="I35" i="8"/>
  <c r="I36" i="8"/>
  <c r="I41" i="8"/>
  <c r="O34" i="14"/>
  <c r="O38" i="14"/>
  <c r="O37" i="14"/>
  <c r="K41" i="8"/>
  <c r="H38" i="10"/>
  <c r="H34" i="10"/>
  <c r="H37" i="10"/>
  <c r="H37" i="13"/>
  <c r="H38" i="13"/>
  <c r="H34" i="13"/>
  <c r="G37" i="13"/>
  <c r="G34" i="13"/>
  <c r="G38" i="13"/>
  <c r="J38" i="14"/>
  <c r="J37" i="14"/>
  <c r="J34" i="14"/>
  <c r="M38" i="14"/>
  <c r="M37" i="14"/>
  <c r="M34" i="14"/>
  <c r="P34" i="10"/>
  <c r="P37" i="10"/>
  <c r="P38" i="10"/>
  <c r="I35" i="36"/>
  <c r="D34" i="13"/>
  <c r="D38" i="13"/>
  <c r="D37" i="13"/>
  <c r="F33" i="25"/>
  <c r="F32" i="25"/>
  <c r="F31" i="25"/>
  <c r="K38" i="10"/>
  <c r="E39" i="8"/>
  <c r="E35" i="8"/>
  <c r="E36" i="8"/>
  <c r="L38" i="10"/>
  <c r="L37" i="10"/>
  <c r="L39" i="10"/>
  <c r="L35" i="10"/>
  <c r="L36" i="10"/>
  <c r="P37" i="25"/>
  <c r="P34" i="25"/>
  <c r="P38" i="25"/>
  <c r="D34" i="37"/>
  <c r="D35" i="37"/>
  <c r="D31" i="37"/>
  <c r="E35" i="37"/>
  <c r="E31" i="37"/>
  <c r="E34" i="37"/>
  <c r="J35" i="37"/>
  <c r="C43" i="8"/>
  <c r="C42" i="8"/>
  <c r="C44" i="8"/>
  <c r="C45" i="8"/>
  <c r="K42" i="8"/>
  <c r="K44" i="8"/>
  <c r="K45" i="8"/>
  <c r="K43" i="8"/>
  <c r="L39" i="14"/>
  <c r="L35" i="14"/>
  <c r="L36" i="14"/>
  <c r="L41" i="14"/>
  <c r="I38" i="36"/>
  <c r="G39" i="13"/>
  <c r="G35" i="13"/>
  <c r="G36" i="13"/>
  <c r="G41" i="13"/>
  <c r="K39" i="36"/>
  <c r="K41" i="36"/>
  <c r="K42" i="36"/>
  <c r="K40" i="36"/>
  <c r="P36" i="36"/>
  <c r="P32" i="36"/>
  <c r="P38" i="36"/>
  <c r="D36" i="36"/>
  <c r="D32" i="36"/>
  <c r="D33" i="36"/>
  <c r="D38" i="36"/>
  <c r="D42" i="14"/>
  <c r="D44" i="14"/>
  <c r="D45" i="14"/>
  <c r="D43" i="14"/>
  <c r="N39" i="13"/>
  <c r="N35" i="13"/>
  <c r="N41" i="13"/>
  <c r="K38" i="25"/>
  <c r="H36" i="36"/>
  <c r="H32" i="36"/>
  <c r="H33" i="36"/>
  <c r="H38" i="36"/>
  <c r="O39" i="14"/>
  <c r="O35" i="14"/>
  <c r="O36" i="14"/>
  <c r="O41" i="14"/>
  <c r="H32" i="25"/>
  <c r="H31" i="25"/>
  <c r="H33" i="25"/>
  <c r="R34" i="35"/>
  <c r="R35" i="35"/>
  <c r="M39" i="10"/>
  <c r="M35" i="10"/>
  <c r="M36" i="10"/>
  <c r="M41" i="10"/>
  <c r="H35" i="37"/>
  <c r="H31" i="37"/>
  <c r="H34" i="37"/>
  <c r="N39" i="10"/>
  <c r="N35" i="10"/>
  <c r="N36" i="10"/>
  <c r="N41" i="10"/>
  <c r="E42" i="14"/>
  <c r="E44" i="14"/>
  <c r="E45" i="14"/>
  <c r="E43" i="14"/>
  <c r="N43" i="8"/>
  <c r="N42" i="8"/>
  <c r="N44" i="8"/>
  <c r="N45" i="8"/>
  <c r="I37" i="25"/>
  <c r="I38" i="25"/>
  <c r="I34" i="25"/>
  <c r="P39" i="13"/>
  <c r="P35" i="13"/>
  <c r="P36" i="13"/>
  <c r="P41" i="13"/>
  <c r="P39" i="10"/>
  <c r="P35" i="10"/>
  <c r="P36" i="10"/>
  <c r="P41" i="10"/>
  <c r="K41" i="14"/>
  <c r="I34" i="10"/>
  <c r="I37" i="10"/>
  <c r="I38" i="10"/>
  <c r="G35" i="37"/>
  <c r="G34" i="37"/>
  <c r="G31" i="37"/>
  <c r="N36" i="13"/>
  <c r="C40" i="36"/>
  <c r="C39" i="36"/>
  <c r="C41" i="36"/>
  <c r="C42" i="36"/>
  <c r="E26" i="43"/>
  <c r="E24" i="43"/>
  <c r="D28" i="43"/>
  <c r="K35" i="37"/>
  <c r="L43" i="8"/>
  <c r="L42" i="8"/>
  <c r="L44" i="8"/>
  <c r="L45" i="8"/>
  <c r="M39" i="14"/>
  <c r="M35" i="14"/>
  <c r="M36" i="14"/>
  <c r="N39" i="14"/>
  <c r="N35" i="14"/>
  <c r="N36" i="14"/>
  <c r="C81" i="4"/>
  <c r="C10" i="26"/>
  <c r="M41" i="14"/>
  <c r="J32" i="25"/>
  <c r="J31" i="25"/>
  <c r="J33" i="25"/>
  <c r="J38" i="36"/>
  <c r="J39" i="13"/>
  <c r="J35" i="13"/>
  <c r="J36" i="13"/>
  <c r="J41" i="13"/>
  <c r="E39" i="13"/>
  <c r="E35" i="13"/>
  <c r="E36" i="13"/>
  <c r="E41" i="13"/>
  <c r="P35" i="37"/>
  <c r="P34" i="37"/>
  <c r="P31" i="37"/>
  <c r="F37" i="13"/>
  <c r="F38" i="13"/>
  <c r="F34" i="13"/>
  <c r="E25" i="43"/>
  <c r="P43" i="14"/>
  <c r="P42" i="14"/>
  <c r="P44" i="14"/>
  <c r="P45" i="14"/>
  <c r="L39" i="13"/>
  <c r="L35" i="13"/>
  <c r="L36" i="13"/>
  <c r="L41" i="13"/>
  <c r="D54" i="4"/>
  <c r="J25" i="43"/>
  <c r="R33" i="36"/>
  <c r="R33" i="9"/>
  <c r="F34" i="25"/>
  <c r="F38" i="25"/>
  <c r="F37" i="25"/>
  <c r="F43" i="8"/>
  <c r="F42" i="8"/>
  <c r="F44" i="8"/>
  <c r="F45" i="8"/>
  <c r="D39" i="13"/>
  <c r="D35" i="13"/>
  <c r="D36" i="13"/>
  <c r="D41" i="13"/>
  <c r="H39" i="13"/>
  <c r="H35" i="13"/>
  <c r="H36" i="13"/>
  <c r="H41" i="13"/>
  <c r="J39" i="14"/>
  <c r="J35" i="14"/>
  <c r="J36" i="14"/>
  <c r="J41" i="14"/>
  <c r="H39" i="10"/>
  <c r="H35" i="10"/>
  <c r="H36" i="10"/>
  <c r="H41" i="10"/>
  <c r="I42" i="8"/>
  <c r="I44" i="8"/>
  <c r="I45" i="8"/>
  <c r="I43" i="8"/>
  <c r="J42" i="8"/>
  <c r="J44" i="8"/>
  <c r="J45" i="8"/>
  <c r="J43" i="8"/>
  <c r="C38" i="25"/>
  <c r="C37" i="25"/>
  <c r="C34" i="25"/>
  <c r="K41" i="13"/>
  <c r="O39" i="13"/>
  <c r="O35" i="13"/>
  <c r="O36" i="13"/>
  <c r="O41" i="13"/>
  <c r="S33" i="35"/>
  <c r="C39" i="13"/>
  <c r="C35" i="13"/>
  <c r="C36" i="13"/>
  <c r="C41" i="13"/>
  <c r="G34" i="25"/>
  <c r="G38" i="25"/>
  <c r="G37" i="25"/>
  <c r="E38" i="25"/>
  <c r="E34" i="25"/>
  <c r="E37" i="25"/>
  <c r="O38" i="25"/>
  <c r="O34" i="25"/>
  <c r="O37" i="25"/>
  <c r="E36" i="36"/>
  <c r="E32" i="36"/>
  <c r="E33" i="36"/>
  <c r="E38" i="36"/>
  <c r="C31" i="37"/>
  <c r="C35" i="37"/>
  <c r="C34" i="37"/>
  <c r="G39" i="8"/>
  <c r="G35" i="8"/>
  <c r="G36" i="8"/>
  <c r="G41" i="8"/>
  <c r="H39" i="14"/>
  <c r="H35" i="14"/>
  <c r="H36" i="14"/>
  <c r="H41" i="14"/>
  <c r="F39" i="14"/>
  <c r="F35" i="14"/>
  <c r="F36" i="14"/>
  <c r="F41" i="14"/>
  <c r="D43" i="8"/>
  <c r="D42" i="8"/>
  <c r="D44" i="8"/>
  <c r="D45" i="8"/>
  <c r="G39" i="14"/>
  <c r="G35" i="14"/>
  <c r="G41" i="14"/>
  <c r="O37" i="10"/>
  <c r="O38" i="10"/>
  <c r="O34" i="10"/>
  <c r="M34" i="25"/>
  <c r="M37" i="25"/>
  <c r="M38" i="25"/>
  <c r="E43" i="8"/>
  <c r="E42" i="8"/>
  <c r="E44" i="8"/>
  <c r="E45" i="8"/>
  <c r="M42" i="8"/>
  <c r="M44" i="8"/>
  <c r="M45" i="8"/>
  <c r="M43" i="8"/>
  <c r="E39" i="10"/>
  <c r="E35" i="10"/>
  <c r="E36" i="10"/>
  <c r="E41" i="10"/>
  <c r="F36" i="36"/>
  <c r="F32" i="36"/>
  <c r="F33" i="36"/>
  <c r="F38" i="36"/>
  <c r="G37" i="10"/>
  <c r="G38" i="10"/>
  <c r="G34" i="10"/>
  <c r="F36" i="37"/>
  <c r="F32" i="37"/>
  <c r="F33" i="37"/>
  <c r="F38" i="37"/>
  <c r="D39" i="10"/>
  <c r="D35" i="10"/>
  <c r="D36" i="10"/>
  <c r="D41" i="10"/>
  <c r="G36" i="14"/>
  <c r="I39" i="14"/>
  <c r="I35" i="14"/>
  <c r="I36" i="14"/>
  <c r="I41" i="14"/>
  <c r="I39" i="13"/>
  <c r="I35" i="13"/>
  <c r="I36" i="13"/>
  <c r="I41" i="13"/>
  <c r="I35" i="37"/>
  <c r="P43" i="8"/>
  <c r="P42" i="8"/>
  <c r="P44" i="8"/>
  <c r="P45" i="8"/>
  <c r="H43" i="8"/>
  <c r="H42" i="8"/>
  <c r="H44" i="8"/>
  <c r="H45" i="8"/>
  <c r="N38" i="25"/>
  <c r="N34" i="25"/>
  <c r="N37" i="25"/>
  <c r="J39" i="10"/>
  <c r="J35" i="10"/>
  <c r="J36" i="10"/>
  <c r="J41" i="10"/>
  <c r="M39" i="13"/>
  <c r="M35" i="13"/>
  <c r="M36" i="13"/>
  <c r="M41" i="13"/>
  <c r="D38" i="25"/>
  <c r="D37" i="25"/>
  <c r="D34" i="25"/>
  <c r="K41" i="10"/>
  <c r="P33" i="36"/>
  <c r="F39" i="10"/>
  <c r="F35" i="10"/>
  <c r="F36" i="10"/>
  <c r="F41" i="10"/>
  <c r="C42" i="14"/>
  <c r="C44" i="14"/>
  <c r="C45" i="14"/>
  <c r="C43" i="14"/>
  <c r="N41" i="14"/>
  <c r="C39" i="10"/>
  <c r="C35" i="10"/>
  <c r="C36" i="10"/>
  <c r="C41" i="10"/>
  <c r="O43" i="8"/>
  <c r="O42" i="8"/>
  <c r="O44" i="8"/>
  <c r="O45" i="8"/>
  <c r="L38" i="25"/>
  <c r="L37" i="25"/>
  <c r="L34" i="25"/>
  <c r="G36" i="36"/>
  <c r="G32" i="36"/>
  <c r="G33" i="36"/>
  <c r="G38" i="36"/>
  <c r="D81" i="4"/>
  <c r="D10" i="26"/>
  <c r="L41" i="10"/>
  <c r="L43" i="10"/>
  <c r="Q36" i="36"/>
  <c r="E54" i="4"/>
  <c r="Q25" i="43"/>
  <c r="R33" i="11"/>
  <c r="R33" i="37"/>
  <c r="C97" i="4"/>
  <c r="C98" i="4"/>
  <c r="Q34" i="36"/>
  <c r="Q35" i="36"/>
  <c r="D39" i="25"/>
  <c r="D35" i="25"/>
  <c r="D36" i="25"/>
  <c r="D41" i="25"/>
  <c r="I38" i="37"/>
  <c r="C37" i="4"/>
  <c r="F39" i="36"/>
  <c r="F41" i="36"/>
  <c r="F42" i="36"/>
  <c r="F40" i="36"/>
  <c r="K43" i="13"/>
  <c r="K42" i="13"/>
  <c r="K44" i="13"/>
  <c r="K45" i="13"/>
  <c r="H42" i="13"/>
  <c r="H44" i="13"/>
  <c r="H45" i="13"/>
  <c r="H43" i="13"/>
  <c r="D43" i="10"/>
  <c r="D42" i="10"/>
  <c r="D44" i="10"/>
  <c r="D45" i="10"/>
  <c r="F42" i="10"/>
  <c r="F44" i="10"/>
  <c r="F45" i="10"/>
  <c r="F43" i="10"/>
  <c r="I43" i="13"/>
  <c r="I42" i="13"/>
  <c r="I44" i="13"/>
  <c r="I45" i="13"/>
  <c r="C36" i="37"/>
  <c r="C32" i="37"/>
  <c r="C33" i="37"/>
  <c r="C38" i="37"/>
  <c r="K42" i="14"/>
  <c r="K44" i="14"/>
  <c r="K45" i="14"/>
  <c r="K43" i="14"/>
  <c r="P42" i="13"/>
  <c r="P44" i="13"/>
  <c r="P45" i="13"/>
  <c r="P43" i="13"/>
  <c r="H38" i="25"/>
  <c r="H34" i="25"/>
  <c r="H37" i="25"/>
  <c r="K42" i="10"/>
  <c r="K44" i="10"/>
  <c r="K45" i="10"/>
  <c r="K43" i="10"/>
  <c r="L39" i="25"/>
  <c r="L35" i="25"/>
  <c r="L36" i="25"/>
  <c r="L41" i="25"/>
  <c r="E42" i="10"/>
  <c r="E44" i="10"/>
  <c r="E45" i="10"/>
  <c r="E43" i="10"/>
  <c r="M39" i="25"/>
  <c r="M35" i="25"/>
  <c r="M36" i="25"/>
  <c r="M41" i="25"/>
  <c r="E39" i="25"/>
  <c r="E35" i="25"/>
  <c r="E36" i="25"/>
  <c r="E41" i="25"/>
  <c r="C42" i="13"/>
  <c r="C44" i="13"/>
  <c r="C45" i="13"/>
  <c r="C43" i="13"/>
  <c r="D42" i="13"/>
  <c r="D44" i="13"/>
  <c r="D45" i="13"/>
  <c r="D43" i="13"/>
  <c r="E42" i="13"/>
  <c r="E44" i="13"/>
  <c r="E45" i="13"/>
  <c r="E43" i="13"/>
  <c r="K38" i="37"/>
  <c r="D40" i="36"/>
  <c r="D39" i="36"/>
  <c r="D41" i="36"/>
  <c r="D42" i="36"/>
  <c r="G43" i="13"/>
  <c r="G42" i="13"/>
  <c r="G44" i="13"/>
  <c r="G45" i="13"/>
  <c r="N43" i="14"/>
  <c r="N42" i="14"/>
  <c r="N44" i="14"/>
  <c r="N45" i="14"/>
  <c r="G39" i="36"/>
  <c r="G41" i="36"/>
  <c r="G42" i="36"/>
  <c r="G40" i="36"/>
  <c r="C43" i="10"/>
  <c r="C42" i="10"/>
  <c r="C44" i="10"/>
  <c r="C45" i="10"/>
  <c r="M43" i="13"/>
  <c r="M42" i="13"/>
  <c r="M44" i="13"/>
  <c r="M45" i="13"/>
  <c r="I42" i="14"/>
  <c r="I44" i="14"/>
  <c r="I45" i="14"/>
  <c r="I43" i="14"/>
  <c r="F39" i="37"/>
  <c r="F41" i="37"/>
  <c r="F42" i="37"/>
  <c r="F40" i="37"/>
  <c r="F43" i="14"/>
  <c r="F42" i="14"/>
  <c r="F44" i="14"/>
  <c r="F45" i="14"/>
  <c r="H43" i="10"/>
  <c r="H42" i="10"/>
  <c r="H44" i="10"/>
  <c r="H45" i="10"/>
  <c r="J38" i="25"/>
  <c r="J37" i="25"/>
  <c r="J34" i="25"/>
  <c r="K41" i="25"/>
  <c r="L43" i="14"/>
  <c r="L42" i="14"/>
  <c r="L44" i="14"/>
  <c r="L45" i="14"/>
  <c r="E39" i="36"/>
  <c r="E41" i="36"/>
  <c r="E42" i="36"/>
  <c r="E40" i="36"/>
  <c r="S34" i="9"/>
  <c r="S36" i="9"/>
  <c r="S35" i="9"/>
  <c r="J43" i="13"/>
  <c r="J42" i="13"/>
  <c r="J44" i="13"/>
  <c r="J45" i="13"/>
  <c r="G36" i="37"/>
  <c r="G32" i="37"/>
  <c r="G33" i="37"/>
  <c r="G38" i="37"/>
  <c r="N42" i="10"/>
  <c r="N44" i="10"/>
  <c r="N45" i="10"/>
  <c r="N43" i="10"/>
  <c r="O43" i="14"/>
  <c r="O42" i="14"/>
  <c r="O44" i="14"/>
  <c r="O45" i="14"/>
  <c r="P39" i="36"/>
  <c r="P41" i="36"/>
  <c r="P42" i="36"/>
  <c r="P40" i="36"/>
  <c r="D36" i="37"/>
  <c r="D32" i="37"/>
  <c r="D33" i="37"/>
  <c r="D38" i="37"/>
  <c r="H43" i="14"/>
  <c r="H42" i="14"/>
  <c r="H44" i="14"/>
  <c r="H45" i="14"/>
  <c r="G39" i="25"/>
  <c r="G35" i="25"/>
  <c r="G41" i="25"/>
  <c r="C39" i="25"/>
  <c r="C35" i="25"/>
  <c r="C36" i="25"/>
  <c r="C41" i="25"/>
  <c r="J42" i="14"/>
  <c r="J44" i="14"/>
  <c r="J45" i="14"/>
  <c r="J43" i="14"/>
  <c r="S34" i="36"/>
  <c r="S36" i="36"/>
  <c r="S35" i="36"/>
  <c r="F39" i="13"/>
  <c r="F35" i="13"/>
  <c r="F36" i="13"/>
  <c r="F41" i="13"/>
  <c r="M43" i="14"/>
  <c r="M42" i="14"/>
  <c r="M44" i="14"/>
  <c r="M45" i="14"/>
  <c r="M42" i="10"/>
  <c r="M44" i="10"/>
  <c r="M45" i="10"/>
  <c r="M43" i="10"/>
  <c r="N43" i="13"/>
  <c r="N42" i="13"/>
  <c r="N44" i="13"/>
  <c r="N45" i="13"/>
  <c r="I40" i="36"/>
  <c r="I39" i="36"/>
  <c r="I41" i="36"/>
  <c r="I42" i="36"/>
  <c r="O39" i="10"/>
  <c r="O35" i="10"/>
  <c r="O36" i="10"/>
  <c r="O41" i="10"/>
  <c r="O39" i="25"/>
  <c r="O35" i="25"/>
  <c r="O36" i="25"/>
  <c r="O41" i="25"/>
  <c r="O43" i="13"/>
  <c r="O42" i="13"/>
  <c r="O44" i="13"/>
  <c r="O45" i="13"/>
  <c r="J27" i="43"/>
  <c r="J31" i="43"/>
  <c r="D19" i="4"/>
  <c r="L43" i="13"/>
  <c r="L42" i="13"/>
  <c r="L44" i="13"/>
  <c r="L45" i="13"/>
  <c r="I39" i="25"/>
  <c r="I35" i="25"/>
  <c r="I36" i="25"/>
  <c r="I41" i="25"/>
  <c r="H36" i="37"/>
  <c r="H32" i="37"/>
  <c r="H33" i="37"/>
  <c r="Q35" i="37"/>
  <c r="H38" i="37"/>
  <c r="J38" i="37"/>
  <c r="J43" i="10"/>
  <c r="J42" i="10"/>
  <c r="J44" i="10"/>
  <c r="J45" i="10"/>
  <c r="N39" i="25"/>
  <c r="N35" i="25"/>
  <c r="N36" i="25"/>
  <c r="N41" i="25"/>
  <c r="G39" i="10"/>
  <c r="G35" i="10"/>
  <c r="G36" i="10"/>
  <c r="G41" i="10"/>
  <c r="G43" i="14"/>
  <c r="G42" i="14"/>
  <c r="G44" i="14"/>
  <c r="G45" i="14"/>
  <c r="G43" i="8"/>
  <c r="G42" i="8"/>
  <c r="G44" i="8"/>
  <c r="G45" i="8"/>
  <c r="G36" i="25"/>
  <c r="F39" i="25"/>
  <c r="F35" i="25"/>
  <c r="F36" i="25"/>
  <c r="F41" i="25"/>
  <c r="P36" i="37"/>
  <c r="P32" i="37"/>
  <c r="P33" i="37"/>
  <c r="P38" i="37"/>
  <c r="J39" i="36"/>
  <c r="J41" i="36"/>
  <c r="J42" i="36"/>
  <c r="J40" i="36"/>
  <c r="I39" i="10"/>
  <c r="I35" i="10"/>
  <c r="I36" i="10"/>
  <c r="I41" i="10"/>
  <c r="P42" i="10"/>
  <c r="P44" i="10"/>
  <c r="P45" i="10"/>
  <c r="P43" i="10"/>
  <c r="H40" i="36"/>
  <c r="H39" i="36"/>
  <c r="H41" i="36"/>
  <c r="H42" i="36"/>
  <c r="E36" i="37"/>
  <c r="E32" i="37"/>
  <c r="E33" i="37"/>
  <c r="E38" i="37"/>
  <c r="P39" i="25"/>
  <c r="P35" i="25"/>
  <c r="P36" i="25"/>
  <c r="P41" i="25"/>
  <c r="L42" i="10"/>
  <c r="L44" i="10"/>
  <c r="L45" i="10"/>
  <c r="R36" i="36"/>
  <c r="D37" i="4"/>
  <c r="Q36" i="37"/>
  <c r="R36" i="37"/>
  <c r="Q34" i="37"/>
  <c r="C41" i="27"/>
  <c r="C42" i="27"/>
  <c r="C43" i="27"/>
  <c r="C50" i="26"/>
  <c r="C51" i="26"/>
  <c r="C53" i="26"/>
  <c r="C52" i="26"/>
  <c r="C45" i="26"/>
  <c r="C46" i="26"/>
  <c r="C48" i="26"/>
  <c r="C47" i="26"/>
  <c r="C35" i="26"/>
  <c r="C36" i="26"/>
  <c r="C38" i="26"/>
  <c r="C37" i="26"/>
  <c r="C40" i="26"/>
  <c r="C41" i="26"/>
  <c r="C43" i="26"/>
  <c r="C42" i="26"/>
  <c r="C46" i="27"/>
  <c r="C47" i="27"/>
  <c r="C48" i="27"/>
  <c r="C26" i="27"/>
  <c r="C27" i="27"/>
  <c r="C28" i="27"/>
  <c r="C13" i="26"/>
  <c r="C14" i="26"/>
  <c r="C16" i="26"/>
  <c r="C15" i="26"/>
  <c r="C17" i="26"/>
  <c r="C21" i="27"/>
  <c r="C22" i="27"/>
  <c r="C23" i="27"/>
  <c r="C11" i="27"/>
  <c r="C12" i="27"/>
  <c r="C13" i="27"/>
  <c r="C24" i="26"/>
  <c r="C25" i="26"/>
  <c r="C27" i="26"/>
  <c r="C26" i="26"/>
  <c r="C28" i="26"/>
  <c r="C30" i="26"/>
  <c r="C31" i="26"/>
  <c r="C33" i="26"/>
  <c r="C32" i="26"/>
  <c r="C31" i="27"/>
  <c r="C32" i="27"/>
  <c r="C33" i="27"/>
  <c r="C36" i="27"/>
  <c r="C37" i="27"/>
  <c r="C38" i="27"/>
  <c r="Q31" i="43"/>
  <c r="E19" i="4"/>
  <c r="Q27" i="43"/>
  <c r="F43" i="13"/>
  <c r="F42" i="13"/>
  <c r="F44" i="13"/>
  <c r="F45" i="13"/>
  <c r="P42" i="25"/>
  <c r="P44" i="25"/>
  <c r="P45" i="25"/>
  <c r="P43" i="25"/>
  <c r="D11" i="27"/>
  <c r="D12" i="27"/>
  <c r="D13" i="27"/>
  <c r="D30" i="26"/>
  <c r="D31" i="26"/>
  <c r="D33" i="26"/>
  <c r="D32" i="26"/>
  <c r="D50" i="26"/>
  <c r="D51" i="26"/>
  <c r="D53" i="26"/>
  <c r="D52" i="26"/>
  <c r="D41" i="27"/>
  <c r="D42" i="27"/>
  <c r="D43" i="27"/>
  <c r="D31" i="27"/>
  <c r="D32" i="27"/>
  <c r="D33" i="27"/>
  <c r="D45" i="26"/>
  <c r="D46" i="26"/>
  <c r="D48" i="26"/>
  <c r="D47" i="26"/>
  <c r="D36" i="27"/>
  <c r="D37" i="27"/>
  <c r="D38" i="27"/>
  <c r="D26" i="27"/>
  <c r="D27" i="27"/>
  <c r="D28" i="27"/>
  <c r="D24" i="26"/>
  <c r="D25" i="26"/>
  <c r="D27" i="26"/>
  <c r="D26" i="26"/>
  <c r="D28" i="26"/>
  <c r="D46" i="27"/>
  <c r="D47" i="27"/>
  <c r="D48" i="27"/>
  <c r="D35" i="26"/>
  <c r="D36" i="26"/>
  <c r="D38" i="26"/>
  <c r="D37" i="26"/>
  <c r="D13" i="26"/>
  <c r="D14" i="26"/>
  <c r="D16" i="26"/>
  <c r="D15" i="26"/>
  <c r="D17" i="26"/>
  <c r="D40" i="26"/>
  <c r="D41" i="26"/>
  <c r="D43" i="26"/>
  <c r="D42" i="26"/>
  <c r="D21" i="27"/>
  <c r="D22" i="27"/>
  <c r="D23" i="27"/>
  <c r="G43" i="25"/>
  <c r="G42" i="25"/>
  <c r="G44" i="25"/>
  <c r="G45" i="25"/>
  <c r="K40" i="37"/>
  <c r="K39" i="37"/>
  <c r="K41" i="37"/>
  <c r="K42" i="37"/>
  <c r="C39" i="37"/>
  <c r="C41" i="37"/>
  <c r="C42" i="37"/>
  <c r="C40" i="37"/>
  <c r="R34" i="36"/>
  <c r="R35" i="36"/>
  <c r="H39" i="37"/>
  <c r="H41" i="37"/>
  <c r="H42" i="37"/>
  <c r="H40" i="37"/>
  <c r="F42" i="25"/>
  <c r="F44" i="25"/>
  <c r="F45" i="25"/>
  <c r="F43" i="25"/>
  <c r="G43" i="10"/>
  <c r="G42" i="10"/>
  <c r="G44" i="10"/>
  <c r="G45" i="10"/>
  <c r="G39" i="37"/>
  <c r="G41" i="37"/>
  <c r="G42" i="37"/>
  <c r="G40" i="37"/>
  <c r="L43" i="25"/>
  <c r="L42" i="25"/>
  <c r="L44" i="25"/>
  <c r="L45" i="25"/>
  <c r="C38" i="4"/>
  <c r="C56" i="4"/>
  <c r="I43" i="10"/>
  <c r="I42" i="10"/>
  <c r="I44" i="10"/>
  <c r="I45" i="10"/>
  <c r="O43" i="25"/>
  <c r="O42" i="25"/>
  <c r="O44" i="25"/>
  <c r="O45" i="25"/>
  <c r="E40" i="37"/>
  <c r="E39" i="37"/>
  <c r="E41" i="37"/>
  <c r="E42" i="37"/>
  <c r="J39" i="37"/>
  <c r="J41" i="37"/>
  <c r="J42" i="37"/>
  <c r="J40" i="37"/>
  <c r="M23" i="7"/>
  <c r="M37" i="7"/>
  <c r="S35" i="37"/>
  <c r="S36" i="37"/>
  <c r="S34" i="37"/>
  <c r="O43" i="10"/>
  <c r="O42" i="10"/>
  <c r="O44" i="10"/>
  <c r="O45" i="10"/>
  <c r="J39" i="25"/>
  <c r="J35" i="25"/>
  <c r="J36" i="25"/>
  <c r="J41" i="25"/>
  <c r="E43" i="25"/>
  <c r="E42" i="25"/>
  <c r="E44" i="25"/>
  <c r="E45" i="25"/>
  <c r="I40" i="37"/>
  <c r="I39" i="37"/>
  <c r="I41" i="37"/>
  <c r="I42" i="37"/>
  <c r="S35" i="11"/>
  <c r="S36" i="11"/>
  <c r="S34" i="11"/>
  <c r="D39" i="37"/>
  <c r="D41" i="37"/>
  <c r="D42" i="37"/>
  <c r="D40" i="37"/>
  <c r="M43" i="25"/>
  <c r="M42" i="25"/>
  <c r="M44" i="25"/>
  <c r="M45" i="25"/>
  <c r="H39" i="25"/>
  <c r="H35" i="25"/>
  <c r="H36" i="25"/>
  <c r="H41" i="25"/>
  <c r="D42" i="25"/>
  <c r="D44" i="25"/>
  <c r="D45" i="25"/>
  <c r="D43" i="25"/>
  <c r="M37" i="35"/>
  <c r="M23" i="35"/>
  <c r="I42" i="25"/>
  <c r="I44" i="25"/>
  <c r="I45" i="25"/>
  <c r="I43" i="25"/>
  <c r="K29" i="43"/>
  <c r="K28" i="43"/>
  <c r="C43" i="25"/>
  <c r="C42" i="25"/>
  <c r="C44" i="25"/>
  <c r="C45" i="25"/>
  <c r="K43" i="25"/>
  <c r="K42" i="25"/>
  <c r="K44" i="25"/>
  <c r="K45" i="25"/>
  <c r="N43" i="25"/>
  <c r="N42" i="25"/>
  <c r="N44" i="25"/>
  <c r="N45" i="25"/>
  <c r="E81" i="4"/>
  <c r="E10" i="26"/>
  <c r="P39" i="37"/>
  <c r="P41" i="37"/>
  <c r="P42" i="37"/>
  <c r="P40" i="37"/>
  <c r="S33" i="9"/>
  <c r="S33" i="36"/>
  <c r="E45" i="26"/>
  <c r="E46" i="26"/>
  <c r="E48" i="26"/>
  <c r="E47" i="26"/>
  <c r="E40" i="26"/>
  <c r="E41" i="26"/>
  <c r="E43" i="26"/>
  <c r="E42" i="26"/>
  <c r="E26" i="27"/>
  <c r="E27" i="27"/>
  <c r="E28" i="27"/>
  <c r="E41" i="27"/>
  <c r="E42" i="27"/>
  <c r="E43" i="27"/>
  <c r="E21" i="27"/>
  <c r="E22" i="27"/>
  <c r="E23" i="27"/>
  <c r="E50" i="26"/>
  <c r="E51" i="26"/>
  <c r="E53" i="26"/>
  <c r="E52" i="26"/>
  <c r="E30" i="26"/>
  <c r="E31" i="26"/>
  <c r="E33" i="26"/>
  <c r="E32" i="26"/>
  <c r="E11" i="27"/>
  <c r="E12" i="27"/>
  <c r="E13" i="27"/>
  <c r="E46" i="27"/>
  <c r="E47" i="27"/>
  <c r="E48" i="27"/>
  <c r="E13" i="26"/>
  <c r="E14" i="26"/>
  <c r="E16" i="26"/>
  <c r="E15" i="26"/>
  <c r="E17" i="26"/>
  <c r="E24" i="26"/>
  <c r="E25" i="26"/>
  <c r="E27" i="26"/>
  <c r="E26" i="26"/>
  <c r="E28" i="26"/>
  <c r="E35" i="26"/>
  <c r="E36" i="26"/>
  <c r="E38" i="26"/>
  <c r="E37" i="26"/>
  <c r="E36" i="27"/>
  <c r="E37" i="27"/>
  <c r="E38" i="27"/>
  <c r="E31" i="27"/>
  <c r="E32" i="27"/>
  <c r="E33" i="27"/>
  <c r="H42" i="25"/>
  <c r="H44" i="25"/>
  <c r="H45" i="25"/>
  <c r="H43" i="25"/>
  <c r="N37" i="35"/>
  <c r="N23" i="35"/>
  <c r="D16" i="27"/>
  <c r="D17" i="27"/>
  <c r="D18" i="27"/>
  <c r="D19" i="26"/>
  <c r="D20" i="26"/>
  <c r="D22" i="26"/>
  <c r="D21" i="26"/>
  <c r="R29" i="43"/>
  <c r="R28" i="43"/>
  <c r="C16" i="27"/>
  <c r="C17" i="27"/>
  <c r="C18" i="27"/>
  <c r="C19" i="26"/>
  <c r="C20" i="26"/>
  <c r="C22" i="26"/>
  <c r="C21" i="26"/>
  <c r="L23" i="35"/>
  <c r="L37" i="35"/>
  <c r="M70" i="35"/>
  <c r="D38" i="4"/>
  <c r="D56" i="4"/>
  <c r="M70" i="7"/>
  <c r="R34" i="37"/>
  <c r="R35" i="37"/>
  <c r="N37" i="7"/>
  <c r="N23" i="7"/>
  <c r="J43" i="25"/>
  <c r="J42" i="25"/>
  <c r="J44" i="25"/>
  <c r="J45" i="25"/>
  <c r="L37" i="7"/>
  <c r="L23" i="7"/>
  <c r="S33" i="11"/>
  <c r="S33" i="37"/>
  <c r="E97" i="4"/>
  <c r="E98" i="4"/>
  <c r="M37" i="9"/>
  <c r="M23" i="9"/>
  <c r="D97" i="4"/>
  <c r="D98" i="4"/>
  <c r="E37" i="4"/>
  <c r="O23" i="35"/>
  <c r="O37" i="35"/>
  <c r="N70" i="7"/>
  <c r="N70" i="35"/>
  <c r="L37" i="9"/>
  <c r="L23" i="9"/>
  <c r="L70" i="7"/>
  <c r="N23" i="9"/>
  <c r="N37" i="9"/>
  <c r="O37" i="7"/>
  <c r="O23" i="7"/>
  <c r="M70" i="9"/>
  <c r="L70" i="35"/>
  <c r="E19" i="26"/>
  <c r="E20" i="26"/>
  <c r="E22" i="26"/>
  <c r="E21" i="26"/>
  <c r="E16" i="27"/>
  <c r="E17" i="27"/>
  <c r="E18" i="27"/>
  <c r="M23" i="36"/>
  <c r="M37" i="36"/>
  <c r="O70" i="7"/>
  <c r="N29" i="7"/>
  <c r="N30" i="7"/>
  <c r="M37" i="11"/>
  <c r="M23" i="11"/>
  <c r="M29" i="7"/>
  <c r="M30" i="7"/>
  <c r="O23" i="9"/>
  <c r="O37" i="9"/>
  <c r="N70" i="9"/>
  <c r="M29" i="35"/>
  <c r="M30" i="35"/>
  <c r="N23" i="36"/>
  <c r="N37" i="36"/>
  <c r="M70" i="36"/>
  <c r="L37" i="36"/>
  <c r="L23" i="36"/>
  <c r="M23" i="37"/>
  <c r="L70" i="9"/>
  <c r="O70" i="35"/>
  <c r="E38" i="4"/>
  <c r="E56" i="4"/>
  <c r="M37" i="37"/>
  <c r="L37" i="37"/>
  <c r="M35" i="35"/>
  <c r="M34" i="35"/>
  <c r="M31" i="35"/>
  <c r="N34" i="7"/>
  <c r="N31" i="7"/>
  <c r="N35" i="7"/>
  <c r="L29" i="35"/>
  <c r="L30" i="35"/>
  <c r="N70" i="36"/>
  <c r="L70" i="36"/>
  <c r="M35" i="7"/>
  <c r="M34" i="7"/>
  <c r="M31" i="7"/>
  <c r="N23" i="11"/>
  <c r="N37" i="11"/>
  <c r="N29" i="35"/>
  <c r="N30" i="35"/>
  <c r="M29" i="9"/>
  <c r="M30" i="9"/>
  <c r="L23" i="11"/>
  <c r="L37" i="11"/>
  <c r="N37" i="37"/>
  <c r="N23" i="37"/>
  <c r="M70" i="11"/>
  <c r="M70" i="37"/>
  <c r="O37" i="36"/>
  <c r="O23" i="36"/>
  <c r="O70" i="9"/>
  <c r="L29" i="7"/>
  <c r="L30" i="7"/>
  <c r="L23" i="37"/>
  <c r="M35" i="9"/>
  <c r="M34" i="9"/>
  <c r="M31" i="9"/>
  <c r="L34" i="35"/>
  <c r="L35" i="35"/>
  <c r="L31" i="35"/>
  <c r="N34" i="35"/>
  <c r="N35" i="35"/>
  <c r="N31" i="35"/>
  <c r="O29" i="35"/>
  <c r="O30" i="35"/>
  <c r="L35" i="7"/>
  <c r="L34" i="7"/>
  <c r="L31" i="7"/>
  <c r="M29" i="36"/>
  <c r="M30" i="36"/>
  <c r="N29" i="9"/>
  <c r="N30" i="9"/>
  <c r="O23" i="37"/>
  <c r="O37" i="37"/>
  <c r="L70" i="37"/>
  <c r="N70" i="11"/>
  <c r="L70" i="11"/>
  <c r="O37" i="11"/>
  <c r="O23" i="11"/>
  <c r="O70" i="36"/>
  <c r="N36" i="7"/>
  <c r="N32" i="7"/>
  <c r="N33" i="7"/>
  <c r="N38" i="7"/>
  <c r="L29" i="9"/>
  <c r="L30" i="9"/>
  <c r="O29" i="7"/>
  <c r="O30" i="7"/>
  <c r="M36" i="35"/>
  <c r="M32" i="35"/>
  <c r="M33" i="35"/>
  <c r="M38" i="35"/>
  <c r="N70" i="37"/>
  <c r="M36" i="7"/>
  <c r="M32" i="7"/>
  <c r="M33" i="7"/>
  <c r="M38" i="7"/>
  <c r="O34" i="35"/>
  <c r="O31" i="35"/>
  <c r="O35" i="35"/>
  <c r="N35" i="9"/>
  <c r="N31" i="9"/>
  <c r="N34" i="9"/>
  <c r="O35" i="7"/>
  <c r="O31" i="7"/>
  <c r="O34" i="7"/>
  <c r="O29" i="9"/>
  <c r="O30" i="9"/>
  <c r="O70" i="11"/>
  <c r="M29" i="37"/>
  <c r="M30" i="37"/>
  <c r="N39" i="7"/>
  <c r="N41" i="7"/>
  <c r="N42" i="7"/>
  <c r="N40" i="7"/>
  <c r="M31" i="36"/>
  <c r="M34" i="36"/>
  <c r="M35" i="36"/>
  <c r="N36" i="35"/>
  <c r="N32" i="35"/>
  <c r="N38" i="35"/>
  <c r="L36" i="35"/>
  <c r="L32" i="35"/>
  <c r="L33" i="35"/>
  <c r="L36" i="7"/>
  <c r="L32" i="7"/>
  <c r="L33" i="7"/>
  <c r="C55" i="4"/>
  <c r="L38" i="7"/>
  <c r="M40" i="7"/>
  <c r="M39" i="7"/>
  <c r="M41" i="7"/>
  <c r="M42" i="7"/>
  <c r="M40" i="35"/>
  <c r="M39" i="35"/>
  <c r="M41" i="35"/>
  <c r="M42" i="35"/>
  <c r="M29" i="11"/>
  <c r="M30" i="11"/>
  <c r="L29" i="36"/>
  <c r="L30" i="36"/>
  <c r="L38" i="35"/>
  <c r="O70" i="37"/>
  <c r="L35" i="9"/>
  <c r="L34" i="9"/>
  <c r="L31" i="9"/>
  <c r="N29" i="36"/>
  <c r="N30" i="36"/>
  <c r="M36" i="9"/>
  <c r="M32" i="9"/>
  <c r="M33" i="9"/>
  <c r="M38" i="9"/>
  <c r="N33" i="35"/>
  <c r="L29" i="11"/>
  <c r="L30" i="11"/>
  <c r="L35" i="11"/>
  <c r="O29" i="36"/>
  <c r="O30" i="36"/>
  <c r="N35" i="36"/>
  <c r="N31" i="36"/>
  <c r="N34" i="36"/>
  <c r="M31" i="11"/>
  <c r="M35" i="11"/>
  <c r="M34" i="11"/>
  <c r="N29" i="37"/>
  <c r="N30" i="37"/>
  <c r="O31" i="9"/>
  <c r="O34" i="9"/>
  <c r="O35" i="9"/>
  <c r="M35" i="37"/>
  <c r="M34" i="37"/>
  <c r="M31" i="37"/>
  <c r="L31" i="36"/>
  <c r="L35" i="36"/>
  <c r="L34" i="36"/>
  <c r="N40" i="35"/>
  <c r="N39" i="35"/>
  <c r="N41" i="35"/>
  <c r="N42" i="35"/>
  <c r="L36" i="9"/>
  <c r="L32" i="9"/>
  <c r="L33" i="9"/>
  <c r="L38" i="9"/>
  <c r="L39" i="7"/>
  <c r="L41" i="7"/>
  <c r="L42" i="7"/>
  <c r="L40" i="7"/>
  <c r="M36" i="36"/>
  <c r="M32" i="36"/>
  <c r="M33" i="36"/>
  <c r="M38" i="36"/>
  <c r="N36" i="9"/>
  <c r="N32" i="9"/>
  <c r="N33" i="9"/>
  <c r="N38" i="9"/>
  <c r="L29" i="37"/>
  <c r="L30" i="37"/>
  <c r="M39" i="9"/>
  <c r="M41" i="9"/>
  <c r="M42" i="9"/>
  <c r="M40" i="9"/>
  <c r="L40" i="35"/>
  <c r="L39" i="35"/>
  <c r="L41" i="35"/>
  <c r="L42" i="35"/>
  <c r="O36" i="7"/>
  <c r="O32" i="7"/>
  <c r="O38" i="7"/>
  <c r="O36" i="35"/>
  <c r="O32" i="35"/>
  <c r="O33" i="35"/>
  <c r="N29" i="11"/>
  <c r="N30" i="11"/>
  <c r="O33" i="7"/>
  <c r="O38" i="35"/>
  <c r="L34" i="11"/>
  <c r="L31" i="11"/>
  <c r="D55" i="4"/>
  <c r="N35" i="37"/>
  <c r="N31" i="37"/>
  <c r="N34" i="37"/>
  <c r="N31" i="11"/>
  <c r="N35" i="11"/>
  <c r="N34" i="11"/>
  <c r="L34" i="37"/>
  <c r="L35" i="37"/>
  <c r="L31" i="37"/>
  <c r="O35" i="36"/>
  <c r="O31" i="36"/>
  <c r="O34" i="36"/>
  <c r="O29" i="37"/>
  <c r="O30" i="37"/>
  <c r="N39" i="9"/>
  <c r="N41" i="9"/>
  <c r="N42" i="9"/>
  <c r="N40" i="9"/>
  <c r="L40" i="9"/>
  <c r="L39" i="9"/>
  <c r="L41" i="9"/>
  <c r="L42" i="9"/>
  <c r="M36" i="11"/>
  <c r="M32" i="11"/>
  <c r="M33" i="11"/>
  <c r="M38" i="11"/>
  <c r="M36" i="37"/>
  <c r="M32" i="37"/>
  <c r="M33" i="37"/>
  <c r="M38" i="37"/>
  <c r="O40" i="7"/>
  <c r="O39" i="7"/>
  <c r="O41" i="7"/>
  <c r="O42" i="7"/>
  <c r="M40" i="36"/>
  <c r="M39" i="36"/>
  <c r="M41" i="36"/>
  <c r="M42" i="36"/>
  <c r="N36" i="36"/>
  <c r="N32" i="36"/>
  <c r="N33" i="36"/>
  <c r="N38" i="36"/>
  <c r="O40" i="35"/>
  <c r="O39" i="35"/>
  <c r="O41" i="35"/>
  <c r="O42" i="35"/>
  <c r="O29" i="11"/>
  <c r="O30" i="11"/>
  <c r="L36" i="36"/>
  <c r="L32" i="36"/>
  <c r="L33" i="36"/>
  <c r="L38" i="36"/>
  <c r="O36" i="9"/>
  <c r="O32" i="9"/>
  <c r="O33" i="9"/>
  <c r="O38" i="9"/>
  <c r="L36" i="11"/>
  <c r="L32" i="11"/>
  <c r="L38" i="11"/>
  <c r="L33" i="11"/>
  <c r="O35" i="11"/>
  <c r="O31" i="11"/>
  <c r="O34" i="11"/>
  <c r="M40" i="37"/>
  <c r="M39" i="37"/>
  <c r="M41" i="37"/>
  <c r="M42" i="37"/>
  <c r="O40" i="9"/>
  <c r="O39" i="9"/>
  <c r="O41" i="9"/>
  <c r="O42" i="9"/>
  <c r="N40" i="36"/>
  <c r="N39" i="36"/>
  <c r="N41" i="36"/>
  <c r="N42" i="36"/>
  <c r="L36" i="37"/>
  <c r="L32" i="37"/>
  <c r="L33" i="37"/>
  <c r="L38" i="37"/>
  <c r="O35" i="37"/>
  <c r="O31" i="37"/>
  <c r="O34" i="37"/>
  <c r="N36" i="11"/>
  <c r="N32" i="11"/>
  <c r="N33" i="11"/>
  <c r="N38" i="11"/>
  <c r="L39" i="11"/>
  <c r="L41" i="11"/>
  <c r="L42" i="11"/>
  <c r="L40" i="11"/>
  <c r="L40" i="36"/>
  <c r="L39" i="36"/>
  <c r="L41" i="36"/>
  <c r="L42" i="36"/>
  <c r="M40" i="11"/>
  <c r="M39" i="11"/>
  <c r="M41" i="11"/>
  <c r="M42" i="11"/>
  <c r="O36" i="36"/>
  <c r="O32" i="36"/>
  <c r="O33" i="36"/>
  <c r="O38" i="36"/>
  <c r="N36" i="37"/>
  <c r="N32" i="37"/>
  <c r="N33" i="37"/>
  <c r="N38" i="37"/>
  <c r="E55" i="4"/>
  <c r="O39" i="36"/>
  <c r="O41" i="36"/>
  <c r="O42" i="36"/>
  <c r="O40" i="36"/>
  <c r="N40" i="11"/>
  <c r="N39" i="11"/>
  <c r="N41" i="11"/>
  <c r="N42" i="11"/>
  <c r="O36" i="37"/>
  <c r="O32" i="37"/>
  <c r="O33" i="37"/>
  <c r="O38" i="37"/>
  <c r="L39" i="37"/>
  <c r="L41" i="37"/>
  <c r="L42" i="37"/>
  <c r="L40" i="37"/>
  <c r="N40" i="37"/>
  <c r="N39" i="37"/>
  <c r="N41" i="37"/>
  <c r="N42" i="37"/>
  <c r="O36" i="11"/>
  <c r="O32" i="11"/>
  <c r="O33" i="11"/>
  <c r="O38" i="11"/>
  <c r="O40" i="37"/>
  <c r="O39" i="37"/>
  <c r="O41" i="37"/>
  <c r="O42" i="37"/>
  <c r="O39" i="11"/>
  <c r="O41" i="11"/>
  <c r="O42" i="11"/>
  <c r="O40" i="11"/>
</calcChain>
</file>

<file path=xl/sharedStrings.xml><?xml version="1.0" encoding="utf-8"?>
<sst xmlns="http://schemas.openxmlformats.org/spreadsheetml/2006/main" count="3010" uniqueCount="692">
  <si>
    <t>Fuel type (HFO = 1, MD/GO = 2, LNG = 3, Dual fuel = 4)</t>
  </si>
  <si>
    <t>Sulphur content in heavy fuel (HFO)</t>
  </si>
  <si>
    <t>Sulphur content in diesel oil or gas oil (DO/GO)</t>
  </si>
  <si>
    <t>Derated 2 stroke main engine? (NO = 0, YES = 1)</t>
  </si>
  <si>
    <t>Fuel optimised main engine? (NO = 0, YES = 1)</t>
  </si>
  <si>
    <t>TIER 1, 2 or 3 engine? (1 - 3)</t>
  </si>
  <si>
    <t xml:space="preserve"> 70 % of maximum deadweight</t>
  </si>
  <si>
    <r>
      <t xml:space="preserve">Specify NOx reduction technology: </t>
    </r>
    <r>
      <rPr>
        <u/>
        <sz val="9"/>
        <rFont val="Arial"/>
        <family val="2"/>
      </rPr>
      <t>EGR (Exhaust Gas Recirculation) =1, SCR (Selective Catalyic Reduction) = 2 or other technology = 3</t>
    </r>
  </si>
  <si>
    <t>Use of scrubbers if oil is used (NO = 0, YES=1)</t>
  </si>
  <si>
    <t>Engine and emission reduction technologies</t>
  </si>
  <si>
    <t>Main engine</t>
  </si>
  <si>
    <t>Auxiliary engines</t>
  </si>
  <si>
    <t>Main engine type (2-stroke = 1, 4-stroke = 2)</t>
  </si>
  <si>
    <t>Derated main engine - only for 2 stroke engines (NO = 0, YES = 1)</t>
  </si>
  <si>
    <t>Fuel optimised main engine? (0 = NO, 1 = YES)</t>
  </si>
  <si>
    <t>TIER 1, 2 or 3 engine (If individual NOx reduction technology is selected then press 0)</t>
  </si>
  <si>
    <t>Specify NOx reduction technology: EGR (Exhaust Gas Recirculation) =1, SCR (Selective Catalyic Reduction) = 2 or other technology = 3</t>
  </si>
  <si>
    <t>Sulphur content in % in heavy fuel oil (HFO)</t>
  </si>
  <si>
    <t>Sulphur content in % in diesel/gas oil (DO/GO)</t>
  </si>
  <si>
    <t>Use of scrubbers (NO = 0, YES=1)</t>
  </si>
  <si>
    <t>Emission factors</t>
  </si>
  <si>
    <t xml:space="preserve"> Fuel consumption (kg/kW/hour)</t>
  </si>
  <si>
    <t xml:space="preserve"> CO2 emission (g/kW/hour)</t>
  </si>
  <si>
    <t xml:space="preserve"> SO2 emission (g/kW/hour)</t>
  </si>
  <si>
    <t xml:space="preserve"> CO2 emission (g/kg fuel)</t>
  </si>
  <si>
    <t xml:space="preserve"> NOx emission (g/kg fuel)</t>
  </si>
  <si>
    <t xml:space="preserve"> CO emission (g/kg fuel)</t>
  </si>
  <si>
    <t xml:space="preserve"> HC emission (g/kg fuel)</t>
  </si>
  <si>
    <t xml:space="preserve"> Particulates (g/kg fuel)</t>
  </si>
  <si>
    <t xml:space="preserve"> SO2 emission (g/kg fuel)</t>
  </si>
  <si>
    <t xml:space="preserve"> Calorific value (MJ/kg fuel)</t>
  </si>
  <si>
    <t xml:space="preserve"> Calorific value (MJ/kg oil)</t>
  </si>
  <si>
    <t xml:space="preserve"> Calorific value (MJ/kg LNG)</t>
  </si>
  <si>
    <t xml:space="preserve"> SFOC change due to engine type (pct.) derated versus normal engine</t>
  </si>
  <si>
    <t xml:space="preserve"> Extra energy demand due to scrubber (pct.)</t>
  </si>
  <si>
    <t xml:space="preserve"> Extra energy demand due to NOx reducing EGR technology (pct.)</t>
  </si>
  <si>
    <t>Total change of SFOC (pct.)</t>
  </si>
  <si>
    <t xml:space="preserve"> NOx reduction compared to Tier 1 (pct.)</t>
  </si>
  <si>
    <t xml:space="preserve"> Particulate reduction (pct.)</t>
  </si>
  <si>
    <t xml:space="preserve"> SO2 reduction (pct.)</t>
  </si>
  <si>
    <t>Dual fuel</t>
  </si>
  <si>
    <t>Diesel oil (pilot fuel) in pct.</t>
  </si>
  <si>
    <t>Gas in pct.</t>
  </si>
  <si>
    <t xml:space="preserve"> Particulate emissions per ton payload per nautical mile</t>
  </si>
  <si>
    <t xml:space="preserve"> HC emissions per ton payload per nautical mile</t>
  </si>
  <si>
    <t xml:space="preserve"> CO emissions per ton payload per nautical mile</t>
  </si>
  <si>
    <t xml:space="preserve"> NOx emissions</t>
  </si>
  <si>
    <r>
      <t xml:space="preserve"> 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emissions</t>
    </r>
  </si>
  <si>
    <t xml:space="preserve"> Container capacity</t>
  </si>
  <si>
    <t xml:space="preserve"> Block coefficient at design draught</t>
  </si>
  <si>
    <t xml:space="preserve"> NOx emissions per hour</t>
  </si>
  <si>
    <t xml:space="preserve"> NOx emissions per nautical mile</t>
  </si>
  <si>
    <r>
      <t xml:space="preserve"> CO</t>
    </r>
    <r>
      <rPr>
        <vertAlign val="subscript"/>
        <sz val="9"/>
        <rFont val="Arial"/>
      </rPr>
      <t>2</t>
    </r>
    <r>
      <rPr>
        <sz val="9"/>
        <rFont val="Arial"/>
      </rPr>
      <t xml:space="preserve"> emissions per hour</t>
    </r>
  </si>
  <si>
    <r>
      <t xml:space="preserve"> CO</t>
    </r>
    <r>
      <rPr>
        <vertAlign val="subscript"/>
        <sz val="9"/>
        <rFont val="Arial"/>
      </rPr>
      <t>2</t>
    </r>
    <r>
      <rPr>
        <sz val="9"/>
        <rFont val="Arial"/>
      </rPr>
      <t xml:space="preserve"> emissions per nautical mile</t>
    </r>
  </si>
  <si>
    <r>
      <t xml:space="preserve"> CO</t>
    </r>
    <r>
      <rPr>
        <vertAlign val="subscript"/>
        <sz val="9"/>
        <rFont val="Arial"/>
      </rPr>
      <t>2</t>
    </r>
    <r>
      <rPr>
        <sz val="9"/>
        <rFont val="Arial"/>
      </rPr>
      <t xml:space="preserve"> emissions per TEU per nautical mile</t>
    </r>
  </si>
  <si>
    <r>
      <t xml:space="preserve"> CO</t>
    </r>
    <r>
      <rPr>
        <vertAlign val="subscript"/>
        <sz val="9"/>
        <rFont val="Arial"/>
      </rPr>
      <t>2</t>
    </r>
    <r>
      <rPr>
        <sz val="9"/>
        <rFont val="Arial"/>
      </rPr>
      <t xml:space="preserve"> emissions per ton payload per nautical mile</t>
    </r>
  </si>
  <si>
    <r>
      <t xml:space="preserve"> CO</t>
    </r>
    <r>
      <rPr>
        <vertAlign val="subscript"/>
        <sz val="9"/>
        <rFont val="Arial"/>
      </rPr>
      <t>2</t>
    </r>
    <r>
      <rPr>
        <sz val="9"/>
        <rFont val="Arial"/>
      </rPr>
      <t xml:space="preserve"> emissions per ton deadweight per nautical mile</t>
    </r>
  </si>
  <si>
    <t xml:space="preserve"> NOx emissions per ton deadweight per nautical mile</t>
  </si>
  <si>
    <t xml:space="preserve"> Emissions and energy demand (Container ship)</t>
  </si>
  <si>
    <t xml:space="preserve"> Energy demand per ton payload per km</t>
  </si>
  <si>
    <r>
      <t xml:space="preserve"> CO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 xml:space="preserve"> emissions</t>
    </r>
  </si>
  <si>
    <t xml:space="preserve"> Longitudinal wind resistance coefficient, Cx</t>
  </si>
  <si>
    <t>Breadth</t>
  </si>
  <si>
    <t xml:space="preserve"> IMO Energy Efficiency Design Index  at 100  % Dw</t>
  </si>
  <si>
    <t>m/s</t>
  </si>
  <si>
    <t xml:space="preserve"> Beaufort No.</t>
  </si>
  <si>
    <t xml:space="preserve"> Calculated wind speed acc. to Beaufort No.</t>
  </si>
  <si>
    <t xml:space="preserve"> Wind speed to be used for separate wind resistance</t>
  </si>
  <si>
    <t xml:space="preserve"> Wind resistance fraction of trial resistance</t>
  </si>
  <si>
    <t xml:space="preserve"> Wind resistance in head wind</t>
  </si>
  <si>
    <t xml:space="preserve"> Wind resistance/total resistance</t>
  </si>
  <si>
    <t xml:space="preserve"> Resistance incl. wind</t>
  </si>
  <si>
    <t xml:space="preserve"> Total resistance incl. serv. allow.</t>
  </si>
  <si>
    <t xml:space="preserve"> Wind coefficent, Cx</t>
  </si>
  <si>
    <r>
      <t xml:space="preserve"> Front area (m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</si>
  <si>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t xml:space="preserve"> Wind speed (m/s)</t>
  </si>
  <si>
    <t>Main dimensions</t>
  </si>
  <si>
    <t>Length between perpendiculars</t>
  </si>
  <si>
    <t xml:space="preserve"> Block coefficient at upper deck D</t>
  </si>
  <si>
    <t>Depth to upper deck</t>
  </si>
  <si>
    <t xml:space="preserve"> Block coefficient at 0,8 x D</t>
  </si>
  <si>
    <t>Draught</t>
  </si>
  <si>
    <t xml:space="preserve">Displacement </t>
  </si>
  <si>
    <t>Full width erections</t>
  </si>
  <si>
    <t>Length</t>
  </si>
  <si>
    <t>Height</t>
  </si>
  <si>
    <t>Area</t>
  </si>
  <si>
    <t>Volume</t>
  </si>
  <si>
    <t>L X H</t>
  </si>
  <si>
    <t>m2</t>
  </si>
  <si>
    <t>m3</t>
  </si>
  <si>
    <t>Sum1</t>
  </si>
  <si>
    <t>Deck houses</t>
  </si>
  <si>
    <t>Sum2</t>
  </si>
  <si>
    <t>Calculated volumes and weights</t>
  </si>
  <si>
    <t>Hull volume</t>
  </si>
  <si>
    <t>= Vs</t>
  </si>
  <si>
    <t>Volume of erections &amp; houses</t>
  </si>
  <si>
    <t>=Vo</t>
  </si>
  <si>
    <t>Total volume</t>
  </si>
  <si>
    <t>=Vtot</t>
  </si>
  <si>
    <t>Hull Numeral, E</t>
  </si>
  <si>
    <t>Steel weight (Watson)</t>
  </si>
  <si>
    <t>Outfit weight</t>
  </si>
  <si>
    <r>
      <t>m</t>
    </r>
    <r>
      <rPr>
        <vertAlign val="superscript"/>
        <sz val="8"/>
        <rFont val="Arial"/>
        <family val="2"/>
      </rPr>
      <t>3</t>
    </r>
  </si>
  <si>
    <r>
      <t>m</t>
    </r>
    <r>
      <rPr>
        <vertAlign val="superscript"/>
        <sz val="8"/>
        <rFont val="Arial"/>
        <family val="2"/>
      </rPr>
      <t>2</t>
    </r>
  </si>
  <si>
    <t>Weight according to Watson and Gilfillan</t>
  </si>
  <si>
    <t>Light weight</t>
  </si>
  <si>
    <t>Change of steel weight</t>
  </si>
  <si>
    <t>Volumetric outfit weight factor</t>
  </si>
  <si>
    <t>Vo/Vtot</t>
  </si>
  <si>
    <t>Steel weight</t>
  </si>
  <si>
    <t>Length correction</t>
  </si>
  <si>
    <t>Appr. steel weight of erections and houses</t>
  </si>
  <si>
    <t>Difference</t>
  </si>
  <si>
    <t>Breadth correction</t>
  </si>
  <si>
    <t>Depth correction</t>
  </si>
  <si>
    <t>Main dimension corrections</t>
  </si>
  <si>
    <t>Scantling corrections</t>
  </si>
  <si>
    <t>Block coefficient correction</t>
  </si>
  <si>
    <t>Total steel weight correction</t>
  </si>
  <si>
    <t>Block coefficient at design draught</t>
  </si>
  <si>
    <t>Block coefficient at upper deck D</t>
  </si>
  <si>
    <t>Weight according to Munro-Smith</t>
  </si>
  <si>
    <t>Deck house (standard)</t>
  </si>
  <si>
    <t>Basis ship</t>
  </si>
  <si>
    <t>Actual ship</t>
  </si>
  <si>
    <t>FINAL STEEL WEIGHT</t>
  </si>
  <si>
    <t>Hull steel weight</t>
  </si>
  <si>
    <t xml:space="preserve"> Steel weight correction</t>
  </si>
  <si>
    <t>Change of outfit weight</t>
  </si>
  <si>
    <t>MAN K98</t>
  </si>
  <si>
    <t>Power</t>
  </si>
  <si>
    <t>Weight</t>
  </si>
  <si>
    <t>MAN K90</t>
  </si>
  <si>
    <t>MAN K80</t>
  </si>
  <si>
    <t>MAN S70</t>
  </si>
  <si>
    <t>MAN S60</t>
  </si>
  <si>
    <t>MAN S50</t>
  </si>
  <si>
    <t>MAN S46</t>
  </si>
  <si>
    <t>MAN S40</t>
  </si>
  <si>
    <t>MAN S35</t>
  </si>
  <si>
    <t>MAN S26</t>
  </si>
  <si>
    <t>Machinery weight</t>
  </si>
  <si>
    <t>Total weight</t>
  </si>
  <si>
    <t>Change of machinery weight</t>
  </si>
  <si>
    <t>Total weight based on detailed calculation</t>
  </si>
  <si>
    <t>Light weight without power correction</t>
  </si>
  <si>
    <t xml:space="preserve"> Specified machinery weight change ( =  the calculated value)</t>
  </si>
  <si>
    <t>MAN L21/31</t>
  </si>
  <si>
    <t>MAN L27/38</t>
  </si>
  <si>
    <t>MAN V28/33D</t>
  </si>
  <si>
    <t>MAN V32/40</t>
  </si>
  <si>
    <t>MAN V32/44</t>
  </si>
  <si>
    <t>MAN V48/60</t>
  </si>
  <si>
    <t>MAN V51/60</t>
  </si>
  <si>
    <t>Alternative 2</t>
  </si>
  <si>
    <t>Alternative 1</t>
  </si>
  <si>
    <t>Default</t>
  </si>
  <si>
    <t xml:space="preserve"> General improved propeller efficiency</t>
  </si>
  <si>
    <t xml:space="preserve"> Block coefficient based on Lpp</t>
  </si>
  <si>
    <t xml:space="preserve"> Waterplane area coefficient based on Lpp</t>
  </si>
  <si>
    <t xml:space="preserve"> Energy demand per TEU per nautical mile</t>
  </si>
  <si>
    <t xml:space="preserve"> Oil consumption demand per nautical mile</t>
  </si>
  <si>
    <t xml:space="preserve"> Energy demand per nautical mile</t>
  </si>
  <si>
    <t xml:space="preserve"> Energy demand per ton payload per nautical mile</t>
  </si>
  <si>
    <t xml:space="preserve"> Energy demand per ton deadweight per nautical mile</t>
  </si>
  <si>
    <t xml:space="preserve"> Oil consumption per ton deadweight per nautical mile</t>
  </si>
  <si>
    <t xml:space="preserve"> Oil consumption per ton payload per nautical mile</t>
  </si>
  <si>
    <t xml:space="preserve"> Calculated machinery weight change due to engine change</t>
  </si>
  <si>
    <t>E - steel factor (normal 0.036)</t>
  </si>
  <si>
    <t>TEU</t>
  </si>
  <si>
    <t>Units</t>
  </si>
  <si>
    <t>m</t>
  </si>
  <si>
    <t>tons</t>
  </si>
  <si>
    <t>-</t>
  </si>
  <si>
    <t>kW</t>
  </si>
  <si>
    <t>pct. MCR</t>
  </si>
  <si>
    <t>pct.</t>
  </si>
  <si>
    <t xml:space="preserve"> Length between pp </t>
  </si>
  <si>
    <t xml:space="preserve"> Length over all</t>
  </si>
  <si>
    <t xml:space="preserve"> Breadth mld.</t>
  </si>
  <si>
    <t xml:space="preserve"> Depth</t>
  </si>
  <si>
    <t xml:space="preserve"> Design draught</t>
  </si>
  <si>
    <t xml:space="preserve"> Design deadweight</t>
  </si>
  <si>
    <t xml:space="preserve"> Lightweight</t>
  </si>
  <si>
    <t xml:space="preserve"> Midship section coefficient</t>
  </si>
  <si>
    <t xml:space="preserve"> Service allowance on resistance</t>
  </si>
  <si>
    <t xml:space="preserve"> Propeller diameter</t>
  </si>
  <si>
    <t xml:space="preserve"> Prismatic coefficient at design draught</t>
  </si>
  <si>
    <t xml:space="preserve"> Service speed at design draught</t>
  </si>
  <si>
    <t>knots</t>
  </si>
  <si>
    <t xml:space="preserve"> Propeller loading (MCR)</t>
  </si>
  <si>
    <t>(-)</t>
  </si>
  <si>
    <t xml:space="preserve"> Lightweight coefficient</t>
  </si>
  <si>
    <t>tons/TEU</t>
  </si>
  <si>
    <t>%</t>
  </si>
  <si>
    <t xml:space="preserve"> Scantling deadweight</t>
  </si>
  <si>
    <t xml:space="preserve"> Displacement at design draught</t>
  </si>
  <si>
    <t xml:space="preserve"> Main data</t>
  </si>
  <si>
    <t>Input</t>
  </si>
  <si>
    <t xml:space="preserve"> Water density </t>
  </si>
  <si>
    <t>(t/m^3)</t>
  </si>
  <si>
    <t xml:space="preserve"> Wake fraction (1 = calc.)</t>
  </si>
  <si>
    <t xml:space="preserve"> Length on water line</t>
  </si>
  <si>
    <t>(m)</t>
  </si>
  <si>
    <t xml:space="preserve"> Thrust deduction (1 = calc.)</t>
  </si>
  <si>
    <t xml:space="preserve"> Breadth on water line </t>
  </si>
  <si>
    <t xml:space="preserve"> Hull efficiency (calculated)</t>
  </si>
  <si>
    <t xml:space="preserve"> Mean draught </t>
  </si>
  <si>
    <t xml:space="preserve"> Transm. efficiency (input)</t>
  </si>
  <si>
    <t xml:space="preserve"> Displacement  </t>
  </si>
  <si>
    <t>(tons)</t>
  </si>
  <si>
    <t xml:space="preserve"> Relative rot. efficiency (input)</t>
  </si>
  <si>
    <t xml:space="preserve"> Wetted surface, given as input (S)</t>
  </si>
  <si>
    <t>(m^2)</t>
  </si>
  <si>
    <t xml:space="preserve"> Transition zone:</t>
  </si>
  <si>
    <t xml:space="preserve"> Wetted surface, calculated if S = 0</t>
  </si>
  <si>
    <t xml:space="preserve"> Lower Froude number</t>
  </si>
  <si>
    <t>Design speed (knots)</t>
  </si>
  <si>
    <t xml:space="preserve"> Block coefficient</t>
  </si>
  <si>
    <t xml:space="preserve"> Prismatic coefficient</t>
  </si>
  <si>
    <t xml:space="preserve"> Service allowance (pct.)</t>
  </si>
  <si>
    <t xml:space="preserve"> Length-displacement ratio</t>
  </si>
  <si>
    <t xml:space="preserve"> Water temperature (degrees Celcius)</t>
  </si>
  <si>
    <t xml:space="preserve"> Form fore (V : -3, N: 0, U: +3)</t>
  </si>
  <si>
    <t xml:space="preserve"> Bulbous bow (0 = No, 1 = Yes)</t>
  </si>
  <si>
    <t xml:space="preserve"> Form aft (V: -3, N: 0, U: +3)</t>
  </si>
  <si>
    <t xml:space="preserve"> Ship type (1 = doub. ender, 2 = conv.)</t>
  </si>
  <si>
    <t xml:space="preserve"> Normal hull (1) or twin skeg (2)</t>
  </si>
  <si>
    <t xml:space="preserve"> Propeller type:</t>
  </si>
  <si>
    <t xml:space="preserve"> Number of propellers (1 - 4)</t>
  </si>
  <si>
    <t xml:space="preserve"> 1 = conv. - 2 = ducted - 3 = water jet</t>
  </si>
  <si>
    <t xml:space="preserve"> Propeller diameter </t>
  </si>
  <si>
    <t xml:space="preserve"> of draught</t>
  </si>
  <si>
    <t xml:space="preserve"> Improved propeller efficiency (pct.)</t>
  </si>
  <si>
    <t xml:space="preserve"> Number of blades, N</t>
  </si>
  <si>
    <t xml:space="preserve"> Resistance fraction in % - Default = 100</t>
  </si>
  <si>
    <t xml:space="preserve"> Resistance and power data</t>
  </si>
  <si>
    <t xml:space="preserve"> Speed (input)</t>
  </si>
  <si>
    <t>(knots)</t>
  </si>
  <si>
    <t xml:space="preserve"> Froude Number</t>
  </si>
  <si>
    <t xml:space="preserve"> Cf x 1000</t>
  </si>
  <si>
    <t xml:space="preserve"> Cr x 1000</t>
  </si>
  <si>
    <t xml:space="preserve"> Cr-bulbous bow x 1000</t>
  </si>
  <si>
    <t xml:space="preserve"> Cr-appendage x 1000 (input)</t>
  </si>
  <si>
    <t xml:space="preserve"> Air &amp; steering corr. x 1000 (input)</t>
  </si>
  <si>
    <t xml:space="preserve"> Ca x 1000 </t>
  </si>
  <si>
    <t xml:space="preserve"> Ct x 1000 </t>
  </si>
  <si>
    <t xml:space="preserve"> Total resistance in the analysis</t>
  </si>
  <si>
    <t>(kN)</t>
  </si>
  <si>
    <t xml:space="preserve"> Effective power </t>
  </si>
  <si>
    <t>(kW)</t>
  </si>
  <si>
    <t xml:space="preserve"> Total propulsion efficiency </t>
  </si>
  <si>
    <t xml:space="preserve"> Propulsion power</t>
  </si>
  <si>
    <t xml:space="preserve"> Thrust loading coefficient, Cth</t>
  </si>
  <si>
    <t xml:space="preserve"> Necessary blade area ratio</t>
  </si>
  <si>
    <t xml:space="preserve"> Approximate propeller efficiency</t>
  </si>
  <si>
    <t xml:space="preserve"> Va</t>
  </si>
  <si>
    <t>(m/s)</t>
  </si>
  <si>
    <t xml:space="preserve"> Vbehind</t>
  </si>
  <si>
    <t xml:space="preserve"> Vincrease</t>
  </si>
  <si>
    <t xml:space="preserve"> Vbehind/Va</t>
  </si>
  <si>
    <t xml:space="preserve"> Disc. flow speed</t>
  </si>
  <si>
    <t xml:space="preserve"> Water flow pr. propeller</t>
  </si>
  <si>
    <t>(m^3/s)</t>
  </si>
  <si>
    <t xml:space="preserve"> Cr summation</t>
  </si>
  <si>
    <t>A0=</t>
  </si>
  <si>
    <t>A1=</t>
  </si>
  <si>
    <t>N1=</t>
  </si>
  <si>
    <t>B1=</t>
  </si>
  <si>
    <t>B2=</t>
  </si>
  <si>
    <t>B3=</t>
  </si>
  <si>
    <t>G=</t>
  </si>
  <si>
    <t>H=</t>
  </si>
  <si>
    <t>K=</t>
  </si>
  <si>
    <t>E=</t>
  </si>
  <si>
    <t>B/T-corr</t>
  </si>
  <si>
    <t>Formcorr.</t>
  </si>
  <si>
    <t>a=</t>
  </si>
  <si>
    <t>d=</t>
  </si>
  <si>
    <t>b=</t>
  </si>
  <si>
    <t>e=</t>
  </si>
  <si>
    <t>c=</t>
  </si>
  <si>
    <t>f=</t>
  </si>
  <si>
    <t>w1=</t>
  </si>
  <si>
    <t>t1=</t>
  </si>
  <si>
    <t>w2=</t>
  </si>
  <si>
    <t>t2=</t>
  </si>
  <si>
    <t>w3=</t>
  </si>
  <si>
    <t>t3=</t>
  </si>
  <si>
    <t>w=3</t>
  </si>
  <si>
    <t>w(1)=</t>
  </si>
  <si>
    <t>t(1)=</t>
  </si>
  <si>
    <t>w(twsk)=</t>
  </si>
  <si>
    <t>w(2)=</t>
  </si>
  <si>
    <t>t(2)=</t>
  </si>
  <si>
    <t>t(twsk.)=</t>
  </si>
  <si>
    <t xml:space="preserve"> Cavitation area calculation </t>
  </si>
  <si>
    <t>K</t>
  </si>
  <si>
    <t>Korrektioner</t>
  </si>
  <si>
    <t>Waterjet virkningsgrad inkluderet samt også mulighed for opdeling af total fremdrivningsmodstand til separate analyser</t>
  </si>
  <si>
    <t>Korrektion for bulb = 10 % af restmodstanden samt Ca</t>
  </si>
  <si>
    <t>Korrektion for temperatur på Cf</t>
  </si>
  <si>
    <t>Korrektion af Cr for bulb</t>
  </si>
  <si>
    <t xml:space="preserve"> Block coefficient (based on Lpp) at design draught</t>
  </si>
  <si>
    <t xml:space="preserve"> Transmission efficiency</t>
  </si>
  <si>
    <t>75 % MCR</t>
  </si>
  <si>
    <t xml:space="preserve"> Actual deadweight</t>
  </si>
  <si>
    <t xml:space="preserve"> Service speed at actual draught</t>
  </si>
  <si>
    <t xml:space="preserve"> Actual displacement</t>
  </si>
  <si>
    <r>
      <t>t/m</t>
    </r>
    <r>
      <rPr>
        <vertAlign val="superscript"/>
        <sz val="9"/>
        <rFont val="Arial"/>
      </rPr>
      <t>3</t>
    </r>
  </si>
  <si>
    <r>
      <t>kW/m</t>
    </r>
    <r>
      <rPr>
        <vertAlign val="superscript"/>
        <sz val="9"/>
        <rFont val="Arial"/>
      </rPr>
      <t>2</t>
    </r>
  </si>
  <si>
    <t>g/dwt/nm</t>
  </si>
  <si>
    <t xml:space="preserve"> Actual draught</t>
  </si>
  <si>
    <t xml:space="preserve"> Auxiliary power at sea at design draught</t>
  </si>
  <si>
    <t xml:space="preserve"> Main engine power (MCR)</t>
  </si>
  <si>
    <t xml:space="preserve"> NOx emission (g/kW/hour)</t>
  </si>
  <si>
    <t xml:space="preserve"> CO emission (g/kW(hour)</t>
  </si>
  <si>
    <t xml:space="preserve"> HC emission (g/kW/hour)</t>
  </si>
  <si>
    <t xml:space="preserve"> Particulates (g/kW/hour)</t>
  </si>
  <si>
    <t xml:space="preserve"> S content in oil (pct.)</t>
  </si>
  <si>
    <t xml:space="preserve"> Necessary mian engine power at actual deadweight</t>
  </si>
  <si>
    <t xml:space="preserve"> Maximum draught</t>
  </si>
  <si>
    <t xml:space="preserve"> Maximum draught - design draught</t>
  </si>
  <si>
    <t xml:space="preserve"> Design deadweight/Maximum deadweight </t>
  </si>
  <si>
    <t xml:space="preserve"> Maximum deadweight</t>
  </si>
  <si>
    <t xml:space="preserve"> Maximum deadweight/TEU</t>
  </si>
  <si>
    <t xml:space="preserve"> Displacement at maximum draught</t>
  </si>
  <si>
    <t xml:space="preserve"> Block coefficient (based on Lpp) at maximum draught</t>
  </si>
  <si>
    <r>
      <t xml:space="preserve"> Lpp/Displ.vol.</t>
    </r>
    <r>
      <rPr>
        <vertAlign val="superscript"/>
        <sz val="9"/>
        <rFont val="Arial"/>
        <family val="2"/>
      </rPr>
      <t>1/3</t>
    </r>
    <r>
      <rPr>
        <sz val="9"/>
        <rFont val="Arial"/>
      </rPr>
      <t xml:space="preserve"> at maximum draught</t>
    </r>
  </si>
  <si>
    <r>
      <t xml:space="preserve"> Lpp/Displ.vol.</t>
    </r>
    <r>
      <rPr>
        <vertAlign val="superscript"/>
        <sz val="9"/>
        <rFont val="Arial"/>
        <family val="2"/>
      </rPr>
      <t>1/3</t>
    </r>
    <r>
      <rPr>
        <sz val="9"/>
        <rFont val="Arial"/>
      </rPr>
      <t xml:space="preserve"> at design draught</t>
    </r>
  </si>
  <si>
    <t xml:space="preserve"> Prismatic coefficient at maximum draught</t>
  </si>
  <si>
    <t xml:space="preserve"> Wetted surface at maximum draught</t>
  </si>
  <si>
    <t>% MCR</t>
  </si>
  <si>
    <t xml:space="preserve"> ACTUAL CONDITION</t>
  </si>
  <si>
    <r>
      <t xml:space="preserve"> Speed dependency exponent n (Power = constant V</t>
    </r>
    <r>
      <rPr>
        <vertAlign val="superscript"/>
        <sz val="9"/>
        <rFont val="Arial"/>
        <family val="2"/>
      </rPr>
      <t>n</t>
    </r>
    <r>
      <rPr>
        <sz val="9"/>
        <rFont val="Arial"/>
      </rPr>
      <t>)</t>
    </r>
  </si>
  <si>
    <r>
      <t xml:space="preserve"> Speed dependency exponent n (Power = constant V</t>
    </r>
    <r>
      <rPr>
        <b/>
        <vertAlign val="superscript"/>
        <sz val="9"/>
        <color indexed="10"/>
        <rFont val="Arial"/>
        <family val="2"/>
      </rPr>
      <t>n</t>
    </r>
    <r>
      <rPr>
        <b/>
        <sz val="9"/>
        <color indexed="10"/>
        <rFont val="Arial"/>
        <family val="2"/>
      </rPr>
      <t>)</t>
    </r>
  </si>
  <si>
    <t>t/hour</t>
  </si>
  <si>
    <t xml:space="preserve"> Emissions and energy demand</t>
  </si>
  <si>
    <t xml:space="preserve"> Condition data</t>
  </si>
  <si>
    <t xml:space="preserve"> Draught </t>
  </si>
  <si>
    <t xml:space="preserve"> Ship speed</t>
  </si>
  <si>
    <t xml:space="preserve"> Energy demand</t>
  </si>
  <si>
    <t xml:space="preserve"> Energy demand per hour</t>
  </si>
  <si>
    <t xml:space="preserve"> Energy demand per nautiacal mile</t>
  </si>
  <si>
    <t xml:space="preserve"> Oil consumption</t>
  </si>
  <si>
    <t xml:space="preserve"> Oil consumption per hour</t>
  </si>
  <si>
    <t>kg/hour</t>
  </si>
  <si>
    <t>kg/nm</t>
  </si>
  <si>
    <t xml:space="preserve"> SOx emissions</t>
  </si>
  <si>
    <t xml:space="preserve"> SOx emissions per hour</t>
  </si>
  <si>
    <t xml:space="preserve"> SOx emissions per nautical mile</t>
  </si>
  <si>
    <t xml:space="preserve"> SOx emissions per ton deadweight per nautical mile</t>
  </si>
  <si>
    <t xml:space="preserve"> CO emissions</t>
  </si>
  <si>
    <t xml:space="preserve"> CO emissions per hour</t>
  </si>
  <si>
    <t xml:space="preserve"> CO emissions per nautical mile</t>
  </si>
  <si>
    <t xml:space="preserve"> CO emissions per ton deadweight per nautical mile</t>
  </si>
  <si>
    <t xml:space="preserve"> Particulate emissions</t>
  </si>
  <si>
    <t xml:space="preserve"> Particulate emissions per hour</t>
  </si>
  <si>
    <t xml:space="preserve"> Particalate emissions per nautical mile</t>
  </si>
  <si>
    <t xml:space="preserve"> Particulate emissions per ton deadweight per nautical mile</t>
  </si>
  <si>
    <t xml:space="preserve"> Oil consumption per hour (main engine)</t>
  </si>
  <si>
    <t>MJ/dwt/nm</t>
  </si>
  <si>
    <t>GJ/hour</t>
  </si>
  <si>
    <t>GJ/nm</t>
  </si>
  <si>
    <t xml:space="preserve"> Deadweight (cargo + consumerables + ballast water etc.)</t>
  </si>
  <si>
    <t xml:space="preserve"> Capacity utilization (100 % ~ design condition)</t>
  </si>
  <si>
    <t xml:space="preserve"> Froude Number at service speed</t>
  </si>
  <si>
    <t xml:space="preserve"> Froude Number at 'reference speed'</t>
  </si>
  <si>
    <t>MJ/TEU/nm</t>
  </si>
  <si>
    <t>g/TEU/nm</t>
  </si>
  <si>
    <t>t/TEU</t>
  </si>
  <si>
    <t>MJ/t/km</t>
  </si>
  <si>
    <t xml:space="preserve"> Oil consumption per TEU per nautical mile</t>
  </si>
  <si>
    <t xml:space="preserve"> SOx emissions per TEU per nautical mile</t>
  </si>
  <si>
    <t xml:space="preserve"> CO emissions per TEU per nautical mile</t>
  </si>
  <si>
    <t xml:space="preserve"> HC emissions per TEU per nautical mile</t>
  </si>
  <si>
    <t xml:space="preserve"> Particulate emissions per TEU per nautical mile</t>
  </si>
  <si>
    <t xml:space="preserve"> Utilized number of containers</t>
  </si>
  <si>
    <t xml:space="preserve"> Deadwight per container</t>
  </si>
  <si>
    <t xml:space="preserve"> HC emissions</t>
  </si>
  <si>
    <t xml:space="preserve"> HC emissions per hour</t>
  </si>
  <si>
    <t xml:space="preserve"> HC emissions per nautical mile</t>
  </si>
  <si>
    <t xml:space="preserve"> HC emissions per ton deadweight per nautical mile</t>
  </si>
  <si>
    <t xml:space="preserve"> NOx emissions per TEU per nautical mile</t>
  </si>
  <si>
    <t>dwt/TEU</t>
  </si>
  <si>
    <t xml:space="preserve"> Deadweight/TEU</t>
  </si>
  <si>
    <t xml:space="preserve"> Ship data (container ship)</t>
  </si>
  <si>
    <t xml:space="preserve"> Wetted surface at design draught</t>
  </si>
  <si>
    <r>
      <t>m</t>
    </r>
    <r>
      <rPr>
        <vertAlign val="superscript"/>
        <sz val="9"/>
        <rFont val="Arial"/>
        <family val="2"/>
      </rPr>
      <t>2</t>
    </r>
  </si>
  <si>
    <t xml:space="preserve"> Actual payload</t>
  </si>
  <si>
    <t xml:space="preserve"> Payload/deadweight at design draught</t>
  </si>
  <si>
    <t xml:space="preserve"> Payload i.e. cargo only</t>
  </si>
  <si>
    <t xml:space="preserve"> Payload/TEU</t>
  </si>
  <si>
    <t>MJ/t/nm</t>
  </si>
  <si>
    <t>g/t/nm</t>
  </si>
  <si>
    <t xml:space="preserve"> NOx emissions per ton payload per nautical mile</t>
  </si>
  <si>
    <t xml:space="preserve"> SOx emissions per ton payload per nautical mile</t>
  </si>
  <si>
    <t>Default values</t>
  </si>
  <si>
    <r>
      <t xml:space="preserve"> Speed dependency exponent N (Power = constant V</t>
    </r>
    <r>
      <rPr>
        <b/>
        <vertAlign val="superscript"/>
        <sz val="9"/>
        <color indexed="10"/>
        <rFont val="Arial"/>
        <family val="2"/>
      </rPr>
      <t>N</t>
    </r>
    <r>
      <rPr>
        <b/>
        <sz val="9"/>
        <color indexed="10"/>
        <rFont val="Arial"/>
        <family val="2"/>
      </rPr>
      <t>)</t>
    </r>
  </si>
  <si>
    <t xml:space="preserve"> Feeder ship - type 1 (&lt;2900 TEU) - Panamax - type 2 (1900 - 5300 TEU) or Post Panamax - type 3 (&gt;4000 TEU)</t>
  </si>
  <si>
    <t>Stack height</t>
  </si>
  <si>
    <t>Tiers above cont.</t>
  </si>
  <si>
    <t xml:space="preserve"> 70 % DW trial speed at 75 % MCR ('reference speed')</t>
  </si>
  <si>
    <t xml:space="preserve"> IMO Energy Efficiency Design Index  at 70  % Dw</t>
  </si>
  <si>
    <t xml:space="preserve"> Baseline Energy Efficiency Design Index  at 70  % Dw</t>
  </si>
  <si>
    <t xml:space="preserve"> EEDI deadweight (per cent)</t>
  </si>
  <si>
    <t>ENGINE TYPE &amp; TECHNOLOGY</t>
  </si>
  <si>
    <t>Main engine type (slow speed = 1, medium speed = 2)</t>
  </si>
  <si>
    <t>Main engine service rating (for non derated engine only)</t>
  </si>
  <si>
    <t xml:space="preserve"> Speed and power calculation - Version 2012.06.18</t>
  </si>
  <si>
    <t>High speed del af programmet er fjernet</t>
  </si>
  <si>
    <t>High speed craft delen er fjernet og Ca korrigeret så den er funktion af depl. og ikke depl.volumen</t>
  </si>
  <si>
    <r>
      <t>Fuel for main engine (HFO = 1, MDO/GO = 2, LNG = 3 (</t>
    </r>
    <r>
      <rPr>
        <u/>
        <sz val="10"/>
        <rFont val="Arial"/>
        <family val="2"/>
      </rPr>
      <t>only for 4 stroke</t>
    </r>
    <r>
      <rPr>
        <sz val="10"/>
        <rFont val="Arial"/>
        <family val="2"/>
      </rPr>
      <t>), Dual fuel = 4)</t>
    </r>
  </si>
  <si>
    <r>
      <t>Af (m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</si>
  <si>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Af/Al</t>
  </si>
  <si>
    <t>Dw</t>
  </si>
  <si>
    <t>Useful for comparison with transportation with truck or train</t>
  </si>
  <si>
    <t xml:space="preserve"> Elongation in percent</t>
  </si>
  <si>
    <t>Date</t>
  </si>
  <si>
    <t>Update</t>
  </si>
  <si>
    <t>Cr correction due to bulbous has been modified, to be max. - 50 % of Cr</t>
  </si>
  <si>
    <t>14. Feb. 2013: Small change of Cr correction factor due to bulbous bow</t>
  </si>
  <si>
    <r>
      <t xml:space="preserve"> CO</t>
    </r>
    <r>
      <rPr>
        <vertAlign val="subscript"/>
        <sz val="9"/>
        <rFont val="Arial"/>
      </rPr>
      <t>2</t>
    </r>
    <r>
      <rPr>
        <sz val="9"/>
        <rFont val="Arial"/>
      </rPr>
      <t xml:space="preserve"> emissions per ton payload per km</t>
    </r>
  </si>
  <si>
    <t>g/t/km</t>
  </si>
  <si>
    <t xml:space="preserve"> Steel weight</t>
  </si>
  <si>
    <t>MJ/km</t>
  </si>
  <si>
    <t>l/100 km</t>
  </si>
  <si>
    <t>DTU model</t>
  </si>
  <si>
    <t>Maximum</t>
  </si>
  <si>
    <t>Minimum</t>
  </si>
  <si>
    <t>Mean</t>
  </si>
  <si>
    <t>Truck load</t>
  </si>
  <si>
    <t>TEMA 2010 model</t>
  </si>
  <si>
    <t>Truck data from VOVLO</t>
  </si>
  <si>
    <t>Euro 6</t>
  </si>
  <si>
    <t>Euro 5</t>
  </si>
  <si>
    <t>Euro 4</t>
  </si>
  <si>
    <t>Euro 3</t>
  </si>
  <si>
    <t>Euro 2</t>
  </si>
  <si>
    <t>Euro 1</t>
  </si>
  <si>
    <t>Euro 0</t>
  </si>
  <si>
    <t>Highway</t>
  </si>
  <si>
    <t>Rural</t>
  </si>
  <si>
    <t>Urban</t>
  </si>
  <si>
    <t>SOx data</t>
  </si>
  <si>
    <t>HC data</t>
  </si>
  <si>
    <t>CO data</t>
  </si>
  <si>
    <t>PM data</t>
  </si>
  <si>
    <t>model</t>
  </si>
  <si>
    <t>NOx data</t>
  </si>
  <si>
    <t>DTU</t>
  </si>
  <si>
    <t>&gt; 32 tons</t>
  </si>
  <si>
    <t>3,5 - 7,5 tons</t>
  </si>
  <si>
    <t xml:space="preserve"> Data (g/kg oil) shown below are based on data received from DMU in November 2009</t>
  </si>
  <si>
    <t xml:space="preserve"> Particulate emissions per ton load per km</t>
  </si>
  <si>
    <t>g/lm/km</t>
  </si>
  <si>
    <t xml:space="preserve"> Particulate emissions per lanemeter per km</t>
  </si>
  <si>
    <t>g/TEU/km</t>
  </si>
  <si>
    <t xml:space="preserve"> Particulate emissions per TEU per km</t>
  </si>
  <si>
    <t xml:space="preserve"> SOx emissions per ton load per km</t>
  </si>
  <si>
    <t xml:space="preserve"> SOx emissions per lanemeter per km</t>
  </si>
  <si>
    <t xml:space="preserve"> SOx emissions per TEU per km</t>
  </si>
  <si>
    <t xml:space="preserve"> CO emissions per ton load per km</t>
  </si>
  <si>
    <t xml:space="preserve"> CO emissions per lanemeter per km</t>
  </si>
  <si>
    <t xml:space="preserve"> CO emissions per TEU per km</t>
  </si>
  <si>
    <t xml:space="preserve"> HC emissions per ton load per km</t>
  </si>
  <si>
    <t xml:space="preserve"> HC emissions per lanemeter per km</t>
  </si>
  <si>
    <t xml:space="preserve"> HC emissions per TEU per km</t>
  </si>
  <si>
    <t xml:space="preserve"> NOx emissions per ton load per km</t>
  </si>
  <si>
    <t xml:space="preserve"> NOx emissions per lanemeter per km</t>
  </si>
  <si>
    <t xml:space="preserve"> NOx emissions per TEU per km</t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</si>
  <si>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ton load per km</t>
    </r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</si>
  <si>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lanemeter per km</t>
    </r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</si>
  <si>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TEU per km</t>
    </r>
  </si>
  <si>
    <t xml:space="preserve"> Oil consumption per ton load per km</t>
  </si>
  <si>
    <t xml:space="preserve"> Oil consumption per lanemeter per km</t>
  </si>
  <si>
    <t>g/TEU</t>
  </si>
  <si>
    <t xml:space="preserve"> Particulate emissions per TEU</t>
  </si>
  <si>
    <t xml:space="preserve"> Oil consumption per TEU per km</t>
  </si>
  <si>
    <t xml:space="preserve"> SOx emissions per TEU</t>
  </si>
  <si>
    <t xml:space="preserve"> Energy consumption per ton load per km</t>
  </si>
  <si>
    <t xml:space="preserve"> CO emissions per TEU</t>
  </si>
  <si>
    <t>MJ/lm/km</t>
  </si>
  <si>
    <t xml:space="preserve"> Energy consumption per lanemeter per km</t>
  </si>
  <si>
    <t xml:space="preserve"> HC emissions per TEU</t>
  </si>
  <si>
    <t>MJ/TEU/km</t>
  </si>
  <si>
    <t xml:space="preserve"> Energy consumption per TEU per km</t>
  </si>
  <si>
    <t xml:space="preserve"> NOx emissions per TEU</t>
  </si>
  <si>
    <t xml:space="preserve"> Fuel consumption ratio - driving distance</t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</si>
  <si>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TEU</t>
    </r>
  </si>
  <si>
    <t>t/truck</t>
  </si>
  <si>
    <t xml:space="preserve"> Weight of truck load</t>
  </si>
  <si>
    <t xml:space="preserve"> Oil consumption per TEU</t>
  </si>
  <si>
    <t>km</t>
  </si>
  <si>
    <t xml:space="preserve"> Driving distance </t>
  </si>
  <si>
    <t>MJ/TEU</t>
  </si>
  <si>
    <t xml:space="preserve"> Energy consumption per TEU</t>
  </si>
  <si>
    <t xml:space="preserve"> Length of truck - total</t>
  </si>
  <si>
    <t xml:space="preserve"> Average diesel engine load during handling</t>
  </si>
  <si>
    <t xml:space="preserve"> Average weight of a container (TEU)</t>
  </si>
  <si>
    <t>minutes</t>
  </si>
  <si>
    <t xml:space="preserve"> Handling time </t>
  </si>
  <si>
    <t>TEU/truck</t>
  </si>
  <si>
    <t xml:space="preserve"> TEU per truck</t>
  </si>
  <si>
    <t xml:space="preserve"> Cargo handling per container</t>
  </si>
  <si>
    <t xml:space="preserve"> Calorific value for diesel oil (MJ/kg)</t>
  </si>
  <si>
    <r>
      <t xml:space="preserve"> SO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 (g/MJ)</t>
    </r>
  </si>
  <si>
    <t xml:space="preserve"> Particulate emission (g/MJ)</t>
  </si>
  <si>
    <t xml:space="preserve"> HC emission (g/MJ)</t>
  </si>
  <si>
    <t xml:space="preserve"> CO emission (g/MJ)</t>
  </si>
  <si>
    <t xml:space="preserve"> NOx emission (g/MJ)</t>
  </si>
  <si>
    <r>
      <t xml:space="preserve"> SO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 (g/kg)</t>
    </r>
  </si>
  <si>
    <t xml:space="preserve"> Particulate emission (g/kg)</t>
  </si>
  <si>
    <t xml:space="preserve"> HC emission (g/kg)</t>
  </si>
  <si>
    <t xml:space="preserve"> CO emission (g/kg)</t>
  </si>
  <si>
    <t xml:space="preserve"> NOx emission (g/kg)</t>
  </si>
  <si>
    <t xml:space="preserve"> IMO MEPC 1 - Circ. 681</t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</si>
  <si>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 (g/kg)</t>
    </r>
  </si>
  <si>
    <r>
      <t xml:space="preserve"> SO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 (g/kWh)</t>
    </r>
  </si>
  <si>
    <t xml:space="preserve"> Sulphur content in oil (pct.)</t>
  </si>
  <si>
    <t xml:space="preserve"> Particulate emission (g/kWh)</t>
  </si>
  <si>
    <t xml:space="preserve"> HC emission (g/kWh)</t>
  </si>
  <si>
    <t xml:space="preserve"> CO emission (g/kWh)</t>
  </si>
  <si>
    <t xml:space="preserve"> NOx emission (g/kWh)</t>
  </si>
  <si>
    <t xml:space="preserve"> Specific oil consumption (kg/kWh)</t>
  </si>
  <si>
    <t>EURO 6</t>
  </si>
  <si>
    <t>EURO 5</t>
  </si>
  <si>
    <t>EURO 4</t>
  </si>
  <si>
    <t>EURO 3</t>
  </si>
  <si>
    <t>EURO 2</t>
  </si>
  <si>
    <t xml:space="preserve"> Version: 16th November 2009</t>
  </si>
  <si>
    <t>EU 2015</t>
  </si>
  <si>
    <t>EU 2011</t>
  </si>
  <si>
    <t>EU 2006</t>
  </si>
  <si>
    <t>EU 2001</t>
  </si>
  <si>
    <t>EU 1996</t>
  </si>
  <si>
    <t xml:space="preserve"> Truck engine data</t>
  </si>
  <si>
    <t xml:space="preserve"> EURO NORM (2 - 6)</t>
  </si>
  <si>
    <t>27. August 2013: Truck calculation program included</t>
  </si>
  <si>
    <t xml:space="preserve"> Emissions and energy demand (Truck)</t>
  </si>
  <si>
    <t xml:space="preserve"> EURO NORM 2, 3, 4, 5 or 6</t>
  </si>
  <si>
    <t xml:space="preserve"> Average weight of a container</t>
  </si>
  <si>
    <t>(tons/TEU)</t>
  </si>
  <si>
    <t>(tons/truck)</t>
  </si>
  <si>
    <t xml:space="preserve"> Energy consumption per TEU per naitical mile</t>
  </si>
  <si>
    <t>(MJ/TEU/nm)</t>
  </si>
  <si>
    <t xml:space="preserve"> Energy consumption per ton cargo per naitical mile</t>
  </si>
  <si>
    <t>(MJ/t/nm)</t>
  </si>
  <si>
    <t xml:space="preserve"> Energy consumption per lanemeter per nautical mile</t>
  </si>
  <si>
    <t>(MJ/lm/nm)</t>
  </si>
  <si>
    <t>(g/TEU/nm)</t>
  </si>
  <si>
    <t xml:space="preserve"> Oil consumption per ton cargo per nautical mile</t>
  </si>
  <si>
    <t>(g/t/nm)</t>
  </si>
  <si>
    <t xml:space="preserve"> Oil consumption per lanemeter per nautical mile</t>
  </si>
  <si>
    <t>(g/lm/nm)</t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</si>
  <si>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TEU per nautical mile</t>
    </r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</si>
  <si>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ton cargo per nautical mile</t>
    </r>
  </si>
  <si>
    <r>
      <t xml:space="preserve"> CO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emissions per lanemeter per nautical mile</t>
    </r>
  </si>
  <si>
    <t xml:space="preserve"> NOx emissions per TEU per naitical mile</t>
  </si>
  <si>
    <t xml:space="preserve"> NOx emissions per ton cargo per naitical mile</t>
  </si>
  <si>
    <t xml:space="preserve"> NOx emissions per lanemeter per nautical mile</t>
  </si>
  <si>
    <t>(g/TEU/km)</t>
  </si>
  <si>
    <t xml:space="preserve"> SOx emissions per ton cargo per nautical mile</t>
  </si>
  <si>
    <t>(g/t/km)</t>
  </si>
  <si>
    <t xml:space="preserve"> SOx emissions per lanemeter per nautical mile</t>
  </si>
  <si>
    <t xml:space="preserve"> CO emissions per ton cargo per nautical mile</t>
  </si>
  <si>
    <t xml:space="preserve"> CO emissions per lanemeter per nautical mile</t>
  </si>
  <si>
    <t xml:space="preserve"> HC emissions per ton cargo per nautical mile</t>
  </si>
  <si>
    <t xml:space="preserve"> HC emissions per lanemeter per naitical mile</t>
  </si>
  <si>
    <t xml:space="preserve"> Particulate emissions per ton cargo per nautical mile</t>
  </si>
  <si>
    <t xml:space="preserve"> Particulate emissions per lanemeter per nautical mile</t>
  </si>
  <si>
    <t>27. Feb. 2013: Small change of line 71 and 85 - calculation of waterplane area coefficient</t>
  </si>
  <si>
    <t xml:space="preserve"> CO2 emission (g/MJ)</t>
  </si>
  <si>
    <t xml:space="preserve"> Particulates (g/MJ)</t>
  </si>
  <si>
    <t xml:space="preserve"> SO2 emission (g/MJ)</t>
  </si>
  <si>
    <t>Engine efficiency</t>
  </si>
  <si>
    <r>
      <t>27. August 2013: Correction of ship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emisssions per ton payload in sheet "Emissions-ton" (line 28)</t>
    </r>
  </si>
  <si>
    <t>1. Jan 2014: Calculation of engine efficiency in the sheet "Emission factors"</t>
  </si>
  <si>
    <t>g/kW/hour</t>
  </si>
  <si>
    <t xml:space="preserve"> Propeller type (1 = conventional - 2 = ducted)</t>
  </si>
  <si>
    <t xml:space="preserve"> SFOC at CSR</t>
  </si>
  <si>
    <t xml:space="preserve"> Engine rating in actual condition (Cont. Service Rating = CSR)</t>
  </si>
  <si>
    <t xml:space="preserve"> If normal tuning press 1 - if low load tuning press 2</t>
  </si>
  <si>
    <t>Correction of SFOC as function of engine load (%MCR)</t>
  </si>
  <si>
    <t>Possibility of specification of normal loading or low loading SFOC</t>
  </si>
  <si>
    <t>6S80ME-C8.2</t>
  </si>
  <si>
    <t>Normal tuning</t>
  </si>
  <si>
    <t>6S80MC-C8.2</t>
  </si>
  <si>
    <t>Low load tuning (EGB)</t>
  </si>
  <si>
    <t>Low load tuning (VT)</t>
  </si>
  <si>
    <t>SFOC at 75 % MCR in normal ME mode (If default press 1)</t>
  </si>
  <si>
    <t>Specific Fuel Oil Consumption (SFOC) at 75 % MCR for main engine in g/kW/hour. If not specified (1) a default value will be used</t>
  </si>
  <si>
    <t>Fn</t>
  </si>
  <si>
    <t>Fn2</t>
  </si>
  <si>
    <t>Fn3</t>
  </si>
  <si>
    <t>Fn4</t>
  </si>
  <si>
    <t>Fn5</t>
  </si>
  <si>
    <t>Fn6</t>
  </si>
  <si>
    <t xml:space="preserve"> Cr for L/volume1/3 = 4,5 and Cp = 0,70</t>
  </si>
  <si>
    <t>A0</t>
  </si>
  <si>
    <t xml:space="preserve"> Cr for L/volume1/3 = 4,5 and Cp = 0,75</t>
  </si>
  <si>
    <t>A1</t>
  </si>
  <si>
    <t xml:space="preserve"> Cr for L/volume1/3 = 4,5 and Cp = 0,80</t>
  </si>
  <si>
    <t>A2</t>
  </si>
  <si>
    <t xml:space="preserve"> Cr for L/volume1/3 = 4,5 and Cp = 0,85</t>
  </si>
  <si>
    <t>A3</t>
  </si>
  <si>
    <t xml:space="preserve"> Cr for L/volume1/3 = 5 and Cp = 0,70</t>
  </si>
  <si>
    <t>B0</t>
  </si>
  <si>
    <t xml:space="preserve"> Cr for L/volume1/3 = 5 and Cp = 0,75</t>
  </si>
  <si>
    <t>B1</t>
  </si>
  <si>
    <t xml:space="preserve"> Cr for L/volume1/3 = 5 and Cp = 0,80</t>
  </si>
  <si>
    <t>B2</t>
  </si>
  <si>
    <t xml:space="preserve"> Cr for L/volume1/3 = 5 and Cp = 0,85</t>
  </si>
  <si>
    <t>B3</t>
  </si>
  <si>
    <t xml:space="preserve"> Cr for L/volume1/3 = 5,5 and Cp = 0,70</t>
  </si>
  <si>
    <t>C0</t>
  </si>
  <si>
    <t xml:space="preserve"> Cr for L/volume1/3 = 5,5 and Cp = 0,75</t>
  </si>
  <si>
    <t>C1</t>
  </si>
  <si>
    <t xml:space="preserve"> Cr for L/volume1/3 = 5,5 and Cp = 0,80</t>
  </si>
  <si>
    <t>C2</t>
  </si>
  <si>
    <t xml:space="preserve"> Cr for L/volume1/3 = 5,5 and Cp = 0,85</t>
  </si>
  <si>
    <t>C3</t>
  </si>
  <si>
    <t xml:space="preserve"> Cr for L/volume1/3 = 6 and Cp = 0,70</t>
  </si>
  <si>
    <t>D0</t>
  </si>
  <si>
    <t xml:space="preserve"> Cr for L/volume1/3 = 6 and Cp = 0,75</t>
  </si>
  <si>
    <t>D1</t>
  </si>
  <si>
    <t xml:space="preserve"> Cr for L/volume1/3 = 6 and Cp = 0,80</t>
  </si>
  <si>
    <t>D2</t>
  </si>
  <si>
    <t xml:space="preserve"> Cr for L/volume1/3 = 6 and Cp = 0,85</t>
  </si>
  <si>
    <t>D3</t>
  </si>
  <si>
    <t xml:space="preserve"> Cr for L/volume1/3 = 6,5 and Cp = 0,70</t>
  </si>
  <si>
    <t>E0</t>
  </si>
  <si>
    <t xml:space="preserve"> Cr for L/volume1/3 = 6,5 and Cp = 0,75</t>
  </si>
  <si>
    <t>E1</t>
  </si>
  <si>
    <t xml:space="preserve"> Cr for L/volume1/3 = 6,5 and Cp = 0,80</t>
  </si>
  <si>
    <t>E2</t>
  </si>
  <si>
    <t xml:space="preserve"> Cr for L/volume1/3 = 6,5 and Cp = 0,85</t>
  </si>
  <si>
    <t>E3</t>
  </si>
  <si>
    <t xml:space="preserve"> Cr for L/volume1/3 = 7,0 and Cp = 0,70</t>
  </si>
  <si>
    <t>F0</t>
  </si>
  <si>
    <t xml:space="preserve"> Cr for L/volume1/3 = 7,0 and Cp = 0,75</t>
  </si>
  <si>
    <t>F1</t>
  </si>
  <si>
    <t xml:space="preserve"> Cr for L/volume1/3 = 7,0 and Cp = 0,80</t>
  </si>
  <si>
    <t>F2</t>
  </si>
  <si>
    <t xml:space="preserve"> Cr for L/volume1/3 = 7,0 and Cp = 0,85</t>
  </si>
  <si>
    <t>F3</t>
  </si>
  <si>
    <t>G0</t>
  </si>
  <si>
    <t>G1</t>
  </si>
  <si>
    <t>G2</t>
  </si>
  <si>
    <t>G3</t>
  </si>
  <si>
    <t>G4</t>
  </si>
  <si>
    <t xml:space="preserve"> Cr for L/volume1/3 = 4,5</t>
  </si>
  <si>
    <t>H1</t>
  </si>
  <si>
    <t xml:space="preserve"> Cr for L/volume1/3 = 5,0</t>
  </si>
  <si>
    <t>H2</t>
  </si>
  <si>
    <t xml:space="preserve"> Cr for L/volume1/3 = 5,5</t>
  </si>
  <si>
    <t>H3</t>
  </si>
  <si>
    <t xml:space="preserve"> Cr for L/volume1/3 = 6,0</t>
  </si>
  <si>
    <t>H4</t>
  </si>
  <si>
    <t xml:space="preserve"> Cr for L/volume1/3 = 6,5</t>
  </si>
  <si>
    <t>H5</t>
  </si>
  <si>
    <t xml:space="preserve"> Cr for L/volume1/3 = 7,0</t>
  </si>
  <si>
    <t>H6</t>
  </si>
  <si>
    <t>Korrekt beregnet CR</t>
  </si>
  <si>
    <t>Cr</t>
  </si>
  <si>
    <t xml:space="preserve"> Scantling trial speed at 100 % deadweight at 75 % MCR</t>
  </si>
  <si>
    <t>nm</t>
  </si>
  <si>
    <t>Road</t>
  </si>
  <si>
    <t xml:space="preserve"> Energy Efficiency Design Index  at 70  % Dw - 2015</t>
  </si>
  <si>
    <t xml:space="preserve"> Energy Efficiency Design Index  at 70  % Dw - 2020</t>
  </si>
  <si>
    <t xml:space="preserve"> Length in waterline incl. bulbous bow (= 1.01 Lpp)</t>
  </si>
  <si>
    <t xml:space="preserve"> Energy Efficiency Design Index  at 70  % Dw - 2025</t>
  </si>
  <si>
    <t>14 Feb. 2015: Possibility of specification of normal loading or low loading SFOC</t>
  </si>
  <si>
    <t>20 March 2016: Change of cell D46 and E46 (transmission efficience depends on engine type)</t>
  </si>
  <si>
    <t xml:space="preserve"> Conventional hull form (1) or twin skeg hull form (2)</t>
  </si>
  <si>
    <t xml:space="preserve"> Wetted surface at EEDI draught</t>
  </si>
  <si>
    <t xml:space="preserve"> Wetted surface at actual draught</t>
  </si>
  <si>
    <t>25 April 2016: Possible for twin or single screw propulsion in line 49</t>
  </si>
  <si>
    <t>25 April 2016: Possible for twin skeg or conventional twin screw propulsion in line 50</t>
  </si>
  <si>
    <t xml:space="preserve"> Single screw (1) or twin screw propulsion (2)</t>
  </si>
  <si>
    <t>27. April 2016: Correction of Cr formula for bulb correction</t>
  </si>
  <si>
    <t>29. april 2016: Update of relative rotative efficiency</t>
  </si>
  <si>
    <t xml:space="preserve"> Oil consumption per hour (auxiliary engines at sea)</t>
  </si>
  <si>
    <t xml:space="preserve"> Maximum number of containers</t>
  </si>
  <si>
    <t xml:space="preserve"> Oil consumption per hour (main and auxiliary engines at sea)</t>
  </si>
  <si>
    <t xml:space="preserve"> Oil consumption per hour (auxiliary engines in harbor)</t>
  </si>
  <si>
    <t xml:space="preserve"> Auxiliary power in harbor</t>
  </si>
  <si>
    <t>30. april 2016: Calculation of auxiliary power in harbor for calculation of energy demand and emissions in harbor</t>
  </si>
  <si>
    <t xml:space="preserve"> Emissions and energy demand in harbor (Container ship)</t>
  </si>
  <si>
    <t>2. May 2016: Correction of error in cell 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</si>
</sst>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94" formatCode="0.0"/>
    <numFmt numFmtId="195" formatCode="0.000"/>
    <numFmt numFmtId="196" formatCode="0.0000"/>
    <numFmt numFmtId="198" formatCode="0.00000"/>
    <numFmt numFmtId="204" formatCode="0,000"/>
    <numFmt numFmtId="216" formatCode="0.0%"/>
  </numFmts>
  <fonts count="62" x14ac:knownFonts="1">
    <font>
      <sz val="10"/>
      <name val="Arial"/>
    </font>
    <font>
      <sz val="10"/>
      <name val="Arial"/>
    </font>
    <font>
      <sz val="8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0"/>
      <name val="Arial"/>
    </font>
    <font>
      <b/>
      <sz val="8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b/>
      <sz val="8"/>
      <color indexed="10"/>
      <name val="Arial"/>
      <family val="2"/>
    </font>
    <font>
      <sz val="9"/>
      <name val="Arial"/>
    </font>
    <font>
      <vertAlign val="superscript"/>
      <sz val="9"/>
      <name val="Arial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color indexed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vertAlign val="subscript"/>
      <sz val="9"/>
      <name val="Arial"/>
    </font>
    <font>
      <b/>
      <vertAlign val="subscript"/>
      <sz val="11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8"/>
      <color indexed="8"/>
      <name val="Arial"/>
      <family val="2"/>
    </font>
    <font>
      <b/>
      <vertAlign val="superscript"/>
      <sz val="8"/>
      <name val="Arial"/>
      <family val="2"/>
    </font>
    <font>
      <b/>
      <sz val="18"/>
      <name val="Arial"/>
    </font>
    <font>
      <b/>
      <sz val="8"/>
      <color indexed="50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color indexed="10"/>
      <name val="Arial"/>
      <family val="2"/>
    </font>
    <font>
      <u/>
      <sz val="9"/>
      <name val="Arial"/>
      <family val="2"/>
    </font>
    <font>
      <u/>
      <sz val="10"/>
      <name val="Arial"/>
      <family val="2"/>
    </font>
    <font>
      <sz val="10"/>
      <color indexed="8"/>
      <name val="Arial"/>
    </font>
    <font>
      <vertAlign val="subscript"/>
      <sz val="9"/>
      <name val="Arial"/>
      <family val="2"/>
    </font>
    <font>
      <vertAlign val="subscript"/>
      <sz val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4"/>
        <bgColor indexed="64"/>
      </patternFill>
    </fill>
    <fill>
      <patternFill patternType="gray125">
        <bgColor indexed="9"/>
      </patternFill>
    </fill>
    <fill>
      <patternFill patternType="solid">
        <fgColor indexed="51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  <bgColor indexed="34"/>
      </patternFill>
    </fill>
    <fill>
      <patternFill patternType="gray125">
        <fgColor indexed="9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gray06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indexed="13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34"/>
        <bgColor indexed="31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47"/>
      </patternFill>
    </fill>
  </fills>
  <borders count="16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64"/>
      </right>
      <top/>
      <bottom/>
      <diagonal/>
    </border>
    <border>
      <left style="medium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6" fillId="3" borderId="0" applyNumberFormat="0" applyBorder="0" applyAlignment="0" applyProtection="0"/>
    <xf numFmtId="0" fontId="50" fillId="21" borderId="2" applyNumberFormat="0" applyAlignment="0" applyProtection="0"/>
    <xf numFmtId="0" fontId="9" fillId="22" borderId="3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51" fillId="0" borderId="4" applyNumberFormat="0" applyFill="0" applyAlignment="0" applyProtection="0"/>
    <xf numFmtId="0" fontId="52" fillId="0" borderId="5" applyNumberFormat="0" applyFill="0" applyAlignment="0" applyProtection="0"/>
    <xf numFmtId="0" fontId="53" fillId="0" borderId="6" applyNumberFormat="0" applyFill="0" applyAlignment="0" applyProtection="0"/>
    <xf numFmtId="0" fontId="53" fillId="0" borderId="0" applyNumberFormat="0" applyFill="0" applyBorder="0" applyAlignment="0" applyProtection="0"/>
    <xf numFmtId="0" fontId="8" fillId="23" borderId="2" applyNumberFormat="0" applyAlignment="0" applyProtection="0"/>
    <xf numFmtId="0" fontId="9" fillId="22" borderId="3" applyNumberFormat="0" applyAlignment="0" applyProtection="0"/>
    <xf numFmtId="0" fontId="54" fillId="0" borderId="7" applyNumberFormat="0" applyFill="0" applyAlignment="0" applyProtection="0"/>
    <xf numFmtId="0" fontId="4" fillId="24" borderId="0" applyNumberFormat="0" applyBorder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5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10" fillId="23" borderId="0" applyNumberFormat="0" applyBorder="0" applyAlignment="0" applyProtection="0"/>
    <xf numFmtId="0" fontId="59" fillId="0" borderId="0"/>
    <xf numFmtId="0" fontId="31" fillId="20" borderId="1" applyNumberFormat="0" applyFont="0" applyAlignment="0" applyProtection="0"/>
    <xf numFmtId="0" fontId="11" fillId="26" borderId="8" applyNumberFormat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4" fillId="0" borderId="0" applyNumberFormat="0" applyFill="0" applyBorder="0" applyAlignment="0" applyProtection="0"/>
    <xf numFmtId="0" fontId="5" fillId="0" borderId="12" applyNumberFormat="0" applyFill="0" applyAlignment="0" applyProtection="0"/>
    <xf numFmtId="0" fontId="55" fillId="0" borderId="0" applyNumberFormat="0" applyFill="0" applyBorder="0" applyAlignment="0" applyProtection="0"/>
    <xf numFmtId="0" fontId="15" fillId="0" borderId="13" applyNumberFormat="0" applyFill="0" applyAlignment="0" applyProtection="0"/>
    <xf numFmtId="0" fontId="16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141">
    <xf numFmtId="0" fontId="0" fillId="0" borderId="0" xfId="0"/>
    <xf numFmtId="0" fontId="0" fillId="0" borderId="0" xfId="0" applyAlignment="1">
      <alignment horizontal="center"/>
    </xf>
    <xf numFmtId="0" fontId="18" fillId="27" borderId="0" xfId="0" applyFont="1" applyFill="1" applyProtection="1">
      <protection hidden="1"/>
    </xf>
    <xf numFmtId="0" fontId="19" fillId="27" borderId="0" xfId="0" applyFont="1" applyFill="1" applyProtection="1">
      <protection hidden="1"/>
    </xf>
    <xf numFmtId="0" fontId="18" fillId="27" borderId="14" xfId="0" applyFont="1" applyFill="1" applyBorder="1" applyProtection="1">
      <protection hidden="1"/>
    </xf>
    <xf numFmtId="0" fontId="19" fillId="27" borderId="0" xfId="0" applyFont="1" applyFill="1" applyBorder="1" applyProtection="1">
      <protection hidden="1"/>
    </xf>
    <xf numFmtId="0" fontId="0" fillId="27" borderId="0" xfId="0" applyFill="1" applyProtection="1">
      <protection hidden="1"/>
    </xf>
    <xf numFmtId="0" fontId="20" fillId="27" borderId="0" xfId="0" applyFont="1" applyFill="1" applyProtection="1">
      <protection hidden="1"/>
    </xf>
    <xf numFmtId="0" fontId="0" fillId="27" borderId="15" xfId="0" applyFill="1" applyBorder="1" applyProtection="1">
      <protection hidden="1"/>
    </xf>
    <xf numFmtId="0" fontId="0" fillId="0" borderId="0" xfId="0" applyProtection="1"/>
    <xf numFmtId="0" fontId="21" fillId="1" borderId="16" xfId="0" applyFont="1" applyFill="1" applyBorder="1" applyProtection="1">
      <protection hidden="1"/>
    </xf>
    <xf numFmtId="0" fontId="17" fillId="1" borderId="16" xfId="0" applyFont="1" applyFill="1" applyBorder="1" applyProtection="1">
      <protection hidden="1"/>
    </xf>
    <xf numFmtId="0" fontId="17" fillId="1" borderId="16" xfId="0" applyFont="1" applyFill="1" applyBorder="1"/>
    <xf numFmtId="0" fontId="22" fillId="1" borderId="16" xfId="0" applyFont="1" applyFill="1" applyBorder="1" applyProtection="1">
      <protection hidden="1"/>
    </xf>
    <xf numFmtId="0" fontId="17" fillId="1" borderId="17" xfId="0" applyFont="1" applyFill="1" applyBorder="1"/>
    <xf numFmtId="0" fontId="23" fillId="28" borderId="18" xfId="0" applyFont="1" applyFill="1" applyBorder="1" applyAlignment="1" applyProtection="1">
      <alignment horizontal="center"/>
      <protection hidden="1"/>
    </xf>
    <xf numFmtId="0" fontId="17" fillId="1" borderId="19" xfId="0" applyFont="1" applyFill="1" applyBorder="1" applyProtection="1">
      <protection hidden="1"/>
    </xf>
    <xf numFmtId="0" fontId="17" fillId="0" borderId="0" xfId="0" applyFont="1" applyProtection="1"/>
    <xf numFmtId="0" fontId="17" fillId="0" borderId="0" xfId="0" applyFont="1"/>
    <xf numFmtId="0" fontId="17" fillId="0" borderId="20" xfId="0" applyFont="1" applyBorder="1" applyProtection="1">
      <protection hidden="1"/>
    </xf>
    <xf numFmtId="0" fontId="17" fillId="0" borderId="21" xfId="0" applyFont="1" applyBorder="1" applyAlignment="1" applyProtection="1">
      <alignment horizontal="center"/>
      <protection hidden="1"/>
    </xf>
    <xf numFmtId="195" fontId="17" fillId="29" borderId="22" xfId="0" applyNumberFormat="1" applyFont="1" applyFill="1" applyBorder="1" applyAlignment="1" applyProtection="1">
      <alignment horizontal="center"/>
      <protection locked="0"/>
    </xf>
    <xf numFmtId="0" fontId="17" fillId="30" borderId="23" xfId="0" applyFont="1" applyFill="1" applyBorder="1"/>
    <xf numFmtId="0" fontId="17" fillId="1" borderId="24" xfId="0" applyFont="1" applyFill="1" applyBorder="1"/>
    <xf numFmtId="0" fontId="17" fillId="1" borderId="25" xfId="0" applyFont="1" applyFill="1" applyBorder="1"/>
    <xf numFmtId="0" fontId="17" fillId="0" borderId="23" xfId="0" applyFont="1" applyBorder="1" applyProtection="1">
      <protection hidden="1"/>
    </xf>
    <xf numFmtId="0" fontId="17" fillId="0" borderId="24" xfId="0" applyFont="1" applyBorder="1" applyProtection="1">
      <protection hidden="1"/>
    </xf>
    <xf numFmtId="195" fontId="17" fillId="29" borderId="26" xfId="0" applyNumberFormat="1" applyFont="1" applyFill="1" applyBorder="1" applyAlignment="1" applyProtection="1">
      <alignment horizontal="center"/>
      <protection locked="0"/>
    </xf>
    <xf numFmtId="195" fontId="17" fillId="0" borderId="27" xfId="0" applyNumberFormat="1" applyFont="1" applyBorder="1" applyAlignment="1" applyProtection="1">
      <alignment horizontal="center"/>
      <protection hidden="1"/>
    </xf>
    <xf numFmtId="0" fontId="17" fillId="1" borderId="24" xfId="0" applyFont="1" applyFill="1" applyBorder="1" applyProtection="1">
      <protection hidden="1"/>
    </xf>
    <xf numFmtId="0" fontId="17" fillId="1" borderId="28" xfId="0" applyFont="1" applyFill="1" applyBorder="1" applyProtection="1">
      <protection hidden="1"/>
    </xf>
    <xf numFmtId="2" fontId="17" fillId="29" borderId="22" xfId="0" applyNumberFormat="1" applyFont="1" applyFill="1" applyBorder="1" applyAlignment="1" applyProtection="1">
      <alignment horizontal="center"/>
      <protection locked="0"/>
    </xf>
    <xf numFmtId="0" fontId="17" fillId="30" borderId="29" xfId="0" applyFont="1" applyFill="1" applyBorder="1"/>
    <xf numFmtId="0" fontId="17" fillId="1" borderId="0" xfId="0" applyFont="1" applyFill="1" applyBorder="1"/>
    <xf numFmtId="0" fontId="17" fillId="1" borderId="20" xfId="0" applyFont="1" applyFill="1" applyBorder="1"/>
    <xf numFmtId="0" fontId="17" fillId="0" borderId="29" xfId="0" applyFont="1" applyBorder="1" applyProtection="1">
      <protection hidden="1"/>
    </xf>
    <xf numFmtId="0" fontId="17" fillId="0" borderId="0" xfId="0" applyFont="1" applyBorder="1" applyProtection="1">
      <protection hidden="1"/>
    </xf>
    <xf numFmtId="195" fontId="17" fillId="0" borderId="30" xfId="0" applyNumberFormat="1" applyFont="1" applyBorder="1" applyAlignment="1" applyProtection="1">
      <alignment horizontal="center"/>
      <protection hidden="1"/>
    </xf>
    <xf numFmtId="0" fontId="17" fillId="1" borderId="0" xfId="0" applyFont="1" applyFill="1" applyBorder="1" applyProtection="1">
      <protection hidden="1"/>
    </xf>
    <xf numFmtId="0" fontId="17" fillId="1" borderId="15" xfId="0" applyFont="1" applyFill="1" applyBorder="1" applyProtection="1">
      <protection hidden="1"/>
    </xf>
    <xf numFmtId="0" fontId="0" fillId="27" borderId="0" xfId="0" applyFill="1" applyBorder="1" applyProtection="1">
      <protection hidden="1"/>
    </xf>
    <xf numFmtId="0" fontId="24" fillId="0" borderId="20" xfId="0" applyFont="1" applyBorder="1" applyProtection="1">
      <protection hidden="1"/>
    </xf>
    <xf numFmtId="0" fontId="24" fillId="0" borderId="21" xfId="0" applyFont="1" applyBorder="1" applyAlignment="1" applyProtection="1">
      <alignment horizontal="center"/>
      <protection hidden="1"/>
    </xf>
    <xf numFmtId="2" fontId="24" fillId="29" borderId="22" xfId="0" applyNumberFormat="1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hidden="1"/>
    </xf>
    <xf numFmtId="0" fontId="22" fillId="1" borderId="0" xfId="0" applyFont="1" applyFill="1" applyBorder="1" applyProtection="1">
      <protection hidden="1"/>
    </xf>
    <xf numFmtId="0" fontId="25" fillId="1" borderId="0" xfId="0" applyFont="1" applyFill="1" applyBorder="1" applyProtection="1">
      <protection hidden="1"/>
    </xf>
    <xf numFmtId="1" fontId="17" fillId="31" borderId="22" xfId="0" applyNumberFormat="1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hidden="1"/>
    </xf>
    <xf numFmtId="0" fontId="21" fillId="30" borderId="23" xfId="0" applyFont="1" applyFill="1" applyBorder="1" applyProtection="1">
      <protection hidden="1"/>
    </xf>
    <xf numFmtId="0" fontId="17" fillId="30" borderId="24" xfId="0" applyFont="1" applyFill="1" applyBorder="1" applyProtection="1">
      <protection hidden="1"/>
    </xf>
    <xf numFmtId="0" fontId="17" fillId="30" borderId="25" xfId="0" applyFont="1" applyFill="1" applyBorder="1" applyAlignment="1" applyProtection="1">
      <alignment horizontal="center"/>
      <protection hidden="1"/>
    </xf>
    <xf numFmtId="1" fontId="17" fillId="0" borderId="0" xfId="0" applyNumberFormat="1" applyFont="1" applyBorder="1" applyAlignment="1" applyProtection="1">
      <alignment horizontal="center"/>
      <protection hidden="1"/>
    </xf>
    <xf numFmtId="195" fontId="17" fillId="0" borderId="23" xfId="0" applyNumberFormat="1" applyFont="1" applyBorder="1" applyAlignment="1" applyProtection="1">
      <alignment horizontal="center"/>
      <protection hidden="1"/>
    </xf>
    <xf numFmtId="0" fontId="17" fillId="0" borderId="27" xfId="0" applyFont="1" applyBorder="1" applyAlignment="1" applyProtection="1">
      <alignment horizontal="center"/>
      <protection hidden="1"/>
    </xf>
    <xf numFmtId="0" fontId="17" fillId="0" borderId="31" xfId="0" applyFont="1" applyBorder="1" applyProtection="1">
      <protection hidden="1"/>
    </xf>
    <xf numFmtId="0" fontId="17" fillId="0" borderId="32" xfId="0" applyFont="1" applyBorder="1" applyProtection="1">
      <protection hidden="1"/>
    </xf>
    <xf numFmtId="195" fontId="17" fillId="0" borderId="31" xfId="0" applyNumberFormat="1" applyFont="1" applyBorder="1" applyAlignment="1" applyProtection="1">
      <alignment horizontal="center"/>
      <protection hidden="1"/>
    </xf>
    <xf numFmtId="0" fontId="17" fillId="0" borderId="33" xfId="0" applyFont="1" applyBorder="1" applyAlignment="1" applyProtection="1">
      <alignment horizontal="center"/>
      <protection hidden="1"/>
    </xf>
    <xf numFmtId="0" fontId="22" fillId="32" borderId="26" xfId="0" applyFont="1" applyFill="1" applyBorder="1" applyProtection="1">
      <protection hidden="1"/>
    </xf>
    <xf numFmtId="0" fontId="17" fillId="32" borderId="26" xfId="0" applyFont="1" applyFill="1" applyBorder="1" applyProtection="1">
      <protection hidden="1"/>
    </xf>
    <xf numFmtId="194" fontId="22" fillId="33" borderId="34" xfId="0" applyNumberFormat="1" applyFont="1" applyFill="1" applyBorder="1" applyAlignment="1" applyProtection="1">
      <alignment horizontal="center"/>
      <protection locked="0"/>
    </xf>
    <xf numFmtId="195" fontId="17" fillId="0" borderId="0" xfId="0" applyNumberFormat="1" applyFont="1" applyBorder="1" applyAlignment="1" applyProtection="1">
      <alignment horizontal="center"/>
      <protection hidden="1"/>
    </xf>
    <xf numFmtId="0" fontId="17" fillId="27" borderId="0" xfId="0" applyFont="1" applyFill="1" applyBorder="1" applyProtection="1">
      <protection hidden="1"/>
    </xf>
    <xf numFmtId="0" fontId="17" fillId="29" borderId="26" xfId="0" applyFont="1" applyFill="1" applyBorder="1" applyAlignment="1" applyProtection="1">
      <alignment horizontal="center"/>
      <protection locked="0"/>
    </xf>
    <xf numFmtId="0" fontId="17" fillId="1" borderId="0" xfId="0" applyFont="1" applyFill="1"/>
    <xf numFmtId="2" fontId="17" fillId="0" borderId="0" xfId="0" applyNumberFormat="1" applyFont="1" applyBorder="1" applyAlignment="1" applyProtection="1">
      <alignment horizontal="center"/>
      <protection hidden="1"/>
    </xf>
    <xf numFmtId="0" fontId="17" fillId="0" borderId="26" xfId="0" applyFont="1" applyBorder="1" applyProtection="1">
      <protection hidden="1"/>
    </xf>
    <xf numFmtId="0" fontId="22" fillId="0" borderId="26" xfId="0" applyFont="1" applyBorder="1" applyProtection="1">
      <protection hidden="1"/>
    </xf>
    <xf numFmtId="194" fontId="17" fillId="29" borderId="22" xfId="0" applyNumberFormat="1" applyFont="1" applyFill="1" applyBorder="1" applyAlignment="1" applyProtection="1">
      <alignment horizontal="center"/>
      <protection locked="0"/>
    </xf>
    <xf numFmtId="0" fontId="17" fillId="0" borderId="35" xfId="0" applyFont="1" applyBorder="1" applyProtection="1">
      <protection hidden="1"/>
    </xf>
    <xf numFmtId="0" fontId="17" fillId="0" borderId="36" xfId="0" applyFont="1" applyBorder="1" applyProtection="1">
      <protection hidden="1"/>
    </xf>
    <xf numFmtId="0" fontId="17" fillId="27" borderId="26" xfId="0" applyFont="1" applyFill="1" applyBorder="1" applyProtection="1">
      <protection locked="0" hidden="1"/>
    </xf>
    <xf numFmtId="9" fontId="25" fillId="32" borderId="35" xfId="0" applyNumberFormat="1" applyFont="1" applyFill="1" applyBorder="1"/>
    <xf numFmtId="0" fontId="25" fillId="34" borderId="36" xfId="0" applyFont="1" applyFill="1" applyBorder="1"/>
    <xf numFmtId="0" fontId="25" fillId="34" borderId="37" xfId="0" applyFont="1" applyFill="1" applyBorder="1"/>
    <xf numFmtId="0" fontId="17" fillId="0" borderId="38" xfId="0" applyFont="1" applyBorder="1" applyAlignment="1" applyProtection="1">
      <alignment horizontal="center"/>
      <protection hidden="1"/>
    </xf>
    <xf numFmtId="1" fontId="17" fillId="29" borderId="39" xfId="0" applyNumberFormat="1" applyFont="1" applyFill="1" applyBorder="1" applyAlignment="1" applyProtection="1">
      <alignment horizontal="center"/>
      <protection locked="0"/>
    </xf>
    <xf numFmtId="0" fontId="17" fillId="30" borderId="40" xfId="0" applyFont="1" applyFill="1" applyBorder="1"/>
    <xf numFmtId="0" fontId="17" fillId="1" borderId="41" xfId="0" applyFont="1" applyFill="1" applyBorder="1"/>
    <xf numFmtId="0" fontId="17" fillId="0" borderId="40" xfId="0" applyFont="1" applyBorder="1" applyProtection="1">
      <protection hidden="1"/>
    </xf>
    <xf numFmtId="0" fontId="17" fillId="0" borderId="41" xfId="0" applyFont="1" applyBorder="1" applyProtection="1">
      <protection hidden="1"/>
    </xf>
    <xf numFmtId="0" fontId="1" fillId="0" borderId="41" xfId="0" applyFont="1" applyBorder="1" applyProtection="1">
      <protection hidden="1"/>
    </xf>
    <xf numFmtId="0" fontId="17" fillId="27" borderId="42" xfId="0" applyFont="1" applyFill="1" applyBorder="1" applyAlignment="1" applyProtection="1">
      <alignment horizontal="center"/>
      <protection hidden="1"/>
    </xf>
    <xf numFmtId="0" fontId="17" fillId="1" borderId="43" xfId="0" applyFont="1" applyFill="1" applyBorder="1" applyProtection="1">
      <protection hidden="1"/>
    </xf>
    <xf numFmtId="0" fontId="17" fillId="1" borderId="44" xfId="0" applyFont="1" applyFill="1" applyBorder="1" applyProtection="1">
      <protection hidden="1"/>
    </xf>
    <xf numFmtId="0" fontId="17" fillId="1" borderId="16" xfId="0" applyFont="1" applyFill="1" applyBorder="1" applyAlignment="1" applyProtection="1">
      <alignment horizontal="center"/>
      <protection hidden="1"/>
    </xf>
    <xf numFmtId="0" fontId="17" fillId="1" borderId="45" xfId="0" applyFont="1" applyFill="1" applyBorder="1" applyProtection="1">
      <protection hidden="1"/>
    </xf>
    <xf numFmtId="0" fontId="25" fillId="0" borderId="46" xfId="0" applyFont="1" applyBorder="1" applyProtection="1">
      <protection hidden="1"/>
    </xf>
    <xf numFmtId="0" fontId="25" fillId="0" borderId="47" xfId="0" applyFont="1" applyBorder="1" applyAlignment="1" applyProtection="1">
      <alignment horizontal="center"/>
      <protection hidden="1"/>
    </xf>
    <xf numFmtId="194" fontId="25" fillId="0" borderId="48" xfId="0" applyNumberFormat="1" applyFont="1" applyFill="1" applyBorder="1" applyAlignment="1" applyProtection="1">
      <alignment horizontal="center"/>
      <protection hidden="1"/>
    </xf>
    <xf numFmtId="194" fontId="22" fillId="0" borderId="49" xfId="0" applyNumberFormat="1" applyFont="1" applyBorder="1" applyAlignment="1" applyProtection="1">
      <alignment horizontal="center"/>
      <protection hidden="1"/>
    </xf>
    <xf numFmtId="195" fontId="17" fillId="0" borderId="50" xfId="0" applyNumberFormat="1" applyFont="1" applyBorder="1" applyAlignment="1" applyProtection="1">
      <alignment horizontal="center"/>
      <protection hidden="1"/>
    </xf>
    <xf numFmtId="195" fontId="17" fillId="0" borderId="0" xfId="0" applyNumberFormat="1" applyFont="1" applyAlignment="1" applyProtection="1">
      <alignment horizontal="center"/>
      <protection hidden="1"/>
    </xf>
    <xf numFmtId="195" fontId="17" fillId="0" borderId="15" xfId="0" applyNumberFormat="1" applyFont="1" applyBorder="1" applyAlignment="1" applyProtection="1">
      <alignment horizontal="center"/>
      <protection hidden="1"/>
    </xf>
    <xf numFmtId="195" fontId="22" fillId="0" borderId="51" xfId="0" applyNumberFormat="1" applyFont="1" applyBorder="1" applyAlignment="1" applyProtection="1">
      <alignment horizontal="center"/>
      <protection hidden="1"/>
    </xf>
    <xf numFmtId="195" fontId="17" fillId="0" borderId="51" xfId="0" applyNumberFormat="1" applyFont="1" applyBorder="1" applyAlignment="1" applyProtection="1">
      <alignment horizontal="center"/>
      <protection hidden="1"/>
    </xf>
    <xf numFmtId="195" fontId="17" fillId="0" borderId="50" xfId="0" applyNumberFormat="1" applyFont="1" applyFill="1" applyBorder="1" applyAlignment="1" applyProtection="1">
      <alignment horizontal="center"/>
      <protection hidden="1"/>
    </xf>
    <xf numFmtId="195" fontId="17" fillId="0" borderId="0" xfId="0" applyNumberFormat="1" applyFont="1" applyFill="1" applyBorder="1" applyAlignment="1" applyProtection="1">
      <alignment horizontal="center"/>
      <protection hidden="1"/>
    </xf>
    <xf numFmtId="195" fontId="17" fillId="0" borderId="15" xfId="0" applyNumberFormat="1" applyFont="1" applyFill="1" applyBorder="1" applyAlignment="1" applyProtection="1">
      <alignment horizontal="center"/>
      <protection hidden="1"/>
    </xf>
    <xf numFmtId="195" fontId="17" fillId="0" borderId="51" xfId="0" applyNumberFormat="1" applyFont="1" applyFill="1" applyBorder="1" applyAlignment="1" applyProtection="1">
      <alignment horizontal="center"/>
      <protection hidden="1"/>
    </xf>
    <xf numFmtId="1" fontId="22" fillId="0" borderId="50" xfId="0" applyNumberFormat="1" applyFont="1" applyBorder="1" applyAlignment="1" applyProtection="1">
      <alignment horizontal="center"/>
      <protection hidden="1"/>
    </xf>
    <xf numFmtId="1" fontId="22" fillId="0" borderId="0" xfId="0" applyNumberFormat="1" applyFont="1" applyBorder="1" applyAlignment="1" applyProtection="1">
      <alignment horizontal="center"/>
      <protection hidden="1"/>
    </xf>
    <xf numFmtId="1" fontId="22" fillId="0" borderId="51" xfId="0" applyNumberFormat="1" applyFont="1" applyBorder="1" applyAlignment="1" applyProtection="1">
      <alignment horizontal="center"/>
      <protection hidden="1"/>
    </xf>
    <xf numFmtId="1" fontId="17" fillId="0" borderId="50" xfId="0" applyNumberFormat="1" applyFont="1" applyBorder="1" applyAlignment="1" applyProtection="1">
      <alignment horizontal="center"/>
      <protection hidden="1"/>
    </xf>
    <xf numFmtId="1" fontId="17" fillId="0" borderId="0" xfId="0" applyNumberFormat="1" applyFont="1" applyAlignment="1" applyProtection="1">
      <alignment horizontal="center"/>
      <protection hidden="1"/>
    </xf>
    <xf numFmtId="1" fontId="17" fillId="0" borderId="15" xfId="0" applyNumberFormat="1" applyFont="1" applyBorder="1" applyAlignment="1" applyProtection="1">
      <alignment horizontal="center"/>
      <protection hidden="1"/>
    </xf>
    <xf numFmtId="0" fontId="25" fillId="0" borderId="20" xfId="0" applyFont="1" applyBorder="1" applyProtection="1">
      <protection hidden="1"/>
    </xf>
    <xf numFmtId="0" fontId="25" fillId="0" borderId="38" xfId="0" applyFont="1" applyBorder="1" applyAlignment="1" applyProtection="1">
      <alignment horizontal="center"/>
      <protection hidden="1"/>
    </xf>
    <xf numFmtId="1" fontId="25" fillId="0" borderId="50" xfId="0" applyNumberFormat="1" applyFont="1" applyBorder="1" applyAlignment="1" applyProtection="1">
      <alignment horizontal="center"/>
      <protection hidden="1"/>
    </xf>
    <xf numFmtId="1" fontId="25" fillId="0" borderId="0" xfId="0" applyNumberFormat="1" applyFont="1" applyAlignment="1" applyProtection="1">
      <alignment horizontal="center"/>
      <protection hidden="1"/>
    </xf>
    <xf numFmtId="1" fontId="25" fillId="0" borderId="0" xfId="0" applyNumberFormat="1" applyFont="1" applyBorder="1" applyAlignment="1" applyProtection="1">
      <alignment horizontal="center"/>
      <protection hidden="1"/>
    </xf>
    <xf numFmtId="1" fontId="25" fillId="0" borderId="15" xfId="0" applyNumberFormat="1" applyFont="1" applyBorder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2" fontId="17" fillId="0" borderId="50" xfId="0" applyNumberFormat="1" applyFont="1" applyBorder="1" applyAlignment="1" applyProtection="1">
      <alignment horizontal="center"/>
      <protection hidden="1"/>
    </xf>
    <xf numFmtId="2" fontId="17" fillId="0" borderId="0" xfId="0" applyNumberFormat="1" applyFont="1" applyAlignment="1" applyProtection="1">
      <alignment horizontal="center"/>
      <protection hidden="1"/>
    </xf>
    <xf numFmtId="2" fontId="17" fillId="0" borderId="15" xfId="0" applyNumberFormat="1" applyFont="1" applyBorder="1" applyAlignment="1" applyProtection="1">
      <alignment horizontal="center"/>
      <protection hidden="1"/>
    </xf>
    <xf numFmtId="2" fontId="22" fillId="0" borderId="51" xfId="0" applyNumberFormat="1" applyFont="1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17" fillId="0" borderId="52" xfId="0" applyFont="1" applyBorder="1" applyAlignment="1" applyProtection="1">
      <alignment horizontal="center"/>
      <protection hidden="1"/>
    </xf>
    <xf numFmtId="195" fontId="17" fillId="0" borderId="53" xfId="0" applyNumberFormat="1" applyFont="1" applyBorder="1" applyAlignment="1" applyProtection="1">
      <alignment horizontal="center"/>
      <protection hidden="1"/>
    </xf>
    <xf numFmtId="0" fontId="17" fillId="0" borderId="48" xfId="0" applyFont="1" applyBorder="1" applyProtection="1">
      <protection hidden="1"/>
    </xf>
    <xf numFmtId="0" fontId="17" fillId="0" borderId="47" xfId="0" applyFont="1" applyBorder="1" applyAlignment="1" applyProtection="1">
      <alignment horizontal="center"/>
      <protection hidden="1"/>
    </xf>
    <xf numFmtId="2" fontId="17" fillId="0" borderId="48" xfId="0" applyNumberFormat="1" applyFont="1" applyBorder="1" applyAlignment="1" applyProtection="1">
      <alignment horizontal="center"/>
      <protection hidden="1"/>
    </xf>
    <xf numFmtId="2" fontId="22" fillId="0" borderId="49" xfId="0" applyNumberFormat="1" applyFont="1" applyBorder="1" applyAlignment="1" applyProtection="1">
      <alignment horizontal="center"/>
      <protection hidden="1"/>
    </xf>
    <xf numFmtId="1" fontId="22" fillId="0" borderId="0" xfId="0" applyNumberFormat="1" applyFont="1" applyAlignment="1" applyProtection="1">
      <alignment horizontal="center"/>
      <protection hidden="1"/>
    </xf>
    <xf numFmtId="0" fontId="17" fillId="0" borderId="54" xfId="0" applyFont="1" applyBorder="1" applyAlignment="1" applyProtection="1">
      <alignment horizontal="center"/>
      <protection hidden="1"/>
    </xf>
    <xf numFmtId="195" fontId="17" fillId="0" borderId="32" xfId="0" applyNumberFormat="1" applyFont="1" applyBorder="1" applyAlignment="1" applyProtection="1">
      <alignment horizontal="center"/>
      <protection hidden="1"/>
    </xf>
    <xf numFmtId="195" fontId="22" fillId="0" borderId="55" xfId="0" applyNumberFormat="1" applyFont="1" applyBorder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195" fontId="17" fillId="0" borderId="48" xfId="0" applyNumberFormat="1" applyFont="1" applyBorder="1" applyAlignment="1" applyProtection="1">
      <alignment horizontal="center"/>
      <protection hidden="1"/>
    </xf>
    <xf numFmtId="0" fontId="17" fillId="0" borderId="48" xfId="0" applyFont="1" applyBorder="1" applyAlignment="1" applyProtection="1">
      <alignment horizontal="center"/>
      <protection hidden="1"/>
    </xf>
    <xf numFmtId="195" fontId="22" fillId="0" borderId="56" xfId="0" applyNumberFormat="1" applyFont="1" applyBorder="1" applyAlignment="1" applyProtection="1">
      <alignment horizontal="center"/>
      <protection hidden="1"/>
    </xf>
    <xf numFmtId="1" fontId="22" fillId="0" borderId="14" xfId="0" applyNumberFormat="1" applyFont="1" applyBorder="1" applyAlignment="1" applyProtection="1">
      <alignment horizontal="center"/>
      <protection hidden="1"/>
    </xf>
    <xf numFmtId="195" fontId="22" fillId="0" borderId="14" xfId="0" applyNumberFormat="1" applyFont="1" applyBorder="1" applyAlignment="1" applyProtection="1">
      <alignment horizontal="center"/>
      <protection hidden="1"/>
    </xf>
    <xf numFmtId="0" fontId="22" fillId="0" borderId="0" xfId="0" applyFon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1" fillId="0" borderId="0" xfId="0" applyFont="1" applyProtection="1">
      <protection hidden="1"/>
    </xf>
    <xf numFmtId="14" fontId="0" fillId="0" borderId="0" xfId="0" applyNumberFormat="1" applyAlignment="1" applyProtection="1">
      <alignment horizontal="left"/>
      <protection hidden="1"/>
    </xf>
    <xf numFmtId="194" fontId="25" fillId="35" borderId="48" xfId="0" applyNumberFormat="1" applyFont="1" applyFill="1" applyBorder="1" applyAlignment="1" applyProtection="1">
      <alignment horizontal="center"/>
      <protection hidden="1"/>
    </xf>
    <xf numFmtId="195" fontId="17" fillId="35" borderId="0" xfId="0" applyNumberFormat="1" applyFont="1" applyFill="1" applyAlignment="1" applyProtection="1">
      <alignment horizontal="center"/>
      <protection hidden="1"/>
    </xf>
    <xf numFmtId="195" fontId="17" fillId="35" borderId="0" xfId="0" applyNumberFormat="1" applyFont="1" applyFill="1" applyBorder="1" applyAlignment="1" applyProtection="1">
      <alignment horizontal="center"/>
      <protection hidden="1"/>
    </xf>
    <xf numFmtId="1" fontId="22" fillId="35" borderId="0" xfId="0" applyNumberFormat="1" applyFont="1" applyFill="1" applyBorder="1" applyAlignment="1" applyProtection="1">
      <alignment horizontal="center"/>
      <protection hidden="1"/>
    </xf>
    <xf numFmtId="1" fontId="17" fillId="35" borderId="0" xfId="0" applyNumberFormat="1" applyFont="1" applyFill="1" applyAlignment="1" applyProtection="1">
      <alignment horizontal="center"/>
      <protection hidden="1"/>
    </xf>
    <xf numFmtId="1" fontId="17" fillId="35" borderId="0" xfId="0" applyNumberFormat="1" applyFont="1" applyFill="1" applyBorder="1" applyAlignment="1" applyProtection="1">
      <alignment horizontal="center"/>
      <protection hidden="1"/>
    </xf>
    <xf numFmtId="1" fontId="25" fillId="35" borderId="0" xfId="0" applyNumberFormat="1" applyFont="1" applyFill="1" applyAlignment="1" applyProtection="1">
      <alignment horizontal="center"/>
      <protection hidden="1"/>
    </xf>
    <xf numFmtId="1" fontId="25" fillId="35" borderId="0" xfId="0" applyNumberFormat="1" applyFont="1" applyFill="1" applyBorder="1" applyAlignment="1" applyProtection="1">
      <alignment horizontal="center"/>
      <protection hidden="1"/>
    </xf>
    <xf numFmtId="2" fontId="17" fillId="35" borderId="0" xfId="0" applyNumberFormat="1" applyFont="1" applyFill="1" applyAlignment="1" applyProtection="1">
      <alignment horizontal="center"/>
      <protection hidden="1"/>
    </xf>
    <xf numFmtId="2" fontId="17" fillId="35" borderId="0" xfId="0" applyNumberFormat="1" applyFont="1" applyFill="1" applyBorder="1" applyAlignment="1" applyProtection="1">
      <alignment horizontal="center"/>
      <protection hidden="1"/>
    </xf>
    <xf numFmtId="1" fontId="17" fillId="0" borderId="14" xfId="0" applyNumberFormat="1" applyFont="1" applyBorder="1" applyAlignment="1" applyProtection="1">
      <alignment horizontal="center"/>
    </xf>
    <xf numFmtId="1" fontId="17" fillId="0" borderId="15" xfId="0" applyNumberFormat="1" applyFont="1" applyBorder="1" applyAlignment="1" applyProtection="1">
      <alignment horizontal="center"/>
    </xf>
    <xf numFmtId="1" fontId="17" fillId="0" borderId="57" xfId="0" applyNumberFormat="1" applyFont="1" applyBorder="1" applyAlignment="1" applyProtection="1">
      <alignment horizontal="center"/>
    </xf>
    <xf numFmtId="1" fontId="17" fillId="0" borderId="58" xfId="0" applyNumberFormat="1" applyFont="1" applyBorder="1" applyAlignment="1" applyProtection="1">
      <alignment horizontal="center"/>
    </xf>
    <xf numFmtId="1" fontId="17" fillId="0" borderId="56" xfId="0" applyNumberFormat="1" applyFont="1" applyBorder="1" applyAlignment="1" applyProtection="1">
      <alignment horizontal="center"/>
    </xf>
    <xf numFmtId="1" fontId="17" fillId="0" borderId="59" xfId="0" applyNumberFormat="1" applyFont="1" applyBorder="1" applyAlignment="1" applyProtection="1">
      <alignment horizontal="center"/>
    </xf>
    <xf numFmtId="0" fontId="22" fillId="35" borderId="56" xfId="0" applyFont="1" applyFill="1" applyBorder="1" applyAlignment="1">
      <alignment horizontal="center"/>
    </xf>
    <xf numFmtId="1" fontId="22" fillId="35" borderId="48" xfId="0" applyNumberFormat="1" applyFont="1" applyFill="1" applyBorder="1" applyAlignment="1" applyProtection="1">
      <alignment horizontal="center"/>
    </xf>
    <xf numFmtId="194" fontId="22" fillId="35" borderId="59" xfId="0" applyNumberFormat="1" applyFont="1" applyFill="1" applyBorder="1" applyAlignment="1" applyProtection="1">
      <alignment horizontal="center"/>
    </xf>
    <xf numFmtId="11" fontId="17" fillId="0" borderId="48" xfId="0" applyNumberFormat="1" applyFont="1" applyBorder="1" applyAlignment="1" applyProtection="1">
      <alignment horizontal="center"/>
    </xf>
    <xf numFmtId="11" fontId="17" fillId="0" borderId="0" xfId="0" applyNumberFormat="1" applyFont="1" applyBorder="1" applyAlignment="1" applyProtection="1">
      <alignment horizontal="center"/>
    </xf>
    <xf numFmtId="11" fontId="17" fillId="0" borderId="60" xfId="0" applyNumberFormat="1" applyFont="1" applyBorder="1" applyAlignment="1" applyProtection="1">
      <alignment horizontal="center"/>
    </xf>
    <xf numFmtId="195" fontId="17" fillId="36" borderId="0" xfId="0" applyNumberFormat="1" applyFont="1" applyFill="1" applyBorder="1" applyAlignment="1" applyProtection="1">
      <alignment horizontal="center"/>
      <protection hidden="1"/>
    </xf>
    <xf numFmtId="1" fontId="22" fillId="36" borderId="0" xfId="0" applyNumberFormat="1" applyFont="1" applyFill="1" applyBorder="1" applyAlignment="1" applyProtection="1">
      <alignment horizontal="center"/>
      <protection hidden="1"/>
    </xf>
    <xf numFmtId="1" fontId="17" fillId="36" borderId="0" xfId="0" applyNumberFormat="1" applyFont="1" applyFill="1" applyBorder="1" applyAlignment="1" applyProtection="1">
      <alignment horizontal="center"/>
      <protection hidden="1"/>
    </xf>
    <xf numFmtId="1" fontId="25" fillId="36" borderId="0" xfId="0" applyNumberFormat="1" applyFont="1" applyFill="1" applyBorder="1" applyAlignment="1" applyProtection="1">
      <alignment horizontal="center"/>
      <protection hidden="1"/>
    </xf>
    <xf numFmtId="2" fontId="17" fillId="36" borderId="0" xfId="0" applyNumberFormat="1" applyFont="1" applyFill="1" applyBorder="1" applyAlignment="1" applyProtection="1">
      <alignment horizontal="center"/>
      <protection hidden="1"/>
    </xf>
    <xf numFmtId="2" fontId="25" fillId="36" borderId="48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 vertical="distributed"/>
    </xf>
    <xf numFmtId="0" fontId="0" fillId="0" borderId="0" xfId="0" applyAlignment="1">
      <alignment vertical="distributed"/>
    </xf>
    <xf numFmtId="195" fontId="17" fillId="0" borderId="61" xfId="0" applyNumberFormat="1" applyFont="1" applyBorder="1" applyAlignment="1" applyProtection="1">
      <alignment horizontal="center"/>
      <protection hidden="1"/>
    </xf>
    <xf numFmtId="195" fontId="17" fillId="0" borderId="43" xfId="0" applyNumberFormat="1" applyFont="1" applyBorder="1" applyAlignment="1" applyProtection="1">
      <alignment horizontal="center"/>
      <protection hidden="1"/>
    </xf>
    <xf numFmtId="195" fontId="17" fillId="0" borderId="44" xfId="0" applyNumberFormat="1" applyFont="1" applyBorder="1" applyAlignment="1" applyProtection="1">
      <alignment horizontal="center"/>
      <protection hidden="1"/>
    </xf>
    <xf numFmtId="195" fontId="17" fillId="35" borderId="43" xfId="0" applyNumberFormat="1" applyFont="1" applyFill="1" applyBorder="1" applyAlignment="1" applyProtection="1">
      <alignment horizontal="center"/>
      <protection hidden="1"/>
    </xf>
    <xf numFmtId="195" fontId="17" fillId="36" borderId="43" xfId="0" applyNumberFormat="1" applyFont="1" applyFill="1" applyBorder="1" applyAlignment="1" applyProtection="1">
      <alignment horizontal="center"/>
      <protection hidden="1"/>
    </xf>
    <xf numFmtId="0" fontId="24" fillId="0" borderId="0" xfId="0" applyFont="1" applyProtection="1"/>
    <xf numFmtId="0" fontId="18" fillId="27" borderId="0" xfId="0" applyFont="1" applyFill="1" applyProtection="1"/>
    <xf numFmtId="0" fontId="19" fillId="27" borderId="0" xfId="0" applyFont="1" applyFill="1" applyProtection="1"/>
    <xf numFmtId="0" fontId="18" fillId="27" borderId="14" xfId="0" applyFont="1" applyFill="1" applyBorder="1" applyProtection="1"/>
    <xf numFmtId="0" fontId="19" fillId="27" borderId="0" xfId="0" applyFont="1" applyFill="1" applyBorder="1" applyProtection="1"/>
    <xf numFmtId="0" fontId="0" fillId="27" borderId="0" xfId="0" applyFill="1" applyProtection="1"/>
    <xf numFmtId="0" fontId="20" fillId="27" borderId="0" xfId="0" applyFont="1" applyFill="1" applyProtection="1"/>
    <xf numFmtId="0" fontId="0" fillId="27" borderId="15" xfId="0" applyFill="1" applyBorder="1" applyProtection="1"/>
    <xf numFmtId="0" fontId="21" fillId="1" borderId="16" xfId="0" applyFont="1" applyFill="1" applyBorder="1" applyProtection="1"/>
    <xf numFmtId="0" fontId="17" fillId="1" borderId="16" xfId="0" applyFont="1" applyFill="1" applyBorder="1" applyProtection="1"/>
    <xf numFmtId="0" fontId="22" fillId="1" borderId="16" xfId="0" applyFont="1" applyFill="1" applyBorder="1" applyProtection="1"/>
    <xf numFmtId="0" fontId="17" fillId="1" borderId="17" xfId="0" applyFont="1" applyFill="1" applyBorder="1" applyProtection="1"/>
    <xf numFmtId="0" fontId="23" fillId="28" borderId="18" xfId="0" applyFont="1" applyFill="1" applyBorder="1" applyAlignment="1" applyProtection="1">
      <alignment horizontal="center"/>
    </xf>
    <xf numFmtId="0" fontId="17" fillId="1" borderId="19" xfId="0" applyFont="1" applyFill="1" applyBorder="1" applyProtection="1"/>
    <xf numFmtId="0" fontId="17" fillId="0" borderId="20" xfId="0" applyFont="1" applyBorder="1" applyProtection="1"/>
    <xf numFmtId="0" fontId="17" fillId="0" borderId="21" xfId="0" applyFont="1" applyBorder="1" applyAlignment="1" applyProtection="1">
      <alignment horizontal="center"/>
    </xf>
    <xf numFmtId="195" fontId="17" fillId="29" borderId="22" xfId="0" applyNumberFormat="1" applyFont="1" applyFill="1" applyBorder="1" applyAlignment="1" applyProtection="1">
      <alignment horizontal="center"/>
    </xf>
    <xf numFmtId="0" fontId="17" fillId="30" borderId="23" xfId="0" applyFont="1" applyFill="1" applyBorder="1" applyProtection="1"/>
    <xf numFmtId="0" fontId="17" fillId="1" borderId="24" xfId="0" applyFont="1" applyFill="1" applyBorder="1" applyProtection="1"/>
    <xf numFmtId="0" fontId="17" fillId="1" borderId="25" xfId="0" applyFont="1" applyFill="1" applyBorder="1" applyProtection="1"/>
    <xf numFmtId="0" fontId="17" fillId="0" borderId="23" xfId="0" applyFont="1" applyBorder="1" applyProtection="1"/>
    <xf numFmtId="0" fontId="17" fillId="0" borderId="24" xfId="0" applyFont="1" applyBorder="1" applyProtection="1"/>
    <xf numFmtId="195" fontId="17" fillId="29" borderId="26" xfId="0" applyNumberFormat="1" applyFont="1" applyFill="1" applyBorder="1" applyAlignment="1" applyProtection="1">
      <alignment horizontal="center"/>
    </xf>
    <xf numFmtId="195" fontId="17" fillId="0" borderId="27" xfId="0" applyNumberFormat="1" applyFont="1" applyBorder="1" applyAlignment="1" applyProtection="1">
      <alignment horizontal="center"/>
    </xf>
    <xf numFmtId="0" fontId="17" fillId="1" borderId="28" xfId="0" applyFont="1" applyFill="1" applyBorder="1" applyProtection="1"/>
    <xf numFmtId="2" fontId="17" fillId="29" borderId="22" xfId="0" applyNumberFormat="1" applyFont="1" applyFill="1" applyBorder="1" applyAlignment="1" applyProtection="1">
      <alignment horizontal="center"/>
    </xf>
    <xf numFmtId="0" fontId="17" fillId="30" borderId="29" xfId="0" applyFont="1" applyFill="1" applyBorder="1" applyProtection="1"/>
    <xf numFmtId="0" fontId="17" fillId="1" borderId="0" xfId="0" applyFont="1" applyFill="1" applyBorder="1" applyProtection="1"/>
    <xf numFmtId="0" fontId="17" fillId="1" borderId="20" xfId="0" applyFont="1" applyFill="1" applyBorder="1" applyProtection="1"/>
    <xf numFmtId="0" fontId="17" fillId="0" borderId="29" xfId="0" applyFont="1" applyBorder="1" applyProtection="1"/>
    <xf numFmtId="0" fontId="17" fillId="0" borderId="0" xfId="0" applyFont="1" applyBorder="1" applyProtection="1"/>
    <xf numFmtId="195" fontId="17" fillId="0" borderId="30" xfId="0" applyNumberFormat="1" applyFont="1" applyBorder="1" applyAlignment="1" applyProtection="1">
      <alignment horizontal="center"/>
    </xf>
    <xf numFmtId="0" fontId="17" fillId="1" borderId="15" xfId="0" applyFont="1" applyFill="1" applyBorder="1" applyProtection="1"/>
    <xf numFmtId="0" fontId="0" fillId="27" borderId="0" xfId="0" applyFill="1" applyBorder="1" applyProtection="1"/>
    <xf numFmtId="0" fontId="24" fillId="0" borderId="20" xfId="0" applyFont="1" applyBorder="1" applyProtection="1"/>
    <xf numFmtId="0" fontId="24" fillId="0" borderId="21" xfId="0" applyFont="1" applyBorder="1" applyAlignment="1" applyProtection="1">
      <alignment horizontal="center"/>
    </xf>
    <xf numFmtId="2" fontId="24" fillId="29" borderId="22" xfId="0" applyNumberFormat="1" applyFont="1" applyFill="1" applyBorder="1" applyAlignment="1" applyProtection="1">
      <alignment horizontal="center"/>
    </xf>
    <xf numFmtId="0" fontId="0" fillId="0" borderId="25" xfId="0" applyBorder="1" applyProtection="1"/>
    <xf numFmtId="0" fontId="22" fillId="1" borderId="0" xfId="0" applyFont="1" applyFill="1" applyBorder="1" applyProtection="1"/>
    <xf numFmtId="0" fontId="25" fillId="1" borderId="0" xfId="0" applyFont="1" applyFill="1" applyBorder="1" applyProtection="1"/>
    <xf numFmtId="1" fontId="17" fillId="31" borderId="22" xfId="0" applyNumberFormat="1" applyFont="1" applyFill="1" applyBorder="1" applyAlignment="1" applyProtection="1">
      <alignment horizontal="center"/>
    </xf>
    <xf numFmtId="0" fontId="0" fillId="0" borderId="20" xfId="0" applyBorder="1" applyProtection="1"/>
    <xf numFmtId="0" fontId="21" fillId="30" borderId="23" xfId="0" applyFont="1" applyFill="1" applyBorder="1" applyProtection="1"/>
    <xf numFmtId="0" fontId="17" fillId="30" borderId="24" xfId="0" applyFont="1" applyFill="1" applyBorder="1" applyProtection="1"/>
    <xf numFmtId="0" fontId="17" fillId="30" borderId="25" xfId="0" applyFont="1" applyFill="1" applyBorder="1" applyAlignment="1" applyProtection="1">
      <alignment horizontal="center"/>
    </xf>
    <xf numFmtId="1" fontId="17" fillId="0" borderId="0" xfId="0" applyNumberFormat="1" applyFont="1" applyBorder="1" applyAlignment="1" applyProtection="1">
      <alignment horizontal="center"/>
    </xf>
    <xf numFmtId="195" fontId="17" fillId="0" borderId="23" xfId="0" applyNumberFormat="1" applyFont="1" applyBorder="1" applyAlignment="1" applyProtection="1">
      <alignment horizontal="center"/>
    </xf>
    <xf numFmtId="0" fontId="17" fillId="0" borderId="27" xfId="0" applyFont="1" applyBorder="1" applyAlignment="1" applyProtection="1">
      <alignment horizontal="center"/>
    </xf>
    <xf numFmtId="0" fontId="17" fillId="0" borderId="31" xfId="0" applyFont="1" applyBorder="1" applyProtection="1"/>
    <xf numFmtId="0" fontId="17" fillId="0" borderId="32" xfId="0" applyFont="1" applyBorder="1" applyProtection="1"/>
    <xf numFmtId="195" fontId="17" fillId="0" borderId="31" xfId="0" applyNumberFormat="1" applyFont="1" applyBorder="1" applyAlignment="1" applyProtection="1">
      <alignment horizontal="center"/>
    </xf>
    <xf numFmtId="0" fontId="17" fillId="0" borderId="33" xfId="0" applyFont="1" applyBorder="1" applyAlignment="1" applyProtection="1">
      <alignment horizontal="center"/>
    </xf>
    <xf numFmtId="0" fontId="22" fillId="32" borderId="26" xfId="0" applyFont="1" applyFill="1" applyBorder="1" applyProtection="1"/>
    <xf numFmtId="0" fontId="17" fillId="32" borderId="26" xfId="0" applyFont="1" applyFill="1" applyBorder="1" applyProtection="1"/>
    <xf numFmtId="194" fontId="22" fillId="33" borderId="34" xfId="0" applyNumberFormat="1" applyFont="1" applyFill="1" applyBorder="1" applyAlignment="1" applyProtection="1">
      <alignment horizontal="center"/>
    </xf>
    <xf numFmtId="195" fontId="17" fillId="0" borderId="0" xfId="0" applyNumberFormat="1" applyFont="1" applyBorder="1" applyAlignment="1" applyProtection="1">
      <alignment horizontal="center"/>
    </xf>
    <xf numFmtId="0" fontId="17" fillId="27" borderId="0" xfId="0" applyFont="1" applyFill="1" applyBorder="1" applyProtection="1"/>
    <xf numFmtId="0" fontId="17" fillId="29" borderId="26" xfId="0" applyFont="1" applyFill="1" applyBorder="1" applyAlignment="1" applyProtection="1">
      <alignment horizontal="center"/>
    </xf>
    <xf numFmtId="0" fontId="17" fillId="1" borderId="0" xfId="0" applyFont="1" applyFill="1" applyProtection="1"/>
    <xf numFmtId="2" fontId="17" fillId="0" borderId="0" xfId="0" applyNumberFormat="1" applyFont="1" applyBorder="1" applyAlignment="1" applyProtection="1">
      <alignment horizontal="center"/>
    </xf>
    <xf numFmtId="0" fontId="17" fillId="0" borderId="26" xfId="0" applyFont="1" applyBorder="1" applyProtection="1"/>
    <xf numFmtId="0" fontId="22" fillId="0" borderId="26" xfId="0" applyFont="1" applyBorder="1" applyProtection="1"/>
    <xf numFmtId="194" fontId="17" fillId="29" borderId="22" xfId="0" applyNumberFormat="1" applyFont="1" applyFill="1" applyBorder="1" applyAlignment="1" applyProtection="1">
      <alignment horizontal="center"/>
    </xf>
    <xf numFmtId="0" fontId="17" fillId="0" borderId="35" xfId="0" applyFont="1" applyBorder="1" applyProtection="1"/>
    <xf numFmtId="0" fontId="17" fillId="0" borderId="36" xfId="0" applyFont="1" applyBorder="1" applyProtection="1"/>
    <xf numFmtId="0" fontId="17" fillId="27" borderId="26" xfId="0" applyFont="1" applyFill="1" applyBorder="1" applyProtection="1"/>
    <xf numFmtId="9" fontId="25" fillId="32" borderId="35" xfId="0" applyNumberFormat="1" applyFont="1" applyFill="1" applyBorder="1" applyProtection="1"/>
    <xf numFmtId="0" fontId="25" fillId="34" borderId="36" xfId="0" applyFont="1" applyFill="1" applyBorder="1" applyProtection="1"/>
    <xf numFmtId="0" fontId="25" fillId="34" borderId="37" xfId="0" applyFont="1" applyFill="1" applyBorder="1" applyProtection="1"/>
    <xf numFmtId="0" fontId="17" fillId="0" borderId="38" xfId="0" applyFont="1" applyBorder="1" applyAlignment="1" applyProtection="1">
      <alignment horizontal="center"/>
    </xf>
    <xf numFmtId="1" fontId="17" fillId="29" borderId="39" xfId="0" applyNumberFormat="1" applyFont="1" applyFill="1" applyBorder="1" applyAlignment="1" applyProtection="1">
      <alignment horizontal="center"/>
    </xf>
    <xf numFmtId="0" fontId="17" fillId="30" borderId="40" xfId="0" applyFont="1" applyFill="1" applyBorder="1" applyProtection="1"/>
    <xf numFmtId="0" fontId="17" fillId="1" borderId="41" xfId="0" applyFont="1" applyFill="1" applyBorder="1" applyProtection="1"/>
    <xf numFmtId="0" fontId="17" fillId="0" borderId="40" xfId="0" applyFont="1" applyBorder="1" applyProtection="1"/>
    <xf numFmtId="0" fontId="17" fillId="0" borderId="41" xfId="0" applyFont="1" applyBorder="1" applyProtection="1"/>
    <xf numFmtId="0" fontId="1" fillId="0" borderId="41" xfId="0" applyFont="1" applyBorder="1" applyProtection="1"/>
    <xf numFmtId="0" fontId="17" fillId="27" borderId="42" xfId="0" applyFont="1" applyFill="1" applyBorder="1" applyAlignment="1" applyProtection="1">
      <alignment horizontal="center"/>
    </xf>
    <xf numFmtId="0" fontId="17" fillId="1" borderId="43" xfId="0" applyFont="1" applyFill="1" applyBorder="1" applyProtection="1"/>
    <xf numFmtId="0" fontId="17" fillId="1" borderId="44" xfId="0" applyFont="1" applyFill="1" applyBorder="1" applyProtection="1"/>
    <xf numFmtId="0" fontId="17" fillId="1" borderId="16" xfId="0" applyFont="1" applyFill="1" applyBorder="1" applyAlignment="1" applyProtection="1">
      <alignment horizontal="center"/>
    </xf>
    <xf numFmtId="0" fontId="17" fillId="1" borderId="45" xfId="0" applyFont="1" applyFill="1" applyBorder="1" applyProtection="1"/>
    <xf numFmtId="0" fontId="25" fillId="0" borderId="46" xfId="0" applyFont="1" applyBorder="1" applyProtection="1"/>
    <xf numFmtId="0" fontId="25" fillId="0" borderId="47" xfId="0" applyFont="1" applyBorder="1" applyAlignment="1" applyProtection="1">
      <alignment horizontal="center"/>
    </xf>
    <xf numFmtId="194" fontId="25" fillId="0" borderId="48" xfId="0" applyNumberFormat="1" applyFont="1" applyFill="1" applyBorder="1" applyAlignment="1" applyProtection="1">
      <alignment horizontal="center"/>
    </xf>
    <xf numFmtId="2" fontId="25" fillId="36" borderId="48" xfId="0" applyNumberFormat="1" applyFont="1" applyFill="1" applyBorder="1" applyAlignment="1" applyProtection="1">
      <alignment horizontal="center"/>
    </xf>
    <xf numFmtId="194" fontId="22" fillId="0" borderId="49" xfId="0" applyNumberFormat="1" applyFont="1" applyBorder="1" applyAlignment="1" applyProtection="1">
      <alignment horizontal="center"/>
    </xf>
    <xf numFmtId="195" fontId="17" fillId="0" borderId="50" xfId="0" applyNumberFormat="1" applyFont="1" applyBorder="1" applyAlignment="1" applyProtection="1">
      <alignment horizontal="center"/>
    </xf>
    <xf numFmtId="195" fontId="17" fillId="0" borderId="0" xfId="0" applyNumberFormat="1" applyFont="1" applyAlignment="1" applyProtection="1">
      <alignment horizontal="center"/>
    </xf>
    <xf numFmtId="195" fontId="17" fillId="36" borderId="0" xfId="0" applyNumberFormat="1" applyFont="1" applyFill="1" applyBorder="1" applyAlignment="1" applyProtection="1">
      <alignment horizontal="center"/>
    </xf>
    <xf numFmtId="195" fontId="17" fillId="0" borderId="15" xfId="0" applyNumberFormat="1" applyFont="1" applyBorder="1" applyAlignment="1" applyProtection="1">
      <alignment horizontal="center"/>
    </xf>
    <xf numFmtId="195" fontId="22" fillId="0" borderId="51" xfId="0" applyNumberFormat="1" applyFont="1" applyBorder="1" applyAlignment="1" applyProtection="1">
      <alignment horizontal="center"/>
    </xf>
    <xf numFmtId="195" fontId="17" fillId="0" borderId="51" xfId="0" applyNumberFormat="1" applyFont="1" applyBorder="1" applyAlignment="1" applyProtection="1">
      <alignment horizontal="center"/>
    </xf>
    <xf numFmtId="195" fontId="17" fillId="0" borderId="50" xfId="0" applyNumberFormat="1" applyFont="1" applyFill="1" applyBorder="1" applyAlignment="1" applyProtection="1">
      <alignment horizontal="center"/>
    </xf>
    <xf numFmtId="195" fontId="17" fillId="0" borderId="0" xfId="0" applyNumberFormat="1" applyFont="1" applyFill="1" applyAlignment="1" applyProtection="1">
      <alignment horizontal="center"/>
    </xf>
    <xf numFmtId="195" fontId="17" fillId="0" borderId="0" xfId="0" applyNumberFormat="1" applyFont="1" applyFill="1" applyBorder="1" applyAlignment="1" applyProtection="1">
      <alignment horizontal="center"/>
    </xf>
    <xf numFmtId="195" fontId="17" fillId="0" borderId="15" xfId="0" applyNumberFormat="1" applyFont="1" applyFill="1" applyBorder="1" applyAlignment="1" applyProtection="1">
      <alignment horizontal="center"/>
    </xf>
    <xf numFmtId="195" fontId="17" fillId="0" borderId="51" xfId="0" applyNumberFormat="1" applyFont="1" applyFill="1" applyBorder="1" applyAlignment="1" applyProtection="1">
      <alignment horizontal="center"/>
    </xf>
    <xf numFmtId="195" fontId="17" fillId="36" borderId="0" xfId="0" applyNumberFormat="1" applyFont="1" applyFill="1" applyAlignment="1" applyProtection="1">
      <alignment horizontal="center"/>
    </xf>
    <xf numFmtId="1" fontId="22" fillId="0" borderId="50" xfId="0" applyNumberFormat="1" applyFont="1" applyBorder="1" applyAlignment="1" applyProtection="1">
      <alignment horizontal="center"/>
    </xf>
    <xf numFmtId="1" fontId="22" fillId="0" borderId="0" xfId="0" applyNumberFormat="1" applyFont="1" applyBorder="1" applyAlignment="1" applyProtection="1">
      <alignment horizontal="center"/>
    </xf>
    <xf numFmtId="1" fontId="22" fillId="36" borderId="0" xfId="0" applyNumberFormat="1" applyFont="1" applyFill="1" applyBorder="1" applyAlignment="1" applyProtection="1">
      <alignment horizontal="center"/>
    </xf>
    <xf numFmtId="1" fontId="22" fillId="0" borderId="51" xfId="0" applyNumberFormat="1" applyFont="1" applyBorder="1" applyAlignment="1" applyProtection="1">
      <alignment horizontal="center"/>
    </xf>
    <xf numFmtId="1" fontId="17" fillId="0" borderId="50" xfId="0" applyNumberFormat="1" applyFont="1" applyBorder="1" applyAlignment="1" applyProtection="1">
      <alignment horizontal="center"/>
    </xf>
    <xf numFmtId="1" fontId="17" fillId="0" borderId="0" xfId="0" applyNumberFormat="1" applyFont="1" applyAlignment="1" applyProtection="1">
      <alignment horizontal="center"/>
    </xf>
    <xf numFmtId="1" fontId="17" fillId="36" borderId="0" xfId="0" applyNumberFormat="1" applyFont="1" applyFill="1" applyBorder="1" applyAlignment="1" applyProtection="1">
      <alignment horizontal="center"/>
    </xf>
    <xf numFmtId="0" fontId="25" fillId="0" borderId="20" xfId="0" applyFont="1" applyBorder="1" applyProtection="1"/>
    <xf numFmtId="0" fontId="25" fillId="0" borderId="38" xfId="0" applyFont="1" applyBorder="1" applyAlignment="1" applyProtection="1">
      <alignment horizontal="center"/>
    </xf>
    <xf numFmtId="1" fontId="25" fillId="0" borderId="50" xfId="0" applyNumberFormat="1" applyFont="1" applyBorder="1" applyAlignment="1" applyProtection="1">
      <alignment horizontal="center"/>
    </xf>
    <xf numFmtId="1" fontId="25" fillId="0" borderId="0" xfId="0" applyNumberFormat="1" applyFont="1" applyAlignment="1" applyProtection="1">
      <alignment horizontal="center"/>
    </xf>
    <xf numFmtId="1" fontId="25" fillId="0" borderId="0" xfId="0" applyNumberFormat="1" applyFont="1" applyBorder="1" applyAlignment="1" applyProtection="1">
      <alignment horizontal="center"/>
    </xf>
    <xf numFmtId="1" fontId="25" fillId="36" borderId="0" xfId="0" applyNumberFormat="1" applyFont="1" applyFill="1" applyBorder="1" applyAlignment="1" applyProtection="1">
      <alignment horizontal="center"/>
    </xf>
    <xf numFmtId="1" fontId="25" fillId="0" borderId="15" xfId="0" applyNumberFormat="1" applyFont="1" applyBorder="1" applyAlignment="1" applyProtection="1">
      <alignment horizontal="center"/>
    </xf>
    <xf numFmtId="2" fontId="17" fillId="0" borderId="50" xfId="0" applyNumberFormat="1" applyFont="1" applyBorder="1" applyAlignment="1" applyProtection="1">
      <alignment horizontal="center"/>
    </xf>
    <xf numFmtId="2" fontId="17" fillId="0" borderId="0" xfId="0" applyNumberFormat="1" applyFont="1" applyAlignment="1" applyProtection="1">
      <alignment horizontal="center"/>
    </xf>
    <xf numFmtId="2" fontId="17" fillId="36" borderId="0" xfId="0" applyNumberFormat="1" applyFont="1" applyFill="1" applyBorder="1" applyAlignment="1" applyProtection="1">
      <alignment horizontal="center"/>
    </xf>
    <xf numFmtId="2" fontId="17" fillId="0" borderId="15" xfId="0" applyNumberFormat="1" applyFont="1" applyBorder="1" applyAlignment="1" applyProtection="1">
      <alignment horizontal="center"/>
    </xf>
    <xf numFmtId="2" fontId="22" fillId="0" borderId="51" xfId="0" applyNumberFormat="1" applyFont="1" applyBorder="1" applyAlignment="1" applyProtection="1">
      <alignment horizontal="center"/>
    </xf>
    <xf numFmtId="0" fontId="0" fillId="0" borderId="38" xfId="0" applyBorder="1" applyAlignment="1" applyProtection="1">
      <alignment horizontal="center"/>
    </xf>
    <xf numFmtId="0" fontId="17" fillId="0" borderId="52" xfId="0" applyFont="1" applyBorder="1" applyAlignment="1" applyProtection="1">
      <alignment horizontal="center"/>
    </xf>
    <xf numFmtId="195" fontId="17" fillId="0" borderId="61" xfId="0" applyNumberFormat="1" applyFont="1" applyBorder="1" applyAlignment="1" applyProtection="1">
      <alignment horizontal="center"/>
    </xf>
    <xf numFmtId="195" fontId="17" fillId="0" borderId="43" xfId="0" applyNumberFormat="1" applyFont="1" applyBorder="1" applyAlignment="1" applyProtection="1">
      <alignment horizontal="center"/>
    </xf>
    <xf numFmtId="195" fontId="17" fillId="36" borderId="43" xfId="0" applyNumberFormat="1" applyFont="1" applyFill="1" applyBorder="1" applyAlignment="1" applyProtection="1">
      <alignment horizontal="center"/>
    </xf>
    <xf numFmtId="195" fontId="17" fillId="0" borderId="44" xfId="0" applyNumberFormat="1" applyFont="1" applyBorder="1" applyAlignment="1" applyProtection="1">
      <alignment horizontal="center"/>
    </xf>
    <xf numFmtId="195" fontId="17" fillId="0" borderId="53" xfId="0" applyNumberFormat="1" applyFont="1" applyBorder="1" applyAlignment="1" applyProtection="1">
      <alignment horizontal="center"/>
    </xf>
    <xf numFmtId="0" fontId="17" fillId="0" borderId="48" xfId="0" applyFont="1" applyBorder="1" applyProtection="1"/>
    <xf numFmtId="0" fontId="17" fillId="0" borderId="47" xfId="0" applyFont="1" applyBorder="1" applyAlignment="1" applyProtection="1">
      <alignment horizontal="center"/>
    </xf>
    <xf numFmtId="2" fontId="17" fillId="0" borderId="48" xfId="0" applyNumberFormat="1" applyFont="1" applyBorder="1" applyAlignment="1" applyProtection="1">
      <alignment horizontal="center"/>
    </xf>
    <xf numFmtId="2" fontId="22" fillId="0" borderId="49" xfId="0" applyNumberFormat="1" applyFont="1" applyBorder="1" applyAlignment="1" applyProtection="1">
      <alignment horizontal="center"/>
    </xf>
    <xf numFmtId="1" fontId="22" fillId="0" borderId="0" xfId="0" applyNumberFormat="1" applyFont="1" applyAlignment="1" applyProtection="1">
      <alignment horizontal="center"/>
    </xf>
    <xf numFmtId="0" fontId="17" fillId="0" borderId="54" xfId="0" applyFont="1" applyBorder="1" applyAlignment="1" applyProtection="1">
      <alignment horizontal="center"/>
    </xf>
    <xf numFmtId="195" fontId="17" fillId="0" borderId="32" xfId="0" applyNumberFormat="1" applyFont="1" applyBorder="1" applyAlignment="1" applyProtection="1">
      <alignment horizontal="center"/>
    </xf>
    <xf numFmtId="195" fontId="22" fillId="0" borderId="55" xfId="0" applyNumberFormat="1" applyFont="1" applyBorder="1" applyAlignment="1" applyProtection="1">
      <alignment horizontal="center"/>
    </xf>
    <xf numFmtId="0" fontId="17" fillId="0" borderId="0" xfId="0" applyFont="1" applyAlignment="1" applyProtection="1">
      <alignment horizontal="center"/>
    </xf>
    <xf numFmtId="0" fontId="17" fillId="0" borderId="0" xfId="0" applyFont="1" applyBorder="1" applyAlignment="1" applyProtection="1">
      <alignment horizontal="center"/>
    </xf>
    <xf numFmtId="195" fontId="17" fillId="0" borderId="48" xfId="0" applyNumberFormat="1" applyFont="1" applyBorder="1" applyAlignment="1" applyProtection="1">
      <alignment horizontal="center"/>
    </xf>
    <xf numFmtId="0" fontId="17" fillId="0" borderId="48" xfId="0" applyFont="1" applyBorder="1" applyAlignment="1" applyProtection="1">
      <alignment horizontal="center"/>
    </xf>
    <xf numFmtId="195" fontId="22" fillId="0" borderId="56" xfId="0" applyNumberFormat="1" applyFont="1" applyBorder="1" applyAlignment="1" applyProtection="1">
      <alignment horizontal="center"/>
    </xf>
    <xf numFmtId="1" fontId="22" fillId="0" borderId="14" xfId="0" applyNumberFormat="1" applyFont="1" applyBorder="1" applyAlignment="1" applyProtection="1">
      <alignment horizontal="center"/>
    </xf>
    <xf numFmtId="195" fontId="22" fillId="0" borderId="14" xfId="0" applyNumberFormat="1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center"/>
    </xf>
    <xf numFmtId="0" fontId="21" fillId="0" borderId="0" xfId="0" applyFont="1" applyProtection="1"/>
    <xf numFmtId="14" fontId="0" fillId="0" borderId="0" xfId="0" applyNumberFormat="1" applyAlignment="1" applyProtection="1">
      <alignment horizontal="left"/>
    </xf>
    <xf numFmtId="194" fontId="25" fillId="37" borderId="48" xfId="0" applyNumberFormat="1" applyFont="1" applyFill="1" applyBorder="1" applyAlignment="1" applyProtection="1">
      <alignment horizontal="center"/>
      <protection hidden="1"/>
    </xf>
    <xf numFmtId="195" fontId="17" fillId="37" borderId="0" xfId="0" applyNumberFormat="1" applyFont="1" applyFill="1" applyAlignment="1" applyProtection="1">
      <alignment horizontal="center"/>
      <protection hidden="1"/>
    </xf>
    <xf numFmtId="195" fontId="17" fillId="37" borderId="0" xfId="0" applyNumberFormat="1" applyFont="1" applyFill="1" applyBorder="1" applyAlignment="1" applyProtection="1">
      <alignment horizontal="center"/>
      <protection hidden="1"/>
    </xf>
    <xf numFmtId="1" fontId="22" fillId="37" borderId="0" xfId="0" applyNumberFormat="1" applyFont="1" applyFill="1" applyBorder="1" applyAlignment="1" applyProtection="1">
      <alignment horizontal="center"/>
      <protection hidden="1"/>
    </xf>
    <xf numFmtId="1" fontId="17" fillId="37" borderId="0" xfId="0" applyNumberFormat="1" applyFont="1" applyFill="1" applyAlignment="1" applyProtection="1">
      <alignment horizontal="center"/>
      <protection hidden="1"/>
    </xf>
    <xf numFmtId="1" fontId="25" fillId="37" borderId="0" xfId="0" applyNumberFormat="1" applyFont="1" applyFill="1" applyAlignment="1" applyProtection="1">
      <alignment horizontal="center"/>
      <protection hidden="1"/>
    </xf>
    <xf numFmtId="2" fontId="17" fillId="37" borderId="0" xfId="0" applyNumberFormat="1" applyFont="1" applyFill="1" applyAlignment="1" applyProtection="1">
      <alignment horizontal="center"/>
      <protection hidden="1"/>
    </xf>
    <xf numFmtId="195" fontId="17" fillId="37" borderId="43" xfId="0" applyNumberFormat="1" applyFont="1" applyFill="1" applyBorder="1" applyAlignment="1" applyProtection="1">
      <alignment horizontal="center"/>
      <protection hidden="1"/>
    </xf>
    <xf numFmtId="0" fontId="22" fillId="37" borderId="56" xfId="0" applyFont="1" applyFill="1" applyBorder="1" applyAlignment="1">
      <alignment horizontal="center"/>
    </xf>
    <xf numFmtId="1" fontId="22" fillId="37" borderId="48" xfId="0" applyNumberFormat="1" applyFont="1" applyFill="1" applyBorder="1" applyAlignment="1" applyProtection="1">
      <alignment horizontal="center"/>
    </xf>
    <xf numFmtId="194" fontId="22" fillId="37" borderId="59" xfId="0" applyNumberFormat="1" applyFont="1" applyFill="1" applyBorder="1" applyAlignment="1" applyProtection="1">
      <alignment horizontal="center"/>
    </xf>
    <xf numFmtId="194" fontId="0" fillId="0" borderId="0" xfId="0" applyNumberFormat="1" applyAlignment="1">
      <alignment horizontal="center" vertical="distributed"/>
    </xf>
    <xf numFmtId="0" fontId="0" fillId="0" borderId="0" xfId="0" applyFill="1"/>
    <xf numFmtId="0" fontId="0" fillId="0" borderId="0" xfId="0" applyFill="1" applyBorder="1" applyProtection="1"/>
    <xf numFmtId="0" fontId="40" fillId="0" borderId="0" xfId="0" applyFont="1" applyAlignment="1">
      <alignment vertical="distributed"/>
    </xf>
    <xf numFmtId="0" fontId="34" fillId="0" borderId="0" xfId="0" applyFont="1"/>
    <xf numFmtId="0" fontId="26" fillId="0" borderId="62" xfId="0" applyFont="1" applyBorder="1" applyAlignment="1">
      <alignment vertical="distributed"/>
    </xf>
    <xf numFmtId="0" fontId="26" fillId="0" borderId="63" xfId="0" applyFont="1" applyBorder="1" applyAlignment="1">
      <alignment horizontal="center" vertical="distributed"/>
    </xf>
    <xf numFmtId="194" fontId="26" fillId="36" borderId="63" xfId="0" applyNumberFormat="1" applyFont="1" applyFill="1" applyBorder="1" applyAlignment="1">
      <alignment horizontal="center" vertical="distributed"/>
    </xf>
    <xf numFmtId="194" fontId="26" fillId="36" borderId="64" xfId="0" applyNumberFormat="1" applyFont="1" applyFill="1" applyBorder="1" applyAlignment="1">
      <alignment horizontal="center" vertical="distributed"/>
    </xf>
    <xf numFmtId="0" fontId="26" fillId="0" borderId="65" xfId="0" applyFont="1" applyBorder="1" applyAlignment="1">
      <alignment vertical="distributed"/>
    </xf>
    <xf numFmtId="0" fontId="26" fillId="0" borderId="30" xfId="0" applyFont="1" applyBorder="1" applyAlignment="1">
      <alignment horizontal="center" vertical="distributed"/>
    </xf>
    <xf numFmtId="194" fontId="26" fillId="36" borderId="30" xfId="0" applyNumberFormat="1" applyFont="1" applyFill="1" applyBorder="1" applyAlignment="1">
      <alignment horizontal="center" vertical="distributed"/>
    </xf>
    <xf numFmtId="194" fontId="26" fillId="36" borderId="66" xfId="0" applyNumberFormat="1" applyFont="1" applyFill="1" applyBorder="1" applyAlignment="1">
      <alignment horizontal="center" vertical="distributed"/>
    </xf>
    <xf numFmtId="0" fontId="26" fillId="0" borderId="67" xfId="0" applyFont="1" applyBorder="1" applyAlignment="1">
      <alignment vertical="distributed"/>
    </xf>
    <xf numFmtId="0" fontId="26" fillId="0" borderId="68" xfId="0" applyFont="1" applyBorder="1" applyAlignment="1">
      <alignment horizontal="center" vertical="distributed"/>
    </xf>
    <xf numFmtId="2" fontId="26" fillId="36" borderId="68" xfId="0" applyNumberFormat="1" applyFont="1" applyFill="1" applyBorder="1" applyAlignment="1">
      <alignment horizontal="center" vertical="distributed"/>
    </xf>
    <xf numFmtId="2" fontId="26" fillId="36" borderId="63" xfId="0" applyNumberFormat="1" applyFont="1" applyFill="1" applyBorder="1" applyAlignment="1">
      <alignment horizontal="center" vertical="distributed"/>
    </xf>
    <xf numFmtId="2" fontId="26" fillId="36" borderId="64" xfId="0" applyNumberFormat="1" applyFont="1" applyFill="1" applyBorder="1" applyAlignment="1">
      <alignment horizontal="center" vertical="distributed"/>
    </xf>
    <xf numFmtId="2" fontId="26" fillId="36" borderId="30" xfId="0" applyNumberFormat="1" applyFont="1" applyFill="1" applyBorder="1" applyAlignment="1">
      <alignment horizontal="center" vertical="distributed"/>
    </xf>
    <xf numFmtId="2" fontId="26" fillId="36" borderId="66" xfId="0" applyNumberFormat="1" applyFont="1" applyFill="1" applyBorder="1" applyAlignment="1">
      <alignment horizontal="center" vertical="distributed"/>
    </xf>
    <xf numFmtId="195" fontId="26" fillId="36" borderId="68" xfId="0" applyNumberFormat="1" applyFont="1" applyFill="1" applyBorder="1" applyAlignment="1">
      <alignment horizontal="center" vertical="distributed"/>
    </xf>
    <xf numFmtId="195" fontId="26" fillId="36" borderId="69" xfId="0" applyNumberFormat="1" applyFont="1" applyFill="1" applyBorder="1" applyAlignment="1">
      <alignment horizontal="center" vertical="distributed"/>
    </xf>
    <xf numFmtId="1" fontId="26" fillId="36" borderId="30" xfId="0" applyNumberFormat="1" applyFont="1" applyFill="1" applyBorder="1" applyAlignment="1">
      <alignment horizontal="center" vertical="distributed"/>
    </xf>
    <xf numFmtId="1" fontId="26" fillId="36" borderId="66" xfId="0" applyNumberFormat="1" applyFont="1" applyFill="1" applyBorder="1" applyAlignment="1">
      <alignment horizontal="center" vertical="distributed"/>
    </xf>
    <xf numFmtId="194" fontId="26" fillId="36" borderId="68" xfId="0" applyNumberFormat="1" applyFont="1" applyFill="1" applyBorder="1" applyAlignment="1">
      <alignment horizontal="center" vertical="distributed"/>
    </xf>
    <xf numFmtId="0" fontId="26" fillId="0" borderId="62" xfId="0" applyFont="1" applyBorder="1"/>
    <xf numFmtId="0" fontId="26" fillId="0" borderId="63" xfId="0" applyFont="1" applyBorder="1" applyAlignment="1" applyProtection="1">
      <alignment horizontal="center"/>
    </xf>
    <xf numFmtId="1" fontId="26" fillId="36" borderId="63" xfId="0" applyNumberFormat="1" applyFont="1" applyFill="1" applyBorder="1" applyAlignment="1" applyProtection="1">
      <alignment horizontal="center"/>
    </xf>
    <xf numFmtId="1" fontId="26" fillId="36" borderId="64" xfId="0" applyNumberFormat="1" applyFont="1" applyFill="1" applyBorder="1" applyAlignment="1" applyProtection="1">
      <alignment horizontal="center"/>
    </xf>
    <xf numFmtId="0" fontId="26" fillId="0" borderId="65" xfId="0" applyFont="1" applyBorder="1" applyAlignment="1" applyProtection="1">
      <alignment vertical="distributed"/>
    </xf>
    <xf numFmtId="0" fontId="26" fillId="0" borderId="30" xfId="0" applyFont="1" applyBorder="1" applyAlignment="1" applyProtection="1">
      <alignment horizontal="center" vertical="distributed"/>
    </xf>
    <xf numFmtId="1" fontId="26" fillId="36" borderId="30" xfId="0" applyNumberFormat="1" applyFont="1" applyFill="1" applyBorder="1" applyAlignment="1" applyProtection="1">
      <alignment horizontal="center" vertical="distributed"/>
    </xf>
    <xf numFmtId="1" fontId="26" fillId="36" borderId="66" xfId="0" applyNumberFormat="1" applyFont="1" applyFill="1" applyBorder="1" applyAlignment="1" applyProtection="1">
      <alignment horizontal="center" vertical="distributed"/>
    </xf>
    <xf numFmtId="195" fontId="26" fillId="36" borderId="30" xfId="0" applyNumberFormat="1" applyFont="1" applyFill="1" applyBorder="1" applyAlignment="1">
      <alignment horizontal="center" vertical="distributed"/>
    </xf>
    <xf numFmtId="195" fontId="26" fillId="36" borderId="66" xfId="0" applyNumberFormat="1" applyFont="1" applyFill="1" applyBorder="1" applyAlignment="1">
      <alignment horizontal="center" vertical="distributed"/>
    </xf>
    <xf numFmtId="196" fontId="26" fillId="36" borderId="30" xfId="0" applyNumberFormat="1" applyFont="1" applyFill="1" applyBorder="1" applyAlignment="1">
      <alignment horizontal="center" vertical="distributed"/>
    </xf>
    <xf numFmtId="196" fontId="26" fillId="36" borderId="66" xfId="0" applyNumberFormat="1" applyFont="1" applyFill="1" applyBorder="1" applyAlignment="1">
      <alignment horizontal="center" vertical="distributed"/>
    </xf>
    <xf numFmtId="196" fontId="26" fillId="36" borderId="68" xfId="0" applyNumberFormat="1" applyFont="1" applyFill="1" applyBorder="1" applyAlignment="1">
      <alignment horizontal="center" vertical="distributed"/>
    </xf>
    <xf numFmtId="196" fontId="26" fillId="36" borderId="69" xfId="0" applyNumberFormat="1" applyFont="1" applyFill="1" applyBorder="1" applyAlignment="1">
      <alignment horizontal="center" vertical="distributed"/>
    </xf>
    <xf numFmtId="0" fontId="18" fillId="0" borderId="0" xfId="0" applyFont="1" applyProtection="1"/>
    <xf numFmtId="0" fontId="33" fillId="0" borderId="0" xfId="0" applyFont="1" applyAlignment="1">
      <alignment vertical="distributed"/>
    </xf>
    <xf numFmtId="0" fontId="18" fillId="0" borderId="0" xfId="0" applyFont="1"/>
    <xf numFmtId="194" fontId="25" fillId="37" borderId="48" xfId="0" applyNumberFormat="1" applyFont="1" applyFill="1" applyBorder="1" applyAlignment="1" applyProtection="1">
      <alignment horizontal="center"/>
    </xf>
    <xf numFmtId="194" fontId="25" fillId="35" borderId="48" xfId="0" applyNumberFormat="1" applyFont="1" applyFill="1" applyBorder="1" applyAlignment="1" applyProtection="1">
      <alignment horizontal="center"/>
    </xf>
    <xf numFmtId="195" fontId="25" fillId="36" borderId="48" xfId="0" applyNumberFormat="1" applyFont="1" applyFill="1" applyBorder="1" applyAlignment="1" applyProtection="1">
      <alignment horizontal="center"/>
    </xf>
    <xf numFmtId="195" fontId="17" fillId="37" borderId="0" xfId="0" applyNumberFormat="1" applyFont="1" applyFill="1" applyAlignment="1" applyProtection="1">
      <alignment horizontal="center"/>
    </xf>
    <xf numFmtId="195" fontId="17" fillId="35" borderId="0" xfId="0" applyNumberFormat="1" applyFont="1" applyFill="1" applyAlignment="1" applyProtection="1">
      <alignment horizontal="center"/>
    </xf>
    <xf numFmtId="195" fontId="17" fillId="35" borderId="0" xfId="0" applyNumberFormat="1" applyFont="1" applyFill="1" applyBorder="1" applyAlignment="1" applyProtection="1">
      <alignment horizontal="center"/>
    </xf>
    <xf numFmtId="195" fontId="17" fillId="37" borderId="0" xfId="0" applyNumberFormat="1" applyFont="1" applyFill="1" applyBorder="1" applyAlignment="1" applyProtection="1">
      <alignment horizontal="center"/>
    </xf>
    <xf numFmtId="1" fontId="17" fillId="37" borderId="0" xfId="0" applyNumberFormat="1" applyFont="1" applyFill="1" applyAlignment="1" applyProtection="1">
      <alignment horizontal="center"/>
    </xf>
    <xf numFmtId="1" fontId="17" fillId="37" borderId="0" xfId="0" applyNumberFormat="1" applyFont="1" applyFill="1" applyBorder="1" applyAlignment="1" applyProtection="1">
      <alignment horizontal="center"/>
    </xf>
    <xf numFmtId="1" fontId="22" fillId="37" borderId="0" xfId="0" applyNumberFormat="1" applyFont="1" applyFill="1" applyBorder="1" applyAlignment="1" applyProtection="1">
      <alignment horizontal="center"/>
    </xf>
    <xf numFmtId="1" fontId="22" fillId="35" borderId="0" xfId="0" applyNumberFormat="1" applyFont="1" applyFill="1" applyBorder="1" applyAlignment="1" applyProtection="1">
      <alignment horizontal="center"/>
    </xf>
    <xf numFmtId="1" fontId="17" fillId="35" borderId="0" xfId="0" applyNumberFormat="1" applyFont="1" applyFill="1" applyAlignment="1" applyProtection="1">
      <alignment horizontal="center"/>
    </xf>
    <xf numFmtId="1" fontId="17" fillId="35" borderId="0" xfId="0" applyNumberFormat="1" applyFont="1" applyFill="1" applyBorder="1" applyAlignment="1" applyProtection="1">
      <alignment horizontal="center"/>
    </xf>
    <xf numFmtId="1" fontId="25" fillId="37" borderId="0" xfId="0" applyNumberFormat="1" applyFont="1" applyFill="1" applyAlignment="1" applyProtection="1">
      <alignment horizontal="center"/>
    </xf>
    <xf numFmtId="1" fontId="25" fillId="35" borderId="0" xfId="0" applyNumberFormat="1" applyFont="1" applyFill="1" applyAlignment="1" applyProtection="1">
      <alignment horizontal="center"/>
    </xf>
    <xf numFmtId="1" fontId="25" fillId="35" borderId="0" xfId="0" applyNumberFormat="1" applyFont="1" applyFill="1" applyBorder="1" applyAlignment="1" applyProtection="1">
      <alignment horizontal="center"/>
    </xf>
    <xf numFmtId="2" fontId="17" fillId="37" borderId="0" xfId="0" applyNumberFormat="1" applyFont="1" applyFill="1" applyAlignment="1" applyProtection="1">
      <alignment horizontal="center"/>
    </xf>
    <xf numFmtId="2" fontId="17" fillId="35" borderId="0" xfId="0" applyNumberFormat="1" applyFont="1" applyFill="1" applyAlignment="1" applyProtection="1">
      <alignment horizontal="center"/>
    </xf>
    <xf numFmtId="2" fontId="17" fillId="35" borderId="0" xfId="0" applyNumberFormat="1" applyFont="1" applyFill="1" applyBorder="1" applyAlignment="1" applyProtection="1">
      <alignment horizontal="center"/>
    </xf>
    <xf numFmtId="195" fontId="17" fillId="37" borderId="43" xfId="0" applyNumberFormat="1" applyFont="1" applyFill="1" applyBorder="1" applyAlignment="1" applyProtection="1">
      <alignment horizontal="center"/>
    </xf>
    <xf numFmtId="195" fontId="17" fillId="35" borderId="43" xfId="0" applyNumberFormat="1" applyFont="1" applyFill="1" applyBorder="1" applyAlignment="1" applyProtection="1">
      <alignment horizontal="center"/>
    </xf>
    <xf numFmtId="0" fontId="18" fillId="0" borderId="0" xfId="0" applyFont="1" applyAlignment="1">
      <alignment horizontal="center"/>
    </xf>
    <xf numFmtId="0" fontId="17" fillId="27" borderId="26" xfId="0" applyFont="1" applyFill="1" applyBorder="1" applyProtection="1">
      <protection locked="0"/>
    </xf>
    <xf numFmtId="195" fontId="17" fillId="0" borderId="29" xfId="0" applyNumberFormat="1" applyFont="1" applyBorder="1" applyAlignment="1" applyProtection="1">
      <alignment horizontal="center"/>
    </xf>
    <xf numFmtId="1" fontId="22" fillId="0" borderId="15" xfId="0" applyNumberFormat="1" applyFont="1" applyBorder="1" applyAlignment="1" applyProtection="1">
      <alignment horizontal="center"/>
    </xf>
    <xf numFmtId="1" fontId="17" fillId="0" borderId="20" xfId="0" applyNumberFormat="1" applyFont="1" applyBorder="1" applyAlignment="1" applyProtection="1">
      <alignment horizontal="center"/>
    </xf>
    <xf numFmtId="0" fontId="17" fillId="0" borderId="60" xfId="0" applyFont="1" applyBorder="1" applyProtection="1"/>
    <xf numFmtId="195" fontId="17" fillId="0" borderId="70" xfId="0" applyNumberFormat="1" applyFont="1" applyBorder="1" applyAlignment="1" applyProtection="1">
      <alignment horizontal="center"/>
    </xf>
    <xf numFmtId="2" fontId="2" fillId="0" borderId="0" xfId="0" applyNumberFormat="1" applyFont="1" applyBorder="1" applyAlignment="1" applyProtection="1">
      <alignment horizontal="center"/>
    </xf>
    <xf numFmtId="0" fontId="22" fillId="0" borderId="36" xfId="0" applyFont="1" applyBorder="1" applyProtection="1"/>
    <xf numFmtId="195" fontId="2" fillId="0" borderId="0" xfId="0" applyNumberFormat="1" applyFont="1" applyBorder="1" applyAlignment="1" applyProtection="1">
      <alignment horizontal="center"/>
    </xf>
    <xf numFmtId="0" fontId="30" fillId="0" borderId="0" xfId="0" applyFont="1" applyProtection="1"/>
    <xf numFmtId="0" fontId="22" fillId="0" borderId="0" xfId="0" applyFont="1" applyProtection="1"/>
    <xf numFmtId="0" fontId="44" fillId="0" borderId="0" xfId="0" applyFont="1"/>
    <xf numFmtId="0" fontId="30" fillId="38" borderId="71" xfId="0" applyFont="1" applyFill="1" applyBorder="1" applyProtection="1"/>
    <xf numFmtId="0" fontId="17" fillId="38" borderId="71" xfId="0" applyFont="1" applyFill="1" applyBorder="1" applyProtection="1"/>
    <xf numFmtId="0" fontId="17" fillId="0" borderId="30" xfId="0" applyFont="1" applyBorder="1" applyAlignment="1" applyProtection="1">
      <alignment horizontal="center"/>
    </xf>
    <xf numFmtId="2" fontId="17" fillId="0" borderId="30" xfId="0" applyNumberFormat="1" applyFont="1" applyBorder="1" applyAlignment="1" applyProtection="1">
      <alignment horizontal="center"/>
      <protection locked="0"/>
    </xf>
    <xf numFmtId="0" fontId="30" fillId="38" borderId="48" xfId="0" applyFont="1" applyFill="1" applyBorder="1" applyProtection="1"/>
    <xf numFmtId="0" fontId="22" fillId="38" borderId="48" xfId="0" applyFont="1" applyFill="1" applyBorder="1" applyAlignment="1" applyProtection="1">
      <alignment horizontal="center"/>
    </xf>
    <xf numFmtId="0" fontId="17" fillId="38" borderId="60" xfId="0" applyFont="1" applyFill="1" applyBorder="1" applyProtection="1"/>
    <xf numFmtId="0" fontId="22" fillId="38" borderId="60" xfId="0" applyFont="1" applyFill="1" applyBorder="1" applyAlignment="1" applyProtection="1">
      <alignment horizontal="center"/>
    </xf>
    <xf numFmtId="2" fontId="17" fillId="0" borderId="0" xfId="0" applyNumberFormat="1" applyFont="1" applyBorder="1" applyAlignment="1" applyProtection="1">
      <alignment horizontal="center"/>
      <protection locked="0"/>
    </xf>
    <xf numFmtId="2" fontId="17" fillId="0" borderId="0" xfId="0" applyNumberFormat="1" applyFont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</xf>
    <xf numFmtId="1" fontId="22" fillId="0" borderId="36" xfId="0" applyNumberFormat="1" applyFont="1" applyBorder="1" applyAlignment="1" applyProtection="1">
      <alignment horizontal="center"/>
    </xf>
    <xf numFmtId="0" fontId="22" fillId="0" borderId="0" xfId="0" applyFont="1" applyBorder="1" applyProtection="1"/>
    <xf numFmtId="0" fontId="49" fillId="0" borderId="0" xfId="0" applyFont="1" applyBorder="1" applyAlignment="1" applyProtection="1">
      <alignment horizontal="center"/>
    </xf>
    <xf numFmtId="2" fontId="17" fillId="0" borderId="0" xfId="0" quotePrefix="1" applyNumberFormat="1" applyFont="1" applyAlignment="1" applyProtection="1">
      <alignment horizontal="center"/>
    </xf>
    <xf numFmtId="1" fontId="49" fillId="0" borderId="0" xfId="0" applyNumberFormat="1" applyFont="1" applyBorder="1" applyAlignment="1" applyProtection="1">
      <alignment horizontal="center"/>
    </xf>
    <xf numFmtId="0" fontId="17" fillId="0" borderId="24" xfId="0" applyFont="1" applyBorder="1" applyAlignment="1" applyProtection="1">
      <alignment horizontal="center"/>
    </xf>
    <xf numFmtId="1" fontId="17" fillId="0" borderId="24" xfId="0" applyNumberFormat="1" applyFont="1" applyBorder="1" applyAlignment="1" applyProtection="1">
      <alignment horizontal="center"/>
    </xf>
    <xf numFmtId="0" fontId="17" fillId="0" borderId="0" xfId="0" applyFont="1" applyFill="1" applyBorder="1" applyProtection="1"/>
    <xf numFmtId="0" fontId="17" fillId="0" borderId="0" xfId="0" applyFont="1" applyFill="1" applyBorder="1" applyAlignment="1" applyProtection="1">
      <alignment horizontal="center"/>
    </xf>
    <xf numFmtId="1" fontId="17" fillId="0" borderId="30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1" fontId="17" fillId="0" borderId="0" xfId="0" applyNumberFormat="1" applyFont="1" applyFill="1" applyBorder="1" applyAlignment="1" applyProtection="1">
      <alignment horizontal="center"/>
    </xf>
    <xf numFmtId="0" fontId="17" fillId="0" borderId="72" xfId="0" applyFont="1" applyBorder="1" applyProtection="1"/>
    <xf numFmtId="204" fontId="17" fillId="0" borderId="60" xfId="0" applyNumberFormat="1" applyFont="1" applyBorder="1" applyProtection="1"/>
    <xf numFmtId="0" fontId="22" fillId="38" borderId="46" xfId="0" applyFont="1" applyFill="1" applyBorder="1" applyAlignment="1" applyProtection="1">
      <alignment horizontal="center"/>
    </xf>
    <xf numFmtId="0" fontId="22" fillId="38" borderId="73" xfId="0" applyFont="1" applyFill="1" applyBorder="1" applyAlignment="1" applyProtection="1">
      <alignment horizontal="center"/>
    </xf>
    <xf numFmtId="0" fontId="22" fillId="0" borderId="37" xfId="0" applyFont="1" applyBorder="1" applyAlignment="1" applyProtection="1">
      <alignment horizontal="center"/>
    </xf>
    <xf numFmtId="1" fontId="22" fillId="0" borderId="37" xfId="0" applyNumberFormat="1" applyFont="1" applyBorder="1" applyAlignment="1" applyProtection="1">
      <alignment horizontal="center"/>
    </xf>
    <xf numFmtId="0" fontId="17" fillId="38" borderId="74" xfId="0" applyFont="1" applyFill="1" applyBorder="1" applyProtection="1"/>
    <xf numFmtId="204" fontId="17" fillId="0" borderId="73" xfId="0" applyNumberFormat="1" applyFont="1" applyBorder="1" applyProtection="1"/>
    <xf numFmtId="0" fontId="17" fillId="0" borderId="0" xfId="0" applyFont="1" applyFill="1" applyProtection="1"/>
    <xf numFmtId="1" fontId="49" fillId="0" borderId="0" xfId="0" applyNumberFormat="1" applyFont="1" applyFill="1" applyBorder="1" applyAlignment="1" applyProtection="1">
      <alignment horizontal="center"/>
    </xf>
    <xf numFmtId="0" fontId="17" fillId="0" borderId="36" xfId="0" applyFont="1" applyFill="1" applyBorder="1" applyProtection="1"/>
    <xf numFmtId="0" fontId="17" fillId="0" borderId="36" xfId="0" applyFont="1" applyFill="1" applyBorder="1" applyAlignment="1" applyProtection="1">
      <alignment horizontal="center"/>
    </xf>
    <xf numFmtId="0" fontId="25" fillId="0" borderId="0" xfId="0" applyFont="1" applyFill="1" applyBorder="1" applyAlignment="1" applyProtection="1">
      <alignment horizontal="center"/>
    </xf>
    <xf numFmtId="1" fontId="25" fillId="0" borderId="0" xfId="0" applyNumberFormat="1" applyFont="1" applyAlignment="1">
      <alignment horizontal="center"/>
    </xf>
    <xf numFmtId="0" fontId="0" fillId="0" borderId="0" xfId="0" applyProtection="1">
      <protection locked="0"/>
    </xf>
    <xf numFmtId="0" fontId="22" fillId="38" borderId="75" xfId="0" applyFont="1" applyFill="1" applyBorder="1" applyAlignment="1" applyProtection="1">
      <alignment horizontal="center"/>
    </xf>
    <xf numFmtId="0" fontId="17" fillId="0" borderId="63" xfId="0" applyFont="1" applyBorder="1" applyAlignment="1" applyProtection="1">
      <alignment horizontal="center"/>
    </xf>
    <xf numFmtId="2" fontId="17" fillId="0" borderId="30" xfId="0" applyNumberFormat="1" applyFont="1" applyBorder="1" applyAlignment="1" applyProtection="1">
      <alignment horizontal="center"/>
    </xf>
    <xf numFmtId="2" fontId="2" fillId="0" borderId="30" xfId="0" applyNumberFormat="1" applyFont="1" applyBorder="1" applyAlignment="1" applyProtection="1">
      <alignment horizontal="center"/>
    </xf>
    <xf numFmtId="2" fontId="2" fillId="0" borderId="30" xfId="0" applyNumberFormat="1" applyFont="1" applyBorder="1" applyProtection="1"/>
    <xf numFmtId="195" fontId="2" fillId="0" borderId="30" xfId="0" applyNumberFormat="1" applyFont="1" applyBorder="1" applyAlignment="1" applyProtection="1">
      <alignment horizontal="center"/>
    </xf>
    <xf numFmtId="204" fontId="17" fillId="0" borderId="0" xfId="0" applyNumberFormat="1" applyFont="1" applyProtection="1"/>
    <xf numFmtId="0" fontId="17" fillId="0" borderId="30" xfId="0" applyFont="1" applyFill="1" applyBorder="1" applyAlignment="1" applyProtection="1">
      <alignment horizontal="center"/>
    </xf>
    <xf numFmtId="1" fontId="17" fillId="0" borderId="30" xfId="0" applyNumberFormat="1" applyFont="1" applyBorder="1" applyAlignment="1" applyProtection="1">
      <alignment horizontal="center"/>
    </xf>
    <xf numFmtId="1" fontId="2" fillId="0" borderId="30" xfId="0" applyNumberFormat="1" applyFont="1" applyBorder="1" applyAlignment="1" applyProtection="1">
      <alignment horizontal="center"/>
    </xf>
    <xf numFmtId="2" fontId="17" fillId="0" borderId="30" xfId="0" quotePrefix="1" applyNumberFormat="1" applyFont="1" applyBorder="1" applyAlignment="1" applyProtection="1">
      <alignment horizontal="center"/>
    </xf>
    <xf numFmtId="0" fontId="17" fillId="0" borderId="0" xfId="0" applyFont="1" applyBorder="1" applyProtection="1">
      <protection locked="0"/>
    </xf>
    <xf numFmtId="0" fontId="17" fillId="0" borderId="0" xfId="0" applyFont="1" applyProtection="1">
      <protection locked="0"/>
    </xf>
    <xf numFmtId="0" fontId="22" fillId="0" borderId="36" xfId="0" applyFont="1" applyFill="1" applyBorder="1" applyProtection="1"/>
    <xf numFmtId="1" fontId="22" fillId="0" borderId="36" xfId="0" applyNumberFormat="1" applyFont="1" applyFill="1" applyBorder="1" applyAlignment="1" applyProtection="1">
      <alignment horizontal="center"/>
    </xf>
    <xf numFmtId="0" fontId="17" fillId="0" borderId="24" xfId="0" applyFont="1" applyFill="1" applyBorder="1" applyAlignment="1" applyProtection="1">
      <alignment horizontal="center"/>
    </xf>
    <xf numFmtId="1" fontId="17" fillId="0" borderId="24" xfId="0" applyNumberFormat="1" applyFont="1" applyFill="1" applyBorder="1" applyAlignment="1" applyProtection="1">
      <alignment horizontal="center"/>
    </xf>
    <xf numFmtId="0" fontId="17" fillId="0" borderId="0" xfId="0" applyFont="1" applyFill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" fontId="2" fillId="0" borderId="36" xfId="0" applyNumberFormat="1" applyFont="1" applyFill="1" applyBorder="1" applyAlignment="1" applyProtection="1">
      <alignment horizontal="center"/>
    </xf>
    <xf numFmtId="0" fontId="0" fillId="0" borderId="29" xfId="0" applyBorder="1"/>
    <xf numFmtId="2" fontId="2" fillId="0" borderId="0" xfId="0" applyNumberFormat="1" applyFont="1" applyBorder="1" applyProtection="1"/>
    <xf numFmtId="1" fontId="17" fillId="0" borderId="0" xfId="0" quotePrefix="1" applyNumberFormat="1" applyFont="1" applyBorder="1" applyAlignment="1" applyProtection="1">
      <alignment horizontal="center"/>
    </xf>
    <xf numFmtId="2" fontId="17" fillId="0" borderId="0" xfId="0" quotePrefix="1" applyNumberFormat="1" applyFont="1" applyBorder="1" applyAlignment="1" applyProtection="1">
      <alignment horizontal="center"/>
    </xf>
    <xf numFmtId="0" fontId="22" fillId="0" borderId="0" xfId="0" applyFont="1" applyFill="1" applyBorder="1" applyAlignment="1" applyProtection="1">
      <alignment horizontal="center"/>
    </xf>
    <xf numFmtId="2" fontId="17" fillId="0" borderId="30" xfId="0" applyNumberFormat="1" applyFont="1" applyFill="1" applyBorder="1" applyAlignment="1" applyProtection="1">
      <alignment horizontal="center"/>
      <protection locked="0"/>
    </xf>
    <xf numFmtId="1" fontId="17" fillId="0" borderId="30" xfId="0" applyNumberFormat="1" applyFont="1" applyFill="1" applyBorder="1" applyAlignment="1" applyProtection="1">
      <alignment horizontal="center"/>
      <protection locked="0"/>
    </xf>
    <xf numFmtId="195" fontId="17" fillId="0" borderId="30" xfId="0" applyNumberFormat="1" applyFont="1" applyFill="1" applyBorder="1" applyAlignment="1" applyProtection="1">
      <alignment horizontal="center"/>
    </xf>
    <xf numFmtId="1" fontId="17" fillId="0" borderId="30" xfId="0" applyNumberFormat="1" applyFont="1" applyFill="1" applyBorder="1" applyAlignment="1" applyProtection="1">
      <alignment horizontal="center"/>
    </xf>
    <xf numFmtId="0" fontId="22" fillId="39" borderId="71" xfId="0" applyFont="1" applyFill="1" applyBorder="1" applyAlignment="1" applyProtection="1">
      <alignment horizontal="center"/>
    </xf>
    <xf numFmtId="1" fontId="22" fillId="39" borderId="76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195" fontId="25" fillId="0" borderId="0" xfId="0" applyNumberFormat="1" applyFont="1" applyAlignment="1">
      <alignment horizontal="center"/>
    </xf>
    <xf numFmtId="0" fontId="0" fillId="0" borderId="0" xfId="0" applyBorder="1"/>
    <xf numFmtId="0" fontId="18" fillId="39" borderId="0" xfId="0" applyFont="1" applyFill="1" applyProtection="1"/>
    <xf numFmtId="0" fontId="48" fillId="39" borderId="0" xfId="0" applyFont="1" applyFill="1" applyProtection="1"/>
    <xf numFmtId="0" fontId="48" fillId="39" borderId="0" xfId="0" applyFont="1" applyFill="1" applyAlignment="1" applyProtection="1">
      <alignment horizontal="center"/>
    </xf>
    <xf numFmtId="0" fontId="0" fillId="39" borderId="0" xfId="0" applyFill="1" applyProtection="1"/>
    <xf numFmtId="0" fontId="0" fillId="39" borderId="0" xfId="0" applyFill="1"/>
    <xf numFmtId="0" fontId="0" fillId="39" borderId="20" xfId="0" applyFill="1" applyBorder="1" applyProtection="1"/>
    <xf numFmtId="0" fontId="22" fillId="0" borderId="36" xfId="0" applyFont="1" applyBorder="1" applyAlignment="1" applyProtection="1">
      <alignment horizontal="center"/>
    </xf>
    <xf numFmtId="0" fontId="18" fillId="39" borderId="29" xfId="0" applyFont="1" applyFill="1" applyBorder="1" applyAlignment="1" applyProtection="1">
      <alignment horizontal="center"/>
    </xf>
    <xf numFmtId="0" fontId="30" fillId="0" borderId="29" xfId="0" applyFont="1" applyBorder="1" applyProtection="1"/>
    <xf numFmtId="0" fontId="17" fillId="0" borderId="20" xfId="0" applyFont="1" applyBorder="1" applyAlignment="1" applyProtection="1">
      <alignment horizontal="center"/>
    </xf>
    <xf numFmtId="0" fontId="17" fillId="0" borderId="46" xfId="0" applyFont="1" applyBorder="1" applyAlignment="1" applyProtection="1">
      <alignment horizontal="center"/>
    </xf>
    <xf numFmtId="0" fontId="17" fillId="0" borderId="20" xfId="0" applyFont="1" applyFill="1" applyBorder="1" applyAlignment="1" applyProtection="1">
      <alignment horizontal="center"/>
    </xf>
    <xf numFmtId="0" fontId="18" fillId="39" borderId="30" xfId="0" applyFont="1" applyFill="1" applyBorder="1" applyAlignment="1" applyProtection="1">
      <alignment horizontal="center"/>
    </xf>
    <xf numFmtId="0" fontId="30" fillId="0" borderId="30" xfId="0" applyFont="1" applyBorder="1" applyProtection="1"/>
    <xf numFmtId="0" fontId="30" fillId="38" borderId="75" xfId="0" applyFont="1" applyFill="1" applyBorder="1" applyProtection="1"/>
    <xf numFmtId="0" fontId="17" fillId="0" borderId="30" xfId="0" applyFont="1" applyBorder="1" applyProtection="1"/>
    <xf numFmtId="0" fontId="30" fillId="38" borderId="63" xfId="0" applyFont="1" applyFill="1" applyBorder="1" applyProtection="1"/>
    <xf numFmtId="0" fontId="17" fillId="38" borderId="68" xfId="0" applyFont="1" applyFill="1" applyBorder="1" applyProtection="1"/>
    <xf numFmtId="0" fontId="17" fillId="0" borderId="27" xfId="0" applyFont="1" applyBorder="1" applyProtection="1"/>
    <xf numFmtId="0" fontId="17" fillId="0" borderId="30" xfId="0" applyFont="1" applyFill="1" applyBorder="1" applyProtection="1"/>
    <xf numFmtId="0" fontId="17" fillId="0" borderId="26" xfId="0" applyFont="1" applyFill="1" applyBorder="1" applyProtection="1"/>
    <xf numFmtId="0" fontId="25" fillId="0" borderId="30" xfId="0" applyFont="1" applyFill="1" applyBorder="1" applyProtection="1"/>
    <xf numFmtId="0" fontId="18" fillId="39" borderId="30" xfId="0" applyFont="1" applyFill="1" applyBorder="1" applyProtection="1"/>
    <xf numFmtId="0" fontId="17" fillId="0" borderId="30" xfId="0" applyFont="1" applyBorder="1" applyProtection="1">
      <protection locked="0"/>
    </xf>
    <xf numFmtId="0" fontId="22" fillId="0" borderId="30" xfId="0" applyFont="1" applyBorder="1" applyProtection="1"/>
    <xf numFmtId="0" fontId="22" fillId="0" borderId="26" xfId="0" applyFont="1" applyFill="1" applyBorder="1" applyProtection="1"/>
    <xf numFmtId="0" fontId="17" fillId="0" borderId="27" xfId="0" applyFont="1" applyFill="1" applyBorder="1" applyProtection="1"/>
    <xf numFmtId="0" fontId="0" fillId="0" borderId="30" xfId="0" applyBorder="1"/>
    <xf numFmtId="0" fontId="22" fillId="39" borderId="75" xfId="0" applyFont="1" applyFill="1" applyBorder="1" applyProtection="1"/>
    <xf numFmtId="194" fontId="25" fillId="0" borderId="0" xfId="0" applyNumberFormat="1" applyFont="1" applyAlignment="1">
      <alignment horizontal="center"/>
    </xf>
    <xf numFmtId="0" fontId="25" fillId="0" borderId="36" xfId="0" applyFont="1" applyBorder="1" applyAlignment="1">
      <alignment horizontal="center"/>
    </xf>
    <xf numFmtId="1" fontId="56" fillId="0" borderId="0" xfId="0" applyNumberFormat="1" applyFont="1" applyAlignment="1" applyProtection="1">
      <alignment horizontal="center"/>
    </xf>
    <xf numFmtId="0" fontId="22" fillId="37" borderId="56" xfId="0" applyFont="1" applyFill="1" applyBorder="1" applyAlignment="1" applyProtection="1">
      <alignment horizontal="center"/>
    </xf>
    <xf numFmtId="0" fontId="22" fillId="35" borderId="56" xfId="0" applyFont="1" applyFill="1" applyBorder="1" applyAlignment="1" applyProtection="1">
      <alignment horizontal="center"/>
    </xf>
    <xf numFmtId="0" fontId="17" fillId="40" borderId="65" xfId="0" applyFont="1" applyFill="1" applyBorder="1" applyProtection="1"/>
    <xf numFmtId="1" fontId="17" fillId="40" borderId="29" xfId="0" applyNumberFormat="1" applyFont="1" applyFill="1" applyBorder="1" applyAlignment="1" applyProtection="1">
      <alignment horizontal="center"/>
    </xf>
    <xf numFmtId="1" fontId="17" fillId="40" borderId="0" xfId="0" applyNumberFormat="1" applyFont="1" applyFill="1" applyBorder="1" applyAlignment="1" applyProtection="1">
      <alignment horizontal="center"/>
    </xf>
    <xf numFmtId="194" fontId="17" fillId="40" borderId="29" xfId="0" applyNumberFormat="1" applyFont="1" applyFill="1" applyBorder="1" applyAlignment="1" applyProtection="1">
      <alignment horizontal="center"/>
    </xf>
    <xf numFmtId="194" fontId="17" fillId="40" borderId="0" xfId="0" applyNumberFormat="1" applyFont="1" applyFill="1" applyBorder="1" applyAlignment="1" applyProtection="1">
      <alignment horizontal="center"/>
    </xf>
    <xf numFmtId="1" fontId="22" fillId="40" borderId="0" xfId="0" applyNumberFormat="1" applyFont="1" applyFill="1" applyBorder="1" applyAlignment="1" applyProtection="1">
      <alignment horizontal="center"/>
    </xf>
    <xf numFmtId="1" fontId="17" fillId="0" borderId="51" xfId="0" applyNumberFormat="1" applyFont="1" applyFill="1" applyBorder="1" applyAlignment="1" applyProtection="1">
      <alignment horizontal="center"/>
    </xf>
    <xf numFmtId="194" fontId="17" fillId="0" borderId="51" xfId="0" applyNumberFormat="1" applyFont="1" applyFill="1" applyBorder="1" applyAlignment="1" applyProtection="1">
      <alignment horizontal="center"/>
    </xf>
    <xf numFmtId="0" fontId="17" fillId="0" borderId="29" xfId="0" applyFont="1" applyBorder="1" applyAlignment="1" applyProtection="1">
      <alignment horizontal="center"/>
    </xf>
    <xf numFmtId="0" fontId="17" fillId="40" borderId="29" xfId="0" applyFont="1" applyFill="1" applyBorder="1" applyAlignment="1" applyProtection="1">
      <alignment horizontal="center"/>
    </xf>
    <xf numFmtId="1" fontId="17" fillId="40" borderId="15" xfId="0" applyNumberFormat="1" applyFont="1" applyFill="1" applyBorder="1" applyAlignment="1" applyProtection="1">
      <alignment horizontal="center"/>
    </xf>
    <xf numFmtId="194" fontId="17" fillId="40" borderId="15" xfId="0" applyNumberFormat="1" applyFont="1" applyFill="1" applyBorder="1" applyAlignment="1" applyProtection="1">
      <alignment horizontal="center"/>
    </xf>
    <xf numFmtId="1" fontId="22" fillId="40" borderId="29" xfId="0" applyNumberFormat="1" applyFont="1" applyFill="1" applyBorder="1" applyAlignment="1" applyProtection="1">
      <alignment horizontal="center"/>
    </xf>
    <xf numFmtId="1" fontId="22" fillId="40" borderId="15" xfId="0" applyNumberFormat="1" applyFont="1" applyFill="1" applyBorder="1" applyAlignment="1" applyProtection="1">
      <alignment horizontal="center"/>
    </xf>
    <xf numFmtId="0" fontId="17" fillId="34" borderId="26" xfId="0" applyFont="1" applyFill="1" applyBorder="1" applyProtection="1"/>
    <xf numFmtId="1" fontId="17" fillId="32" borderId="26" xfId="0" applyNumberFormat="1" applyFont="1" applyFill="1" applyBorder="1" applyAlignment="1" applyProtection="1">
      <alignment horizontal="center"/>
    </xf>
    <xf numFmtId="194" fontId="17" fillId="32" borderId="26" xfId="0" applyNumberFormat="1" applyFont="1" applyFill="1" applyBorder="1" applyAlignment="1" applyProtection="1">
      <alignment horizontal="center"/>
    </xf>
    <xf numFmtId="0" fontId="22" fillId="0" borderId="65" xfId="0" applyFont="1" applyFill="1" applyBorder="1" applyProtection="1"/>
    <xf numFmtId="1" fontId="22" fillId="0" borderId="0" xfId="0" applyNumberFormat="1" applyFont="1" applyFill="1" applyBorder="1" applyAlignment="1" applyProtection="1">
      <alignment horizontal="center"/>
    </xf>
    <xf numFmtId="1" fontId="22" fillId="0" borderId="15" xfId="0" applyNumberFormat="1" applyFont="1" applyFill="1" applyBorder="1" applyAlignment="1" applyProtection="1">
      <alignment horizontal="center"/>
    </xf>
    <xf numFmtId="2" fontId="17" fillId="34" borderId="26" xfId="0" applyNumberFormat="1" applyFont="1" applyFill="1" applyBorder="1" applyAlignment="1" applyProtection="1">
      <alignment horizontal="center"/>
    </xf>
    <xf numFmtId="1" fontId="17" fillId="40" borderId="50" xfId="0" applyNumberFormat="1" applyFont="1" applyFill="1" applyBorder="1" applyAlignment="1" applyProtection="1">
      <alignment horizontal="center"/>
    </xf>
    <xf numFmtId="194" fontId="17" fillId="40" borderId="50" xfId="0" applyNumberFormat="1" applyFont="1" applyFill="1" applyBorder="1" applyAlignment="1" applyProtection="1">
      <alignment horizontal="center"/>
    </xf>
    <xf numFmtId="1" fontId="22" fillId="40" borderId="50" xfId="0" applyNumberFormat="1" applyFont="1" applyFill="1" applyBorder="1" applyAlignment="1" applyProtection="1">
      <alignment horizontal="center"/>
    </xf>
    <xf numFmtId="1" fontId="22" fillId="41" borderId="0" xfId="0" applyNumberFormat="1" applyFont="1" applyFill="1" applyBorder="1" applyAlignment="1" applyProtection="1">
      <alignment horizontal="center"/>
    </xf>
    <xf numFmtId="0" fontId="0" fillId="0" borderId="0" xfId="0" applyAlignment="1" applyProtection="1">
      <alignment horizontal="center" vertical="distributed" wrapText="1"/>
      <protection locked="0"/>
    </xf>
    <xf numFmtId="0" fontId="0" fillId="0" borderId="0" xfId="0" applyAlignment="1" applyProtection="1">
      <alignment vertical="distributed"/>
      <protection locked="0"/>
    </xf>
    <xf numFmtId="2" fontId="0" fillId="0" borderId="0" xfId="0" applyNumberFormat="1" applyAlignment="1" applyProtection="1">
      <alignment horizontal="center" vertical="distributed"/>
      <protection locked="0"/>
    </xf>
    <xf numFmtId="0" fontId="0" fillId="0" borderId="0" xfId="0" applyAlignment="1">
      <alignment horizontal="center" vertical="distributed" wrapText="1"/>
    </xf>
    <xf numFmtId="0" fontId="26" fillId="36" borderId="30" xfId="0" applyFont="1" applyFill="1" applyBorder="1" applyAlignment="1" applyProtection="1">
      <alignment horizontal="center" vertical="distributed" wrapText="1"/>
    </xf>
    <xf numFmtId="0" fontId="0" fillId="0" borderId="0" xfId="0" applyAlignment="1" applyProtection="1">
      <alignment horizontal="center" vertical="distributed"/>
      <protection locked="0"/>
    </xf>
    <xf numFmtId="2" fontId="26" fillId="39" borderId="30" xfId="0" applyNumberFormat="1" applyFont="1" applyFill="1" applyBorder="1" applyAlignment="1" applyProtection="1">
      <alignment horizontal="center" vertical="distributed"/>
      <protection locked="0"/>
    </xf>
    <xf numFmtId="2" fontId="26" fillId="39" borderId="66" xfId="0" applyNumberFormat="1" applyFont="1" applyFill="1" applyBorder="1" applyAlignment="1" applyProtection="1">
      <alignment horizontal="center" vertical="distributed"/>
      <protection locked="0"/>
    </xf>
    <xf numFmtId="2" fontId="0" fillId="0" borderId="0" xfId="0" applyNumberFormat="1" applyAlignment="1">
      <alignment horizontal="center" vertical="distributed"/>
    </xf>
    <xf numFmtId="1" fontId="26" fillId="39" borderId="30" xfId="0" applyNumberFormat="1" applyFont="1" applyFill="1" applyBorder="1" applyAlignment="1" applyProtection="1">
      <alignment horizontal="center" vertical="distributed"/>
      <protection locked="0"/>
    </xf>
    <xf numFmtId="1" fontId="26" fillId="39" borderId="66" xfId="0" applyNumberFormat="1" applyFont="1" applyFill="1" applyBorder="1" applyAlignment="1" applyProtection="1">
      <alignment horizontal="center" vertical="distributed"/>
      <protection locked="0"/>
    </xf>
    <xf numFmtId="1" fontId="0" fillId="0" borderId="0" xfId="0" applyNumberFormat="1" applyAlignment="1" applyProtection="1">
      <alignment horizontal="center" vertical="distributed"/>
      <protection locked="0"/>
    </xf>
    <xf numFmtId="1" fontId="0" fillId="0" borderId="0" xfId="0" applyNumberFormat="1" applyAlignment="1">
      <alignment horizontal="center" vertical="distributed"/>
    </xf>
    <xf numFmtId="195" fontId="0" fillId="0" borderId="0" xfId="0" applyNumberFormat="1" applyAlignment="1" applyProtection="1">
      <alignment horizontal="center" vertical="distributed"/>
      <protection locked="0"/>
    </xf>
    <xf numFmtId="195" fontId="0" fillId="0" borderId="0" xfId="0" applyNumberFormat="1" applyAlignment="1">
      <alignment horizontal="center" vertical="distributed"/>
    </xf>
    <xf numFmtId="1" fontId="37" fillId="36" borderId="20" xfId="0" applyNumberFormat="1" applyFont="1" applyFill="1" applyBorder="1" applyAlignment="1" applyProtection="1">
      <alignment horizontal="center" vertical="distributed"/>
    </xf>
    <xf numFmtId="1" fontId="37" fillId="36" borderId="66" xfId="0" applyNumberFormat="1" applyFont="1" applyFill="1" applyBorder="1" applyAlignment="1" applyProtection="1">
      <alignment horizontal="center" vertical="distributed"/>
    </xf>
    <xf numFmtId="0" fontId="26" fillId="0" borderId="33" xfId="0" applyFont="1" applyBorder="1" applyAlignment="1" applyProtection="1">
      <alignment horizontal="center" vertical="distributed"/>
    </xf>
    <xf numFmtId="0" fontId="37" fillId="0" borderId="65" xfId="0" applyFont="1" applyBorder="1" applyAlignment="1" applyProtection="1">
      <alignment horizontal="left" vertical="distributed"/>
    </xf>
    <xf numFmtId="0" fontId="37" fillId="0" borderId="30" xfId="0" applyFont="1" applyBorder="1" applyAlignment="1" applyProtection="1">
      <alignment horizontal="center" vertical="distributed"/>
    </xf>
    <xf numFmtId="1" fontId="37" fillId="42" borderId="30" xfId="0" applyNumberFormat="1" applyFont="1" applyFill="1" applyBorder="1" applyAlignment="1" applyProtection="1">
      <alignment horizontal="center" vertical="distributed"/>
      <protection locked="0"/>
    </xf>
    <xf numFmtId="1" fontId="37" fillId="42" borderId="66" xfId="0" applyNumberFormat="1" applyFont="1" applyFill="1" applyBorder="1" applyAlignment="1" applyProtection="1">
      <alignment horizontal="center" vertical="distributed"/>
      <protection locked="0"/>
    </xf>
    <xf numFmtId="194" fontId="26" fillId="36" borderId="30" xfId="0" applyNumberFormat="1" applyFont="1" applyFill="1" applyBorder="1" applyAlignment="1" applyProtection="1">
      <alignment horizontal="center" vertical="distributed"/>
    </xf>
    <xf numFmtId="194" fontId="26" fillId="36" borderId="66" xfId="0" applyNumberFormat="1" applyFont="1" applyFill="1" applyBorder="1" applyAlignment="1" applyProtection="1">
      <alignment horizontal="center" vertical="distributed"/>
    </xf>
    <xf numFmtId="194" fontId="37" fillId="42" borderId="30" xfId="0" applyNumberFormat="1" applyFont="1" applyFill="1" applyBorder="1" applyAlignment="1" applyProtection="1">
      <alignment horizontal="center" vertical="distributed"/>
      <protection locked="0"/>
    </xf>
    <xf numFmtId="194" fontId="37" fillId="42" borderId="66" xfId="0" applyNumberFormat="1" applyFont="1" applyFill="1" applyBorder="1" applyAlignment="1" applyProtection="1">
      <alignment horizontal="center" vertical="distributed"/>
      <protection locked="0"/>
    </xf>
    <xf numFmtId="1" fontId="37" fillId="43" borderId="30" xfId="0" applyNumberFormat="1" applyFont="1" applyFill="1" applyBorder="1" applyAlignment="1" applyProtection="1">
      <alignment horizontal="center" vertical="distributed"/>
    </xf>
    <xf numFmtId="1" fontId="37" fillId="43" borderId="66" xfId="0" applyNumberFormat="1" applyFont="1" applyFill="1" applyBorder="1" applyAlignment="1" applyProtection="1">
      <alignment horizontal="center" vertical="distributed"/>
    </xf>
    <xf numFmtId="0" fontId="26" fillId="36" borderId="30" xfId="0" applyFont="1" applyFill="1" applyBorder="1" applyAlignment="1" applyProtection="1">
      <alignment horizontal="center" vertical="distributed"/>
    </xf>
    <xf numFmtId="0" fontId="26" fillId="39" borderId="30" xfId="0" applyFont="1" applyFill="1" applyBorder="1" applyAlignment="1" applyProtection="1">
      <alignment horizontal="center" vertical="distributed"/>
      <protection locked="0"/>
    </xf>
    <xf numFmtId="0" fontId="26" fillId="39" borderId="66" xfId="0" applyFont="1" applyFill="1" applyBorder="1" applyAlignment="1" applyProtection="1">
      <alignment horizontal="center" vertical="distributed"/>
      <protection locked="0"/>
    </xf>
    <xf numFmtId="0" fontId="28" fillId="0" borderId="65" xfId="0" applyFont="1" applyBorder="1" applyAlignment="1">
      <alignment vertical="distributed"/>
    </xf>
    <xf numFmtId="1" fontId="26" fillId="36" borderId="63" xfId="0" applyNumberFormat="1" applyFont="1" applyFill="1" applyBorder="1" applyAlignment="1">
      <alignment horizontal="center" vertical="distributed"/>
    </xf>
    <xf numFmtId="1" fontId="26" fillId="36" borderId="64" xfId="0" applyNumberFormat="1" applyFont="1" applyFill="1" applyBorder="1" applyAlignment="1">
      <alignment horizontal="center" vertical="distributed"/>
    </xf>
    <xf numFmtId="0" fontId="28" fillId="0" borderId="67" xfId="0" applyFont="1" applyBorder="1" applyAlignment="1">
      <alignment vertical="distributed"/>
    </xf>
    <xf numFmtId="0" fontId="28" fillId="0" borderId="68" xfId="0" applyFont="1" applyBorder="1" applyAlignment="1">
      <alignment horizontal="center" vertical="distributed"/>
    </xf>
    <xf numFmtId="0" fontId="37" fillId="0" borderId="67" xfId="0" applyFont="1" applyBorder="1" applyAlignment="1">
      <alignment vertical="distributed"/>
    </xf>
    <xf numFmtId="0" fontId="37" fillId="0" borderId="68" xfId="0" applyFont="1" applyBorder="1" applyAlignment="1">
      <alignment horizontal="center" vertical="distributed"/>
    </xf>
    <xf numFmtId="2" fontId="37" fillId="36" borderId="68" xfId="0" applyNumberFormat="1" applyFont="1" applyFill="1" applyBorder="1" applyAlignment="1">
      <alignment horizontal="center" vertical="distributed"/>
    </xf>
    <xf numFmtId="2" fontId="37" fillId="36" borderId="69" xfId="0" applyNumberFormat="1" applyFont="1" applyFill="1" applyBorder="1" applyAlignment="1">
      <alignment horizontal="center" vertical="distributed"/>
    </xf>
    <xf numFmtId="1" fontId="28" fillId="36" borderId="30" xfId="0" applyNumberFormat="1" applyFont="1" applyFill="1" applyBorder="1" applyAlignment="1">
      <alignment horizontal="center" vertical="distributed"/>
    </xf>
    <xf numFmtId="1" fontId="28" fillId="36" borderId="66" xfId="0" applyNumberFormat="1" applyFont="1" applyFill="1" applyBorder="1" applyAlignment="1">
      <alignment horizontal="center" vertical="distributed"/>
    </xf>
    <xf numFmtId="195" fontId="28" fillId="36" borderId="68" xfId="0" applyNumberFormat="1" applyFont="1" applyFill="1" applyBorder="1" applyAlignment="1">
      <alignment horizontal="center" vertical="distributed"/>
    </xf>
    <xf numFmtId="195" fontId="28" fillId="36" borderId="69" xfId="0" applyNumberFormat="1" applyFont="1" applyFill="1" applyBorder="1" applyAlignment="1">
      <alignment horizontal="center" vertical="distributed"/>
    </xf>
    <xf numFmtId="0" fontId="26" fillId="0" borderId="0" xfId="0" applyFont="1" applyBorder="1" applyAlignment="1">
      <alignment vertical="distributed"/>
    </xf>
    <xf numFmtId="0" fontId="26" fillId="0" borderId="0" xfId="0" applyFont="1" applyBorder="1" applyAlignment="1">
      <alignment horizontal="center" vertical="distributed"/>
    </xf>
    <xf numFmtId="194" fontId="26" fillId="0" borderId="0" xfId="0" applyNumberFormat="1" applyFont="1" applyFill="1" applyBorder="1" applyAlignment="1">
      <alignment horizontal="center" vertical="distributed"/>
    </xf>
    <xf numFmtId="0" fontId="28" fillId="0" borderId="60" xfId="0" applyFont="1" applyBorder="1" applyAlignment="1">
      <alignment horizontal="center" vertical="distributed"/>
    </xf>
    <xf numFmtId="194" fontId="28" fillId="36" borderId="68" xfId="0" applyNumberFormat="1" applyFont="1" applyFill="1" applyBorder="1" applyAlignment="1">
      <alignment horizontal="center" vertical="distributed"/>
    </xf>
    <xf numFmtId="194" fontId="28" fillId="36" borderId="69" xfId="0" applyNumberFormat="1" applyFont="1" applyFill="1" applyBorder="1" applyAlignment="1">
      <alignment horizontal="center" vertical="distributed"/>
    </xf>
    <xf numFmtId="0" fontId="26" fillId="0" borderId="29" xfId="0" applyFont="1" applyBorder="1" applyAlignment="1">
      <alignment horizontal="center" vertical="distributed"/>
    </xf>
    <xf numFmtId="0" fontId="26" fillId="0" borderId="70" xfId="0" applyFont="1" applyBorder="1" applyAlignment="1" applyProtection="1">
      <alignment horizontal="center"/>
    </xf>
    <xf numFmtId="0" fontId="28" fillId="0" borderId="29" xfId="0" applyFont="1" applyBorder="1" applyAlignment="1">
      <alignment horizontal="center" vertical="distributed"/>
    </xf>
    <xf numFmtId="194" fontId="29" fillId="39" borderId="27" xfId="0" applyNumberFormat="1" applyFont="1" applyFill="1" applyBorder="1" applyAlignment="1" applyProtection="1">
      <alignment horizontal="center" vertical="distributed"/>
      <protection locked="0"/>
    </xf>
    <xf numFmtId="2" fontId="26" fillId="36" borderId="30" xfId="0" applyNumberFormat="1" applyFont="1" applyFill="1" applyBorder="1" applyAlignment="1" applyProtection="1">
      <alignment horizontal="center" vertical="distributed"/>
    </xf>
    <xf numFmtId="195" fontId="26" fillId="36" borderId="30" xfId="0" applyNumberFormat="1" applyFont="1" applyFill="1" applyBorder="1" applyAlignment="1" applyProtection="1">
      <alignment horizontal="center" vertical="distributed"/>
    </xf>
    <xf numFmtId="1" fontId="26" fillId="36" borderId="33" xfId="0" applyNumberFormat="1" applyFont="1" applyFill="1" applyBorder="1" applyAlignment="1" applyProtection="1">
      <alignment horizontal="center" vertical="distributed"/>
    </xf>
    <xf numFmtId="194" fontId="29" fillId="36" borderId="27" xfId="0" applyNumberFormat="1" applyFont="1" applyFill="1" applyBorder="1" applyAlignment="1" applyProtection="1">
      <alignment horizontal="center" vertical="distributed"/>
    </xf>
    <xf numFmtId="195" fontId="29" fillId="36" borderId="30" xfId="0" applyNumberFormat="1" applyFont="1" applyFill="1" applyBorder="1" applyAlignment="1" applyProtection="1">
      <alignment horizontal="center" vertical="distributed"/>
    </xf>
    <xf numFmtId="195" fontId="26" fillId="36" borderId="33" xfId="0" applyNumberFormat="1" applyFont="1" applyFill="1" applyBorder="1" applyAlignment="1" applyProtection="1">
      <alignment horizontal="center" vertical="distributed"/>
    </xf>
    <xf numFmtId="1" fontId="26" fillId="36" borderId="77" xfId="0" applyNumberFormat="1" applyFont="1" applyFill="1" applyBorder="1" applyAlignment="1" applyProtection="1">
      <alignment horizontal="center" vertical="distributed"/>
    </xf>
    <xf numFmtId="195" fontId="26" fillId="36" borderId="66" xfId="0" applyNumberFormat="1" applyFont="1" applyFill="1" applyBorder="1" applyAlignment="1" applyProtection="1">
      <alignment horizontal="center" vertical="distributed"/>
    </xf>
    <xf numFmtId="2" fontId="26" fillId="36" borderId="66" xfId="0" applyNumberFormat="1" applyFont="1" applyFill="1" applyBorder="1" applyAlignment="1" applyProtection="1">
      <alignment horizontal="center" vertical="distributed"/>
    </xf>
    <xf numFmtId="0" fontId="26" fillId="36" borderId="66" xfId="0" applyFont="1" applyFill="1" applyBorder="1" applyAlignment="1" applyProtection="1">
      <alignment horizontal="center" vertical="distributed"/>
    </xf>
    <xf numFmtId="0" fontId="25" fillId="0" borderId="70" xfId="0" applyFont="1" applyBorder="1" applyAlignment="1" applyProtection="1">
      <alignment horizontal="center"/>
    </xf>
    <xf numFmtId="0" fontId="46" fillId="0" borderId="29" xfId="0" applyFont="1" applyFill="1" applyBorder="1" applyAlignment="1" applyProtection="1">
      <alignment horizontal="center"/>
    </xf>
    <xf numFmtId="0" fontId="25" fillId="0" borderId="29" xfId="0" applyFont="1" applyBorder="1" applyAlignment="1" applyProtection="1">
      <alignment horizontal="center"/>
    </xf>
    <xf numFmtId="0" fontId="0" fillId="0" borderId="29" xfId="0" applyBorder="1" applyAlignment="1" applyProtection="1">
      <alignment horizontal="center"/>
    </xf>
    <xf numFmtId="0" fontId="17" fillId="0" borderId="78" xfId="0" applyFont="1" applyBorder="1" applyAlignment="1" applyProtection="1">
      <alignment horizontal="center"/>
    </xf>
    <xf numFmtId="194" fontId="25" fillId="0" borderId="79" xfId="0" applyNumberFormat="1" applyFont="1" applyFill="1" applyBorder="1" applyAlignment="1" applyProtection="1">
      <alignment horizontal="center"/>
    </xf>
    <xf numFmtId="1" fontId="22" fillId="0" borderId="50" xfId="0" applyNumberFormat="1" applyFont="1" applyFill="1" applyBorder="1" applyAlignment="1" applyProtection="1">
      <alignment horizontal="center"/>
    </xf>
    <xf numFmtId="0" fontId="17" fillId="32" borderId="26" xfId="0" applyFont="1" applyFill="1" applyBorder="1" applyProtection="1">
      <protection locked="0"/>
    </xf>
    <xf numFmtId="0" fontId="17" fillId="32" borderId="26" xfId="0" applyFont="1" applyFill="1" applyBorder="1" applyAlignment="1" applyProtection="1">
      <alignment horizontal="center"/>
      <protection locked="0"/>
    </xf>
    <xf numFmtId="195" fontId="17" fillId="0" borderId="0" xfId="0" applyNumberFormat="1" applyFont="1" applyProtection="1"/>
    <xf numFmtId="1" fontId="17" fillId="0" borderId="0" xfId="0" applyNumberFormat="1" applyFont="1" applyProtection="1"/>
    <xf numFmtId="2" fontId="37" fillId="36" borderId="33" xfId="0" applyNumberFormat="1" applyFont="1" applyFill="1" applyBorder="1" applyAlignment="1" applyProtection="1">
      <alignment horizontal="center" vertical="distributed"/>
    </xf>
    <xf numFmtId="0" fontId="38" fillId="36" borderId="80" xfId="0" applyFont="1" applyFill="1" applyBorder="1" applyAlignment="1" applyProtection="1">
      <alignment horizontal="left" vertical="center" indent="1"/>
    </xf>
    <xf numFmtId="0" fontId="28" fillId="36" borderId="71" xfId="0" applyFont="1" applyFill="1" applyBorder="1" applyAlignment="1" applyProtection="1">
      <alignment horizontal="center" vertical="center"/>
    </xf>
    <xf numFmtId="2" fontId="28" fillId="43" borderId="71" xfId="0" applyNumberFormat="1" applyFont="1" applyFill="1" applyBorder="1" applyAlignment="1" applyProtection="1">
      <alignment horizontal="center" vertical="center"/>
    </xf>
    <xf numFmtId="2" fontId="28" fillId="43" borderId="76" xfId="0" applyNumberFormat="1" applyFont="1" applyFill="1" applyBorder="1" applyAlignment="1" applyProtection="1">
      <alignment horizontal="center" vertical="center"/>
    </xf>
    <xf numFmtId="0" fontId="37" fillId="0" borderId="63" xfId="0" applyFont="1" applyBorder="1" applyAlignment="1" applyProtection="1">
      <alignment horizontal="center" vertical="center"/>
    </xf>
    <xf numFmtId="0" fontId="37" fillId="0" borderId="30" xfId="0" applyFont="1" applyBorder="1" applyAlignment="1" applyProtection="1">
      <alignment horizontal="center" vertical="center"/>
    </xf>
    <xf numFmtId="0" fontId="37" fillId="0" borderId="65" xfId="0" applyFont="1" applyBorder="1" applyAlignment="1" applyProtection="1">
      <alignment horizontal="left" vertical="center" indent="1"/>
    </xf>
    <xf numFmtId="0" fontId="37" fillId="0" borderId="68" xfId="0" applyFont="1" applyBorder="1" applyAlignment="1" applyProtection="1">
      <alignment horizontal="center" vertical="center"/>
    </xf>
    <xf numFmtId="0" fontId="18" fillId="0" borderId="81" xfId="0" applyFont="1" applyBorder="1"/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31" fillId="0" borderId="84" xfId="0" applyFont="1" applyBorder="1" applyAlignment="1">
      <alignment horizontal="left" vertical="distributed" indent="1"/>
    </xf>
    <xf numFmtId="1" fontId="31" fillId="0" borderId="85" xfId="0" applyNumberFormat="1" applyFont="1" applyFill="1" applyBorder="1" applyAlignment="1">
      <alignment horizontal="center" vertical="distributed"/>
    </xf>
    <xf numFmtId="0" fontId="31" fillId="0" borderId="86" xfId="0" applyFont="1" applyFill="1" applyBorder="1" applyAlignment="1">
      <alignment horizontal="center" vertical="distributed"/>
    </xf>
    <xf numFmtId="0" fontId="31" fillId="0" borderId="87" xfId="0" applyFont="1" applyFill="1" applyBorder="1" applyAlignment="1">
      <alignment horizontal="center" vertical="distributed"/>
    </xf>
    <xf numFmtId="0" fontId="31" fillId="0" borderId="88" xfId="0" applyFont="1" applyBorder="1" applyAlignment="1">
      <alignment horizontal="left" vertical="distributed" indent="1"/>
    </xf>
    <xf numFmtId="1" fontId="31" fillId="0" borderId="89" xfId="0" applyNumberFormat="1" applyFont="1" applyFill="1" applyBorder="1" applyAlignment="1">
      <alignment horizontal="center" vertical="distributed"/>
    </xf>
    <xf numFmtId="0" fontId="31" fillId="0" borderId="35" xfId="0" applyFont="1" applyFill="1" applyBorder="1" applyAlignment="1">
      <alignment horizontal="center" vertical="distributed"/>
    </xf>
    <xf numFmtId="0" fontId="31" fillId="0" borderId="90" xfId="0" applyFont="1" applyFill="1" applyBorder="1" applyAlignment="1">
      <alignment horizontal="center" vertical="distributed"/>
    </xf>
    <xf numFmtId="1" fontId="31" fillId="0" borderId="35" xfId="0" applyNumberFormat="1" applyFont="1" applyFill="1" applyBorder="1" applyAlignment="1">
      <alignment horizontal="center" vertical="distributed"/>
    </xf>
    <xf numFmtId="1" fontId="31" fillId="0" borderId="90" xfId="0" applyNumberFormat="1" applyFont="1" applyFill="1" applyBorder="1" applyAlignment="1">
      <alignment horizontal="center" vertical="distributed"/>
    </xf>
    <xf numFmtId="0" fontId="31" fillId="0" borderId="91" xfId="0" applyFont="1" applyBorder="1" applyAlignment="1">
      <alignment horizontal="left" vertical="center" wrapText="1" indent="1"/>
    </xf>
    <xf numFmtId="0" fontId="31" fillId="0" borderId="88" xfId="0" applyFont="1" applyBorder="1" applyAlignment="1">
      <alignment horizontal="left" vertical="center" wrapText="1" indent="1"/>
    </xf>
    <xf numFmtId="0" fontId="31" fillId="0" borderId="92" xfId="0" applyFont="1" applyBorder="1" applyAlignment="1">
      <alignment horizontal="left" vertical="distributed" indent="1"/>
    </xf>
    <xf numFmtId="0" fontId="31" fillId="0" borderId="93" xfId="0" applyFont="1" applyFill="1" applyBorder="1" applyAlignment="1">
      <alignment horizontal="center" vertical="distributed"/>
    </xf>
    <xf numFmtId="0" fontId="31" fillId="0" borderId="23" xfId="0" applyFont="1" applyFill="1" applyBorder="1" applyAlignment="1">
      <alignment horizontal="center" vertical="distributed"/>
    </xf>
    <xf numFmtId="0" fontId="31" fillId="0" borderId="94" xfId="0" applyFont="1" applyFill="1" applyBorder="1" applyAlignment="1">
      <alignment horizontal="center" vertical="distributed"/>
    </xf>
    <xf numFmtId="0" fontId="31" fillId="0" borderId="95" xfId="0" applyFont="1" applyBorder="1" applyAlignment="1">
      <alignment horizontal="left" vertical="distributed" indent="1"/>
    </xf>
    <xf numFmtId="1" fontId="31" fillId="0" borderId="96" xfId="0" applyNumberFormat="1" applyFont="1" applyFill="1" applyBorder="1" applyAlignment="1">
      <alignment horizontal="center" vertical="distributed"/>
    </xf>
    <xf numFmtId="1" fontId="31" fillId="0" borderId="97" xfId="0" applyNumberFormat="1" applyFont="1" applyFill="1" applyBorder="1" applyAlignment="1">
      <alignment horizontal="center" vertical="distributed"/>
    </xf>
    <xf numFmtId="1" fontId="31" fillId="0" borderId="98" xfId="0" applyNumberFormat="1" applyFont="1" applyFill="1" applyBorder="1" applyAlignment="1">
      <alignment horizontal="center" vertical="distributed"/>
    </xf>
    <xf numFmtId="0" fontId="18" fillId="0" borderId="99" xfId="0" applyFont="1" applyBorder="1" applyAlignment="1">
      <alignment horizontal="left" indent="1"/>
    </xf>
    <xf numFmtId="1" fontId="31" fillId="0" borderId="100" xfId="0" applyNumberFormat="1" applyFont="1" applyFill="1" applyBorder="1" applyAlignment="1">
      <alignment horizontal="center" vertical="distributed"/>
    </xf>
    <xf numFmtId="1" fontId="31" fillId="0" borderId="101" xfId="0" applyNumberFormat="1" applyFont="1" applyFill="1" applyBorder="1" applyAlignment="1">
      <alignment horizontal="center" vertical="distributed"/>
    </xf>
    <xf numFmtId="0" fontId="32" fillId="27" borderId="92" xfId="0" applyFont="1" applyFill="1" applyBorder="1" applyAlignment="1" applyProtection="1">
      <alignment horizontal="left" indent="1"/>
    </xf>
    <xf numFmtId="195" fontId="32" fillId="27" borderId="93" xfId="0" applyNumberFormat="1" applyFont="1" applyFill="1" applyBorder="1" applyAlignment="1">
      <alignment horizontal="center"/>
    </xf>
    <xf numFmtId="195" fontId="32" fillId="27" borderId="23" xfId="0" applyNumberFormat="1" applyFont="1" applyFill="1" applyBorder="1" applyAlignment="1">
      <alignment horizontal="center"/>
    </xf>
    <xf numFmtId="195" fontId="32" fillId="27" borderId="94" xfId="0" applyNumberFormat="1" applyFont="1" applyFill="1" applyBorder="1" applyAlignment="1">
      <alignment horizontal="center"/>
    </xf>
    <xf numFmtId="0" fontId="32" fillId="27" borderId="91" xfId="0" applyFont="1" applyFill="1" applyBorder="1" applyAlignment="1" applyProtection="1">
      <alignment horizontal="left" indent="1"/>
    </xf>
    <xf numFmtId="1" fontId="32" fillId="27" borderId="102" xfId="0" applyNumberFormat="1" applyFont="1" applyFill="1" applyBorder="1" applyAlignment="1">
      <alignment horizontal="center"/>
    </xf>
    <xf numFmtId="1" fontId="32" fillId="27" borderId="29" xfId="0" applyNumberFormat="1" applyFont="1" applyFill="1" applyBorder="1" applyAlignment="1">
      <alignment horizontal="center"/>
    </xf>
    <xf numFmtId="1" fontId="32" fillId="27" borderId="103" xfId="0" applyNumberFormat="1" applyFont="1" applyFill="1" applyBorder="1" applyAlignment="1">
      <alignment horizontal="center"/>
    </xf>
    <xf numFmtId="194" fontId="32" fillId="27" borderId="102" xfId="0" applyNumberFormat="1" applyFont="1" applyFill="1" applyBorder="1" applyAlignment="1">
      <alignment horizontal="center"/>
    </xf>
    <xf numFmtId="194" fontId="32" fillId="27" borderId="29" xfId="0" applyNumberFormat="1" applyFont="1" applyFill="1" applyBorder="1" applyAlignment="1">
      <alignment horizontal="center"/>
    </xf>
    <xf numFmtId="194" fontId="32" fillId="27" borderId="103" xfId="0" applyNumberFormat="1" applyFont="1" applyFill="1" applyBorder="1" applyAlignment="1">
      <alignment horizontal="center"/>
    </xf>
    <xf numFmtId="2" fontId="32" fillId="27" borderId="102" xfId="0" applyNumberFormat="1" applyFont="1" applyFill="1" applyBorder="1" applyAlignment="1">
      <alignment horizontal="center"/>
    </xf>
    <xf numFmtId="2" fontId="32" fillId="27" borderId="29" xfId="0" applyNumberFormat="1" applyFont="1" applyFill="1" applyBorder="1" applyAlignment="1">
      <alignment horizontal="center"/>
    </xf>
    <xf numFmtId="2" fontId="32" fillId="27" borderId="103" xfId="0" applyNumberFormat="1" applyFont="1" applyFill="1" applyBorder="1" applyAlignment="1">
      <alignment horizontal="center"/>
    </xf>
    <xf numFmtId="0" fontId="32" fillId="27" borderId="104" xfId="0" applyFont="1" applyFill="1" applyBorder="1" applyAlignment="1" applyProtection="1">
      <alignment horizontal="left" indent="1"/>
    </xf>
    <xf numFmtId="2" fontId="32" fillId="27" borderId="105" xfId="0" applyNumberFormat="1" applyFont="1" applyFill="1" applyBorder="1" applyAlignment="1" applyProtection="1">
      <alignment horizontal="center"/>
    </xf>
    <xf numFmtId="2" fontId="32" fillId="27" borderId="31" xfId="0" applyNumberFormat="1" applyFont="1" applyFill="1" applyBorder="1" applyAlignment="1" applyProtection="1">
      <alignment horizontal="center"/>
    </xf>
    <xf numFmtId="2" fontId="32" fillId="27" borderId="106" xfId="0" applyNumberFormat="1" applyFont="1" applyFill="1" applyBorder="1" applyAlignment="1" applyProtection="1">
      <alignment horizontal="center"/>
    </xf>
    <xf numFmtId="194" fontId="32" fillId="27" borderId="105" xfId="0" applyNumberFormat="1" applyFont="1" applyFill="1" applyBorder="1" applyAlignment="1">
      <alignment horizontal="center"/>
    </xf>
    <xf numFmtId="194" fontId="32" fillId="27" borderId="31" xfId="0" applyNumberFormat="1" applyFont="1" applyFill="1" applyBorder="1" applyAlignment="1">
      <alignment horizontal="center"/>
    </xf>
    <xf numFmtId="194" fontId="32" fillId="27" borderId="106" xfId="0" applyNumberFormat="1" applyFont="1" applyFill="1" applyBorder="1" applyAlignment="1">
      <alignment horizontal="center"/>
    </xf>
    <xf numFmtId="194" fontId="31" fillId="27" borderId="93" xfId="0" applyNumberFormat="1" applyFont="1" applyFill="1" applyBorder="1" applyAlignment="1">
      <alignment horizontal="center"/>
    </xf>
    <xf numFmtId="194" fontId="31" fillId="27" borderId="94" xfId="0" applyNumberFormat="1" applyFont="1" applyFill="1" applyBorder="1" applyAlignment="1">
      <alignment horizontal="center"/>
    </xf>
    <xf numFmtId="0" fontId="32" fillId="27" borderId="102" xfId="0" applyFont="1" applyFill="1" applyBorder="1" applyAlignment="1">
      <alignment horizontal="center"/>
    </xf>
    <xf numFmtId="0" fontId="32" fillId="27" borderId="103" xfId="0" applyFont="1" applyFill="1" applyBorder="1" applyAlignment="1">
      <alignment horizontal="center"/>
    </xf>
    <xf numFmtId="194" fontId="0" fillId="27" borderId="93" xfId="0" applyNumberFormat="1" applyFill="1" applyBorder="1" applyAlignment="1">
      <alignment horizontal="center"/>
    </xf>
    <xf numFmtId="0" fontId="0" fillId="27" borderId="94" xfId="0" applyFill="1" applyBorder="1" applyAlignment="1">
      <alignment horizontal="center"/>
    </xf>
    <xf numFmtId="194" fontId="0" fillId="27" borderId="102" xfId="0" applyNumberFormat="1" applyFill="1" applyBorder="1" applyAlignment="1">
      <alignment horizontal="center"/>
    </xf>
    <xf numFmtId="1" fontId="0" fillId="27" borderId="103" xfId="0" applyNumberFormat="1" applyFill="1" applyBorder="1" applyAlignment="1">
      <alignment horizontal="center"/>
    </xf>
    <xf numFmtId="0" fontId="0" fillId="27" borderId="103" xfId="0" applyFill="1" applyBorder="1" applyAlignment="1">
      <alignment horizontal="center"/>
    </xf>
    <xf numFmtId="0" fontId="0" fillId="27" borderId="102" xfId="0" applyFill="1" applyBorder="1" applyAlignment="1">
      <alignment horizontal="center"/>
    </xf>
    <xf numFmtId="0" fontId="0" fillId="27" borderId="107" xfId="0" applyFill="1" applyBorder="1" applyAlignment="1">
      <alignment horizontal="center"/>
    </xf>
    <xf numFmtId="0" fontId="0" fillId="27" borderId="108" xfId="0" applyFill="1" applyBorder="1" applyAlignment="1">
      <alignment horizontal="center"/>
    </xf>
    <xf numFmtId="0" fontId="0" fillId="27" borderId="10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26" fillId="29" borderId="66" xfId="0" applyFont="1" applyFill="1" applyBorder="1" applyAlignment="1" applyProtection="1">
      <alignment horizontal="center" vertical="distributed"/>
      <protection locked="0"/>
    </xf>
    <xf numFmtId="1" fontId="37" fillId="44" borderId="30" xfId="0" applyNumberFormat="1" applyFont="1" applyFill="1" applyBorder="1" applyAlignment="1" applyProtection="1">
      <alignment horizontal="center" vertical="center"/>
      <protection locked="0"/>
    </xf>
    <xf numFmtId="1" fontId="37" fillId="44" borderId="66" xfId="0" applyNumberFormat="1" applyFont="1" applyFill="1" applyBorder="1" applyAlignment="1" applyProtection="1">
      <alignment horizontal="center" vertical="center"/>
      <protection locked="0"/>
    </xf>
    <xf numFmtId="194" fontId="37" fillId="44" borderId="30" xfId="0" applyNumberFormat="1" applyFont="1" applyFill="1" applyBorder="1" applyAlignment="1" applyProtection="1">
      <alignment horizontal="center" vertical="center"/>
      <protection locked="0"/>
    </xf>
    <xf numFmtId="194" fontId="37" fillId="44" borderId="66" xfId="0" applyNumberFormat="1" applyFont="1" applyFill="1" applyBorder="1" applyAlignment="1" applyProtection="1">
      <alignment horizontal="center" vertical="center"/>
      <protection locked="0"/>
    </xf>
    <xf numFmtId="1" fontId="37" fillId="29" borderId="66" xfId="0" applyNumberFormat="1" applyFont="1" applyFill="1" applyBorder="1" applyAlignment="1" applyProtection="1">
      <alignment horizontal="center" vertical="distributed"/>
      <protection locked="0"/>
    </xf>
    <xf numFmtId="1" fontId="37" fillId="44" borderId="68" xfId="0" applyNumberFormat="1" applyFont="1" applyFill="1" applyBorder="1" applyAlignment="1" applyProtection="1">
      <alignment horizontal="center" vertical="center"/>
      <protection locked="0"/>
    </xf>
    <xf numFmtId="1" fontId="37" fillId="44" borderId="69" xfId="0" applyNumberFormat="1" applyFont="1" applyFill="1" applyBorder="1" applyAlignment="1" applyProtection="1">
      <alignment horizontal="center" vertical="center"/>
      <protection locked="0"/>
    </xf>
    <xf numFmtId="1" fontId="26" fillId="29" borderId="63" xfId="0" applyNumberFormat="1" applyFont="1" applyFill="1" applyBorder="1" applyAlignment="1" applyProtection="1">
      <alignment horizontal="center" vertical="distributed"/>
      <protection locked="0"/>
    </xf>
    <xf numFmtId="1" fontId="26" fillId="29" borderId="64" xfId="0" applyNumberFormat="1" applyFont="1" applyFill="1" applyBorder="1" applyAlignment="1" applyProtection="1">
      <alignment horizontal="center" vertical="distributed"/>
      <protection locked="0"/>
    </xf>
    <xf numFmtId="0" fontId="26" fillId="29" borderId="30" xfId="0" applyFont="1" applyFill="1" applyBorder="1" applyAlignment="1" applyProtection="1">
      <alignment horizontal="center" vertical="distributed"/>
      <protection locked="0"/>
    </xf>
    <xf numFmtId="1" fontId="37" fillId="29" borderId="30" xfId="0" applyNumberFormat="1" applyFont="1" applyFill="1" applyBorder="1" applyAlignment="1" applyProtection="1">
      <alignment horizontal="center" vertical="distributed"/>
      <protection locked="0"/>
    </xf>
    <xf numFmtId="0" fontId="37" fillId="29" borderId="30" xfId="0" applyFont="1" applyFill="1" applyBorder="1" applyAlignment="1" applyProtection="1">
      <alignment horizontal="center" vertical="distributed"/>
      <protection locked="0"/>
    </xf>
    <xf numFmtId="1" fontId="37" fillId="29" borderId="63" xfId="0" applyNumberFormat="1" applyFont="1" applyFill="1" applyBorder="1" applyAlignment="1" applyProtection="1">
      <alignment horizontal="center" vertical="distributed"/>
      <protection locked="0"/>
    </xf>
    <xf numFmtId="1" fontId="26" fillId="36" borderId="68" xfId="0" applyNumberFormat="1" applyFont="1" applyFill="1" applyBorder="1" applyAlignment="1">
      <alignment horizontal="center" vertical="distributed"/>
    </xf>
    <xf numFmtId="2" fontId="0" fillId="0" borderId="91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103" xfId="0" applyNumberFormat="1" applyBorder="1" applyAlignment="1">
      <alignment horizontal="center"/>
    </xf>
    <xf numFmtId="0" fontId="37" fillId="39" borderId="27" xfId="0" applyFont="1" applyFill="1" applyBorder="1" applyAlignment="1" applyProtection="1">
      <alignment horizontal="center" vertical="distributed"/>
      <protection locked="0"/>
    </xf>
    <xf numFmtId="0" fontId="17" fillId="27" borderId="35" xfId="0" applyFont="1" applyFill="1" applyBorder="1" applyProtection="1"/>
    <xf numFmtId="0" fontId="17" fillId="27" borderId="36" xfId="0" applyFont="1" applyFill="1" applyBorder="1" applyProtection="1"/>
    <xf numFmtId="0" fontId="17" fillId="27" borderId="37" xfId="0" applyFont="1" applyFill="1" applyBorder="1" applyProtection="1"/>
    <xf numFmtId="0" fontId="17" fillId="29" borderId="33" xfId="0" applyFont="1" applyFill="1" applyBorder="1" applyAlignment="1" applyProtection="1">
      <alignment horizontal="center"/>
      <protection locked="0"/>
    </xf>
    <xf numFmtId="0" fontId="17" fillId="27" borderId="29" xfId="0" applyFont="1" applyFill="1" applyBorder="1" applyProtection="1"/>
    <xf numFmtId="0" fontId="17" fillId="1" borderId="36" xfId="0" applyFont="1" applyFill="1" applyBorder="1" applyProtection="1"/>
    <xf numFmtId="0" fontId="17" fillId="27" borderId="35" xfId="0" applyFont="1" applyFill="1" applyBorder="1" applyProtection="1">
      <protection hidden="1"/>
    </xf>
    <xf numFmtId="0" fontId="17" fillId="27" borderId="36" xfId="0" applyFont="1" applyFill="1" applyBorder="1" applyProtection="1">
      <protection hidden="1"/>
    </xf>
    <xf numFmtId="1" fontId="17" fillId="37" borderId="0" xfId="0" applyNumberFormat="1" applyFont="1" applyFill="1" applyBorder="1" applyAlignment="1" applyProtection="1">
      <alignment horizontal="center"/>
      <protection hidden="1"/>
    </xf>
    <xf numFmtId="0" fontId="17" fillId="27" borderId="37" xfId="0" applyFont="1" applyFill="1" applyBorder="1" applyProtection="1">
      <protection hidden="1"/>
    </xf>
    <xf numFmtId="195" fontId="17" fillId="0" borderId="14" xfId="0" applyNumberFormat="1" applyFont="1" applyBorder="1" applyAlignment="1" applyProtection="1">
      <alignment horizontal="center"/>
    </xf>
    <xf numFmtId="0" fontId="22" fillId="39" borderId="62" xfId="0" applyFont="1" applyFill="1" applyBorder="1" applyAlignment="1">
      <alignment horizontal="center"/>
    </xf>
    <xf numFmtId="1" fontId="22" fillId="39" borderId="67" xfId="0" applyNumberFormat="1" applyFont="1" applyFill="1" applyBorder="1" applyAlignment="1" applyProtection="1">
      <alignment horizontal="center"/>
    </xf>
    <xf numFmtId="0" fontId="2" fillId="0" borderId="26" xfId="0" applyFont="1" applyBorder="1" applyAlignment="1">
      <alignment horizontal="center"/>
    </xf>
    <xf numFmtId="195" fontId="2" fillId="0" borderId="26" xfId="0" applyNumberFormat="1" applyFont="1" applyBorder="1" applyAlignment="1">
      <alignment horizontal="center"/>
    </xf>
    <xf numFmtId="0" fontId="22" fillId="39" borderId="70" xfId="0" applyFont="1" applyFill="1" applyBorder="1" applyAlignment="1">
      <alignment horizontal="center"/>
    </xf>
    <xf numFmtId="195" fontId="22" fillId="39" borderId="72" xfId="0" applyNumberFormat="1" applyFont="1" applyFill="1" applyBorder="1" applyAlignment="1" applyProtection="1">
      <alignment horizontal="center"/>
    </xf>
    <xf numFmtId="0" fontId="2" fillId="0" borderId="37" xfId="0" applyFont="1" applyBorder="1" applyAlignment="1">
      <alignment horizontal="center"/>
    </xf>
    <xf numFmtId="195" fontId="2" fillId="0" borderId="37" xfId="0" applyNumberFormat="1" applyFont="1" applyBorder="1" applyAlignment="1">
      <alignment horizontal="center"/>
    </xf>
    <xf numFmtId="0" fontId="0" fillId="0" borderId="26" xfId="0" applyBorder="1"/>
    <xf numFmtId="195" fontId="17" fillId="0" borderId="26" xfId="0" applyNumberFormat="1" applyFont="1" applyBorder="1" applyAlignment="1" applyProtection="1">
      <alignment horizontal="center"/>
    </xf>
    <xf numFmtId="0" fontId="34" fillId="0" borderId="0" xfId="0" applyFont="1" applyAlignment="1">
      <alignment horizontal="left" indent="1"/>
    </xf>
    <xf numFmtId="1" fontId="17" fillId="29" borderId="26" xfId="0" applyNumberFormat="1" applyFont="1" applyFill="1" applyBorder="1" applyAlignment="1" applyProtection="1">
      <alignment horizontal="center"/>
      <protection locked="0"/>
    </xf>
    <xf numFmtId="1" fontId="17" fillId="29" borderId="26" xfId="0" applyNumberFormat="1" applyFont="1" applyFill="1" applyBorder="1" applyAlignment="1" applyProtection="1">
      <alignment horizontal="center"/>
    </xf>
    <xf numFmtId="0" fontId="0" fillId="27" borderId="0" xfId="0" applyFill="1" applyAlignment="1" applyProtection="1">
      <alignment horizontal="center" vertical="distributed" wrapText="1"/>
      <protection locked="0"/>
    </xf>
    <xf numFmtId="0" fontId="0" fillId="27" borderId="0" xfId="0" applyFill="1" applyAlignment="1" applyProtection="1">
      <alignment vertical="distributed"/>
      <protection locked="0"/>
    </xf>
    <xf numFmtId="2" fontId="0" fillId="27" borderId="0" xfId="0" applyNumberFormat="1" applyFill="1" applyBorder="1" applyAlignment="1" applyProtection="1">
      <alignment horizontal="center" vertical="distributed"/>
      <protection locked="0"/>
    </xf>
    <xf numFmtId="2" fontId="30" fillId="27" borderId="0" xfId="0" applyNumberFormat="1" applyFont="1" applyFill="1" applyBorder="1" applyAlignment="1" applyProtection="1">
      <alignment horizontal="left" vertical="distributed"/>
      <protection locked="0"/>
    </xf>
    <xf numFmtId="0" fontId="0" fillId="27" borderId="0" xfId="0" applyFill="1" applyBorder="1" applyAlignment="1" applyProtection="1">
      <alignment horizontal="center" vertical="distributed" wrapText="1"/>
      <protection locked="0"/>
    </xf>
    <xf numFmtId="0" fontId="0" fillId="27" borderId="0" xfId="0" applyFill="1" applyBorder="1" applyAlignment="1" applyProtection="1">
      <alignment horizontal="center" vertical="distributed"/>
      <protection locked="0"/>
    </xf>
    <xf numFmtId="2" fontId="30" fillId="27" borderId="0" xfId="0" applyNumberFormat="1" applyFont="1" applyFill="1" applyBorder="1" applyAlignment="1" applyProtection="1">
      <alignment horizontal="center" vertical="distributed"/>
      <protection locked="0"/>
    </xf>
    <xf numFmtId="1" fontId="30" fillId="27" borderId="0" xfId="0" applyNumberFormat="1" applyFont="1" applyFill="1" applyBorder="1" applyAlignment="1" applyProtection="1">
      <alignment horizontal="center" vertical="distributed"/>
      <protection locked="0"/>
    </xf>
    <xf numFmtId="0" fontId="0" fillId="27" borderId="0" xfId="0" applyFill="1" applyAlignment="1" applyProtection="1">
      <alignment horizontal="center" vertical="distributed"/>
      <protection locked="0"/>
    </xf>
    <xf numFmtId="2" fontId="0" fillId="27" borderId="0" xfId="0" applyNumberFormat="1" applyFill="1" applyAlignment="1" applyProtection="1">
      <alignment horizontal="center" vertical="distributed"/>
      <protection locked="0"/>
    </xf>
    <xf numFmtId="0" fontId="30" fillId="27" borderId="0" xfId="0" applyFont="1" applyFill="1" applyBorder="1" applyAlignment="1" applyProtection="1">
      <alignment horizontal="center" vertical="distributed"/>
      <protection locked="0"/>
    </xf>
    <xf numFmtId="194" fontId="0" fillId="27" borderId="0" xfId="0" applyNumberFormat="1" applyFill="1" applyBorder="1" applyAlignment="1" applyProtection="1">
      <alignment horizontal="center" vertical="distributed"/>
      <protection locked="0"/>
    </xf>
    <xf numFmtId="0" fontId="0" fillId="27" borderId="0" xfId="0" applyFill="1" applyBorder="1" applyAlignment="1" applyProtection="1">
      <alignment vertical="distributed"/>
      <protection locked="0"/>
    </xf>
    <xf numFmtId="195" fontId="0" fillId="27" borderId="0" xfId="0" applyNumberFormat="1" applyFill="1" applyBorder="1" applyAlignment="1" applyProtection="1">
      <alignment horizontal="center" vertical="distributed"/>
      <protection locked="0"/>
    </xf>
    <xf numFmtId="1" fontId="0" fillId="27" borderId="0" xfId="0" applyNumberFormat="1" applyFill="1" applyBorder="1" applyAlignment="1" applyProtection="1">
      <alignment horizontal="center" vertical="distributed"/>
      <protection locked="0"/>
    </xf>
    <xf numFmtId="1" fontId="0" fillId="27" borderId="0" xfId="0" applyNumberFormat="1" applyFill="1" applyAlignment="1" applyProtection="1">
      <alignment horizontal="center" vertical="distributed"/>
      <protection locked="0"/>
    </xf>
    <xf numFmtId="0" fontId="0" fillId="27" borderId="0" xfId="0" applyFill="1" applyAlignment="1">
      <alignment vertical="distributed"/>
    </xf>
    <xf numFmtId="195" fontId="0" fillId="27" borderId="0" xfId="0" applyNumberFormat="1" applyFill="1" applyAlignment="1" applyProtection="1">
      <alignment horizontal="center" vertical="distributed"/>
      <protection locked="0"/>
    </xf>
    <xf numFmtId="0" fontId="30" fillId="27" borderId="0" xfId="0" applyFont="1" applyFill="1" applyBorder="1" applyAlignment="1" applyProtection="1">
      <alignment vertical="distributed"/>
      <protection locked="0"/>
    </xf>
    <xf numFmtId="0" fontId="30" fillId="27" borderId="0" xfId="0" applyFont="1" applyFill="1" applyBorder="1" applyAlignment="1" applyProtection="1">
      <alignment horizontal="left" vertical="distributed"/>
      <protection locked="0"/>
    </xf>
    <xf numFmtId="194" fontId="34" fillId="27" borderId="0" xfId="0" applyNumberFormat="1" applyFont="1" applyFill="1" applyBorder="1" applyAlignment="1" applyProtection="1">
      <alignment horizontal="center" vertical="distributed"/>
      <protection locked="0"/>
    </xf>
    <xf numFmtId="1" fontId="26" fillId="27" borderId="0" xfId="0" applyNumberFormat="1" applyFont="1" applyFill="1" applyBorder="1" applyAlignment="1" applyProtection="1">
      <alignment horizontal="center" vertical="distributed"/>
      <protection locked="0"/>
    </xf>
    <xf numFmtId="1" fontId="26" fillId="27" borderId="0" xfId="0" applyNumberFormat="1" applyFont="1" applyFill="1" applyBorder="1" applyAlignment="1" applyProtection="1">
      <alignment horizontal="center" vertical="distributed"/>
    </xf>
    <xf numFmtId="0" fontId="26" fillId="27" borderId="0" xfId="0" applyFont="1" applyFill="1" applyBorder="1"/>
    <xf numFmtId="2" fontId="26" fillId="27" borderId="0" xfId="0" applyNumberFormat="1" applyFont="1" applyFill="1" applyBorder="1" applyAlignment="1">
      <alignment horizontal="center"/>
    </xf>
    <xf numFmtId="0" fontId="26" fillId="27" borderId="0" xfId="0" applyFont="1" applyFill="1" applyBorder="1" applyAlignment="1">
      <alignment horizontal="center"/>
    </xf>
    <xf numFmtId="2" fontId="26" fillId="27" borderId="0" xfId="0" applyNumberFormat="1" applyFont="1" applyFill="1" applyBorder="1" applyAlignment="1" applyProtection="1">
      <alignment horizontal="center" vertical="distributed"/>
    </xf>
    <xf numFmtId="1" fontId="26" fillId="27" borderId="0" xfId="0" applyNumberFormat="1" applyFont="1" applyFill="1" applyBorder="1" applyAlignment="1">
      <alignment horizontal="center"/>
    </xf>
    <xf numFmtId="194" fontId="26" fillId="27" borderId="0" xfId="0" applyNumberFormat="1" applyFont="1" applyFill="1" applyBorder="1" applyAlignment="1" applyProtection="1">
      <alignment horizontal="center" vertical="distributed"/>
      <protection locked="0"/>
    </xf>
    <xf numFmtId="194" fontId="26" fillId="27" borderId="0" xfId="0" applyNumberFormat="1" applyFont="1" applyFill="1" applyBorder="1" applyAlignment="1" applyProtection="1">
      <alignment horizontal="center" vertical="distributed"/>
    </xf>
    <xf numFmtId="194" fontId="26" fillId="27" borderId="0" xfId="0" applyNumberFormat="1" applyFont="1" applyFill="1" applyBorder="1" applyAlignment="1">
      <alignment horizontal="center" vertical="distributed"/>
    </xf>
    <xf numFmtId="0" fontId="26" fillId="27" borderId="0" xfId="0" applyFont="1" applyFill="1" applyAlignment="1">
      <alignment vertical="distributed"/>
    </xf>
    <xf numFmtId="0" fontId="26" fillId="27" borderId="0" xfId="0" applyFont="1" applyFill="1" applyAlignment="1" applyProtection="1">
      <alignment horizontal="center" vertical="distributed"/>
      <protection locked="0"/>
    </xf>
    <xf numFmtId="0" fontId="26" fillId="27" borderId="0" xfId="0" applyFont="1" applyFill="1" applyAlignment="1">
      <alignment horizontal="center" vertical="distributed"/>
    </xf>
    <xf numFmtId="0" fontId="26" fillId="27" borderId="0" xfId="0" applyFont="1" applyFill="1" applyBorder="1" applyAlignment="1" applyProtection="1">
      <alignment horizontal="center" vertical="distributed"/>
      <protection locked="0"/>
    </xf>
    <xf numFmtId="1" fontId="26" fillId="27" borderId="0" xfId="0" applyNumberFormat="1" applyFont="1" applyFill="1" applyAlignment="1">
      <alignment horizontal="center" vertical="distributed"/>
    </xf>
    <xf numFmtId="2" fontId="26" fillId="27" borderId="0" xfId="0" applyNumberFormat="1" applyFont="1" applyFill="1" applyBorder="1" applyAlignment="1" applyProtection="1">
      <alignment horizontal="center" vertical="distributed"/>
      <protection locked="0"/>
    </xf>
    <xf numFmtId="2" fontId="26" fillId="27" borderId="0" xfId="0" applyNumberFormat="1" applyFont="1" applyFill="1" applyAlignment="1" applyProtection="1">
      <alignment horizontal="center" vertical="distributed"/>
      <protection locked="0"/>
    </xf>
    <xf numFmtId="0" fontId="26" fillId="27" borderId="0" xfId="0" applyFont="1" applyFill="1" applyBorder="1" applyAlignment="1" applyProtection="1">
      <alignment vertical="distributed"/>
      <protection locked="0"/>
    </xf>
    <xf numFmtId="1" fontId="26" fillId="27" borderId="0" xfId="0" applyNumberFormat="1" applyFont="1" applyFill="1" applyAlignment="1" applyProtection="1">
      <alignment horizontal="center" vertical="distributed"/>
      <protection locked="0"/>
    </xf>
    <xf numFmtId="1" fontId="37" fillId="27" borderId="0" xfId="0" applyNumberFormat="1" applyFont="1" applyFill="1" applyBorder="1" applyAlignment="1" applyProtection="1">
      <alignment horizontal="center" vertical="distributed"/>
      <protection locked="0"/>
    </xf>
    <xf numFmtId="0" fontId="0" fillId="27" borderId="0" xfId="0" applyFill="1" applyBorder="1" applyAlignment="1" applyProtection="1">
      <alignment horizontal="center"/>
      <protection locked="0"/>
    </xf>
    <xf numFmtId="0" fontId="0" fillId="27" borderId="0" xfId="0" applyFill="1" applyBorder="1" applyProtection="1">
      <protection locked="0"/>
    </xf>
    <xf numFmtId="0" fontId="26" fillId="27" borderId="0" xfId="0" applyFont="1" applyFill="1" applyBorder="1" applyAlignment="1" applyProtection="1">
      <alignment horizontal="center"/>
      <protection locked="0"/>
    </xf>
    <xf numFmtId="1" fontId="26" fillId="27" borderId="0" xfId="0" applyNumberFormat="1" applyFont="1" applyFill="1" applyAlignment="1" applyProtection="1">
      <alignment horizontal="center"/>
      <protection locked="0"/>
    </xf>
    <xf numFmtId="2" fontId="26" fillId="27" borderId="0" xfId="0" applyNumberFormat="1" applyFont="1" applyFill="1" applyAlignment="1" applyProtection="1">
      <alignment horizontal="center"/>
      <protection locked="0"/>
    </xf>
    <xf numFmtId="0" fontId="0" fillId="27" borderId="0" xfId="0" applyFill="1" applyProtection="1">
      <protection locked="0"/>
    </xf>
    <xf numFmtId="0" fontId="30" fillId="27" borderId="0" xfId="0" applyFont="1" applyFill="1" applyBorder="1" applyAlignment="1" applyProtection="1">
      <alignment horizontal="left"/>
      <protection locked="0"/>
    </xf>
    <xf numFmtId="194" fontId="34" fillId="27" borderId="0" xfId="0" applyNumberFormat="1" applyFont="1" applyFill="1" applyBorder="1" applyAlignment="1" applyProtection="1">
      <alignment horizontal="center"/>
      <protection locked="0"/>
    </xf>
    <xf numFmtId="0" fontId="0" fillId="27" borderId="0" xfId="0" applyFill="1" applyAlignment="1" applyProtection="1">
      <alignment horizontal="center"/>
      <protection locked="0"/>
    </xf>
    <xf numFmtId="0" fontId="26" fillId="27" borderId="0" xfId="0" applyFont="1" applyFill="1" applyAlignment="1" applyProtection="1">
      <alignment horizontal="center"/>
      <protection locked="0"/>
    </xf>
    <xf numFmtId="0" fontId="18" fillId="0" borderId="110" xfId="0" applyFont="1" applyBorder="1" applyAlignment="1" applyProtection="1">
      <alignment vertical="distributed"/>
    </xf>
    <xf numFmtId="0" fontId="26" fillId="0" borderId="75" xfId="0" applyFont="1" applyBorder="1" applyAlignment="1" applyProtection="1">
      <alignment horizontal="center" vertical="distributed"/>
    </xf>
    <xf numFmtId="0" fontId="26" fillId="0" borderId="75" xfId="0" applyFont="1" applyBorder="1" applyAlignment="1" applyProtection="1">
      <alignment horizontal="center" vertical="center" wrapText="1"/>
    </xf>
    <xf numFmtId="0" fontId="26" fillId="0" borderId="75" xfId="0" applyFont="1" applyBorder="1" applyAlignment="1" applyProtection="1">
      <alignment horizontal="center" vertical="distributed" wrapText="1"/>
    </xf>
    <xf numFmtId="0" fontId="26" fillId="0" borderId="111" xfId="0" applyFont="1" applyBorder="1" applyAlignment="1" applyProtection="1">
      <alignment horizontal="center" vertical="distributed" wrapText="1"/>
    </xf>
    <xf numFmtId="0" fontId="29" fillId="0" borderId="62" xfId="0" applyFont="1" applyBorder="1" applyAlignment="1" applyProtection="1">
      <alignment vertical="distributed"/>
    </xf>
    <xf numFmtId="0" fontId="29" fillId="0" borderId="63" xfId="0" applyFont="1" applyBorder="1" applyAlignment="1" applyProtection="1">
      <alignment horizontal="center" vertical="distributed"/>
    </xf>
    <xf numFmtId="0" fontId="29" fillId="36" borderId="63" xfId="0" applyFont="1" applyFill="1" applyBorder="1" applyAlignment="1" applyProtection="1">
      <alignment horizontal="center" vertical="distributed"/>
    </xf>
    <xf numFmtId="0" fontId="29" fillId="36" borderId="64" xfId="0" applyFont="1" applyFill="1" applyBorder="1" applyAlignment="1" applyProtection="1">
      <alignment horizontal="center" vertical="distributed"/>
    </xf>
    <xf numFmtId="0" fontId="26" fillId="0" borderId="65" xfId="0" applyFont="1" applyBorder="1" applyAlignment="1" applyProtection="1">
      <alignment horizontal="left" vertical="distributed"/>
    </xf>
    <xf numFmtId="0" fontId="26" fillId="0" borderId="112" xfId="0" applyFont="1" applyBorder="1" applyAlignment="1" applyProtection="1">
      <alignment vertical="distributed"/>
    </xf>
    <xf numFmtId="1" fontId="26" fillId="36" borderId="0" xfId="0" applyNumberFormat="1" applyFont="1" applyFill="1" applyAlignment="1" applyProtection="1">
      <alignment horizontal="center" vertical="distributed"/>
    </xf>
    <xf numFmtId="0" fontId="29" fillId="0" borderId="65" xfId="0" applyFont="1" applyBorder="1" applyAlignment="1" applyProtection="1">
      <alignment vertical="distributed"/>
    </xf>
    <xf numFmtId="0" fontId="29" fillId="0" borderId="30" xfId="0" applyFont="1" applyBorder="1" applyAlignment="1" applyProtection="1">
      <alignment horizontal="center" vertical="distributed"/>
    </xf>
    <xf numFmtId="195" fontId="29" fillId="36" borderId="66" xfId="0" applyNumberFormat="1" applyFont="1" applyFill="1" applyBorder="1" applyAlignment="1" applyProtection="1">
      <alignment horizontal="center" vertical="distributed"/>
    </xf>
    <xf numFmtId="0" fontId="29" fillId="0" borderId="112" xfId="0" applyFont="1" applyBorder="1" applyAlignment="1" applyProtection="1">
      <alignment vertical="distributed"/>
    </xf>
    <xf numFmtId="0" fontId="29" fillId="0" borderId="33" xfId="0" applyFont="1" applyBorder="1" applyAlignment="1" applyProtection="1">
      <alignment horizontal="center" vertical="distributed"/>
    </xf>
    <xf numFmtId="195" fontId="26" fillId="36" borderId="77" xfId="0" applyNumberFormat="1" applyFont="1" applyFill="1" applyBorder="1" applyAlignment="1" applyProtection="1">
      <alignment horizontal="center" vertical="distributed"/>
    </xf>
    <xf numFmtId="0" fontId="28" fillId="0" borderId="113" xfId="0" applyFont="1" applyBorder="1" applyAlignment="1" applyProtection="1">
      <alignment vertical="distributed"/>
    </xf>
    <xf numFmtId="0" fontId="28" fillId="0" borderId="27" xfId="0" applyFont="1" applyBorder="1" applyAlignment="1" applyProtection="1">
      <alignment horizontal="center" vertical="distributed"/>
    </xf>
    <xf numFmtId="194" fontId="28" fillId="36" borderId="27" xfId="0" applyNumberFormat="1" applyFont="1" applyFill="1" applyBorder="1" applyAlignment="1" applyProtection="1">
      <alignment horizontal="center" vertical="distributed"/>
    </xf>
    <xf numFmtId="194" fontId="28" fillId="36" borderId="114" xfId="0" applyNumberFormat="1" applyFont="1" applyFill="1" applyBorder="1" applyAlignment="1" applyProtection="1">
      <alignment horizontal="center" vertical="distributed"/>
    </xf>
    <xf numFmtId="0" fontId="28" fillId="0" borderId="65" xfId="0" applyFont="1" applyBorder="1" applyAlignment="1" applyProtection="1">
      <alignment vertical="distributed"/>
    </xf>
    <xf numFmtId="0" fontId="28" fillId="0" borderId="30" xfId="0" applyFont="1" applyBorder="1" applyAlignment="1" applyProtection="1">
      <alignment horizontal="center" vertical="distributed"/>
    </xf>
    <xf numFmtId="2" fontId="28" fillId="36" borderId="30" xfId="0" applyNumberFormat="1" applyFont="1" applyFill="1" applyBorder="1" applyAlignment="1" applyProtection="1">
      <alignment horizontal="center" vertical="distributed"/>
    </xf>
    <xf numFmtId="2" fontId="28" fillId="36" borderId="69" xfId="0" applyNumberFormat="1" applyFont="1" applyFill="1" applyBorder="1" applyAlignment="1" applyProtection="1">
      <alignment horizontal="center" vertical="distributed"/>
    </xf>
    <xf numFmtId="0" fontId="37" fillId="0" borderId="62" xfId="0" applyFont="1" applyBorder="1" applyAlignment="1" applyProtection="1">
      <alignment horizontal="left" vertical="distributed" indent="1"/>
    </xf>
    <xf numFmtId="0" fontId="37" fillId="0" borderId="65" xfId="0" applyFont="1" applyBorder="1" applyAlignment="1" applyProtection="1">
      <alignment horizontal="left" vertical="center" wrapText="1" indent="1"/>
    </xf>
    <xf numFmtId="0" fontId="37" fillId="0" borderId="65" xfId="0" applyFont="1" applyBorder="1" applyAlignment="1" applyProtection="1">
      <alignment horizontal="left" vertical="distributed" indent="1"/>
    </xf>
    <xf numFmtId="0" fontId="37" fillId="0" borderId="67" xfId="0" applyFont="1" applyBorder="1" applyAlignment="1" applyProtection="1">
      <alignment horizontal="left" vertical="distributed" indent="1"/>
    </xf>
    <xf numFmtId="0" fontId="38" fillId="36" borderId="80" xfId="0" applyFont="1" applyFill="1" applyBorder="1" applyAlignment="1" applyProtection="1">
      <alignment vertical="distributed"/>
    </xf>
    <xf numFmtId="0" fontId="28" fillId="36" borderId="71" xfId="0" applyFont="1" applyFill="1" applyBorder="1" applyAlignment="1" applyProtection="1">
      <alignment horizontal="center" vertical="distributed"/>
    </xf>
    <xf numFmtId="198" fontId="28" fillId="36" borderId="48" xfId="0" applyNumberFormat="1" applyFont="1" applyFill="1" applyBorder="1" applyAlignment="1" applyProtection="1">
      <alignment horizontal="center" vertical="distributed"/>
    </xf>
    <xf numFmtId="194" fontId="28" fillId="36" borderId="48" xfId="0" applyNumberFormat="1" applyFont="1" applyFill="1" applyBorder="1" applyAlignment="1" applyProtection="1">
      <alignment horizontal="center" vertical="distributed"/>
    </xf>
    <xf numFmtId="194" fontId="28" fillId="36" borderId="59" xfId="0" applyNumberFormat="1" applyFont="1" applyFill="1" applyBorder="1" applyAlignment="1" applyProtection="1">
      <alignment horizontal="center" vertical="distributed"/>
    </xf>
    <xf numFmtId="0" fontId="37" fillId="0" borderId="62" xfId="0" applyFont="1" applyFill="1" applyBorder="1" applyAlignment="1" applyProtection="1">
      <alignment vertical="distributed"/>
    </xf>
    <xf numFmtId="0" fontId="37" fillId="0" borderId="70" xfId="0" applyFont="1" applyFill="1" applyBorder="1" applyAlignment="1" applyProtection="1">
      <alignment horizontal="center" vertical="distributed"/>
    </xf>
    <xf numFmtId="194" fontId="37" fillId="36" borderId="64" xfId="0" applyNumberFormat="1" applyFont="1" applyFill="1" applyBorder="1" applyAlignment="1" applyProtection="1">
      <alignment horizontal="center" vertical="distributed"/>
    </xf>
    <xf numFmtId="0" fontId="26" fillId="0" borderId="65" xfId="0" applyFont="1" applyFill="1" applyBorder="1" applyAlignment="1" applyProtection="1">
      <alignment vertical="distributed"/>
    </xf>
    <xf numFmtId="0" fontId="26" fillId="0" borderId="67" xfId="0" applyFont="1" applyFill="1" applyBorder="1" applyAlignment="1" applyProtection="1">
      <alignment vertical="distributed"/>
    </xf>
    <xf numFmtId="0" fontId="26" fillId="0" borderId="68" xfId="0" applyFont="1" applyBorder="1" applyAlignment="1" applyProtection="1">
      <alignment horizontal="center" vertical="distributed"/>
    </xf>
    <xf numFmtId="0" fontId="38" fillId="36" borderId="80" xfId="0" applyFont="1" applyFill="1" applyBorder="1" applyAlignment="1" applyProtection="1">
      <alignment vertical="center"/>
    </xf>
    <xf numFmtId="0" fontId="0" fillId="36" borderId="71" xfId="0" applyFill="1" applyBorder="1" applyAlignment="1" applyProtection="1">
      <alignment horizontal="center" vertical="distributed"/>
    </xf>
    <xf numFmtId="0" fontId="26" fillId="36" borderId="74" xfId="0" applyFont="1" applyFill="1" applyBorder="1" applyAlignment="1" applyProtection="1">
      <alignment horizontal="center" vertical="distributed"/>
    </xf>
    <xf numFmtId="1" fontId="26" fillId="36" borderId="63" xfId="0" applyNumberFormat="1" applyFont="1" applyFill="1" applyBorder="1" applyAlignment="1" applyProtection="1">
      <alignment horizontal="center" vertical="distributed"/>
    </xf>
    <xf numFmtId="1" fontId="26" fillId="36" borderId="64" xfId="0" applyNumberFormat="1" applyFont="1" applyFill="1" applyBorder="1" applyAlignment="1" applyProtection="1">
      <alignment horizontal="center" vertical="distributed"/>
    </xf>
    <xf numFmtId="0" fontId="37" fillId="0" borderId="65" xfId="0" applyFont="1" applyBorder="1" applyAlignment="1" applyProtection="1">
      <alignment vertical="distributed"/>
    </xf>
    <xf numFmtId="2" fontId="28" fillId="36" borderId="66" xfId="0" applyNumberFormat="1" applyFont="1" applyFill="1" applyBorder="1" applyAlignment="1" applyProtection="1">
      <alignment horizontal="center" vertical="distributed"/>
    </xf>
    <xf numFmtId="0" fontId="28" fillId="0" borderId="67" xfId="0" applyFont="1" applyBorder="1" applyAlignment="1" applyProtection="1">
      <alignment vertical="distributed"/>
    </xf>
    <xf numFmtId="0" fontId="28" fillId="0" borderId="68" xfId="0" applyFont="1" applyBorder="1" applyAlignment="1" applyProtection="1">
      <alignment horizontal="center" vertical="distributed"/>
    </xf>
    <xf numFmtId="2" fontId="28" fillId="36" borderId="68" xfId="0" applyNumberFormat="1" applyFont="1" applyFill="1" applyBorder="1" applyAlignment="1" applyProtection="1">
      <alignment horizontal="center" vertical="distributed"/>
    </xf>
    <xf numFmtId="0" fontId="0" fillId="0" borderId="0" xfId="0" applyAlignment="1" applyProtection="1">
      <alignment horizontal="center"/>
    </xf>
    <xf numFmtId="0" fontId="37" fillId="43" borderId="29" xfId="0" applyFont="1" applyFill="1" applyBorder="1" applyAlignment="1" applyProtection="1">
      <alignment horizontal="center" vertical="center"/>
    </xf>
    <xf numFmtId="0" fontId="37" fillId="0" borderId="65" xfId="0" applyFont="1" applyBorder="1" applyAlignment="1" applyProtection="1">
      <alignment horizontal="left" vertical="center"/>
    </xf>
    <xf numFmtId="194" fontId="37" fillId="43" borderId="30" xfId="0" applyNumberFormat="1" applyFont="1" applyFill="1" applyBorder="1" applyAlignment="1" applyProtection="1">
      <alignment horizontal="center" vertical="distributed"/>
    </xf>
    <xf numFmtId="2" fontId="37" fillId="39" borderId="33" xfId="0" applyNumberFormat="1" applyFont="1" applyFill="1" applyBorder="1" applyAlignment="1" applyProtection="1">
      <alignment horizontal="center" vertical="distributed"/>
      <protection locked="0"/>
    </xf>
    <xf numFmtId="2" fontId="37" fillId="39" borderId="77" xfId="0" applyNumberFormat="1" applyFont="1" applyFill="1" applyBorder="1" applyAlignment="1" applyProtection="1">
      <alignment horizontal="center" vertical="distributed"/>
      <protection locked="0"/>
    </xf>
    <xf numFmtId="0" fontId="26" fillId="36" borderId="66" xfId="0" applyFont="1" applyFill="1" applyBorder="1" applyAlignment="1" applyProtection="1">
      <alignment horizontal="center" vertical="distributed" wrapText="1"/>
    </xf>
    <xf numFmtId="0" fontId="39" fillId="45" borderId="115" xfId="0" applyFont="1" applyFill="1" applyBorder="1" applyAlignment="1" applyProtection="1">
      <alignment horizontal="center" vertical="distributed"/>
      <protection locked="0"/>
    </xf>
    <xf numFmtId="2" fontId="26" fillId="39" borderId="114" xfId="0" applyNumberFormat="1" applyFont="1" applyFill="1" applyBorder="1" applyAlignment="1" applyProtection="1">
      <alignment horizontal="center" vertical="distributed"/>
      <protection locked="0"/>
    </xf>
    <xf numFmtId="194" fontId="26" fillId="39" borderId="30" xfId="0" applyNumberFormat="1" applyFont="1" applyFill="1" applyBorder="1" applyAlignment="1" applyProtection="1">
      <alignment horizontal="center" vertical="distributed" wrapText="1"/>
      <protection locked="0"/>
    </xf>
    <xf numFmtId="194" fontId="26" fillId="39" borderId="66" xfId="0" applyNumberFormat="1" applyFont="1" applyFill="1" applyBorder="1" applyAlignment="1" applyProtection="1">
      <alignment horizontal="center" vertical="distributed" wrapText="1"/>
      <protection locked="0"/>
    </xf>
    <xf numFmtId="1" fontId="31" fillId="27" borderId="93" xfId="0" applyNumberFormat="1" applyFont="1" applyFill="1" applyBorder="1" applyAlignment="1" applyProtection="1">
      <alignment horizontal="center"/>
    </xf>
    <xf numFmtId="1" fontId="31" fillId="27" borderId="23" xfId="0" applyNumberFormat="1" applyFont="1" applyFill="1" applyBorder="1" applyAlignment="1" applyProtection="1">
      <alignment horizontal="center"/>
    </xf>
    <xf numFmtId="1" fontId="31" fillId="27" borderId="94" xfId="0" applyNumberFormat="1" applyFont="1" applyFill="1" applyBorder="1" applyAlignment="1" applyProtection="1">
      <alignment horizontal="center"/>
    </xf>
    <xf numFmtId="0" fontId="37" fillId="0" borderId="0" xfId="0" applyFont="1" applyProtection="1"/>
    <xf numFmtId="194" fontId="17" fillId="0" borderId="0" xfId="0" applyNumberFormat="1" applyFont="1" applyAlignment="1" applyProtection="1">
      <alignment horizontal="center"/>
    </xf>
    <xf numFmtId="195" fontId="30" fillId="39" borderId="116" xfId="0" applyNumberFormat="1" applyFont="1" applyFill="1" applyBorder="1" applyAlignment="1">
      <alignment horizontal="center"/>
    </xf>
    <xf numFmtId="195" fontId="0" fillId="0" borderId="69" xfId="0" applyNumberFormat="1" applyFill="1" applyBorder="1" applyAlignment="1">
      <alignment horizontal="center"/>
    </xf>
    <xf numFmtId="195" fontId="0" fillId="0" borderId="68" xfId="0" applyNumberFormat="1" applyFill="1" applyBorder="1" applyAlignment="1">
      <alignment horizontal="center"/>
    </xf>
    <xf numFmtId="195" fontId="0" fillId="0" borderId="67" xfId="0" applyNumberFormat="1" applyFill="1" applyBorder="1" applyAlignment="1">
      <alignment horizontal="center"/>
    </xf>
    <xf numFmtId="0" fontId="59" fillId="0" borderId="117" xfId="45" applyFont="1" applyFill="1" applyBorder="1" applyAlignment="1">
      <alignment horizontal="center" wrapText="1"/>
    </xf>
    <xf numFmtId="195" fontId="30" fillId="39" borderId="51" xfId="0" applyNumberFormat="1" applyFont="1" applyFill="1" applyBorder="1" applyAlignment="1">
      <alignment horizontal="center"/>
    </xf>
    <xf numFmtId="195" fontId="0" fillId="0" borderId="66" xfId="0" applyNumberFormat="1" applyFill="1" applyBorder="1" applyAlignment="1">
      <alignment horizontal="center"/>
    </xf>
    <xf numFmtId="195" fontId="0" fillId="0" borderId="30" xfId="0" applyNumberFormat="1" applyFill="1" applyBorder="1" applyAlignment="1">
      <alignment horizontal="center"/>
    </xf>
    <xf numFmtId="195" fontId="0" fillId="0" borderId="65" xfId="0" applyNumberFormat="1" applyFill="1" applyBorder="1" applyAlignment="1">
      <alignment horizontal="center"/>
    </xf>
    <xf numFmtId="0" fontId="59" fillId="0" borderId="118" xfId="45" applyFont="1" applyFill="1" applyBorder="1" applyAlignment="1">
      <alignment horizontal="center" wrapText="1"/>
    </xf>
    <xf numFmtId="195" fontId="30" fillId="39" borderId="49" xfId="0" applyNumberFormat="1" applyFont="1" applyFill="1" applyBorder="1" applyAlignment="1">
      <alignment horizontal="center"/>
    </xf>
    <xf numFmtId="195" fontId="0" fillId="0" borderId="64" xfId="0" applyNumberFormat="1" applyFill="1" applyBorder="1" applyAlignment="1">
      <alignment horizontal="center"/>
    </xf>
    <xf numFmtId="195" fontId="0" fillId="0" borderId="63" xfId="0" applyNumberFormat="1" applyFill="1" applyBorder="1" applyAlignment="1">
      <alignment horizontal="center"/>
    </xf>
    <xf numFmtId="195" fontId="0" fillId="0" borderId="62" xfId="0" applyNumberFormat="1" applyFill="1" applyBorder="1" applyAlignment="1">
      <alignment horizontal="center"/>
    </xf>
    <xf numFmtId="0" fontId="59" fillId="0" borderId="119" xfId="45" applyFont="1" applyFill="1" applyBorder="1" applyAlignment="1">
      <alignment horizontal="center" wrapText="1"/>
    </xf>
    <xf numFmtId="0" fontId="0" fillId="39" borderId="15" xfId="0" applyFill="1" applyBorder="1"/>
    <xf numFmtId="0" fontId="30" fillId="0" borderId="111" xfId="0" applyFont="1" applyBorder="1" applyAlignment="1">
      <alignment horizontal="center"/>
    </xf>
    <xf numFmtId="0" fontId="30" fillId="0" borderId="75" xfId="0" applyFont="1" applyBorder="1" applyAlignment="1">
      <alignment horizontal="center"/>
    </xf>
    <xf numFmtId="0" fontId="30" fillId="0" borderId="110" xfId="0" applyFont="1" applyBorder="1" applyAlignment="1">
      <alignment horizontal="center"/>
    </xf>
    <xf numFmtId="0" fontId="30" fillId="0" borderId="120" xfId="0" applyFont="1" applyBorder="1" applyAlignment="1">
      <alignment horizontal="center"/>
    </xf>
    <xf numFmtId="0" fontId="18" fillId="0" borderId="80" xfId="0" applyFont="1" applyBorder="1" applyAlignment="1">
      <alignment horizontal="center"/>
    </xf>
    <xf numFmtId="2" fontId="30" fillId="39" borderId="116" xfId="0" applyNumberFormat="1" applyFont="1" applyFill="1" applyBorder="1" applyAlignment="1">
      <alignment horizontal="center"/>
    </xf>
    <xf numFmtId="195" fontId="0" fillId="0" borderId="72" xfId="0" applyNumberFormat="1" applyFill="1" applyBorder="1" applyAlignment="1">
      <alignment horizontal="center"/>
    </xf>
    <xf numFmtId="195" fontId="0" fillId="0" borderId="29" xfId="0" applyNumberFormat="1" applyFill="1" applyBorder="1" applyAlignment="1">
      <alignment horizontal="center"/>
    </xf>
    <xf numFmtId="2" fontId="30" fillId="39" borderId="51" xfId="0" applyNumberFormat="1" applyFont="1" applyFill="1" applyBorder="1" applyAlignment="1">
      <alignment horizontal="center"/>
    </xf>
    <xf numFmtId="194" fontId="30" fillId="39" borderId="51" xfId="0" applyNumberFormat="1" applyFont="1" applyFill="1" applyBorder="1" applyAlignment="1">
      <alignment horizontal="center"/>
    </xf>
    <xf numFmtId="0" fontId="0" fillId="39" borderId="51" xfId="0" applyFill="1" applyBorder="1"/>
    <xf numFmtId="195" fontId="0" fillId="0" borderId="29" xfId="0" applyNumberFormat="1" applyBorder="1" applyAlignment="1">
      <alignment horizontal="center"/>
    </xf>
    <xf numFmtId="195" fontId="0" fillId="0" borderId="30" xfId="0" applyNumberFormat="1" applyBorder="1" applyAlignment="1">
      <alignment horizontal="center"/>
    </xf>
    <xf numFmtId="0" fontId="0" fillId="39" borderId="49" xfId="0" applyFill="1" applyBorder="1"/>
    <xf numFmtId="195" fontId="0" fillId="0" borderId="70" xfId="0" applyNumberFormat="1" applyBorder="1" applyAlignment="1">
      <alignment horizontal="center"/>
    </xf>
    <xf numFmtId="195" fontId="0" fillId="0" borderId="63" xfId="0" applyNumberFormat="1" applyBorder="1" applyAlignment="1">
      <alignment horizontal="center"/>
    </xf>
    <xf numFmtId="194" fontId="30" fillId="39" borderId="121" xfId="0" applyNumberFormat="1" applyFont="1" applyFill="1" applyBorder="1" applyAlignment="1">
      <alignment horizontal="center"/>
    </xf>
    <xf numFmtId="2" fontId="0" fillId="0" borderId="122" xfId="0" applyNumberFormat="1" applyFill="1" applyBorder="1" applyAlignment="1">
      <alignment horizontal="center"/>
    </xf>
    <xf numFmtId="2" fontId="0" fillId="0" borderId="123" xfId="0" applyNumberFormat="1" applyFill="1" applyBorder="1" applyAlignment="1">
      <alignment horizontal="center"/>
    </xf>
    <xf numFmtId="2" fontId="0" fillId="0" borderId="124" xfId="0" applyNumberFormat="1" applyFill="1" applyBorder="1" applyAlignment="1">
      <alignment horizontal="center"/>
    </xf>
    <xf numFmtId="2" fontId="0" fillId="0" borderId="125" xfId="0" applyNumberFormat="1" applyFill="1" applyBorder="1" applyAlignment="1">
      <alignment horizontal="center"/>
    </xf>
    <xf numFmtId="2" fontId="0" fillId="0" borderId="68" xfId="0" applyNumberFormat="1" applyFill="1" applyBorder="1" applyAlignment="1">
      <alignment horizontal="center"/>
    </xf>
    <xf numFmtId="194" fontId="30" fillId="39" borderId="126" xfId="0" applyNumberFormat="1" applyFont="1" applyFill="1" applyBorder="1" applyAlignment="1">
      <alignment horizontal="center"/>
    </xf>
    <xf numFmtId="2" fontId="0" fillId="0" borderId="127" xfId="0" applyNumberFormat="1" applyFill="1" applyBorder="1" applyAlignment="1">
      <alignment horizontal="center"/>
    </xf>
    <xf numFmtId="2" fontId="0" fillId="0" borderId="128" xfId="0" applyNumberFormat="1" applyFill="1" applyBorder="1" applyAlignment="1">
      <alignment horizontal="center"/>
    </xf>
    <xf numFmtId="2" fontId="0" fillId="0" borderId="129" xfId="0" applyNumberFormat="1" applyFill="1" applyBorder="1" applyAlignment="1">
      <alignment horizontal="center"/>
    </xf>
    <xf numFmtId="2" fontId="0" fillId="0" borderId="130" xfId="0" applyNumberFormat="1" applyFill="1" applyBorder="1" applyAlignment="1">
      <alignment horizontal="center"/>
    </xf>
    <xf numFmtId="2" fontId="0" fillId="0" borderId="30" xfId="0" applyNumberFormat="1" applyFill="1" applyBorder="1" applyAlignment="1">
      <alignment horizontal="center"/>
    </xf>
    <xf numFmtId="0" fontId="0" fillId="39" borderId="126" xfId="0" applyFill="1" applyBorder="1"/>
    <xf numFmtId="2" fontId="0" fillId="0" borderId="130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0" fillId="39" borderId="131" xfId="0" applyFill="1" applyBorder="1"/>
    <xf numFmtId="2" fontId="0" fillId="0" borderId="132" xfId="0" applyNumberFormat="1" applyFill="1" applyBorder="1" applyAlignment="1">
      <alignment horizontal="center"/>
    </xf>
    <xf numFmtId="2" fontId="0" fillId="0" borderId="133" xfId="0" applyNumberFormat="1" applyFill="1" applyBorder="1" applyAlignment="1">
      <alignment horizontal="center"/>
    </xf>
    <xf numFmtId="2" fontId="0" fillId="0" borderId="134" xfId="0" applyNumberFormat="1" applyFill="1" applyBorder="1" applyAlignment="1">
      <alignment horizontal="center"/>
    </xf>
    <xf numFmtId="2" fontId="0" fillId="0" borderId="135" xfId="0" applyNumberFormat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195" fontId="0" fillId="0" borderId="136" xfId="0" applyNumberFormat="1" applyFill="1" applyBorder="1" applyAlignment="1">
      <alignment horizontal="center"/>
    </xf>
    <xf numFmtId="195" fontId="0" fillId="0" borderId="137" xfId="0" applyNumberFormat="1" applyFill="1" applyBorder="1" applyAlignment="1">
      <alignment horizontal="center"/>
    </xf>
    <xf numFmtId="195" fontId="0" fillId="0" borderId="138" xfId="0" applyNumberFormat="1" applyFill="1" applyBorder="1" applyAlignment="1">
      <alignment horizontal="center"/>
    </xf>
    <xf numFmtId="1" fontId="30" fillId="39" borderId="116" xfId="0" applyNumberFormat="1" applyFont="1" applyFill="1" applyBorder="1" applyAlignment="1">
      <alignment horizontal="center"/>
    </xf>
    <xf numFmtId="194" fontId="0" fillId="0" borderId="69" xfId="0" applyNumberFormat="1" applyBorder="1" applyAlignment="1">
      <alignment horizontal="center"/>
    </xf>
    <xf numFmtId="194" fontId="0" fillId="0" borderId="68" xfId="0" applyNumberFormat="1" applyBorder="1" applyAlignment="1">
      <alignment horizontal="center"/>
    </xf>
    <xf numFmtId="194" fontId="0" fillId="0" borderId="136" xfId="0" applyNumberFormat="1" applyBorder="1" applyAlignment="1">
      <alignment horizontal="center"/>
    </xf>
    <xf numFmtId="194" fontId="0" fillId="0" borderId="72" xfId="0" applyNumberFormat="1" applyBorder="1" applyAlignment="1">
      <alignment horizontal="center"/>
    </xf>
    <xf numFmtId="1" fontId="30" fillId="39" borderId="51" xfId="0" applyNumberFormat="1" applyFont="1" applyFill="1" applyBorder="1" applyAlignment="1">
      <alignment horizontal="center"/>
    </xf>
    <xf numFmtId="194" fontId="0" fillId="0" borderId="66" xfId="0" applyNumberFormat="1" applyBorder="1" applyAlignment="1">
      <alignment horizontal="center"/>
    </xf>
    <xf numFmtId="194" fontId="0" fillId="0" borderId="30" xfId="0" applyNumberFormat="1" applyBorder="1" applyAlignment="1">
      <alignment horizontal="center"/>
    </xf>
    <xf numFmtId="194" fontId="0" fillId="0" borderId="137" xfId="0" applyNumberFormat="1" applyBorder="1" applyAlignment="1">
      <alignment horizontal="center"/>
    </xf>
    <xf numFmtId="194" fontId="0" fillId="0" borderId="29" xfId="0" applyNumberFormat="1" applyBorder="1" applyAlignment="1">
      <alignment horizontal="center"/>
    </xf>
    <xf numFmtId="194" fontId="0" fillId="0" borderId="64" xfId="0" applyNumberFormat="1" applyBorder="1" applyAlignment="1">
      <alignment horizontal="center"/>
    </xf>
    <xf numFmtId="194" fontId="0" fillId="0" borderId="63" xfId="0" applyNumberFormat="1" applyBorder="1" applyAlignment="1">
      <alignment horizontal="center"/>
    </xf>
    <xf numFmtId="194" fontId="0" fillId="0" borderId="138" xfId="0" applyNumberFormat="1" applyBorder="1" applyAlignment="1">
      <alignment horizontal="center"/>
    </xf>
    <xf numFmtId="194" fontId="0" fillId="0" borderId="70" xfId="0" applyNumberFormat="1" applyBorder="1" applyAlignment="1">
      <alignment horizontal="center"/>
    </xf>
    <xf numFmtId="0" fontId="30" fillId="39" borderId="15" xfId="0" applyFont="1" applyFill="1" applyBorder="1" applyAlignment="1" applyProtection="1">
      <alignment horizontal="center"/>
    </xf>
    <xf numFmtId="0" fontId="30" fillId="39" borderId="59" xfId="0" applyFont="1" applyFill="1" applyBorder="1" applyAlignment="1" applyProtection="1">
      <alignment horizontal="center"/>
    </xf>
    <xf numFmtId="0" fontId="0" fillId="39" borderId="76" xfId="0" applyFill="1" applyBorder="1" applyProtection="1"/>
    <xf numFmtId="0" fontId="40" fillId="39" borderId="71" xfId="0" applyFont="1" applyFill="1" applyBorder="1" applyProtection="1"/>
    <xf numFmtId="0" fontId="37" fillId="39" borderId="80" xfId="0" applyFont="1" applyFill="1" applyBorder="1" applyProtection="1"/>
    <xf numFmtId="0" fontId="37" fillId="39" borderId="71" xfId="0" applyFont="1" applyFill="1" applyBorder="1" applyProtection="1"/>
    <xf numFmtId="0" fontId="37" fillId="0" borderId="0" xfId="0" applyFont="1" applyFill="1" applyProtection="1"/>
    <xf numFmtId="196" fontId="37" fillId="0" borderId="0" xfId="0" applyNumberFormat="1" applyFont="1" applyFill="1" applyBorder="1" applyAlignment="1" applyProtection="1">
      <alignment horizontal="center"/>
    </xf>
    <xf numFmtId="0" fontId="37" fillId="0" borderId="0" xfId="0" applyFont="1" applyFill="1" applyBorder="1" applyAlignment="1" applyProtection="1">
      <alignment horizontal="center"/>
    </xf>
    <xf numFmtId="0" fontId="18" fillId="0" borderId="0" xfId="0" applyFont="1" applyFill="1" applyBorder="1" applyProtection="1"/>
    <xf numFmtId="0" fontId="33" fillId="0" borderId="0" xfId="0" applyFont="1" applyFill="1" applyBorder="1" applyProtection="1"/>
    <xf numFmtId="0" fontId="37" fillId="0" borderId="0" xfId="0" applyFont="1" applyFill="1" applyBorder="1" applyProtection="1"/>
    <xf numFmtId="196" fontId="37" fillId="28" borderId="69" xfId="0" applyNumberFormat="1" applyFont="1" applyFill="1" applyBorder="1" applyAlignment="1" applyProtection="1">
      <alignment horizontal="center"/>
    </xf>
    <xf numFmtId="0" fontId="37" fillId="28" borderId="68" xfId="0" applyFont="1" applyFill="1" applyBorder="1" applyAlignment="1" applyProtection="1">
      <alignment horizontal="center"/>
    </xf>
    <xf numFmtId="0" fontId="37" fillId="27" borderId="73" xfId="0" applyFont="1" applyFill="1" applyBorder="1" applyProtection="1"/>
    <xf numFmtId="0" fontId="37" fillId="28" borderId="57" xfId="0" applyFont="1" applyFill="1" applyBorder="1" applyProtection="1"/>
    <xf numFmtId="196" fontId="37" fillId="28" borderId="66" xfId="0" applyNumberFormat="1" applyFont="1" applyFill="1" applyBorder="1" applyAlignment="1" applyProtection="1">
      <alignment horizontal="center"/>
    </xf>
    <xf numFmtId="0" fontId="37" fillId="28" borderId="30" xfId="0" applyFont="1" applyFill="1" applyBorder="1" applyAlignment="1" applyProtection="1">
      <alignment horizontal="center"/>
    </xf>
    <xf numFmtId="0" fontId="37" fillId="27" borderId="20" xfId="0" applyFont="1" applyFill="1" applyBorder="1" applyProtection="1"/>
    <xf numFmtId="0" fontId="37" fillId="28" borderId="14" xfId="0" applyFont="1" applyFill="1" applyBorder="1" applyProtection="1"/>
    <xf numFmtId="195" fontId="37" fillId="28" borderId="114" xfId="0" applyNumberFormat="1" applyFont="1" applyFill="1" applyBorder="1" applyAlignment="1" applyProtection="1">
      <alignment horizontal="center"/>
    </xf>
    <xf numFmtId="0" fontId="37" fillId="28" borderId="27" xfId="0" applyFont="1" applyFill="1" applyBorder="1" applyAlignment="1" applyProtection="1">
      <alignment horizontal="center"/>
    </xf>
    <xf numFmtId="0" fontId="37" fillId="28" borderId="139" xfId="0" applyFont="1" applyFill="1" applyBorder="1" applyProtection="1"/>
    <xf numFmtId="196" fontId="37" fillId="28" borderId="77" xfId="0" applyNumberFormat="1" applyFont="1" applyFill="1" applyBorder="1" applyAlignment="1" applyProtection="1">
      <alignment horizontal="center"/>
    </xf>
    <xf numFmtId="0" fontId="37" fillId="28" borderId="33" xfId="0" applyFont="1" applyFill="1" applyBorder="1" applyAlignment="1" applyProtection="1">
      <alignment horizontal="center"/>
    </xf>
    <xf numFmtId="0" fontId="37" fillId="27" borderId="140" xfId="0" applyFont="1" applyFill="1" applyBorder="1" applyProtection="1"/>
    <xf numFmtId="0" fontId="37" fillId="28" borderId="141" xfId="0" applyFont="1" applyFill="1" applyBorder="1" applyProtection="1"/>
    <xf numFmtId="0" fontId="37" fillId="27" borderId="25" xfId="0" applyFont="1" applyFill="1" applyBorder="1" applyProtection="1"/>
    <xf numFmtId="195" fontId="37" fillId="28" borderId="77" xfId="0" applyNumberFormat="1" applyFont="1" applyFill="1" applyBorder="1" applyAlignment="1" applyProtection="1">
      <alignment horizontal="center"/>
    </xf>
    <xf numFmtId="195" fontId="37" fillId="28" borderId="66" xfId="0" applyNumberFormat="1" applyFont="1" applyFill="1" applyBorder="1" applyAlignment="1" applyProtection="1">
      <alignment horizontal="center"/>
    </xf>
    <xf numFmtId="2" fontId="37" fillId="28" borderId="114" xfId="0" applyNumberFormat="1" applyFont="1" applyFill="1" applyBorder="1" applyAlignment="1" applyProtection="1">
      <alignment horizontal="center"/>
    </xf>
    <xf numFmtId="2" fontId="37" fillId="28" borderId="77" xfId="0" applyNumberFormat="1" applyFont="1" applyFill="1" applyBorder="1" applyAlignment="1" applyProtection="1">
      <alignment horizontal="center"/>
    </xf>
    <xf numFmtId="2" fontId="37" fillId="28" borderId="66" xfId="0" applyNumberFormat="1" applyFont="1" applyFill="1" applyBorder="1" applyAlignment="1" applyProtection="1">
      <alignment horizontal="center"/>
    </xf>
    <xf numFmtId="194" fontId="37" fillId="28" borderId="77" xfId="0" applyNumberFormat="1" applyFont="1" applyFill="1" applyBorder="1" applyAlignment="1" applyProtection="1">
      <alignment horizontal="center"/>
    </xf>
    <xf numFmtId="194" fontId="37" fillId="28" borderId="66" xfId="0" applyNumberFormat="1" applyFont="1" applyFill="1" applyBorder="1" applyAlignment="1" applyProtection="1">
      <alignment horizontal="center"/>
    </xf>
    <xf numFmtId="1" fontId="37" fillId="28" borderId="114" xfId="0" applyNumberFormat="1" applyFont="1" applyFill="1" applyBorder="1" applyAlignment="1" applyProtection="1">
      <alignment horizontal="center"/>
    </xf>
    <xf numFmtId="195" fontId="26" fillId="27" borderId="142" xfId="0" applyNumberFormat="1" applyFont="1" applyFill="1" applyBorder="1" applyAlignment="1" applyProtection="1">
      <alignment horizontal="center"/>
    </xf>
    <xf numFmtId="0" fontId="37" fillId="27" borderId="143" xfId="0" applyFont="1" applyFill="1" applyBorder="1" applyAlignment="1" applyProtection="1">
      <alignment horizontal="center"/>
    </xf>
    <xf numFmtId="0" fontId="37" fillId="27" borderId="144" xfId="0" applyFont="1" applyFill="1" applyBorder="1" applyProtection="1"/>
    <xf numFmtId="195" fontId="26" fillId="27" borderId="34" xfId="0" applyNumberFormat="1" applyFont="1" applyFill="1" applyBorder="1" applyAlignment="1" applyProtection="1">
      <alignment horizontal="center"/>
    </xf>
    <xf numFmtId="0" fontId="37" fillId="27" borderId="26" xfId="0" applyFont="1" applyFill="1" applyBorder="1" applyAlignment="1" applyProtection="1">
      <alignment horizontal="center"/>
    </xf>
    <xf numFmtId="0" fontId="37" fillId="27" borderId="145" xfId="0" applyFont="1" applyFill="1" applyBorder="1" applyProtection="1"/>
    <xf numFmtId="2" fontId="26" fillId="27" borderId="34" xfId="0" applyNumberFormat="1" applyFont="1" applyFill="1" applyBorder="1" applyAlignment="1" applyProtection="1">
      <alignment horizontal="center"/>
    </xf>
    <xf numFmtId="194" fontId="26" fillId="27" borderId="34" xfId="0" applyNumberFormat="1" applyFont="1" applyFill="1" applyBorder="1" applyAlignment="1" applyProtection="1">
      <alignment horizontal="center"/>
    </xf>
    <xf numFmtId="195" fontId="37" fillId="27" borderId="77" xfId="0" applyNumberFormat="1" applyFont="1" applyFill="1" applyBorder="1" applyAlignment="1" applyProtection="1">
      <alignment horizontal="center"/>
    </xf>
    <xf numFmtId="0" fontId="37" fillId="27" borderId="33" xfId="0" applyFont="1" applyFill="1" applyBorder="1" applyAlignment="1" applyProtection="1">
      <alignment horizontal="center"/>
    </xf>
    <xf numFmtId="0" fontId="37" fillId="27" borderId="141" xfId="0" applyFont="1" applyFill="1" applyBorder="1" applyProtection="1"/>
    <xf numFmtId="1" fontId="26" fillId="27" borderId="34" xfId="0" applyNumberFormat="1" applyFont="1" applyFill="1" applyBorder="1" applyAlignment="1" applyProtection="1">
      <alignment horizontal="center"/>
    </xf>
    <xf numFmtId="194" fontId="37" fillId="27" borderId="64" xfId="0" applyNumberFormat="1" applyFont="1" applyFill="1" applyBorder="1" applyAlignment="1" applyProtection="1">
      <alignment horizontal="center"/>
    </xf>
    <xf numFmtId="0" fontId="37" fillId="27" borderId="63" xfId="0" applyFont="1" applyFill="1" applyBorder="1" applyAlignment="1" applyProtection="1">
      <alignment horizontal="center"/>
    </xf>
    <xf numFmtId="0" fontId="37" fillId="27" borderId="46" xfId="0" applyFont="1" applyFill="1" applyBorder="1" applyProtection="1"/>
    <xf numFmtId="0" fontId="38" fillId="27" borderId="68" xfId="0" applyFont="1" applyFill="1" applyBorder="1" applyAlignment="1" applyProtection="1">
      <alignment horizontal="center"/>
    </xf>
    <xf numFmtId="0" fontId="38" fillId="27" borderId="73" xfId="0" applyFont="1" applyFill="1" applyBorder="1" applyProtection="1"/>
    <xf numFmtId="0" fontId="38" fillId="27" borderId="57" xfId="0" applyFont="1" applyFill="1" applyBorder="1" applyProtection="1"/>
    <xf numFmtId="194" fontId="26" fillId="27" borderId="34" xfId="0" applyNumberFormat="1" applyFont="1" applyFill="1" applyBorder="1" applyAlignment="1">
      <alignment horizontal="center"/>
    </xf>
    <xf numFmtId="0" fontId="38" fillId="27" borderId="30" xfId="0" applyFont="1" applyFill="1" applyBorder="1" applyAlignment="1" applyProtection="1">
      <alignment horizontal="center"/>
    </xf>
    <xf numFmtId="0" fontId="38" fillId="27" borderId="20" xfId="0" applyFont="1" applyFill="1" applyBorder="1" applyProtection="1"/>
    <xf numFmtId="0" fontId="38" fillId="27" borderId="14" xfId="0" applyFont="1" applyFill="1" applyBorder="1" applyProtection="1"/>
    <xf numFmtId="0" fontId="0" fillId="0" borderId="14" xfId="0" applyFill="1" applyBorder="1"/>
    <xf numFmtId="0" fontId="0" fillId="27" borderId="33" xfId="0" applyFill="1" applyBorder="1" applyAlignment="1">
      <alignment horizontal="center"/>
    </xf>
    <xf numFmtId="0" fontId="0" fillId="27" borderId="112" xfId="0" applyFill="1" applyBorder="1" applyProtection="1"/>
    <xf numFmtId="0" fontId="0" fillId="27" borderId="27" xfId="0" applyFill="1" applyBorder="1" applyAlignment="1">
      <alignment horizontal="center"/>
    </xf>
    <xf numFmtId="0" fontId="0" fillId="27" borderId="113" xfId="0" applyFill="1" applyBorder="1" applyProtection="1"/>
    <xf numFmtId="0" fontId="26" fillId="27" borderId="146" xfId="0" applyFont="1" applyFill="1" applyBorder="1"/>
    <xf numFmtId="0" fontId="0" fillId="27" borderId="147" xfId="0" applyFill="1" applyBorder="1"/>
    <xf numFmtId="0" fontId="30" fillId="27" borderId="148" xfId="0" applyFont="1" applyFill="1" applyBorder="1" applyProtection="1"/>
    <xf numFmtId="0" fontId="38" fillId="27" borderId="63" xfId="0" applyFont="1" applyFill="1" applyBorder="1" applyAlignment="1" applyProtection="1">
      <alignment horizontal="center"/>
    </xf>
    <xf numFmtId="0" fontId="38" fillId="27" borderId="46" xfId="0" applyFont="1" applyFill="1" applyBorder="1" applyProtection="1"/>
    <xf numFmtId="0" fontId="38" fillId="27" borderId="56" xfId="0" applyFont="1" applyFill="1" applyBorder="1" applyProtection="1"/>
    <xf numFmtId="0" fontId="37" fillId="0" borderId="48" xfId="0" applyFont="1" applyBorder="1" applyProtection="1"/>
    <xf numFmtId="0" fontId="37" fillId="0" borderId="56" xfId="0" applyFont="1" applyBorder="1" applyAlignment="1" applyProtection="1">
      <alignment horizontal="center"/>
    </xf>
    <xf numFmtId="0" fontId="37" fillId="0" borderId="97" xfId="0" applyFont="1" applyBorder="1" applyAlignment="1" applyProtection="1">
      <alignment horizontal="center"/>
    </xf>
    <xf numFmtId="196" fontId="37" fillId="28" borderId="68" xfId="0" applyNumberFormat="1" applyFont="1" applyFill="1" applyBorder="1" applyAlignment="1" applyProtection="1">
      <alignment horizontal="center"/>
    </xf>
    <xf numFmtId="196" fontId="37" fillId="28" borderId="72" xfId="0" applyNumberFormat="1" applyFont="1" applyFill="1" applyBorder="1" applyAlignment="1" applyProtection="1">
      <alignment horizontal="center"/>
    </xf>
    <xf numFmtId="196" fontId="37" fillId="28" borderId="30" xfId="0" applyNumberFormat="1" applyFont="1" applyFill="1" applyBorder="1" applyAlignment="1" applyProtection="1">
      <alignment horizontal="center"/>
    </xf>
    <xf numFmtId="0" fontId="37" fillId="28" borderId="65" xfId="0" applyFont="1" applyFill="1" applyBorder="1" applyProtection="1"/>
    <xf numFmtId="195" fontId="37" fillId="28" borderId="30" xfId="0" applyNumberFormat="1" applyFont="1" applyFill="1" applyBorder="1" applyAlignment="1" applyProtection="1">
      <alignment horizontal="center"/>
    </xf>
    <xf numFmtId="195" fontId="37" fillId="28" borderId="29" xfId="0" applyNumberFormat="1" applyFont="1" applyFill="1" applyBorder="1" applyAlignment="1" applyProtection="1">
      <alignment horizontal="center"/>
    </xf>
    <xf numFmtId="198" fontId="37" fillId="28" borderId="30" xfId="0" applyNumberFormat="1" applyFont="1" applyFill="1" applyBorder="1" applyAlignment="1" applyProtection="1">
      <alignment horizontal="center"/>
    </xf>
    <xf numFmtId="198" fontId="37" fillId="28" borderId="29" xfId="0" applyNumberFormat="1" applyFont="1" applyFill="1" applyBorder="1" applyAlignment="1" applyProtection="1">
      <alignment horizontal="center"/>
    </xf>
    <xf numFmtId="2" fontId="37" fillId="28" borderId="30" xfId="0" applyNumberFormat="1" applyFont="1" applyFill="1" applyBorder="1" applyAlignment="1" applyProtection="1">
      <alignment horizontal="center"/>
    </xf>
    <xf numFmtId="2" fontId="37" fillId="28" borderId="29" xfId="0" applyNumberFormat="1" applyFont="1" applyFill="1" applyBorder="1" applyAlignment="1" applyProtection="1">
      <alignment horizontal="center"/>
    </xf>
    <xf numFmtId="2" fontId="37" fillId="28" borderId="23" xfId="0" applyNumberFormat="1" applyFont="1" applyFill="1" applyBorder="1" applyAlignment="1" applyProtection="1">
      <alignment horizontal="center"/>
    </xf>
    <xf numFmtId="2" fontId="37" fillId="28" borderId="33" xfId="0" applyNumberFormat="1" applyFont="1" applyFill="1" applyBorder="1" applyAlignment="1" applyProtection="1">
      <alignment horizontal="center"/>
    </xf>
    <xf numFmtId="2" fontId="37" fillId="28" borderId="31" xfId="0" applyNumberFormat="1" applyFont="1" applyFill="1" applyBorder="1" applyAlignment="1" applyProtection="1">
      <alignment horizontal="center"/>
    </xf>
    <xf numFmtId="0" fontId="37" fillId="28" borderId="112" xfId="0" applyFont="1" applyFill="1" applyBorder="1" applyProtection="1"/>
    <xf numFmtId="194" fontId="37" fillId="28" borderId="30" xfId="0" applyNumberFormat="1" applyFont="1" applyFill="1" applyBorder="1" applyAlignment="1" applyProtection="1">
      <alignment horizontal="center"/>
    </xf>
    <xf numFmtId="194" fontId="37" fillId="28" borderId="29" xfId="0" applyNumberFormat="1" applyFont="1" applyFill="1" applyBorder="1" applyAlignment="1" applyProtection="1">
      <alignment horizontal="center"/>
    </xf>
    <xf numFmtId="0" fontId="30" fillId="0" borderId="0" xfId="0" applyFont="1" applyFill="1" applyProtection="1"/>
    <xf numFmtId="1" fontId="37" fillId="27" borderId="114" xfId="0" applyNumberFormat="1" applyFont="1" applyFill="1" applyBorder="1" applyAlignment="1" applyProtection="1">
      <alignment horizontal="center"/>
    </xf>
    <xf numFmtId="1" fontId="37" fillId="27" borderId="27" xfId="0" applyNumberFormat="1" applyFont="1" applyFill="1" applyBorder="1" applyAlignment="1" applyProtection="1">
      <alignment horizontal="center"/>
    </xf>
    <xf numFmtId="1" fontId="37" fillId="27" borderId="23" xfId="0" applyNumberFormat="1" applyFont="1" applyFill="1" applyBorder="1" applyAlignment="1" applyProtection="1">
      <alignment horizontal="center"/>
    </xf>
    <xf numFmtId="0" fontId="37" fillId="28" borderId="113" xfId="0" applyFont="1" applyFill="1" applyBorder="1" applyProtection="1"/>
    <xf numFmtId="195" fontId="37" fillId="28" borderId="33" xfId="0" applyNumberFormat="1" applyFont="1" applyFill="1" applyBorder="1" applyAlignment="1" applyProtection="1">
      <alignment horizontal="center"/>
    </xf>
    <xf numFmtId="195" fontId="37" fillId="28" borderId="31" xfId="0" applyNumberFormat="1" applyFont="1" applyFill="1" applyBorder="1" applyAlignment="1" applyProtection="1">
      <alignment horizontal="center"/>
    </xf>
    <xf numFmtId="195" fontId="37" fillId="46" borderId="34" xfId="0" applyNumberFormat="1" applyFont="1" applyFill="1" applyBorder="1" applyAlignment="1" applyProtection="1">
      <alignment horizontal="center"/>
    </xf>
    <xf numFmtId="195" fontId="37" fillId="46" borderId="26" xfId="0" applyNumberFormat="1" applyFont="1" applyFill="1" applyBorder="1" applyAlignment="1" applyProtection="1">
      <alignment horizontal="center"/>
    </xf>
    <xf numFmtId="0" fontId="37" fillId="0" borderId="65" xfId="0" applyFont="1" applyFill="1" applyBorder="1" applyProtection="1"/>
    <xf numFmtId="0" fontId="37" fillId="0" borderId="66" xfId="0" applyFont="1" applyBorder="1" applyAlignment="1" applyProtection="1">
      <alignment horizontal="center"/>
    </xf>
    <xf numFmtId="0" fontId="37" fillId="0" borderId="29" xfId="0" applyFont="1" applyBorder="1" applyAlignment="1" applyProtection="1">
      <alignment horizontal="center"/>
    </xf>
    <xf numFmtId="2" fontId="37" fillId="0" borderId="30" xfId="0" applyNumberFormat="1" applyFont="1" applyBorder="1" applyAlignment="1" applyProtection="1">
      <alignment horizontal="center"/>
    </xf>
    <xf numFmtId="2" fontId="37" fillId="0" borderId="0" xfId="0" applyNumberFormat="1" applyFont="1" applyBorder="1" applyAlignment="1" applyProtection="1">
      <alignment horizontal="center"/>
    </xf>
    <xf numFmtId="0" fontId="38" fillId="0" borderId="66" xfId="0" applyFont="1" applyBorder="1" applyAlignment="1" applyProtection="1">
      <alignment horizontal="center"/>
    </xf>
    <xf numFmtId="0" fontId="38" fillId="0" borderId="33" xfId="0" applyFont="1" applyBorder="1" applyAlignment="1" applyProtection="1">
      <alignment horizontal="center"/>
    </xf>
    <xf numFmtId="0" fontId="38" fillId="0" borderId="29" xfId="0" applyFont="1" applyBorder="1" applyAlignment="1" applyProtection="1">
      <alignment horizontal="center"/>
    </xf>
    <xf numFmtId="0" fontId="38" fillId="27" borderId="65" xfId="0" applyFont="1" applyFill="1" applyBorder="1" applyProtection="1"/>
    <xf numFmtId="0" fontId="38" fillId="28" borderId="64" xfId="0" applyFont="1" applyFill="1" applyBorder="1" applyAlignment="1" applyProtection="1">
      <alignment horizontal="center"/>
    </xf>
    <xf numFmtId="0" fontId="38" fillId="28" borderId="63" xfId="0" applyFont="1" applyFill="1" applyBorder="1" applyAlignment="1" applyProtection="1">
      <alignment horizontal="center"/>
    </xf>
    <xf numFmtId="0" fontId="38" fillId="28" borderId="70" xfId="0" applyFont="1" applyFill="1" applyBorder="1" applyAlignment="1" applyProtection="1">
      <alignment horizontal="center"/>
    </xf>
    <xf numFmtId="0" fontId="38" fillId="27" borderId="62" xfId="0" applyFont="1" applyFill="1" applyBorder="1" applyProtection="1"/>
    <xf numFmtId="0" fontId="38" fillId="39" borderId="114" xfId="0" applyFont="1" applyFill="1" applyBorder="1" applyAlignment="1">
      <alignment horizontal="center"/>
    </xf>
    <xf numFmtId="0" fontId="38" fillId="39" borderId="77" xfId="0" applyFont="1" applyFill="1" applyBorder="1" applyAlignment="1">
      <alignment horizontal="center"/>
    </xf>
    <xf numFmtId="0" fontId="31" fillId="0" borderId="0" xfId="0" applyFont="1" applyProtection="1"/>
    <xf numFmtId="0" fontId="37" fillId="0" borderId="62" xfId="0" applyFont="1" applyFill="1" applyBorder="1" applyProtection="1"/>
    <xf numFmtId="0" fontId="37" fillId="0" borderId="63" xfId="0" applyFont="1" applyFill="1" applyBorder="1" applyAlignment="1" applyProtection="1">
      <alignment horizontal="center"/>
    </xf>
    <xf numFmtId="0" fontId="37" fillId="0" borderId="30" xfId="0" applyFont="1" applyFill="1" applyBorder="1" applyAlignment="1" applyProtection="1">
      <alignment horizontal="center"/>
    </xf>
    <xf numFmtId="1" fontId="37" fillId="36" borderId="66" xfId="0" applyNumberFormat="1" applyFont="1" applyFill="1" applyBorder="1" applyAlignment="1" applyProtection="1">
      <alignment horizontal="center"/>
    </xf>
    <xf numFmtId="194" fontId="37" fillId="36" borderId="66" xfId="0" applyNumberFormat="1" applyFont="1" applyFill="1" applyBorder="1" applyAlignment="1" applyProtection="1">
      <alignment horizontal="center"/>
    </xf>
    <xf numFmtId="0" fontId="37" fillId="0" borderId="67" xfId="0" applyFont="1" applyFill="1" applyBorder="1" applyProtection="1"/>
    <xf numFmtId="0" fontId="37" fillId="0" borderId="68" xfId="0" applyFont="1" applyFill="1" applyBorder="1" applyAlignment="1" applyProtection="1">
      <alignment horizontal="center"/>
    </xf>
    <xf numFmtId="194" fontId="37" fillId="36" borderId="69" xfId="0" applyNumberFormat="1" applyFont="1" applyFill="1" applyBorder="1" applyAlignment="1" applyProtection="1">
      <alignment horizontal="center"/>
    </xf>
    <xf numFmtId="0" fontId="37" fillId="0" borderId="48" xfId="0" applyFont="1" applyFill="1" applyBorder="1" applyProtection="1"/>
    <xf numFmtId="0" fontId="37" fillId="0" borderId="48" xfId="0" applyFont="1" applyFill="1" applyBorder="1" applyAlignment="1" applyProtection="1">
      <alignment horizontal="center"/>
    </xf>
    <xf numFmtId="0" fontId="37" fillId="0" borderId="48" xfId="0" applyFont="1" applyFill="1" applyBorder="1" applyAlignment="1" applyProtection="1">
      <alignment horizontal="center"/>
      <protection locked="0"/>
    </xf>
    <xf numFmtId="195" fontId="37" fillId="0" borderId="0" xfId="0" applyNumberFormat="1" applyFont="1" applyFill="1" applyBorder="1" applyAlignment="1" applyProtection="1">
      <alignment horizontal="center"/>
    </xf>
    <xf numFmtId="0" fontId="37" fillId="28" borderId="62" xfId="0" applyFont="1" applyFill="1" applyBorder="1" applyProtection="1"/>
    <xf numFmtId="0" fontId="37" fillId="28" borderId="63" xfId="0" applyFont="1" applyFill="1" applyBorder="1" applyAlignment="1" applyProtection="1">
      <alignment horizontal="center"/>
    </xf>
    <xf numFmtId="194" fontId="37" fillId="36" borderId="64" xfId="0" applyNumberFormat="1" applyFont="1" applyFill="1" applyBorder="1" applyAlignment="1" applyProtection="1">
      <alignment horizontal="center"/>
    </xf>
    <xf numFmtId="2" fontId="37" fillId="36" borderId="66" xfId="0" applyNumberFormat="1" applyFont="1" applyFill="1" applyBorder="1" applyAlignment="1" applyProtection="1">
      <alignment horizontal="center"/>
    </xf>
    <xf numFmtId="0" fontId="37" fillId="28" borderId="67" xfId="0" applyFont="1" applyFill="1" applyBorder="1" applyProtection="1"/>
    <xf numFmtId="2" fontId="37" fillId="36" borderId="69" xfId="0" applyNumberFormat="1" applyFont="1" applyFill="1" applyBorder="1" applyAlignment="1" applyProtection="1">
      <alignment horizontal="center"/>
    </xf>
    <xf numFmtId="1" fontId="37" fillId="36" borderId="64" xfId="0" applyNumberFormat="1" applyFont="1" applyFill="1" applyBorder="1" applyAlignment="1" applyProtection="1">
      <alignment horizontal="center"/>
    </xf>
    <xf numFmtId="2" fontId="37" fillId="36" borderId="64" xfId="0" applyNumberFormat="1" applyFont="1" applyFill="1" applyBorder="1" applyAlignment="1" applyProtection="1">
      <alignment horizontal="center"/>
    </xf>
    <xf numFmtId="195" fontId="37" fillId="36" borderId="66" xfId="0" applyNumberFormat="1" applyFont="1" applyFill="1" applyBorder="1" applyAlignment="1" applyProtection="1">
      <alignment horizontal="center"/>
    </xf>
    <xf numFmtId="195" fontId="37" fillId="36" borderId="64" xfId="0" applyNumberFormat="1" applyFont="1" applyFill="1" applyBorder="1" applyAlignment="1" applyProtection="1">
      <alignment horizontal="center"/>
    </xf>
    <xf numFmtId="196" fontId="37" fillId="36" borderId="69" xfId="0" applyNumberFormat="1" applyFont="1" applyFill="1" applyBorder="1" applyAlignment="1" applyProtection="1">
      <alignment horizontal="center"/>
    </xf>
    <xf numFmtId="196" fontId="37" fillId="36" borderId="15" xfId="0" applyNumberFormat="1" applyFont="1" applyFill="1" applyBorder="1" applyAlignment="1">
      <alignment horizontal="center"/>
    </xf>
    <xf numFmtId="0" fontId="0" fillId="36" borderId="64" xfId="0" applyFill="1" applyBorder="1" applyAlignment="1">
      <alignment horizontal="center"/>
    </xf>
    <xf numFmtId="198" fontId="37" fillId="36" borderId="66" xfId="0" applyNumberFormat="1" applyFont="1" applyFill="1" applyBorder="1" applyAlignment="1" applyProtection="1">
      <alignment horizontal="center"/>
    </xf>
    <xf numFmtId="198" fontId="37" fillId="36" borderId="69" xfId="0" applyNumberFormat="1" applyFont="1" applyFill="1" applyBorder="1" applyAlignment="1" applyProtection="1">
      <alignment horizontal="center"/>
    </xf>
    <xf numFmtId="196" fontId="37" fillId="36" borderId="64" xfId="0" applyNumberFormat="1" applyFont="1" applyFill="1" applyBorder="1" applyAlignment="1" applyProtection="1">
      <alignment horizontal="center"/>
    </xf>
    <xf numFmtId="0" fontId="38" fillId="39" borderId="64" xfId="0" applyFont="1" applyFill="1" applyBorder="1" applyAlignment="1" applyProtection="1">
      <alignment horizontal="center"/>
      <protection locked="0"/>
    </xf>
    <xf numFmtId="1" fontId="38" fillId="39" borderId="66" xfId="0" applyNumberFormat="1" applyFont="1" applyFill="1" applyBorder="1" applyAlignment="1" applyProtection="1">
      <alignment horizontal="center"/>
      <protection locked="0"/>
    </xf>
    <xf numFmtId="194" fontId="38" fillId="39" borderId="66" xfId="0" applyNumberFormat="1" applyFont="1" applyFill="1" applyBorder="1" applyAlignment="1" applyProtection="1">
      <alignment horizontal="center"/>
      <protection locked="0"/>
    </xf>
    <xf numFmtId="0" fontId="38" fillId="39" borderId="69" xfId="0" applyFont="1" applyFill="1" applyBorder="1" applyAlignment="1" applyProtection="1">
      <alignment horizontal="center"/>
      <protection locked="0"/>
    </xf>
    <xf numFmtId="0" fontId="32" fillId="27" borderId="149" xfId="0" applyFont="1" applyFill="1" applyBorder="1" applyAlignment="1" applyProtection="1">
      <alignment horizontal="left" indent="1"/>
    </xf>
    <xf numFmtId="194" fontId="31" fillId="27" borderId="93" xfId="0" applyNumberFormat="1" applyFont="1" applyFill="1" applyBorder="1" applyAlignment="1" applyProtection="1">
      <alignment horizontal="center"/>
    </xf>
    <xf numFmtId="195" fontId="32" fillId="27" borderId="102" xfId="0" applyNumberFormat="1" applyFont="1" applyFill="1" applyBorder="1" applyAlignment="1">
      <alignment horizontal="center"/>
    </xf>
    <xf numFmtId="195" fontId="32" fillId="27" borderId="105" xfId="0" applyNumberFormat="1" applyFont="1" applyFill="1" applyBorder="1" applyAlignment="1">
      <alignment horizontal="center"/>
    </xf>
    <xf numFmtId="195" fontId="32" fillId="27" borderId="103" xfId="0" applyNumberFormat="1" applyFont="1" applyFill="1" applyBorder="1" applyAlignment="1">
      <alignment horizontal="center"/>
    </xf>
    <xf numFmtId="196" fontId="0" fillId="0" borderId="102" xfId="0" applyNumberFormat="1" applyBorder="1" applyAlignment="1">
      <alignment horizontal="center"/>
    </xf>
    <xf numFmtId="196" fontId="0" fillId="0" borderId="103" xfId="0" applyNumberFormat="1" applyBorder="1" applyAlignment="1">
      <alignment horizontal="center"/>
    </xf>
    <xf numFmtId="195" fontId="32" fillId="27" borderId="106" xfId="0" applyNumberFormat="1" applyFont="1" applyFill="1" applyBorder="1" applyAlignment="1">
      <alignment horizontal="center"/>
    </xf>
    <xf numFmtId="194" fontId="31" fillId="27" borderId="94" xfId="0" applyNumberFormat="1" applyFont="1" applyFill="1" applyBorder="1" applyAlignment="1" applyProtection="1">
      <alignment horizontal="center"/>
    </xf>
    <xf numFmtId="194" fontId="31" fillId="27" borderId="25" xfId="0" applyNumberFormat="1" applyFont="1" applyFill="1" applyBorder="1" applyAlignment="1" applyProtection="1">
      <alignment horizontal="center"/>
    </xf>
    <xf numFmtId="194" fontId="31" fillId="27" borderId="25" xfId="0" applyNumberFormat="1" applyFont="1" applyFill="1" applyBorder="1" applyAlignment="1">
      <alignment horizontal="center"/>
    </xf>
    <xf numFmtId="0" fontId="32" fillId="27" borderId="20" xfId="0" applyFont="1" applyFill="1" applyBorder="1" applyAlignment="1">
      <alignment horizontal="center"/>
    </xf>
    <xf numFmtId="194" fontId="32" fillId="27" borderId="140" xfId="0" applyNumberFormat="1" applyFont="1" applyFill="1" applyBorder="1" applyAlignment="1">
      <alignment horizontal="center"/>
    </xf>
    <xf numFmtId="194" fontId="0" fillId="27" borderId="25" xfId="0" applyNumberFormat="1" applyFill="1" applyBorder="1" applyAlignment="1">
      <alignment horizontal="center"/>
    </xf>
    <xf numFmtId="194" fontId="0" fillId="27" borderId="20" xfId="0" applyNumberFormat="1" applyFill="1" applyBorder="1" applyAlignment="1">
      <alignment horizontal="center"/>
    </xf>
    <xf numFmtId="0" fontId="0" fillId="27" borderId="20" xfId="0" applyFill="1" applyBorder="1" applyAlignment="1">
      <alignment horizontal="center"/>
    </xf>
    <xf numFmtId="0" fontId="0" fillId="27" borderId="150" xfId="0" applyFill="1" applyBorder="1" applyAlignment="1">
      <alignment horizontal="center"/>
    </xf>
    <xf numFmtId="0" fontId="32" fillId="47" borderId="65" xfId="0" applyFont="1" applyFill="1" applyBorder="1" applyAlignment="1" applyProtection="1">
      <alignment horizontal="left" indent="1"/>
    </xf>
    <xf numFmtId="0" fontId="0" fillId="47" borderId="66" xfId="0" applyFill="1" applyBorder="1" applyAlignment="1">
      <alignment horizontal="center"/>
    </xf>
    <xf numFmtId="0" fontId="32" fillId="47" borderId="67" xfId="0" applyFont="1" applyFill="1" applyBorder="1" applyAlignment="1" applyProtection="1">
      <alignment horizontal="left" indent="1"/>
    </xf>
    <xf numFmtId="0" fontId="0" fillId="47" borderId="69" xfId="0" applyFill="1" applyBorder="1" applyAlignment="1">
      <alignment horizontal="center"/>
    </xf>
    <xf numFmtId="194" fontId="31" fillId="27" borderId="23" xfId="0" applyNumberFormat="1" applyFont="1" applyFill="1" applyBorder="1" applyAlignment="1">
      <alignment horizontal="center"/>
    </xf>
    <xf numFmtId="0" fontId="32" fillId="27" borderId="29" xfId="0" applyFont="1" applyFill="1" applyBorder="1" applyAlignment="1">
      <alignment horizontal="center"/>
    </xf>
    <xf numFmtId="0" fontId="0" fillId="27" borderId="23" xfId="0" applyFill="1" applyBorder="1" applyAlignment="1">
      <alignment horizontal="center"/>
    </xf>
    <xf numFmtId="1" fontId="0" fillId="27" borderId="29" xfId="0" applyNumberFormat="1" applyFill="1" applyBorder="1" applyAlignment="1">
      <alignment horizontal="center"/>
    </xf>
    <xf numFmtId="0" fontId="0" fillId="27" borderId="29" xfId="0" applyFill="1" applyBorder="1" applyAlignment="1">
      <alignment horizontal="center"/>
    </xf>
    <xf numFmtId="0" fontId="31" fillId="27" borderId="149" xfId="0" applyFont="1" applyFill="1" applyBorder="1" applyAlignment="1">
      <alignment horizontal="left" wrapText="1" indent="1"/>
    </xf>
    <xf numFmtId="0" fontId="32" fillId="27" borderId="151" xfId="0" applyFont="1" applyFill="1" applyBorder="1" applyAlignment="1">
      <alignment horizontal="left" wrapText="1" indent="1"/>
    </xf>
    <xf numFmtId="0" fontId="32" fillId="27" borderId="152" xfId="0" applyFont="1" applyFill="1" applyBorder="1" applyAlignment="1">
      <alignment horizontal="left" wrapText="1" indent="1"/>
    </xf>
    <xf numFmtId="0" fontId="32" fillId="27" borderId="151" xfId="0" applyFont="1" applyFill="1" applyBorder="1" applyAlignment="1" applyProtection="1">
      <alignment horizontal="left" indent="1"/>
    </xf>
    <xf numFmtId="0" fontId="32" fillId="27" borderId="153" xfId="0" applyFont="1" applyFill="1" applyBorder="1" applyAlignment="1" applyProtection="1">
      <alignment horizontal="left" indent="1"/>
    </xf>
    <xf numFmtId="0" fontId="32" fillId="27" borderId="154" xfId="0" applyFont="1" applyFill="1" applyBorder="1" applyAlignment="1" applyProtection="1">
      <alignment horizontal="left" indent="1"/>
    </xf>
    <xf numFmtId="216" fontId="0" fillId="0" borderId="155" xfId="0" applyNumberFormat="1" applyFill="1" applyBorder="1" applyAlignment="1">
      <alignment horizontal="center"/>
    </xf>
    <xf numFmtId="216" fontId="0" fillId="0" borderId="156" xfId="0" applyNumberFormat="1" applyFill="1" applyBorder="1" applyAlignment="1">
      <alignment horizontal="center"/>
    </xf>
    <xf numFmtId="216" fontId="0" fillId="0" borderId="157" xfId="0" applyNumberFormat="1" applyFill="1" applyBorder="1" applyAlignment="1">
      <alignment horizontal="center"/>
    </xf>
    <xf numFmtId="216" fontId="0" fillId="0" borderId="158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1" fillId="0" borderId="0" xfId="0" applyFont="1" applyAlignment="1">
      <alignment horizontal="left" indent="1"/>
    </xf>
    <xf numFmtId="14" fontId="31" fillId="0" borderId="0" xfId="0" applyNumberFormat="1" applyFont="1" applyAlignment="1">
      <alignment horizontal="center"/>
    </xf>
    <xf numFmtId="0" fontId="31" fillId="0" borderId="159" xfId="0" applyFont="1" applyBorder="1" applyAlignment="1">
      <alignment horizontal="left" vertical="center" wrapText="1" indent="1"/>
    </xf>
    <xf numFmtId="0" fontId="0" fillId="0" borderId="14" xfId="0" applyBorder="1"/>
    <xf numFmtId="0" fontId="0" fillId="0" borderId="15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194" fontId="0" fillId="0" borderId="14" xfId="0" applyNumberFormat="1" applyBorder="1" applyAlignment="1">
      <alignment horizontal="center"/>
    </xf>
    <xf numFmtId="194" fontId="0" fillId="0" borderId="0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94" fontId="0" fillId="0" borderId="0" xfId="0" applyNumberFormat="1" applyAlignment="1">
      <alignment horizontal="center"/>
    </xf>
    <xf numFmtId="194" fontId="0" fillId="0" borderId="1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30" fillId="0" borderId="0" xfId="0" applyFont="1"/>
    <xf numFmtId="2" fontId="34" fillId="0" borderId="0" xfId="0" applyNumberFormat="1" applyFont="1" applyAlignment="1">
      <alignment horizontal="center"/>
    </xf>
    <xf numFmtId="194" fontId="26" fillId="39" borderId="30" xfId="0" applyNumberFormat="1" applyFont="1" applyFill="1" applyBorder="1" applyAlignment="1" applyProtection="1">
      <alignment horizontal="center" vertical="distributed"/>
      <protection locked="0"/>
    </xf>
    <xf numFmtId="194" fontId="26" fillId="39" borderId="66" xfId="0" applyNumberFormat="1" applyFont="1" applyFill="1" applyBorder="1" applyAlignment="1" applyProtection="1">
      <alignment horizontal="center" vertical="distributed"/>
      <protection locked="0"/>
    </xf>
    <xf numFmtId="1" fontId="37" fillId="39" borderId="30" xfId="0" applyNumberFormat="1" applyFont="1" applyFill="1" applyBorder="1" applyAlignment="1" applyProtection="1">
      <alignment horizontal="center" vertical="distributed"/>
      <protection locked="0"/>
    </xf>
    <xf numFmtId="0" fontId="17" fillId="32" borderId="26" xfId="0" applyFont="1" applyFill="1" applyBorder="1" applyAlignment="1" applyProtection="1">
      <alignment horizontal="center"/>
    </xf>
    <xf numFmtId="194" fontId="25" fillId="36" borderId="48" xfId="0" applyNumberFormat="1" applyFont="1" applyFill="1" applyBorder="1" applyAlignment="1" applyProtection="1">
      <alignment horizontal="center"/>
    </xf>
    <xf numFmtId="1" fontId="17" fillId="29" borderId="33" xfId="0" applyNumberFormat="1" applyFont="1" applyFill="1" applyBorder="1" applyAlignment="1" applyProtection="1">
      <alignment horizontal="center"/>
    </xf>
    <xf numFmtId="195" fontId="24" fillId="36" borderId="43" xfId="0" applyNumberFormat="1" applyFont="1" applyFill="1" applyBorder="1" applyAlignment="1" applyProtection="1">
      <alignment horizontal="center"/>
    </xf>
    <xf numFmtId="0" fontId="17" fillId="29" borderId="33" xfId="0" applyFont="1" applyFill="1" applyBorder="1" applyAlignment="1" applyProtection="1">
      <alignment horizontal="center"/>
    </xf>
    <xf numFmtId="194" fontId="28" fillId="36" borderId="0" xfId="0" applyNumberFormat="1" applyFont="1" applyFill="1" applyBorder="1" applyAlignment="1" applyProtection="1">
      <alignment horizontal="center" vertical="distributed"/>
    </xf>
    <xf numFmtId="1" fontId="28" fillId="36" borderId="15" xfId="0" applyNumberFormat="1" applyFont="1" applyFill="1" applyBorder="1" applyAlignment="1" applyProtection="1">
      <alignment horizontal="center" vertical="distributed"/>
    </xf>
    <xf numFmtId="1" fontId="37" fillId="36" borderId="27" xfId="0" applyNumberFormat="1" applyFont="1" applyFill="1" applyBorder="1" applyAlignment="1" applyProtection="1">
      <alignment horizontal="center" vertical="distributed"/>
    </xf>
    <xf numFmtId="0" fontId="17" fillId="27" borderId="29" xfId="0" applyFont="1" applyFill="1" applyBorder="1" applyProtection="1">
      <protection hidden="1"/>
    </xf>
    <xf numFmtId="0" fontId="17" fillId="1" borderId="36" xfId="0" applyFont="1" applyFill="1" applyBorder="1"/>
    <xf numFmtId="0" fontId="26" fillId="39" borderId="75" xfId="0" applyFont="1" applyFill="1" applyBorder="1" applyAlignment="1" applyProtection="1">
      <alignment horizontal="center" vertical="distributed"/>
      <protection locked="0"/>
    </xf>
    <xf numFmtId="0" fontId="26" fillId="39" borderId="69" xfId="0" applyFont="1" applyFill="1" applyBorder="1" applyAlignment="1" applyProtection="1">
      <alignment horizontal="center" vertical="distributed"/>
      <protection locked="0"/>
    </xf>
    <xf numFmtId="194" fontId="37" fillId="28" borderId="114" xfId="0" applyNumberFormat="1" applyFont="1" applyFill="1" applyBorder="1" applyAlignment="1" applyProtection="1">
      <alignment horizontal="center"/>
    </xf>
    <xf numFmtId="1" fontId="0" fillId="0" borderId="0" xfId="0" applyNumberFormat="1" applyAlignment="1">
      <alignment horizontal="center"/>
    </xf>
    <xf numFmtId="0" fontId="28" fillId="0" borderId="62" xfId="0" applyFont="1" applyBorder="1" applyAlignment="1" applyProtection="1">
      <alignment vertical="distributed"/>
    </xf>
    <xf numFmtId="2" fontId="28" fillId="36" borderId="64" xfId="0" applyNumberFormat="1" applyFont="1" applyFill="1" applyBorder="1" applyAlignment="1" applyProtection="1">
      <alignment horizontal="center" vertical="distributed"/>
    </xf>
    <xf numFmtId="0" fontId="28" fillId="0" borderId="63" xfId="0" applyFont="1" applyBorder="1" applyAlignment="1" applyProtection="1">
      <alignment horizontal="center" vertical="distributed"/>
    </xf>
    <xf numFmtId="2" fontId="28" fillId="36" borderId="63" xfId="0" applyNumberFormat="1" applyFont="1" applyFill="1" applyBorder="1" applyAlignment="1" applyProtection="1">
      <alignment horizontal="center" vertical="distributed"/>
    </xf>
    <xf numFmtId="1" fontId="17" fillId="29" borderId="22" xfId="0" applyNumberFormat="1" applyFont="1" applyFill="1" applyBorder="1" applyAlignment="1" applyProtection="1">
      <alignment horizontal="center"/>
      <protection locked="0"/>
    </xf>
    <xf numFmtId="194" fontId="29" fillId="39" borderId="114" xfId="0" applyNumberFormat="1" applyFont="1" applyFill="1" applyBorder="1" applyAlignment="1" applyProtection="1">
      <alignment horizontal="center" vertical="distributed"/>
      <protection locked="0"/>
    </xf>
    <xf numFmtId="1" fontId="37" fillId="39" borderId="27" xfId="0" applyNumberFormat="1" applyFont="1" applyFill="1" applyBorder="1" applyAlignment="1" applyProtection="1">
      <alignment horizontal="center" vertical="distributed"/>
    </xf>
    <xf numFmtId="195" fontId="17" fillId="45" borderId="0" xfId="0" applyNumberFormat="1" applyFont="1" applyFill="1" applyBorder="1" applyAlignment="1" applyProtection="1">
      <alignment horizontal="center"/>
    </xf>
    <xf numFmtId="0" fontId="37" fillId="0" borderId="56" xfId="0" applyFont="1" applyBorder="1" applyAlignment="1" applyProtection="1">
      <alignment vertical="distributed"/>
    </xf>
    <xf numFmtId="0" fontId="26" fillId="36" borderId="63" xfId="0" applyFont="1" applyFill="1" applyBorder="1" applyAlignment="1">
      <alignment horizontal="center" vertical="distributed"/>
    </xf>
    <xf numFmtId="0" fontId="26" fillId="36" borderId="64" xfId="0" applyFont="1" applyFill="1" applyBorder="1" applyAlignment="1">
      <alignment horizontal="center" vertical="distributed"/>
    </xf>
    <xf numFmtId="2" fontId="26" fillId="36" borderId="68" xfId="0" applyNumberFormat="1" applyFont="1" applyFill="1" applyBorder="1" applyAlignment="1" applyProtection="1">
      <alignment horizontal="center" vertical="distributed"/>
    </xf>
    <xf numFmtId="2" fontId="26" fillId="36" borderId="69" xfId="0" applyNumberFormat="1" applyFont="1" applyFill="1" applyBorder="1" applyAlignment="1" applyProtection="1">
      <alignment horizontal="center" vertical="distributed"/>
    </xf>
    <xf numFmtId="194" fontId="37" fillId="39" borderId="30" xfId="0" applyNumberFormat="1" applyFont="1" applyFill="1" applyBorder="1" applyAlignment="1" applyProtection="1">
      <alignment horizontal="center" vertical="distributed"/>
      <protection locked="0"/>
    </xf>
    <xf numFmtId="1" fontId="37" fillId="36" borderId="15" xfId="0" applyNumberFormat="1" applyFont="1" applyFill="1" applyBorder="1" applyAlignment="1" applyProtection="1">
      <alignment horizontal="center" vertical="distributed"/>
    </xf>
    <xf numFmtId="1" fontId="37" fillId="39" borderId="114" xfId="0" applyNumberFormat="1" applyFont="1" applyFill="1" applyBorder="1" applyAlignment="1" applyProtection="1">
      <alignment horizontal="center" vertical="distributed"/>
    </xf>
  </cellXfs>
  <cellStyles count="57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Forklarende tekst" xfId="29"/>
    <cellStyle name="Good" xfId="30"/>
    <cellStyle name="Heading 1" xfId="31"/>
    <cellStyle name="Heading 2" xfId="32"/>
    <cellStyle name="Heading 3" xfId="33"/>
    <cellStyle name="Heading 4" xfId="34"/>
    <cellStyle name="Input" xfId="35" builtinId="20" customBuiltin="1"/>
    <cellStyle name="Kontroller celle" xfId="36"/>
    <cellStyle name="Linked Cell" xfId="37"/>
    <cellStyle name="Markeringsfarve1" xfId="38"/>
    <cellStyle name="Markeringsfarve2" xfId="39"/>
    <cellStyle name="Markeringsfarve3" xfId="40"/>
    <cellStyle name="Markeringsfarve4" xfId="41"/>
    <cellStyle name="Markeringsfarve5" xfId="42"/>
    <cellStyle name="Markeringsfarve6" xfId="43"/>
    <cellStyle name="Neutral" xfId="44" builtinId="28" customBuiltin="1"/>
    <cellStyle name="Normal" xfId="0" builtinId="0"/>
    <cellStyle name="Normal_Sheet1" xfId="45"/>
    <cellStyle name="Note" xfId="46"/>
    <cellStyle name="Output" xfId="47" builtinId="21" customBuiltin="1"/>
    <cellStyle name="Overskrift 1" xfId="48"/>
    <cellStyle name="Overskrift 2" xfId="49"/>
    <cellStyle name="Overskrift 3" xfId="50"/>
    <cellStyle name="Overskrift 4" xfId="51"/>
    <cellStyle name="Sammenkædet celle" xfId="52"/>
    <cellStyle name="Title" xfId="53"/>
    <cellStyle name="Total" xfId="54" builtinId="25" customBuiltin="1"/>
    <cellStyle name="Ugyldig" xfId="55"/>
    <cellStyle name="Warning Text" xfId="5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84756315090387E-2"/>
          <c:y val="6.9943547464066433E-2"/>
          <c:w val="0.8927651394835131"/>
          <c:h val="0.88658172326073392"/>
        </c:manualLayout>
      </c:layout>
      <c:scatterChart>
        <c:scatterStyle val="smoothMarker"/>
        <c:varyColors val="0"/>
        <c:ser>
          <c:idx val="0"/>
          <c:order val="0"/>
          <c:tx>
            <c:v>MAN Diesel 6S80ME-C8.2 - EGB low load tuning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'Low load SFOC'!$A$4:$A$19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SFOC'!$C$4:$C$19</c:f>
              <c:numCache>
                <c:formatCode>0.0</c:formatCode>
                <c:ptCount val="16"/>
                <c:pt idx="0">
                  <c:v>3.8485033598045337</c:v>
                </c:pt>
                <c:pt idx="1">
                  <c:v>2.8100183262064871</c:v>
                </c:pt>
                <c:pt idx="2">
                  <c:v>1.7715332926084404</c:v>
                </c:pt>
                <c:pt idx="3">
                  <c:v>0.79413561392791543</c:v>
                </c:pt>
                <c:pt idx="4">
                  <c:v>-0.18326206475258733</c:v>
                </c:pt>
                <c:pt idx="5">
                  <c:v>-1.0384850335980356</c:v>
                </c:pt>
                <c:pt idx="6">
                  <c:v>-1.6493585827733637</c:v>
                </c:pt>
                <c:pt idx="7">
                  <c:v>-2.2602321319486807</c:v>
                </c:pt>
                <c:pt idx="8">
                  <c:v>-2.6267562614538664</c:v>
                </c:pt>
                <c:pt idx="9">
                  <c:v>-1.3439218081856996</c:v>
                </c:pt>
                <c:pt idx="10">
                  <c:v>0</c:v>
                </c:pt>
                <c:pt idx="11">
                  <c:v>0.54978619425778419</c:v>
                </c:pt>
                <c:pt idx="12">
                  <c:v>1.3439218081857218</c:v>
                </c:pt>
                <c:pt idx="13">
                  <c:v>2.199144777031159</c:v>
                </c:pt>
                <c:pt idx="14">
                  <c:v>2.8405620036652479</c:v>
                </c:pt>
                <c:pt idx="15">
                  <c:v>3.5430665852168586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6F-4E81-833F-03F9B6F4FB94}"/>
            </c:ext>
          </c:extLst>
        </c:ser>
        <c:ser>
          <c:idx val="1"/>
          <c:order val="1"/>
          <c:tx>
            <c:v>MAN Diesel 6S80ME-C8.2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'Low load SFOC'!$A$4:$A$19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SFOC'!$E$4:$E$19</c:f>
              <c:numCache>
                <c:formatCode>0.00</c:formatCode>
                <c:ptCount val="16"/>
                <c:pt idx="0">
                  <c:v>6.6422912858013383</c:v>
                </c:pt>
                <c:pt idx="1">
                  <c:v>5.4235222425350393</c:v>
                </c:pt>
                <c:pt idx="2">
                  <c:v>4.387568555758703</c:v>
                </c:pt>
                <c:pt idx="3">
                  <c:v>3.4734917733089787</c:v>
                </c:pt>
                <c:pt idx="4">
                  <c:v>2.498476538695904</c:v>
                </c:pt>
                <c:pt idx="5">
                  <c:v>1.7672151127361424</c:v>
                </c:pt>
                <c:pt idx="6">
                  <c:v>1.0359536867763586</c:v>
                </c:pt>
                <c:pt idx="7">
                  <c:v>0.42656916514320908</c:v>
                </c:pt>
                <c:pt idx="8">
                  <c:v>6.0938452163306067E-2</c:v>
                </c:pt>
                <c:pt idx="9">
                  <c:v>-6.0938452163306067E-2</c:v>
                </c:pt>
                <c:pt idx="10">
                  <c:v>0</c:v>
                </c:pt>
                <c:pt idx="11">
                  <c:v>0.12187690432663434</c:v>
                </c:pt>
                <c:pt idx="12">
                  <c:v>0.54844606946984342</c:v>
                </c:pt>
                <c:pt idx="13">
                  <c:v>1.0359536867763586</c:v>
                </c:pt>
                <c:pt idx="14">
                  <c:v>1.6453382084095081</c:v>
                </c:pt>
                <c:pt idx="15">
                  <c:v>2.3765996343692919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6F-4E81-833F-03F9B6F4FB94}"/>
            </c:ext>
          </c:extLst>
        </c:ser>
        <c:ser>
          <c:idx val="2"/>
          <c:order val="2"/>
          <c:tx>
            <c:v>MAN Diesel 6S80MC-C8.2 - EGB low load tuning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none"/>
          </c:marker>
          <c:xVal>
            <c:numRef>
              <c:f>'Low load SFOC'!$A$4:$A$19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SFOC'!$G$4:$G$19</c:f>
              <c:numCache>
                <c:formatCode>0.0</c:formatCode>
                <c:ptCount val="16"/>
                <c:pt idx="0">
                  <c:v>5.0119331742243478</c:v>
                </c:pt>
                <c:pt idx="1">
                  <c:v>3.8782816229117056</c:v>
                </c:pt>
                <c:pt idx="2">
                  <c:v>2.7446300715990413</c:v>
                </c:pt>
                <c:pt idx="3">
                  <c:v>1.7303102625298328</c:v>
                </c:pt>
                <c:pt idx="4">
                  <c:v>0.89498806682577481</c:v>
                </c:pt>
                <c:pt idx="5">
                  <c:v>0.23866348448686736</c:v>
                </c:pt>
                <c:pt idx="6">
                  <c:v>-0.35799522673031214</c:v>
                </c:pt>
                <c:pt idx="7">
                  <c:v>-0.77565632458233003</c:v>
                </c:pt>
                <c:pt idx="8">
                  <c:v>-1.0739856801909253</c:v>
                </c:pt>
                <c:pt idx="9">
                  <c:v>-0.5966587112171795</c:v>
                </c:pt>
                <c:pt idx="10">
                  <c:v>0</c:v>
                </c:pt>
                <c:pt idx="11">
                  <c:v>0.2983293556085842</c:v>
                </c:pt>
                <c:pt idx="12">
                  <c:v>0.95465393794749165</c:v>
                </c:pt>
                <c:pt idx="13">
                  <c:v>2.0286396181384392</c:v>
                </c:pt>
                <c:pt idx="14">
                  <c:v>2.5656324582338907</c:v>
                </c:pt>
                <c:pt idx="15">
                  <c:v>3.2219570405727982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6F-4E81-833F-03F9B6F4FB94}"/>
            </c:ext>
          </c:extLst>
        </c:ser>
        <c:ser>
          <c:idx val="3"/>
          <c:order val="3"/>
          <c:tx>
            <c:v>MAN Diesel 6S80MC-C8.2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'Low load SFOC'!$A$4:$A$19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SFOC'!$I$4:$I$19</c:f>
              <c:numCache>
                <c:formatCode>0.0</c:formatCode>
                <c:ptCount val="16"/>
                <c:pt idx="0">
                  <c:v>6.4842355740630575</c:v>
                </c:pt>
                <c:pt idx="1">
                  <c:v>5.2944675788221263</c:v>
                </c:pt>
                <c:pt idx="2">
                  <c:v>4.1641879833432371</c:v>
                </c:pt>
                <c:pt idx="3">
                  <c:v>3.1528851873884767</c:v>
                </c:pt>
                <c:pt idx="4">
                  <c:v>2.4390243902439046</c:v>
                </c:pt>
                <c:pt idx="5">
                  <c:v>1.7251635930993547</c:v>
                </c:pt>
                <c:pt idx="6">
                  <c:v>1.1897679952409312</c:v>
                </c:pt>
                <c:pt idx="7">
                  <c:v>0.71386079714457207</c:v>
                </c:pt>
                <c:pt idx="8">
                  <c:v>0.35693039857227493</c:v>
                </c:pt>
                <c:pt idx="9">
                  <c:v>0.11897679952410645</c:v>
                </c:pt>
                <c:pt idx="10">
                  <c:v>0</c:v>
                </c:pt>
                <c:pt idx="11">
                  <c:v>-5.9488399762042121E-2</c:v>
                </c:pt>
                <c:pt idx="12">
                  <c:v>0.11897679952410645</c:v>
                </c:pt>
                <c:pt idx="13">
                  <c:v>0.41641879833433926</c:v>
                </c:pt>
                <c:pt idx="14">
                  <c:v>0.95181439619274055</c:v>
                </c:pt>
                <c:pt idx="15">
                  <c:v>1.7251635930993547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6F-4E81-833F-03F9B6F4FB94}"/>
            </c:ext>
          </c:extLst>
        </c:ser>
        <c:ser>
          <c:idx val="4"/>
          <c:order val="4"/>
          <c:tx>
            <c:v>MAN Diesel 6S80ME-C8.2 - VT Low load tuning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'Low load SFOC'!$A$4:$A$19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SFOC'!$K$4:$K$19</c:f>
              <c:numCache>
                <c:formatCode>0.00</c:formatCode>
                <c:ptCount val="16"/>
                <c:pt idx="0">
                  <c:v>3.7874160048869898</c:v>
                </c:pt>
                <c:pt idx="1">
                  <c:v>2.6267562614538775</c:v>
                </c:pt>
                <c:pt idx="2">
                  <c:v>1.5271838729383092</c:v>
                </c:pt>
                <c:pt idx="3">
                  <c:v>0.67196090409287201</c:v>
                </c:pt>
                <c:pt idx="4">
                  <c:v>-0.30543677458766405</c:v>
                </c:pt>
                <c:pt idx="5">
                  <c:v>-1.0384850335980356</c:v>
                </c:pt>
                <c:pt idx="6">
                  <c:v>-1.7715332926084182</c:v>
                </c:pt>
                <c:pt idx="7">
                  <c:v>-2.3213194868662135</c:v>
                </c:pt>
                <c:pt idx="8">
                  <c:v>-2.7183872938301712</c:v>
                </c:pt>
                <c:pt idx="9">
                  <c:v>-1.4660965180207541</c:v>
                </c:pt>
                <c:pt idx="10">
                  <c:v>0</c:v>
                </c:pt>
                <c:pt idx="11">
                  <c:v>0.36652412950519686</c:v>
                </c:pt>
                <c:pt idx="12">
                  <c:v>0.97739767868052496</c:v>
                </c:pt>
                <c:pt idx="13">
                  <c:v>1.5882712278558531</c:v>
                </c:pt>
                <c:pt idx="14">
                  <c:v>2.199144777031159</c:v>
                </c:pt>
                <c:pt idx="15">
                  <c:v>2.8711056811240088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6F-4E81-833F-03F9B6F4FB94}"/>
            </c:ext>
          </c:extLst>
        </c:ser>
        <c:ser>
          <c:idx val="5"/>
          <c:order val="5"/>
          <c:tx>
            <c:v>MAN Diesel 6S80ME-C8.2 - ECT low load tuning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'Low load SFOC'!$A$4:$A$19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SFOC'!$M$4:$M$19</c:f>
              <c:numCache>
                <c:formatCode>0.00</c:formatCode>
                <c:ptCount val="16"/>
                <c:pt idx="0">
                  <c:v>5.378973105134488</c:v>
                </c:pt>
                <c:pt idx="1">
                  <c:v>4.2176039119804498</c:v>
                </c:pt>
                <c:pt idx="2">
                  <c:v>3.1784841075794823</c:v>
                </c:pt>
                <c:pt idx="3">
                  <c:v>2.1393643031784926</c:v>
                </c:pt>
                <c:pt idx="4">
                  <c:v>1.2836185819070867</c:v>
                </c:pt>
                <c:pt idx="5">
                  <c:v>0.42787286063570296</c:v>
                </c:pt>
                <c:pt idx="6">
                  <c:v>-0.24449877750611915</c:v>
                </c:pt>
                <c:pt idx="7">
                  <c:v>-0.79462102689485947</c:v>
                </c:pt>
                <c:pt idx="8">
                  <c:v>-1.0391198044009675</c:v>
                </c:pt>
                <c:pt idx="9">
                  <c:v>-0.73349633251833524</c:v>
                </c:pt>
                <c:pt idx="10">
                  <c:v>0</c:v>
                </c:pt>
                <c:pt idx="11">
                  <c:v>0.48899755501223829</c:v>
                </c:pt>
                <c:pt idx="12">
                  <c:v>1.344743276283622</c:v>
                </c:pt>
                <c:pt idx="13">
                  <c:v>2.2004889975550057</c:v>
                </c:pt>
                <c:pt idx="14">
                  <c:v>2.8728606356968278</c:v>
                </c:pt>
                <c:pt idx="15">
                  <c:v>3.4841075794621146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6F-4E81-833F-03F9B6F4F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29240"/>
        <c:axId val="1"/>
      </c:scatterChart>
      <c:valAx>
        <c:axId val="153829240"/>
        <c:scaling>
          <c:orientation val="minMax"/>
          <c:max val="10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82924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387644946941895"/>
          <c:y val="7.777798876407542E-2"/>
          <c:w val="0.69573775083604128"/>
          <c:h val="0.277778531300269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45219819717503E-2"/>
          <c:y val="4.3062318329871098E-2"/>
          <c:w val="0.87570641600330668"/>
          <c:h val="0.85805656523965368"/>
        </c:manualLayout>
      </c:layout>
      <c:scatterChart>
        <c:scatterStyle val="lineMarker"/>
        <c:varyColors val="0"/>
        <c:ser>
          <c:idx val="0"/>
          <c:order val="0"/>
          <c:tx>
            <c:v>MAN Diesel low load tuning two stroke engines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6"/>
            <c:dispRSqr val="0"/>
            <c:dispEq val="1"/>
            <c:trendlineLbl>
              <c:layout>
                <c:manualLayout>
                  <c:xMode val="edge"/>
                  <c:yMode val="edge"/>
                  <c:x val="0.32674207134747035"/>
                  <c:y val="0.26953821473141537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y = 2.019396E-09x</a:t>
                    </a:r>
                    <a:r>
                      <a:rPr lang="en-US" sz="12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6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- 7.55499E-07x</a:t>
                    </a:r>
                    <a:r>
                      <a:rPr lang="en-US" sz="12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5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+ 1.1181E-04x</a:t>
                    </a:r>
                    <a:r>
                      <a:rPr lang="en-US" sz="12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4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</a:t>
                    </a:r>
                  </a:p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- 0.00832x</a:t>
                    </a:r>
                    <a:r>
                      <a:rPr lang="en-US" sz="12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3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+ 0.33x</a:t>
                    </a:r>
                    <a:r>
                      <a:rPr lang="en-US" sz="12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12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- 6.85x + 62.9</a:t>
                    </a:r>
                  </a:p>
                </c:rich>
              </c:tx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'Low load SFOC'!$A$4:$A$67</c:f>
              <c:numCache>
                <c:formatCode>General</c:formatCode>
                <c:ptCount val="64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25</c:v>
                </c:pt>
                <c:pt idx="17">
                  <c:v>30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60</c:v>
                </c:pt>
                <c:pt idx="24">
                  <c:v>65</c:v>
                </c:pt>
                <c:pt idx="25">
                  <c:v>70</c:v>
                </c:pt>
                <c:pt idx="26">
                  <c:v>75</c:v>
                </c:pt>
                <c:pt idx="27">
                  <c:v>80</c:v>
                </c:pt>
                <c:pt idx="28">
                  <c:v>85</c:v>
                </c:pt>
                <c:pt idx="29">
                  <c:v>90</c:v>
                </c:pt>
                <c:pt idx="30">
                  <c:v>95</c:v>
                </c:pt>
                <c:pt idx="31">
                  <c:v>100</c:v>
                </c:pt>
                <c:pt idx="32">
                  <c:v>25</c:v>
                </c:pt>
                <c:pt idx="33">
                  <c:v>30</c:v>
                </c:pt>
                <c:pt idx="34">
                  <c:v>35</c:v>
                </c:pt>
                <c:pt idx="35">
                  <c:v>40</c:v>
                </c:pt>
                <c:pt idx="36">
                  <c:v>45</c:v>
                </c:pt>
                <c:pt idx="37">
                  <c:v>50</c:v>
                </c:pt>
                <c:pt idx="38">
                  <c:v>55</c:v>
                </c:pt>
                <c:pt idx="39">
                  <c:v>60</c:v>
                </c:pt>
                <c:pt idx="40">
                  <c:v>65</c:v>
                </c:pt>
                <c:pt idx="41">
                  <c:v>70</c:v>
                </c:pt>
                <c:pt idx="42">
                  <c:v>75</c:v>
                </c:pt>
                <c:pt idx="43">
                  <c:v>80</c:v>
                </c:pt>
                <c:pt idx="44">
                  <c:v>85</c:v>
                </c:pt>
                <c:pt idx="45">
                  <c:v>90</c:v>
                </c:pt>
                <c:pt idx="46">
                  <c:v>95</c:v>
                </c:pt>
                <c:pt idx="47">
                  <c:v>100</c:v>
                </c:pt>
                <c:pt idx="48">
                  <c:v>25</c:v>
                </c:pt>
                <c:pt idx="49">
                  <c:v>30</c:v>
                </c:pt>
                <c:pt idx="50">
                  <c:v>35</c:v>
                </c:pt>
                <c:pt idx="51">
                  <c:v>40</c:v>
                </c:pt>
                <c:pt idx="52">
                  <c:v>45</c:v>
                </c:pt>
                <c:pt idx="53">
                  <c:v>50</c:v>
                </c:pt>
                <c:pt idx="54">
                  <c:v>55</c:v>
                </c:pt>
                <c:pt idx="55">
                  <c:v>60</c:v>
                </c:pt>
                <c:pt idx="56">
                  <c:v>65</c:v>
                </c:pt>
                <c:pt idx="57">
                  <c:v>70</c:v>
                </c:pt>
                <c:pt idx="58">
                  <c:v>75</c:v>
                </c:pt>
                <c:pt idx="59">
                  <c:v>80</c:v>
                </c:pt>
                <c:pt idx="60">
                  <c:v>85</c:v>
                </c:pt>
                <c:pt idx="61">
                  <c:v>90</c:v>
                </c:pt>
                <c:pt idx="62">
                  <c:v>95</c:v>
                </c:pt>
                <c:pt idx="63">
                  <c:v>100</c:v>
                </c:pt>
              </c:numCache>
            </c:numRef>
          </c:xVal>
          <c:yVal>
            <c:numRef>
              <c:f>'Low load SFOC'!$C$4:$C$67</c:f>
              <c:numCache>
                <c:formatCode>0.0</c:formatCode>
                <c:ptCount val="64"/>
                <c:pt idx="0">
                  <c:v>3.8485033598045337</c:v>
                </c:pt>
                <c:pt idx="1">
                  <c:v>2.8100183262064871</c:v>
                </c:pt>
                <c:pt idx="2">
                  <c:v>1.7715332926084404</c:v>
                </c:pt>
                <c:pt idx="3">
                  <c:v>0.79413561392791543</c:v>
                </c:pt>
                <c:pt idx="4">
                  <c:v>-0.18326206475258733</c:v>
                </c:pt>
                <c:pt idx="5">
                  <c:v>-1.0384850335980356</c:v>
                </c:pt>
                <c:pt idx="6">
                  <c:v>-1.6493585827733637</c:v>
                </c:pt>
                <c:pt idx="7">
                  <c:v>-2.2602321319486807</c:v>
                </c:pt>
                <c:pt idx="8">
                  <c:v>-2.6267562614538664</c:v>
                </c:pt>
                <c:pt idx="9">
                  <c:v>-1.3439218081856996</c:v>
                </c:pt>
                <c:pt idx="10">
                  <c:v>0</c:v>
                </c:pt>
                <c:pt idx="11">
                  <c:v>0.54978619425778419</c:v>
                </c:pt>
                <c:pt idx="12">
                  <c:v>1.3439218081857218</c:v>
                </c:pt>
                <c:pt idx="13">
                  <c:v>2.199144777031159</c:v>
                </c:pt>
                <c:pt idx="14">
                  <c:v>2.8405620036652479</c:v>
                </c:pt>
                <c:pt idx="15">
                  <c:v>3.5430665852168586</c:v>
                </c:pt>
                <c:pt idx="16" formatCode="0.00">
                  <c:v>5.0119331742243478</c:v>
                </c:pt>
                <c:pt idx="17" formatCode="0.00">
                  <c:v>3.8782816229117056</c:v>
                </c:pt>
                <c:pt idx="18" formatCode="0.00">
                  <c:v>2.7446300715990413</c:v>
                </c:pt>
                <c:pt idx="19" formatCode="0.00">
                  <c:v>1.7303102625298328</c:v>
                </c:pt>
                <c:pt idx="20" formatCode="0.00">
                  <c:v>0.89498806682577481</c:v>
                </c:pt>
                <c:pt idx="21" formatCode="0.00">
                  <c:v>0.23866348448686736</c:v>
                </c:pt>
                <c:pt idx="22" formatCode="0.00">
                  <c:v>-0.35799522673031214</c:v>
                </c:pt>
                <c:pt idx="23" formatCode="0.00">
                  <c:v>-0.77565632458233003</c:v>
                </c:pt>
                <c:pt idx="24" formatCode="0.00">
                  <c:v>-1.0739856801909253</c:v>
                </c:pt>
                <c:pt idx="25" formatCode="0.00">
                  <c:v>-0.5966587112171795</c:v>
                </c:pt>
                <c:pt idx="26" formatCode="0.00">
                  <c:v>0</c:v>
                </c:pt>
                <c:pt idx="27" formatCode="0.00">
                  <c:v>0.2983293556085842</c:v>
                </c:pt>
                <c:pt idx="28" formatCode="0.00">
                  <c:v>0.95465393794749165</c:v>
                </c:pt>
                <c:pt idx="29" formatCode="0.00">
                  <c:v>2.0286396181384392</c:v>
                </c:pt>
                <c:pt idx="30" formatCode="0.00">
                  <c:v>2.5656324582338907</c:v>
                </c:pt>
                <c:pt idx="31" formatCode="0.00">
                  <c:v>3.2219570405727982</c:v>
                </c:pt>
                <c:pt idx="32" formatCode="0.00">
                  <c:v>3.7874160048869898</c:v>
                </c:pt>
                <c:pt idx="33" formatCode="0.00">
                  <c:v>2.6267562614538775</c:v>
                </c:pt>
                <c:pt idx="34" formatCode="0.00">
                  <c:v>1.5271838729383092</c:v>
                </c:pt>
                <c:pt idx="35" formatCode="0.00">
                  <c:v>0.67196090409287201</c:v>
                </c:pt>
                <c:pt idx="36" formatCode="0.00">
                  <c:v>-0.30543677458766405</c:v>
                </c:pt>
                <c:pt idx="37" formatCode="0.00">
                  <c:v>-1.0384850335980356</c:v>
                </c:pt>
                <c:pt idx="38" formatCode="0.00">
                  <c:v>-1.7715332926084182</c:v>
                </c:pt>
                <c:pt idx="39" formatCode="0.00">
                  <c:v>-2.3213194868662135</c:v>
                </c:pt>
                <c:pt idx="40" formatCode="0.00">
                  <c:v>-2.7183872938301712</c:v>
                </c:pt>
                <c:pt idx="41" formatCode="0.00">
                  <c:v>-1.4660965180207541</c:v>
                </c:pt>
                <c:pt idx="42" formatCode="0.00">
                  <c:v>0</c:v>
                </c:pt>
                <c:pt idx="43" formatCode="0.00">
                  <c:v>0.36652412950519686</c:v>
                </c:pt>
                <c:pt idx="44" formatCode="0.00">
                  <c:v>0.97739767868052496</c:v>
                </c:pt>
                <c:pt idx="45" formatCode="0.00">
                  <c:v>1.5882712278558531</c:v>
                </c:pt>
                <c:pt idx="46" formatCode="0.00">
                  <c:v>2.199144777031159</c:v>
                </c:pt>
                <c:pt idx="47" formatCode="0.00">
                  <c:v>2.8711056811240088</c:v>
                </c:pt>
                <c:pt idx="48" formatCode="0.00">
                  <c:v>5.378973105134488</c:v>
                </c:pt>
                <c:pt idx="49" formatCode="0.00">
                  <c:v>4.2176039119804498</c:v>
                </c:pt>
                <c:pt idx="50" formatCode="0.00">
                  <c:v>3.1784841075794823</c:v>
                </c:pt>
                <c:pt idx="51" formatCode="0.00">
                  <c:v>2.1393643031784926</c:v>
                </c:pt>
                <c:pt idx="52" formatCode="0.00">
                  <c:v>1.2836185819070867</c:v>
                </c:pt>
                <c:pt idx="53" formatCode="0.00">
                  <c:v>0.42787286063570296</c:v>
                </c:pt>
                <c:pt idx="54" formatCode="0.00">
                  <c:v>-0.24449877750611915</c:v>
                </c:pt>
                <c:pt idx="55" formatCode="0.00">
                  <c:v>-0.79462102689485947</c:v>
                </c:pt>
                <c:pt idx="56" formatCode="0.00">
                  <c:v>-1.0391198044009675</c:v>
                </c:pt>
                <c:pt idx="57" formatCode="0.00">
                  <c:v>-0.73349633251833524</c:v>
                </c:pt>
                <c:pt idx="58" formatCode="0.00">
                  <c:v>0</c:v>
                </c:pt>
                <c:pt idx="59" formatCode="0.00">
                  <c:v>0.48899755501223829</c:v>
                </c:pt>
                <c:pt idx="60" formatCode="0.00">
                  <c:v>1.344743276283622</c:v>
                </c:pt>
                <c:pt idx="61" formatCode="0.00">
                  <c:v>2.2004889975550057</c:v>
                </c:pt>
                <c:pt idx="62" formatCode="0.00">
                  <c:v>2.8728606356968278</c:v>
                </c:pt>
                <c:pt idx="63" formatCode="0.00">
                  <c:v>3.4841075794621146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D7-4B37-BAFE-1214C3F25E4C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'Low load SFOC'!$A$52:$A$67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'Low load SFOC'!$B$52:$B$67</c:f>
              <c:numCache>
                <c:formatCode>0.00</c:formatCode>
                <c:ptCount val="16"/>
                <c:pt idx="0">
                  <c:v>4.6658691406249986</c:v>
                </c:pt>
                <c:pt idx="1">
                  <c:v>3.4095926000000176</c:v>
                </c:pt>
                <c:pt idx="2">
                  <c:v>2.4617982906250333</c:v>
                </c:pt>
                <c:pt idx="3">
                  <c:v>1.52186240000011</c:v>
                </c:pt>
                <c:pt idx="4">
                  <c:v>0.54350711562502596</c:v>
                </c:pt>
                <c:pt idx="5">
                  <c:v>-0.37812499999999005</c:v>
                </c:pt>
                <c:pt idx="6">
                  <c:v>-1.09667838437489</c:v>
                </c:pt>
                <c:pt idx="7">
                  <c:v>-1.4820735999998433</c:v>
                </c:pt>
                <c:pt idx="8">
                  <c:v>-1.4652782093744818</c:v>
                </c:pt>
                <c:pt idx="9">
                  <c:v>-1.0603593999993919</c:v>
                </c:pt>
                <c:pt idx="10">
                  <c:v>-0.3638183593746831</c:v>
                </c:pt>
                <c:pt idx="11">
                  <c:v>0.46879360000072978</c:v>
                </c:pt>
                <c:pt idx="12">
                  <c:v>1.2689771656258912</c:v>
                </c:pt>
                <c:pt idx="13">
                  <c:v>1.924105399999938</c:v>
                </c:pt>
                <c:pt idx="14">
                  <c:v>2.4689623656255648</c:v>
                </c:pt>
                <c:pt idx="15">
                  <c:v>3.199999999999612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D7-4B37-BAFE-1214C3F25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70752"/>
        <c:axId val="1"/>
      </c:scatterChart>
      <c:valAx>
        <c:axId val="154370752"/>
        <c:scaling>
          <c:orientation val="minMax"/>
          <c:max val="10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MCR (pct.)</a:t>
                </a:r>
              </a:p>
            </c:rich>
          </c:tx>
          <c:layout>
            <c:manualLayout>
              <c:xMode val="edge"/>
              <c:yMode val="edge"/>
              <c:x val="0.47080994113024005"/>
              <c:y val="0.926637280387798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  <c:min val="-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Extra SFOC (pct.)</a:t>
                </a:r>
              </a:p>
            </c:rich>
          </c:tx>
          <c:layout>
            <c:manualLayout>
              <c:xMode val="edge"/>
              <c:yMode val="edge"/>
              <c:x val="7.5329566854990581E-3"/>
              <c:y val="0.306220849188109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370752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129979544573656"/>
          <c:y val="7.5117543091492198E-2"/>
          <c:w val="0.68926648744605101"/>
          <c:h val="0.178404164842293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643434081852741E-2"/>
          <c:y val="4.4444464538332132E-2"/>
          <c:w val="0.8927651394835131"/>
          <c:h val="0.88888929076664258"/>
        </c:manualLayout>
      </c:layout>
      <c:scatterChart>
        <c:scatterStyle val="smoothMarker"/>
        <c:varyColors val="0"/>
        <c:ser>
          <c:idx val="0"/>
          <c:order val="0"/>
          <c:tx>
            <c:v>MAN Diesel 6S80ME-C8.2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'Normal SFOC'!$B$3:$B$18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'Normal SFOC'!$D$3:$D$18</c:f>
              <c:numCache>
                <c:formatCode>0.0</c:formatCode>
                <c:ptCount val="16"/>
                <c:pt idx="0">
                  <c:v>6.7073170731707377</c:v>
                </c:pt>
                <c:pt idx="1">
                  <c:v>5.4878048780487854</c:v>
                </c:pt>
                <c:pt idx="2">
                  <c:v>4.451219512195137</c:v>
                </c:pt>
                <c:pt idx="3">
                  <c:v>3.5365853658536617</c:v>
                </c:pt>
                <c:pt idx="4">
                  <c:v>2.5609756097560998</c:v>
                </c:pt>
                <c:pt idx="5">
                  <c:v>1.8292682926829285</c:v>
                </c:pt>
                <c:pt idx="6">
                  <c:v>1.0975609756097571</c:v>
                </c:pt>
                <c:pt idx="7">
                  <c:v>0.48780487804878092</c:v>
                </c:pt>
                <c:pt idx="8">
                  <c:v>0.12195121951219523</c:v>
                </c:pt>
                <c:pt idx="9">
                  <c:v>0</c:v>
                </c:pt>
                <c:pt idx="10">
                  <c:v>6.0975609756086513E-2</c:v>
                </c:pt>
                <c:pt idx="11">
                  <c:v>0.18292682926830395</c:v>
                </c:pt>
                <c:pt idx="12">
                  <c:v>0.60975609756097615</c:v>
                </c:pt>
                <c:pt idx="13">
                  <c:v>1.0975609756097571</c:v>
                </c:pt>
                <c:pt idx="14">
                  <c:v>1.7073170731707332</c:v>
                </c:pt>
                <c:pt idx="15">
                  <c:v>2.4390243902439046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D3-41F2-B830-B9BAF42BD77F}"/>
            </c:ext>
          </c:extLst>
        </c:ser>
        <c:ser>
          <c:idx val="1"/>
          <c:order val="1"/>
          <c:tx>
            <c:v>MAN Diesel 6S80MC-C8.2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'Normal SFOC'!$B$3:$B$18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'Normal SFOC'!$F$3:$F$18</c:f>
              <c:numCache>
                <c:formatCode>0.0</c:formatCode>
                <c:ptCount val="16"/>
                <c:pt idx="0">
                  <c:v>6.5476190476190466</c:v>
                </c:pt>
                <c:pt idx="1">
                  <c:v>5.3571428571428603</c:v>
                </c:pt>
                <c:pt idx="2">
                  <c:v>4.2261904761904834</c:v>
                </c:pt>
                <c:pt idx="3">
                  <c:v>3.2142857142857251</c:v>
                </c:pt>
                <c:pt idx="4">
                  <c:v>2.4999999999999911</c:v>
                </c:pt>
                <c:pt idx="5">
                  <c:v>1.7857142857142794</c:v>
                </c:pt>
                <c:pt idx="6">
                  <c:v>1.2499999999999956</c:v>
                </c:pt>
                <c:pt idx="7">
                  <c:v>0.77380952380952106</c:v>
                </c:pt>
                <c:pt idx="8">
                  <c:v>0.41666666666666519</c:v>
                </c:pt>
                <c:pt idx="9">
                  <c:v>0.17857142857142794</c:v>
                </c:pt>
                <c:pt idx="10">
                  <c:v>5.9523809523809312E-2</c:v>
                </c:pt>
                <c:pt idx="11">
                  <c:v>0</c:v>
                </c:pt>
                <c:pt idx="12">
                  <c:v>0.17857142857142794</c:v>
                </c:pt>
                <c:pt idx="13">
                  <c:v>0.4761904761904745</c:v>
                </c:pt>
                <c:pt idx="14">
                  <c:v>1.0119047619047583</c:v>
                </c:pt>
                <c:pt idx="15">
                  <c:v>1.7857142857142794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D3-41F2-B830-B9BAF42B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91784"/>
        <c:axId val="1"/>
      </c:scatterChart>
      <c:valAx>
        <c:axId val="153891784"/>
        <c:scaling>
          <c:orientation val="minMax"/>
          <c:max val="10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89178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7123464770523593"/>
          <c:y val="0.17270194986072424"/>
          <c:w val="0.42663219133807367"/>
          <c:h val="0.194986072423398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87489356703769"/>
          <c:y val="4.4140046843803078E-2"/>
          <c:w val="0.85976290172929037"/>
          <c:h val="0.79604291376927627"/>
        </c:manualLayout>
      </c:layout>
      <c:scatterChart>
        <c:scatterStyle val="lineMarker"/>
        <c:varyColors val="0"/>
        <c:ser>
          <c:idx val="0"/>
          <c:order val="0"/>
          <c:tx>
            <c:v>MAN Diesel standard two stroke engines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Mode val="edge"/>
                  <c:yMode val="edge"/>
                  <c:x val="0.22977352329779027"/>
                  <c:y val="9.8934587753351733E-2"/>
                </c:manualLayout>
              </c:layout>
              <c:tx>
                <c:rich>
                  <a:bodyPr/>
                  <a:lstStyle/>
                  <a:p>
                    <a:pPr>
                      <a:defRPr sz="12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4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Extra SFOC (%) = 0.0028 x MCR</a:t>
                    </a:r>
                    <a:r>
                      <a:rPr lang="en-US" sz="14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14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- 0.41x MCR + 15</a:t>
                    </a:r>
                  </a:p>
                </c:rich>
              </c:tx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'Normal SFOC'!$B$3:$B$34</c:f>
              <c:numCache>
                <c:formatCode>General</c:formatCode>
                <c:ptCount val="32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25</c:v>
                </c:pt>
                <c:pt idx="17">
                  <c:v>30</c:v>
                </c:pt>
                <c:pt idx="18">
                  <c:v>35</c:v>
                </c:pt>
                <c:pt idx="19">
                  <c:v>40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60</c:v>
                </c:pt>
                <c:pt idx="24">
                  <c:v>65</c:v>
                </c:pt>
                <c:pt idx="25">
                  <c:v>70</c:v>
                </c:pt>
                <c:pt idx="26">
                  <c:v>75</c:v>
                </c:pt>
                <c:pt idx="27">
                  <c:v>80</c:v>
                </c:pt>
                <c:pt idx="28">
                  <c:v>85</c:v>
                </c:pt>
                <c:pt idx="29">
                  <c:v>90</c:v>
                </c:pt>
                <c:pt idx="30">
                  <c:v>95</c:v>
                </c:pt>
                <c:pt idx="31">
                  <c:v>100</c:v>
                </c:pt>
              </c:numCache>
            </c:numRef>
          </c:xVal>
          <c:yVal>
            <c:numRef>
              <c:f>'Normal SFOC'!$D$3:$D$34</c:f>
              <c:numCache>
                <c:formatCode>0.0</c:formatCode>
                <c:ptCount val="32"/>
                <c:pt idx="0">
                  <c:v>6.7073170731707377</c:v>
                </c:pt>
                <c:pt idx="1">
                  <c:v>5.4878048780487854</c:v>
                </c:pt>
                <c:pt idx="2">
                  <c:v>4.451219512195137</c:v>
                </c:pt>
                <c:pt idx="3">
                  <c:v>3.5365853658536617</c:v>
                </c:pt>
                <c:pt idx="4">
                  <c:v>2.5609756097560998</c:v>
                </c:pt>
                <c:pt idx="5">
                  <c:v>1.8292682926829285</c:v>
                </c:pt>
                <c:pt idx="6">
                  <c:v>1.0975609756097571</c:v>
                </c:pt>
                <c:pt idx="7">
                  <c:v>0.48780487804878092</c:v>
                </c:pt>
                <c:pt idx="8">
                  <c:v>0.12195121951219523</c:v>
                </c:pt>
                <c:pt idx="9">
                  <c:v>0</c:v>
                </c:pt>
                <c:pt idx="10">
                  <c:v>6.0975609756086513E-2</c:v>
                </c:pt>
                <c:pt idx="11">
                  <c:v>0.18292682926830395</c:v>
                </c:pt>
                <c:pt idx="12">
                  <c:v>0.60975609756097615</c:v>
                </c:pt>
                <c:pt idx="13">
                  <c:v>1.0975609756097571</c:v>
                </c:pt>
                <c:pt idx="14">
                  <c:v>1.7073170731707332</c:v>
                </c:pt>
                <c:pt idx="15">
                  <c:v>2.4390243902439046</c:v>
                </c:pt>
                <c:pt idx="16" formatCode="0.00">
                  <c:v>6.5476190476190466</c:v>
                </c:pt>
                <c:pt idx="17" formatCode="0.00">
                  <c:v>5.3571428571428603</c:v>
                </c:pt>
                <c:pt idx="18" formatCode="0.00">
                  <c:v>4.2261904761904834</c:v>
                </c:pt>
                <c:pt idx="19" formatCode="0.00">
                  <c:v>3.2142857142857251</c:v>
                </c:pt>
                <c:pt idx="20" formatCode="0.00">
                  <c:v>2.4999999999999911</c:v>
                </c:pt>
                <c:pt idx="21" formatCode="0.00">
                  <c:v>1.7857142857142794</c:v>
                </c:pt>
                <c:pt idx="22" formatCode="0.00">
                  <c:v>1.25</c:v>
                </c:pt>
                <c:pt idx="23" formatCode="0.00">
                  <c:v>0.77380952380952106</c:v>
                </c:pt>
                <c:pt idx="24" formatCode="0.00">
                  <c:v>0.41666666666666519</c:v>
                </c:pt>
                <c:pt idx="25" formatCode="0.00">
                  <c:v>0.17857142857142794</c:v>
                </c:pt>
                <c:pt idx="26" formatCode="0.00">
                  <c:v>5.9523809523809312E-2</c:v>
                </c:pt>
                <c:pt idx="27" formatCode="0.00">
                  <c:v>0</c:v>
                </c:pt>
                <c:pt idx="28" formatCode="0.00">
                  <c:v>0.17857142857142794</c:v>
                </c:pt>
                <c:pt idx="29" formatCode="0.00">
                  <c:v>0.4761904761904745</c:v>
                </c:pt>
                <c:pt idx="30" formatCode="0.00">
                  <c:v>1.0119047619047583</c:v>
                </c:pt>
                <c:pt idx="31" formatCode="0.00">
                  <c:v>1.7857142857142794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5-43ED-948C-E5A1D3DB720D}"/>
            </c:ext>
          </c:extLst>
        </c:ser>
        <c:ser>
          <c:idx val="1"/>
          <c:order val="1"/>
          <c:tx>
            <c:v>2nd order polynomium approximation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'Normal SFOC'!$B$36:$B$51</c:f>
              <c:numCache>
                <c:formatCode>General</c:formatCode>
                <c:ptCount val="16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</c:numCache>
            </c:numRef>
          </c:xVal>
          <c:yVal>
            <c:numRef>
              <c:f>'Normal SFOC'!$D$36:$D$51</c:f>
              <c:numCache>
                <c:formatCode>0.00</c:formatCode>
                <c:ptCount val="16"/>
                <c:pt idx="0">
                  <c:v>6.5</c:v>
                </c:pt>
                <c:pt idx="1">
                  <c:v>5.2200000000000006</c:v>
                </c:pt>
                <c:pt idx="2">
                  <c:v>4.08</c:v>
                </c:pt>
                <c:pt idx="3">
                  <c:v>3.0800000000000018</c:v>
                </c:pt>
                <c:pt idx="4">
                  <c:v>2.2200000000000006</c:v>
                </c:pt>
                <c:pt idx="5">
                  <c:v>1.5</c:v>
                </c:pt>
                <c:pt idx="6">
                  <c:v>0.92000000000000348</c:v>
                </c:pt>
                <c:pt idx="7">
                  <c:v>0.4800000000000022</c:v>
                </c:pt>
                <c:pt idx="8">
                  <c:v>0.18000000000000149</c:v>
                </c:pt>
                <c:pt idx="9">
                  <c:v>2.000000000000135E-2</c:v>
                </c:pt>
                <c:pt idx="10">
                  <c:v>0</c:v>
                </c:pt>
                <c:pt idx="11">
                  <c:v>0.12000000000000099</c:v>
                </c:pt>
                <c:pt idx="12">
                  <c:v>0.37999999999999901</c:v>
                </c:pt>
                <c:pt idx="13">
                  <c:v>0.78000000000000114</c:v>
                </c:pt>
                <c:pt idx="14">
                  <c:v>1.3200000000000038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15-43ED-948C-E5A1D3DB7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87520"/>
        <c:axId val="1"/>
      </c:scatterChart>
      <c:valAx>
        <c:axId val="153887520"/>
        <c:scaling>
          <c:orientation val="minMax"/>
          <c:max val="10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MCR (pct.)</a:t>
                </a:r>
              </a:p>
            </c:rich>
          </c:tx>
          <c:layout>
            <c:manualLayout>
              <c:xMode val="edge"/>
              <c:yMode val="edge"/>
              <c:x val="0.4638620900542772"/>
              <c:y val="0.92389667754945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Extra SFOC (pct.)</a:t>
                </a:r>
              </a:p>
            </c:rich>
          </c:tx>
          <c:layout>
            <c:manualLayout>
              <c:xMode val="edge"/>
              <c:yMode val="edge"/>
              <c:x val="8.6299892125134836E-3"/>
              <c:y val="0.2770167562896101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88752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375446209177489"/>
          <c:y val="0.19864559819413091"/>
          <c:w val="0.68123084994255967"/>
          <c:h val="0.171557562076749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22960923860882"/>
          <c:y val="4.1284449904639461E-2"/>
          <c:w val="0.84426297088160451"/>
          <c:h val="0.76376232323583004"/>
        </c:manualLayout>
      </c:layout>
      <c:scatterChart>
        <c:scatterStyle val="lineMarker"/>
        <c:varyColors val="0"/>
        <c:ser>
          <c:idx val="0"/>
          <c:order val="0"/>
          <c:tx>
            <c:v>TEMA 2020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'Truck data'!$A$111:$A$112</c:f>
              <c:numCache>
                <c:formatCode>General</c:formatCode>
                <c:ptCount val="2"/>
                <c:pt idx="0">
                  <c:v>8.5</c:v>
                </c:pt>
                <c:pt idx="1">
                  <c:v>14</c:v>
                </c:pt>
              </c:numCache>
            </c:numRef>
          </c:xVal>
          <c:yVal>
            <c:numRef>
              <c:f>'Truck data'!$C$111:$C$112</c:f>
              <c:numCache>
                <c:formatCode>0.0</c:formatCode>
                <c:ptCount val="2"/>
                <c:pt idx="0">
                  <c:v>9.817499999999999</c:v>
                </c:pt>
                <c:pt idx="1">
                  <c:v>12.494999999999999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1-4E71-89AC-887B07F07B22}"/>
            </c:ext>
          </c:extLst>
        </c:ser>
        <c:ser>
          <c:idx val="1"/>
          <c:order val="1"/>
          <c:tx>
            <c:v>TEMA 2020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'Truck data'!$A$113:$A$114</c:f>
              <c:numCache>
                <c:formatCode>General</c:formatCode>
                <c:ptCount val="2"/>
                <c:pt idx="0">
                  <c:v>26</c:v>
                </c:pt>
                <c:pt idx="1">
                  <c:v>40</c:v>
                </c:pt>
              </c:numCache>
            </c:numRef>
          </c:xVal>
          <c:yVal>
            <c:numRef>
              <c:f>'Truck data'!$C$113:$C$114</c:f>
              <c:numCache>
                <c:formatCode>0.0</c:formatCode>
                <c:ptCount val="2"/>
                <c:pt idx="0">
                  <c:v>11.423999999999999</c:v>
                </c:pt>
                <c:pt idx="1">
                  <c:v>17.135999999999999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1-4E71-89AC-887B07F07B22}"/>
            </c:ext>
          </c:extLst>
        </c:ser>
        <c:ser>
          <c:idx val="2"/>
          <c:order val="2"/>
          <c:tx>
            <c:v>DTU model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'Truck data'!$A$111:$A$112</c:f>
              <c:numCache>
                <c:formatCode>General</c:formatCode>
                <c:ptCount val="2"/>
                <c:pt idx="0">
                  <c:v>8.5</c:v>
                </c:pt>
                <c:pt idx="1">
                  <c:v>14</c:v>
                </c:pt>
              </c:numCache>
            </c:numRef>
          </c:xVal>
          <c:yVal>
            <c:numRef>
              <c:f>'Truck data'!$H$111:$H$112</c:f>
              <c:numCache>
                <c:formatCode>0.0</c:formatCode>
                <c:ptCount val="2"/>
                <c:pt idx="0">
                  <c:v>8.5640000000000001</c:v>
                </c:pt>
                <c:pt idx="1">
                  <c:v>9.7959999999999994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B1-4E71-89AC-887B07F07B22}"/>
            </c:ext>
          </c:extLst>
        </c:ser>
        <c:ser>
          <c:idx val="3"/>
          <c:order val="3"/>
          <c:tx>
            <c:v>DTU model</c:v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'Truck data'!$A$113:$A$114</c:f>
              <c:numCache>
                <c:formatCode>General</c:formatCode>
                <c:ptCount val="2"/>
                <c:pt idx="0">
                  <c:v>26</c:v>
                </c:pt>
                <c:pt idx="1">
                  <c:v>40</c:v>
                </c:pt>
              </c:numCache>
            </c:numRef>
          </c:xVal>
          <c:yVal>
            <c:numRef>
              <c:f>'Truck data'!$H$113:$H$114</c:f>
              <c:numCache>
                <c:formatCode>0.0</c:formatCode>
                <c:ptCount val="2"/>
                <c:pt idx="0">
                  <c:v>15.076000000000001</c:v>
                </c:pt>
                <c:pt idx="1">
                  <c:v>18.170000000000002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B1-4E71-89AC-887B07F0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2096"/>
        <c:axId val="1"/>
      </c:scatterChart>
      <c:valAx>
        <c:axId val="149862096"/>
        <c:scaling>
          <c:orientation val="minMax"/>
          <c:max val="45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Truck load [t]</a:t>
                </a:r>
              </a:p>
            </c:rich>
          </c:tx>
          <c:layout>
            <c:manualLayout>
              <c:xMode val="edge"/>
              <c:yMode val="edge"/>
              <c:x val="0.47377081518254893"/>
              <c:y val="0.892202881816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  <c:max val="1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Energy demand [M/km]</a:t>
                </a:r>
              </a:p>
            </c:rich>
          </c:tx>
          <c:layout>
            <c:manualLayout>
              <c:xMode val="edge"/>
              <c:yMode val="edge"/>
              <c:x val="2.2950865484194435E-2"/>
              <c:y val="0.240825973196408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62096"/>
        <c:crosses val="autoZero"/>
        <c:crossBetween val="midCat"/>
        <c:majorUnit val="3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573822981095498"/>
          <c:y val="0.47477117390335383"/>
          <c:w val="0.19836081451781387"/>
          <c:h val="0.194954346771908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9C-48C0-939E-378655B81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4552"/>
        <c:axId val="1"/>
      </c:scatterChart>
      <c:valAx>
        <c:axId val="149854552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54552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EB-41C2-90BC-4CF5FE298A9B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EB-41C2-90BC-4CF5FE298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8112"/>
        <c:axId val="1"/>
      </c:scatterChart>
      <c:valAx>
        <c:axId val="184158112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58112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9-462F-A2BB-591CE058C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61064"/>
        <c:axId val="1"/>
      </c:scatterChart>
      <c:valAx>
        <c:axId val="184161064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61064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B9-4569-8E99-272C2D778DC9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B9-4569-8E99-272C2D778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63032"/>
        <c:axId val="1"/>
      </c:scatterChart>
      <c:valAx>
        <c:axId val="184163032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63032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4B-4424-845F-9929F708C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7784"/>
        <c:axId val="1"/>
      </c:scatterChart>
      <c:valAx>
        <c:axId val="184157784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57784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EE-4E53-9798-956259A031E8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WEIGHT!#REF!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EE-4E53-9798-956259A0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73856"/>
        <c:axId val="1"/>
      </c:scatterChart>
      <c:valAx>
        <c:axId val="184173856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73856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9D-49F8-924D-EEACCDDF9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69920"/>
        <c:axId val="1"/>
      </c:scatterChart>
      <c:valAx>
        <c:axId val="184169920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69920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84-44B5-AAD7-4271853F9D12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84-44B5-AAD7-4271853F9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66640"/>
        <c:axId val="1"/>
      </c:scatterChart>
      <c:valAx>
        <c:axId val="184166640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66640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C6-46EC-B8A0-FAB821A77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71888"/>
        <c:axId val="1"/>
      </c:scatterChart>
      <c:valAx>
        <c:axId val="184171888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71888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0A-48C1-BA8D-40D46D1EBF8B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0A-48C1-BA8D-40D46D1E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68608"/>
        <c:axId val="1"/>
      </c:scatterChart>
      <c:valAx>
        <c:axId val="184168608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68608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1A-4B25-AA79-25EEC3347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3848"/>
        <c:axId val="1"/>
      </c:scatterChart>
      <c:valAx>
        <c:axId val="184153848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53848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5A-4B42-B6B4-6FDF0D8D63F2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5A-4B42-B6B4-6FDF0D8D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46960"/>
        <c:axId val="1"/>
      </c:scatterChart>
      <c:valAx>
        <c:axId val="184146960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46960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2-4B2B-A918-FF7B1CD60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49256"/>
        <c:axId val="1"/>
      </c:scatterChart>
      <c:valAx>
        <c:axId val="184149256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5000"/>
          <c:min val="1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Light ship weight (tons)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49256"/>
        <c:crosses val="autoZero"/>
        <c:crossBetween val="midCat"/>
        <c:majorUnit val="2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 Twin propeller 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79-4A2F-9434-EFCCEBBEA66E}"/>
            </c:ext>
          </c:extLst>
        </c:ser>
        <c:ser>
          <c:idx val="1"/>
          <c:order val="1"/>
          <c:tx>
            <c:v> Single propeller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'[1]Munro-Smith-Hvidbjørnen'!#REF!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79-4A2F-9434-EFCCEBBE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48928"/>
        <c:axId val="1"/>
      </c:scatterChart>
      <c:valAx>
        <c:axId val="184148928"/>
        <c:scaling>
          <c:orientation val="minMax"/>
          <c:max val="8"/>
          <c:min val="7.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Design draught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5000"/>
          <c:min val="2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Necessayr power at 22 knots (kW)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48928"/>
        <c:crosses val="autoZero"/>
        <c:crossBetween val="midCat"/>
        <c:majorUnit val="200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MAN slow speed engines</a:t>
            </a:r>
          </a:p>
        </c:rich>
      </c:tx>
      <c:layout>
        <c:manualLayout>
          <c:xMode val="edge"/>
          <c:yMode val="edge"/>
          <c:x val="0.2306590364728999"/>
          <c:y val="8.532418656484645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939539572811692"/>
          <c:y val="3.924917946184029E-2"/>
          <c:w val="0.82981829869118473"/>
          <c:h val="0.8395911432706705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0057306590257878"/>
                  <c:y val="0.24061453496171656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6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y = 0.0294x - 41</a:t>
                    </a:r>
                  </a:p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 sz="16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R</a:t>
                    </a:r>
                    <a:r>
                      <a:rPr lang="en-US" sz="1600" b="0" i="0" u="none" strike="noStrike" baseline="3000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2</a:t>
                    </a:r>
                    <a:r>
                      <a:rPr lang="en-US" sz="1600" b="0" i="0" u="none" strike="noStrike" baseline="0">
                        <a:solidFill>
                          <a:srgbClr val="000000"/>
                        </a:solidFill>
                        <a:latin typeface="Arial"/>
                        <a:cs typeface="Arial"/>
                      </a:rPr>
                      <a:t> = 0.98</a:t>
                    </a:r>
                  </a:p>
                </c:rich>
              </c:tx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WEIGHT!$D$72:$D$110</c:f>
              <c:numCache>
                <c:formatCode>General</c:formatCode>
                <c:ptCount val="39"/>
                <c:pt idx="0">
                  <c:v>37380</c:v>
                </c:pt>
                <c:pt idx="1">
                  <c:v>56070</c:v>
                </c:pt>
                <c:pt idx="2">
                  <c:v>87220</c:v>
                </c:pt>
                <c:pt idx="3">
                  <c:v>36120</c:v>
                </c:pt>
                <c:pt idx="4">
                  <c:v>54180</c:v>
                </c:pt>
                <c:pt idx="5">
                  <c:v>84280</c:v>
                </c:pt>
                <c:pt idx="6">
                  <c:v>34320</c:v>
                </c:pt>
                <c:pt idx="7">
                  <c:v>51480</c:v>
                </c:pt>
                <c:pt idx="8">
                  <c:v>68640</c:v>
                </c:pt>
                <c:pt idx="9">
                  <c:v>27420</c:v>
                </c:pt>
                <c:pt idx="10">
                  <c:v>41130</c:v>
                </c:pt>
                <c:pt idx="11">
                  <c:v>54840</c:v>
                </c:pt>
                <c:pt idx="12">
                  <c:v>27060</c:v>
                </c:pt>
                <c:pt idx="13">
                  <c:v>40590</c:v>
                </c:pt>
                <c:pt idx="14">
                  <c:v>25080</c:v>
                </c:pt>
                <c:pt idx="15">
                  <c:v>33440</c:v>
                </c:pt>
                <c:pt idx="16">
                  <c:v>16350</c:v>
                </c:pt>
                <c:pt idx="17">
                  <c:v>26160</c:v>
                </c:pt>
                <c:pt idx="18">
                  <c:v>16350</c:v>
                </c:pt>
                <c:pt idx="19">
                  <c:v>26160</c:v>
                </c:pt>
                <c:pt idx="20">
                  <c:v>11900</c:v>
                </c:pt>
                <c:pt idx="21">
                  <c:v>19040</c:v>
                </c:pt>
                <c:pt idx="22">
                  <c:v>11900</c:v>
                </c:pt>
                <c:pt idx="23">
                  <c:v>19040</c:v>
                </c:pt>
                <c:pt idx="24">
                  <c:v>8900</c:v>
                </c:pt>
                <c:pt idx="25">
                  <c:v>16020</c:v>
                </c:pt>
                <c:pt idx="26">
                  <c:v>8900</c:v>
                </c:pt>
                <c:pt idx="27">
                  <c:v>16020</c:v>
                </c:pt>
                <c:pt idx="28">
                  <c:v>6900</c:v>
                </c:pt>
                <c:pt idx="29">
                  <c:v>11040</c:v>
                </c:pt>
                <c:pt idx="30">
                  <c:v>5675</c:v>
                </c:pt>
                <c:pt idx="31">
                  <c:v>9080</c:v>
                </c:pt>
                <c:pt idx="32">
                  <c:v>4350</c:v>
                </c:pt>
                <c:pt idx="33">
                  <c:v>6960</c:v>
                </c:pt>
                <c:pt idx="34">
                  <c:v>3700</c:v>
                </c:pt>
                <c:pt idx="35">
                  <c:v>6660</c:v>
                </c:pt>
                <c:pt idx="36">
                  <c:v>8880</c:v>
                </c:pt>
                <c:pt idx="37">
                  <c:v>2000</c:v>
                </c:pt>
                <c:pt idx="38">
                  <c:v>4800</c:v>
                </c:pt>
              </c:numCache>
            </c:numRef>
          </c:xVal>
          <c:yVal>
            <c:numRef>
              <c:f>WEIGHT!$E$72:$E$110</c:f>
              <c:numCache>
                <c:formatCode>General</c:formatCode>
                <c:ptCount val="39"/>
                <c:pt idx="0">
                  <c:v>1067</c:v>
                </c:pt>
                <c:pt idx="1">
                  <c:v>1581</c:v>
                </c:pt>
                <c:pt idx="2">
                  <c:v>2328</c:v>
                </c:pt>
                <c:pt idx="3">
                  <c:v>1111</c:v>
                </c:pt>
                <c:pt idx="4">
                  <c:v>1618</c:v>
                </c:pt>
                <c:pt idx="5">
                  <c:v>2405</c:v>
                </c:pt>
                <c:pt idx="6">
                  <c:v>945</c:v>
                </c:pt>
                <c:pt idx="7">
                  <c:v>1400</c:v>
                </c:pt>
                <c:pt idx="8">
                  <c:v>1820</c:v>
                </c:pt>
                <c:pt idx="9">
                  <c:v>991</c:v>
                </c:pt>
                <c:pt idx="10">
                  <c:v>1415</c:v>
                </c:pt>
                <c:pt idx="11">
                  <c:v>1826</c:v>
                </c:pt>
                <c:pt idx="12">
                  <c:v>800</c:v>
                </c:pt>
                <c:pt idx="13">
                  <c:v>1130</c:v>
                </c:pt>
                <c:pt idx="14">
                  <c:v>866</c:v>
                </c:pt>
                <c:pt idx="15">
                  <c:v>1092</c:v>
                </c:pt>
                <c:pt idx="16">
                  <c:v>451</c:v>
                </c:pt>
                <c:pt idx="17">
                  <c:v>681</c:v>
                </c:pt>
                <c:pt idx="18">
                  <c:v>495</c:v>
                </c:pt>
                <c:pt idx="19">
                  <c:v>704</c:v>
                </c:pt>
                <c:pt idx="20">
                  <c:v>321</c:v>
                </c:pt>
                <c:pt idx="21">
                  <c:v>463</c:v>
                </c:pt>
                <c:pt idx="22">
                  <c:v>324</c:v>
                </c:pt>
                <c:pt idx="23">
                  <c:v>467</c:v>
                </c:pt>
                <c:pt idx="24">
                  <c:v>194</c:v>
                </c:pt>
                <c:pt idx="25">
                  <c:v>321</c:v>
                </c:pt>
                <c:pt idx="26">
                  <c:v>186</c:v>
                </c:pt>
                <c:pt idx="27">
                  <c:v>311</c:v>
                </c:pt>
                <c:pt idx="28">
                  <c:v>121</c:v>
                </c:pt>
                <c:pt idx="29">
                  <c:v>257</c:v>
                </c:pt>
                <c:pt idx="30">
                  <c:v>112</c:v>
                </c:pt>
                <c:pt idx="31">
                  <c:v>163</c:v>
                </c:pt>
                <c:pt idx="32">
                  <c:v>81</c:v>
                </c:pt>
                <c:pt idx="33">
                  <c:v>111</c:v>
                </c:pt>
                <c:pt idx="34">
                  <c:v>67</c:v>
                </c:pt>
                <c:pt idx="35">
                  <c:v>106</c:v>
                </c:pt>
                <c:pt idx="36">
                  <c:v>144</c:v>
                </c:pt>
                <c:pt idx="37">
                  <c:v>37</c:v>
                </c:pt>
                <c:pt idx="38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3-42EE-8F80-3C4D6A792E60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WEIGHT!$O$75:$O$76</c:f>
              <c:numCache>
                <c:formatCode>General</c:formatCode>
                <c:ptCount val="2"/>
                <c:pt idx="0">
                  <c:v>0</c:v>
                </c:pt>
                <c:pt idx="1">
                  <c:v>90000</c:v>
                </c:pt>
              </c:numCache>
            </c:numRef>
          </c:xVal>
          <c:yVal>
            <c:numRef>
              <c:f>WEIGHT!$P$75:$P$76</c:f>
              <c:numCache>
                <c:formatCode>General</c:formatCode>
                <c:ptCount val="2"/>
                <c:pt idx="0">
                  <c:v>0</c:v>
                </c:pt>
                <c:pt idx="1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23-42EE-8F80-3C4D6A79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53192"/>
        <c:axId val="1"/>
      </c:scatterChart>
      <c:valAx>
        <c:axId val="184153192"/>
        <c:scaling>
          <c:orientation val="minMax"/>
          <c:max val="90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[kW]</a:t>
                </a:r>
              </a:p>
            </c:rich>
          </c:tx>
          <c:layout>
            <c:manualLayout>
              <c:xMode val="edge"/>
              <c:yMode val="edge"/>
              <c:x val="0.47850996084505826"/>
              <c:y val="0.936860807132287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000"/>
      </c:valAx>
      <c:valAx>
        <c:axId val="1"/>
        <c:scaling>
          <c:orientation val="minMax"/>
          <c:max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Engine weight [t]</a:t>
                </a:r>
              </a:p>
            </c:rich>
          </c:tx>
          <c:layout>
            <c:manualLayout>
              <c:xMode val="edge"/>
              <c:yMode val="edge"/>
              <c:x val="1.4326692769961132E-2"/>
              <c:y val="0.348123207336901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153192"/>
        <c:crosses val="autoZero"/>
        <c:crossBetween val="midCat"/>
        <c:majorUnit val="25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64231804115851"/>
          <c:y val="0.63822578777079431"/>
          <c:w val="0.18143484835790311"/>
          <c:h val="0.10921510806772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MAN medium speed engines</a:t>
            </a:r>
          </a:p>
        </c:rich>
      </c:tx>
      <c:layout>
        <c:manualLayout>
          <c:xMode val="edge"/>
          <c:yMode val="edge"/>
          <c:x val="0.23605183548241757"/>
          <c:y val="9.540040693059370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4642356241234E-2"/>
          <c:y val="3.7478705281090291E-2"/>
          <c:w val="0.8863955119214586"/>
          <c:h val="0.863713798977853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WEIGHT!$D$113:$D$126</c:f>
              <c:numCache>
                <c:formatCode>General</c:formatCode>
                <c:ptCount val="14"/>
                <c:pt idx="0">
                  <c:v>1290</c:v>
                </c:pt>
                <c:pt idx="1">
                  <c:v>1935</c:v>
                </c:pt>
                <c:pt idx="2">
                  <c:v>2040</c:v>
                </c:pt>
                <c:pt idx="3">
                  <c:v>3060</c:v>
                </c:pt>
                <c:pt idx="4">
                  <c:v>5460</c:v>
                </c:pt>
                <c:pt idx="5">
                  <c:v>9100</c:v>
                </c:pt>
                <c:pt idx="6">
                  <c:v>5460</c:v>
                </c:pt>
                <c:pt idx="7">
                  <c:v>9100</c:v>
                </c:pt>
                <c:pt idx="8">
                  <c:v>6000</c:v>
                </c:pt>
                <c:pt idx="9">
                  <c:v>9000</c:v>
                </c:pt>
                <c:pt idx="10">
                  <c:v>6720</c:v>
                </c:pt>
                <c:pt idx="11">
                  <c:v>11200</c:v>
                </c:pt>
                <c:pt idx="12">
                  <c:v>14400</c:v>
                </c:pt>
                <c:pt idx="13">
                  <c:v>21600</c:v>
                </c:pt>
              </c:numCache>
            </c:numRef>
          </c:xVal>
          <c:yVal>
            <c:numRef>
              <c:f>WEIGHT!$E$113:$E$126</c:f>
              <c:numCache>
                <c:formatCode>General</c:formatCode>
                <c:ptCount val="14"/>
                <c:pt idx="0">
                  <c:v>16</c:v>
                </c:pt>
                <c:pt idx="1">
                  <c:v>20.5</c:v>
                </c:pt>
                <c:pt idx="2">
                  <c:v>29</c:v>
                </c:pt>
                <c:pt idx="3">
                  <c:v>39.5</c:v>
                </c:pt>
                <c:pt idx="4">
                  <c:v>33.9</c:v>
                </c:pt>
                <c:pt idx="5">
                  <c:v>49.9</c:v>
                </c:pt>
                <c:pt idx="6">
                  <c:v>31.9</c:v>
                </c:pt>
                <c:pt idx="7">
                  <c:v>47.9</c:v>
                </c:pt>
                <c:pt idx="8">
                  <c:v>61</c:v>
                </c:pt>
                <c:pt idx="9">
                  <c:v>85</c:v>
                </c:pt>
                <c:pt idx="10">
                  <c:v>70</c:v>
                </c:pt>
                <c:pt idx="11">
                  <c:v>104</c:v>
                </c:pt>
                <c:pt idx="12">
                  <c:v>189</c:v>
                </c:pt>
                <c:pt idx="13">
                  <c:v>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8-4E37-BE79-E7384F11AC5F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WEIGHT!$O$114:$O$115</c:f>
              <c:numCache>
                <c:formatCode>General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WEIGHT!$P$114:$P$115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A8-4E37-BE79-E7384F11A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06800"/>
        <c:axId val="1"/>
      </c:scatterChart>
      <c:valAx>
        <c:axId val="184606800"/>
        <c:scaling>
          <c:orientation val="minMax"/>
          <c:max val="25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Power [kW]</a:t>
                </a:r>
              </a:p>
            </c:rich>
          </c:tx>
          <c:layout>
            <c:manualLayout>
              <c:xMode val="edge"/>
              <c:yMode val="edge"/>
              <c:x val="0.47210367096483513"/>
              <c:y val="0.954003339385589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500"/>
        <c:minorUnit val="250"/>
      </c:val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Engine weight [t]</a:t>
                </a:r>
              </a:p>
            </c:rich>
          </c:tx>
          <c:layout>
            <c:manualLayout>
              <c:xMode val="edge"/>
              <c:yMode val="edge"/>
              <c:x val="7.1531249329528628E-3"/>
              <c:y val="0.379897811151358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606800"/>
        <c:crosses val="autoZero"/>
        <c:crossBetween val="midCat"/>
        <c:majorUnit val="2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230014025245437"/>
          <c:y val="0.64735945485519586"/>
          <c:w val="0.10799438990182328"/>
          <c:h val="7.49574105621805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B7D-4A10-BB4B-0B629FA2A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36568"/>
        <c:axId val="1"/>
      </c:scatterChart>
      <c:valAx>
        <c:axId val="179536568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36568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001-494F-9C07-60FC627FC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37880"/>
        <c:axId val="1"/>
      </c:scatterChart>
      <c:valAx>
        <c:axId val="179537880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37880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257-4E06-9A55-7070B4987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4112"/>
        <c:axId val="1"/>
      </c:scatterChart>
      <c:valAx>
        <c:axId val="179544112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44112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'PS1'!$H$19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'PS1'!$C$21:$O$21</c:f>
              <c:numCache>
                <c:formatCode>0.0</c:formatCode>
                <c:ptCount val="13"/>
                <c:pt idx="0">
                  <c:v>21.7</c:v>
                </c:pt>
                <c:pt idx="1">
                  <c:v>22.2</c:v>
                </c:pt>
                <c:pt idx="2">
                  <c:v>22.7</c:v>
                </c:pt>
                <c:pt idx="3">
                  <c:v>23.2</c:v>
                </c:pt>
                <c:pt idx="4">
                  <c:v>23.7</c:v>
                </c:pt>
                <c:pt idx="5">
                  <c:v>24.2</c:v>
                </c:pt>
                <c:pt idx="6">
                  <c:v>24.7</c:v>
                </c:pt>
                <c:pt idx="7">
                  <c:v>25.2</c:v>
                </c:pt>
                <c:pt idx="8">
                  <c:v>25.7</c:v>
                </c:pt>
                <c:pt idx="9">
                  <c:v>26.2</c:v>
                </c:pt>
                <c:pt idx="10">
                  <c:v>26.7</c:v>
                </c:pt>
                <c:pt idx="11">
                  <c:v>27.2</c:v>
                </c:pt>
                <c:pt idx="12">
                  <c:v>27.7</c:v>
                </c:pt>
              </c:numCache>
            </c:numRef>
          </c:xVal>
          <c:yVal>
            <c:numRef>
              <c:f>'PS1'!$C$36:$O$36</c:f>
              <c:numCache>
                <c:formatCode>0</c:formatCode>
                <c:ptCount val="13"/>
                <c:pt idx="0">
                  <c:v>48344.162534902927</c:v>
                </c:pt>
                <c:pt idx="1">
                  <c:v>52103.638170293882</c:v>
                </c:pt>
                <c:pt idx="2">
                  <c:v>56096.474845404904</c:v>
                </c:pt>
                <c:pt idx="3">
                  <c:v>60338.331026462132</c:v>
                </c:pt>
                <c:pt idx="4">
                  <c:v>64846.874379613444</c:v>
                </c:pt>
                <c:pt idx="5">
                  <c:v>69642.194323833217</c:v>
                </c:pt>
                <c:pt idx="6">
                  <c:v>74747.314608015557</c:v>
                </c:pt>
                <c:pt idx="7">
                  <c:v>80188.832747705441</c:v>
                </c:pt>
                <c:pt idx="8">
                  <c:v>85997.720924202775</c:v>
                </c:pt>
                <c:pt idx="9">
                  <c:v>92210.333068027932</c:v>
                </c:pt>
                <c:pt idx="10">
                  <c:v>98869.67601303797</c:v>
                </c:pt>
                <c:pt idx="11">
                  <c:v>106027.0196672562</c:v>
                </c:pt>
                <c:pt idx="12">
                  <c:v>113743.94309269749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36-4325-A081-E2C2D36F1AF9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F36-4325-A081-E2C2D36F1AF9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F36-4325-A081-E2C2D36F1AF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9F36-4325-A081-E2C2D36F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5752"/>
        <c:axId val="1"/>
      </c:scatterChart>
      <c:valAx>
        <c:axId val="179545752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45752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D-4463-A785-E79421987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9032"/>
        <c:axId val="1"/>
      </c:scatterChart>
      <c:valAx>
        <c:axId val="179549032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490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EF-4882-8221-93FE59F9A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1200"/>
        <c:axId val="1"/>
      </c:scatterChart>
      <c:valAx>
        <c:axId val="18011120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112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2-47BB-A105-2D6B4600EF7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2D2-47BB-A105-2D6B4600E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2512"/>
        <c:axId val="1"/>
      </c:scatterChart>
      <c:valAx>
        <c:axId val="180112512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12512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F-4E14-8F17-66792CCB2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3168"/>
        <c:axId val="1"/>
      </c:scatterChart>
      <c:valAx>
        <c:axId val="18011316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131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A4-403B-A771-342936C498E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DA4-403B-A771-342936C4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7104"/>
        <c:axId val="1"/>
      </c:scatterChart>
      <c:valAx>
        <c:axId val="180117104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1710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4F5-41E9-8FCF-166EC431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79536"/>
        <c:axId val="1"/>
      </c:scatterChart>
      <c:valAx>
        <c:axId val="181279536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79536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705-421E-927B-3849396A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87408"/>
        <c:axId val="1"/>
      </c:scatterChart>
      <c:valAx>
        <c:axId val="181287408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87408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B07-4DAC-A687-927940D7F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89048"/>
        <c:axId val="1"/>
      </c:scatterChart>
      <c:valAx>
        <c:axId val="181289048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89048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'PT1-1'!$H$19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'PT1-1'!$C$21:$O$21</c:f>
              <c:numCache>
                <c:formatCode>0.0</c:formatCode>
                <c:ptCount val="13"/>
                <c:pt idx="0">
                  <c:v>25.2</c:v>
                </c:pt>
                <c:pt idx="1">
                  <c:v>25.7</c:v>
                </c:pt>
                <c:pt idx="2">
                  <c:v>26.2</c:v>
                </c:pt>
                <c:pt idx="3">
                  <c:v>26.7</c:v>
                </c:pt>
                <c:pt idx="4">
                  <c:v>28.7</c:v>
                </c:pt>
                <c:pt idx="5">
                  <c:v>30.7</c:v>
                </c:pt>
                <c:pt idx="6">
                  <c:v>24.7</c:v>
                </c:pt>
                <c:pt idx="7">
                  <c:v>25.7</c:v>
                </c:pt>
                <c:pt idx="8">
                  <c:v>26.7</c:v>
                </c:pt>
                <c:pt idx="9" formatCode="0.000">
                  <c:v>25.012805909967827</c:v>
                </c:pt>
                <c:pt idx="10" formatCode="0.000">
                  <c:v>25.013805909967829</c:v>
                </c:pt>
                <c:pt idx="11" formatCode="0.000">
                  <c:v>25.01480590996783</c:v>
                </c:pt>
                <c:pt idx="12">
                  <c:v>25.51480590996783</c:v>
                </c:pt>
              </c:numCache>
            </c:numRef>
          </c:xVal>
          <c:yVal>
            <c:numRef>
              <c:f>'PT1-1'!$C$33:$O$33</c:f>
              <c:numCache>
                <c:formatCode>0</c:formatCode>
                <c:ptCount val="13"/>
                <c:pt idx="0">
                  <c:v>73638.070703930032</c:v>
                </c:pt>
                <c:pt idx="1">
                  <c:v>79278.999423956499</c:v>
                </c:pt>
                <c:pt idx="2">
                  <c:v>85375.634886797838</c:v>
                </c:pt>
                <c:pt idx="3">
                  <c:v>86218.480506704407</c:v>
                </c:pt>
                <c:pt idx="4">
                  <c:v>117901.69680705715</c:v>
                </c:pt>
                <c:pt idx="5">
                  <c:v>166962.7088852693</c:v>
                </c:pt>
                <c:pt idx="6">
                  <c:v>68403.929913224667</c:v>
                </c:pt>
                <c:pt idx="7">
                  <c:v>79278.999423956499</c:v>
                </c:pt>
                <c:pt idx="8">
                  <c:v>91986.540847777971</c:v>
                </c:pt>
                <c:pt idx="9">
                  <c:v>71633.19108850896</c:v>
                </c:pt>
                <c:pt idx="10">
                  <c:v>71643.754048315299</c:v>
                </c:pt>
                <c:pt idx="11">
                  <c:v>71654.318568320276</c:v>
                </c:pt>
                <c:pt idx="12">
                  <c:v>77139.324108738016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4-4DD4-9EBE-3DCF99983504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814-4DD4-9EBE-3DCF99983504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814-4DD4-9EBE-3DCF9998350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814-4DD4-9EBE-3DCF99983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82816"/>
        <c:axId val="1"/>
      </c:scatterChart>
      <c:valAx>
        <c:axId val="181282816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82816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0-49DE-AE2E-6E800D6E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6088"/>
        <c:axId val="1"/>
      </c:scatterChart>
      <c:valAx>
        <c:axId val="18126608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660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5C-48DC-8A6D-AA86F31BB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7400"/>
        <c:axId val="1"/>
      </c:scatterChart>
      <c:valAx>
        <c:axId val="18126740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674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0F-4A63-99E0-368CA294F53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00F-4A63-99E0-368CA294F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5432"/>
        <c:axId val="1"/>
      </c:scatterChart>
      <c:valAx>
        <c:axId val="181265432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65432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65-479F-8D8C-6E50FF98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2152"/>
        <c:axId val="1"/>
      </c:scatterChart>
      <c:valAx>
        <c:axId val="181262152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621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FC-4140-98CD-A80A8E5382EE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5FC-4140-98CD-A80A8E538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5760"/>
        <c:axId val="1"/>
      </c:scatterChart>
      <c:valAx>
        <c:axId val="18126576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657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B9D-44BA-A043-C62A9C4E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73304"/>
        <c:axId val="1"/>
      </c:scatterChart>
      <c:valAx>
        <c:axId val="18127330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73304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144-4C8B-AED4-90E0943C4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71336"/>
        <c:axId val="1"/>
      </c:scatterChart>
      <c:valAx>
        <c:axId val="181271336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71336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C61-4474-92D3-8476620F6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74288"/>
        <c:axId val="1"/>
      </c:scatterChart>
      <c:valAx>
        <c:axId val="181274288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74288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0"/>
          <c:h val="0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'PT1-2'!$H$19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'PT1-2'!$C$21:$O$21</c:f>
              <c:numCache>
                <c:formatCode>0.0</c:formatCode>
                <c:ptCount val="13"/>
                <c:pt idx="0">
                  <c:v>25.2</c:v>
                </c:pt>
                <c:pt idx="1">
                  <c:v>25.7</c:v>
                </c:pt>
                <c:pt idx="2">
                  <c:v>26.2</c:v>
                </c:pt>
                <c:pt idx="3">
                  <c:v>26.7</c:v>
                </c:pt>
                <c:pt idx="4">
                  <c:v>28.7</c:v>
                </c:pt>
                <c:pt idx="5">
                  <c:v>30.7</c:v>
                </c:pt>
                <c:pt idx="6">
                  <c:v>24.7</c:v>
                </c:pt>
                <c:pt idx="7">
                  <c:v>25.7</c:v>
                </c:pt>
                <c:pt idx="8">
                  <c:v>26.7</c:v>
                </c:pt>
                <c:pt idx="9" formatCode="0.000">
                  <c:v>25.809319305270044</c:v>
                </c:pt>
                <c:pt idx="10" formatCode="0.000">
                  <c:v>25.810319305270045</c:v>
                </c:pt>
                <c:pt idx="11" formatCode="0.000">
                  <c:v>25.811319305270047</c:v>
                </c:pt>
                <c:pt idx="12">
                  <c:v>26.311319305270047</c:v>
                </c:pt>
              </c:numCache>
            </c:numRef>
          </c:xVal>
          <c:yVal>
            <c:numRef>
              <c:f>'PT1-2'!$C$33:$O$33</c:f>
              <c:numCache>
                <c:formatCode>0</c:formatCode>
                <c:ptCount val="13"/>
                <c:pt idx="0">
                  <c:v>65924.727749769139</c:v>
                </c:pt>
                <c:pt idx="1">
                  <c:v>70598.251905446508</c:v>
                </c:pt>
                <c:pt idx="2">
                  <c:v>75575.05837835987</c:v>
                </c:pt>
                <c:pt idx="3">
                  <c:v>75974.784632810697</c:v>
                </c:pt>
                <c:pt idx="4">
                  <c:v>100053.1560864932</c:v>
                </c:pt>
                <c:pt idx="5">
                  <c:v>133581.38200333258</c:v>
                </c:pt>
                <c:pt idx="6">
                  <c:v>61529.890082527309</c:v>
                </c:pt>
                <c:pt idx="7">
                  <c:v>70598.251905446508</c:v>
                </c:pt>
                <c:pt idx="8">
                  <c:v>80883.991386575537</c:v>
                </c:pt>
                <c:pt idx="9">
                  <c:v>71659.539231974835</c:v>
                </c:pt>
                <c:pt idx="10">
                  <c:v>71669.315079425491</c:v>
                </c:pt>
                <c:pt idx="11">
                  <c:v>71679.092162399815</c:v>
                </c:pt>
                <c:pt idx="12">
                  <c:v>76727.178788028061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E3-443E-8363-0AE1A7B31016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FE3-443E-8363-0AE1A7B31016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FE3-443E-8363-0AE1A7B31016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FE3-443E-8363-0AE1A7B31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9696"/>
        <c:axId val="1"/>
      </c:scatterChart>
      <c:valAx>
        <c:axId val="181269696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69696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9-488D-A999-B28F77822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54944"/>
        <c:axId val="1"/>
      </c:scatterChart>
      <c:valAx>
        <c:axId val="18235494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549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2-424E-AA59-79D66B5B0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9040"/>
        <c:axId val="1"/>
      </c:scatterChart>
      <c:valAx>
        <c:axId val="18234904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490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FD-446C-B189-850F538A400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CFD-446C-B189-850F538A4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53304"/>
        <c:axId val="1"/>
      </c:scatterChart>
      <c:valAx>
        <c:axId val="182353304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5330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A4-4917-BA60-DE822596B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54288"/>
        <c:axId val="1"/>
      </c:scatterChart>
      <c:valAx>
        <c:axId val="18235428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54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'PT1-2'!#REF!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F-49A0-BD1E-293C60BB1FB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66F-49A0-BD1E-293C60BB1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57240"/>
        <c:axId val="1"/>
      </c:scatterChart>
      <c:valAx>
        <c:axId val="18235724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5724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"/>
          <c:w val="0"/>
          <c:h val="0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1D3-4198-8E7E-72C562F76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90800"/>
        <c:axId val="1"/>
      </c:scatterChart>
      <c:valAx>
        <c:axId val="153890800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3890800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64F-4EE6-804B-A4AF6BF9C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61592"/>
        <c:axId val="1"/>
      </c:scatterChart>
      <c:valAx>
        <c:axId val="127761592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761592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A607-42A8-A83D-8CCD61FD1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62248"/>
        <c:axId val="1"/>
      </c:scatterChart>
      <c:valAx>
        <c:axId val="127762248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762248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'PAS1'!$H$19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'PAS1'!$C$21:$O$21</c:f>
              <c:numCache>
                <c:formatCode>0.0</c:formatCode>
                <c:ptCount val="13"/>
                <c:pt idx="0">
                  <c:v>21.7</c:v>
                </c:pt>
                <c:pt idx="1">
                  <c:v>22.2</c:v>
                </c:pt>
                <c:pt idx="2">
                  <c:v>22.7</c:v>
                </c:pt>
                <c:pt idx="3">
                  <c:v>23.2</c:v>
                </c:pt>
                <c:pt idx="4">
                  <c:v>23.7</c:v>
                </c:pt>
                <c:pt idx="5">
                  <c:v>24.2</c:v>
                </c:pt>
                <c:pt idx="6">
                  <c:v>24.7</c:v>
                </c:pt>
                <c:pt idx="7">
                  <c:v>25.2</c:v>
                </c:pt>
                <c:pt idx="8">
                  <c:v>25.7</c:v>
                </c:pt>
                <c:pt idx="9" formatCode="0.00">
                  <c:v>25.689999999999998</c:v>
                </c:pt>
                <c:pt idx="10" formatCode="0.00">
                  <c:v>25.7</c:v>
                </c:pt>
                <c:pt idx="11" formatCode="0.00">
                  <c:v>25.71</c:v>
                </c:pt>
                <c:pt idx="12">
                  <c:v>26.21</c:v>
                </c:pt>
              </c:numCache>
            </c:numRef>
          </c:xVal>
          <c:yVal>
            <c:numRef>
              <c:f>'PAS1'!$C$36:$O$36</c:f>
              <c:numCache>
                <c:formatCode>0</c:formatCode>
                <c:ptCount val="13"/>
                <c:pt idx="0">
                  <c:v>40000.01349619987</c:v>
                </c:pt>
                <c:pt idx="1">
                  <c:v>43084.226802329125</c:v>
                </c:pt>
                <c:pt idx="2">
                  <c:v>46353.657786335956</c:v>
                </c:pt>
                <c:pt idx="3">
                  <c:v>49819.558425569623</c:v>
                </c:pt>
                <c:pt idx="4">
                  <c:v>53494.490932815126</c:v>
                </c:pt>
                <c:pt idx="5">
                  <c:v>57392.590321382508</c:v>
                </c:pt>
                <c:pt idx="6">
                  <c:v>61529.890082527309</c:v>
                </c:pt>
                <c:pt idx="7">
                  <c:v>65924.727749769139</c:v>
                </c:pt>
                <c:pt idx="8">
                  <c:v>70598.251905446508</c:v>
                </c:pt>
                <c:pt idx="9">
                  <c:v>70501.89761971659</c:v>
                </c:pt>
                <c:pt idx="10">
                  <c:v>70598.251905446508</c:v>
                </c:pt>
                <c:pt idx="11">
                  <c:v>70694.727363474914</c:v>
                </c:pt>
                <c:pt idx="12">
                  <c:v>75677.877993380796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3C-4816-AFB7-8CAF7FB241C0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83C-4816-AFB7-8CAF7FB241C0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83C-4816-AFB7-8CAF7FB241C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83C-4816-AFB7-8CAF7FB24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60280"/>
        <c:axId val="1"/>
      </c:scatterChart>
      <c:valAx>
        <c:axId val="127760280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760280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3-4A49-864A-9AFD3D878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91288"/>
        <c:axId val="1"/>
      </c:scatterChart>
      <c:valAx>
        <c:axId val="15449128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31691094066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60029788323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91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A-4FE6-8777-35FE06B79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93912"/>
        <c:axId val="1"/>
      </c:scatterChart>
      <c:valAx>
        <c:axId val="154493912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939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62-4FB7-A156-2FE99CAD351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762-4FB7-A156-2FE99CAD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90304"/>
        <c:axId val="1"/>
      </c:scatterChart>
      <c:valAx>
        <c:axId val="154490304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9030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2-486F-BC48-57EF9ED7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94240"/>
        <c:axId val="1"/>
      </c:scatterChart>
      <c:valAx>
        <c:axId val="15449424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4942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0C-4AF9-AC70-5FB9F9E924B8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B0C-4AF9-AC70-5FB9F9E92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38536"/>
        <c:axId val="1"/>
      </c:scatterChart>
      <c:valAx>
        <c:axId val="154738536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3853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FE7-4549-8CE2-13BC3F4DA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0216"/>
        <c:axId val="1"/>
      </c:scatterChart>
      <c:valAx>
        <c:axId val="180110216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10216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140-4E48-A247-97C1BF36B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22680"/>
        <c:axId val="1"/>
      </c:scatterChart>
      <c:valAx>
        <c:axId val="180122680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22680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A8BA-447D-9293-F379D0484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8744"/>
        <c:axId val="1"/>
      </c:scatterChart>
      <c:valAx>
        <c:axId val="180118744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11874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'PS2'!$H$19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'PS2'!$C$21:$O$21</c:f>
              <c:numCache>
                <c:formatCode>0.0</c:formatCode>
                <c:ptCount val="13"/>
                <c:pt idx="0">
                  <c:v>19</c:v>
                </c:pt>
                <c:pt idx="1">
                  <c:v>19.5</c:v>
                </c:pt>
                <c:pt idx="2">
                  <c:v>20</c:v>
                </c:pt>
                <c:pt idx="3">
                  <c:v>20.5</c:v>
                </c:pt>
                <c:pt idx="4">
                  <c:v>21</c:v>
                </c:pt>
                <c:pt idx="5">
                  <c:v>21.5</c:v>
                </c:pt>
                <c:pt idx="6">
                  <c:v>22</c:v>
                </c:pt>
                <c:pt idx="7">
                  <c:v>22.5</c:v>
                </c:pt>
                <c:pt idx="8">
                  <c:v>23</c:v>
                </c:pt>
                <c:pt idx="9">
                  <c:v>23.5</c:v>
                </c:pt>
                <c:pt idx="10">
                  <c:v>24</c:v>
                </c:pt>
                <c:pt idx="11">
                  <c:v>24.5</c:v>
                </c:pt>
                <c:pt idx="12">
                  <c:v>25</c:v>
                </c:pt>
              </c:numCache>
            </c:numRef>
          </c:xVal>
          <c:yVal>
            <c:numRef>
              <c:f>'PS2'!$C$36:$O$36</c:f>
              <c:numCache>
                <c:formatCode>0</c:formatCode>
                <c:ptCount val="13"/>
                <c:pt idx="0">
                  <c:v>31775.352231878049</c:v>
                </c:pt>
                <c:pt idx="1">
                  <c:v>34330.136810278447</c:v>
                </c:pt>
                <c:pt idx="2">
                  <c:v>37130.083168311357</c:v>
                </c:pt>
                <c:pt idx="3">
                  <c:v>40192.767319867504</c:v>
                </c:pt>
                <c:pt idx="4">
                  <c:v>43446.593056493301</c:v>
                </c:pt>
                <c:pt idx="5">
                  <c:v>46902.531459232137</c:v>
                </c:pt>
                <c:pt idx="6">
                  <c:v>50572.661988938853</c:v>
                </c:pt>
                <c:pt idx="7">
                  <c:v>54470.375802261988</c:v>
                </c:pt>
                <c:pt idx="8">
                  <c:v>58610.624880689837</c:v>
                </c:pt>
                <c:pt idx="9">
                  <c:v>63010.22854921523</c:v>
                </c:pt>
                <c:pt idx="10">
                  <c:v>67688.2521474518</c:v>
                </c:pt>
                <c:pt idx="11">
                  <c:v>72666.476746064654</c:v>
                </c:pt>
                <c:pt idx="12">
                  <c:v>77969.984168448034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2-4546-9D1E-862B80BAA148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F52-4546-9D1E-862B80BAA148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F52-4546-9D1E-862B80BAA148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F52-4546-9D1E-862B80BAA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2432"/>
        <c:axId val="1"/>
      </c:scatterChart>
      <c:valAx>
        <c:axId val="180302432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2432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A-46B5-A0FC-27516E44B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8336"/>
        <c:axId val="1"/>
      </c:scatterChart>
      <c:valAx>
        <c:axId val="180308336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83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F-4093-A397-2D10AB4F8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8008"/>
        <c:axId val="1"/>
      </c:scatterChart>
      <c:valAx>
        <c:axId val="18030800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80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0E-4C82-A6BC-8B37B5D1243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B0E-4C82-A6BC-8B37B5D12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8992"/>
        <c:axId val="1"/>
      </c:scatterChart>
      <c:valAx>
        <c:axId val="180308992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8992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3D-4620-8154-BCAB60E47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0464"/>
        <c:axId val="1"/>
      </c:scatterChart>
      <c:valAx>
        <c:axId val="18030046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04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63-4031-BBBA-E2845F6BD7F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663-4031-BBBA-E2845F6BD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9320"/>
        <c:axId val="1"/>
      </c:scatterChart>
      <c:valAx>
        <c:axId val="18030932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932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9F3-48CF-8E6F-027074A25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5768"/>
        <c:axId val="1"/>
      </c:scatterChart>
      <c:valAx>
        <c:axId val="182365768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65768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F24-4F50-92B1-578FAF768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4784"/>
        <c:axId val="1"/>
      </c:scatterChart>
      <c:valAx>
        <c:axId val="18236478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6478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E60-462C-ADC3-B91299928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3144"/>
        <c:axId val="1"/>
      </c:scatterChart>
      <c:valAx>
        <c:axId val="182363144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6314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'PT2-1'!$H$19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'PT2-1'!$C$21:$O$21</c:f>
              <c:numCache>
                <c:formatCode>0.0</c:formatCode>
                <c:ptCount val="13"/>
                <c:pt idx="0">
                  <c:v>22.5</c:v>
                </c:pt>
                <c:pt idx="1">
                  <c:v>23</c:v>
                </c:pt>
                <c:pt idx="2">
                  <c:v>23.5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 formatCode="0.00">
                  <c:v>22.428167721253818</c:v>
                </c:pt>
                <c:pt idx="10" formatCode="0.00">
                  <c:v>22.438167721253819</c:v>
                </c:pt>
                <c:pt idx="11" formatCode="0.00">
                  <c:v>22.448167721253821</c:v>
                </c:pt>
                <c:pt idx="12">
                  <c:v>22.948167721253821</c:v>
                </c:pt>
              </c:numCache>
            </c:numRef>
          </c:xVal>
          <c:yVal>
            <c:numRef>
              <c:f>'PT2-1'!$C$33:$O$33</c:f>
              <c:numCache>
                <c:formatCode>0</c:formatCode>
                <c:ptCount val="13"/>
                <c:pt idx="0">
                  <c:v>49287.785017914895</c:v>
                </c:pt>
                <c:pt idx="1">
                  <c:v>53144.950779641855</c:v>
                </c:pt>
                <c:pt idx="2">
                  <c:v>57268.478924632531</c:v>
                </c:pt>
                <c:pt idx="3">
                  <c:v>57575.320802960596</c:v>
                </c:pt>
                <c:pt idx="4">
                  <c:v>77585.217697687476</c:v>
                </c:pt>
                <c:pt idx="5">
                  <c:v>105386.50450462624</c:v>
                </c:pt>
                <c:pt idx="6">
                  <c:v>45676.117978628783</c:v>
                </c:pt>
                <c:pt idx="7">
                  <c:v>53144.950779641855</c:v>
                </c:pt>
                <c:pt idx="8">
                  <c:v>61682.427552932779</c:v>
                </c:pt>
                <c:pt idx="9">
                  <c:v>48754.268959424648</c:v>
                </c:pt>
                <c:pt idx="10">
                  <c:v>48828.240228456219</c:v>
                </c:pt>
                <c:pt idx="11">
                  <c:v>48902.30865675168</c:v>
                </c:pt>
                <c:pt idx="12">
                  <c:v>52733.104847625509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C-4049-9FF3-DB75FED8B02A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1CC-4049-9FF3-DB75FED8B02A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1CC-4049-9FF3-DB75FED8B02A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1CC-4049-9FF3-DB75FED8B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7080"/>
        <c:axId val="1"/>
      </c:scatterChart>
      <c:valAx>
        <c:axId val="182367080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67080"/>
        <c:crosses val="autoZero"/>
        <c:crossBetween val="midCat"/>
        <c:majorUnit val="393737.60365377605"/>
        <c:minorUnit val="393737.60365377605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8F-421D-BAED-E70B4063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69376"/>
        <c:axId val="1"/>
      </c:scatterChart>
      <c:valAx>
        <c:axId val="182369376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693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0C-4A59-8D05-93E9DF17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4448"/>
        <c:axId val="1"/>
      </c:scatterChart>
      <c:valAx>
        <c:axId val="18234444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444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DE-4D02-AF16-496245CC6E1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4DE-4D02-AF16-496245CC6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7400"/>
        <c:axId val="1"/>
      </c:scatterChart>
      <c:valAx>
        <c:axId val="18234740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4740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E-4178-9DEB-F422601B9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2808"/>
        <c:axId val="1"/>
      </c:scatterChart>
      <c:valAx>
        <c:axId val="18234280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428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7-4EF5-944B-DB14611E1D3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997-4EF5-944B-DB14611E1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47728"/>
        <c:axId val="1"/>
      </c:scatterChart>
      <c:valAx>
        <c:axId val="182347728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347728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2B4-4355-B004-F821A815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6856"/>
        <c:axId val="1"/>
      </c:scatterChart>
      <c:valAx>
        <c:axId val="182826856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26856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AA7-420A-98C9-304B17499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5544"/>
        <c:axId val="1"/>
      </c:scatterChart>
      <c:valAx>
        <c:axId val="18282554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2554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6A5-4852-90EA-7B11C236F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30464"/>
        <c:axId val="1"/>
      </c:scatterChart>
      <c:valAx>
        <c:axId val="182830464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3046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'PT2-2'!$H$19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'PT2-2'!$C$21:$O$21</c:f>
              <c:numCache>
                <c:formatCode>0.0</c:formatCode>
                <c:ptCount val="13"/>
                <c:pt idx="0">
                  <c:v>22.5</c:v>
                </c:pt>
                <c:pt idx="1">
                  <c:v>23</c:v>
                </c:pt>
                <c:pt idx="2">
                  <c:v>23.5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 formatCode="0.00">
                  <c:v>23.052208138061953</c:v>
                </c:pt>
                <c:pt idx="10" formatCode="0.00">
                  <c:v>23.062208138061955</c:v>
                </c:pt>
                <c:pt idx="11" formatCode="0.00">
                  <c:v>23.072208138061956</c:v>
                </c:pt>
                <c:pt idx="12">
                  <c:v>23.572208138061956</c:v>
                </c:pt>
              </c:numCache>
            </c:numRef>
          </c:xVal>
          <c:yVal>
            <c:numRef>
              <c:f>'PT2-2'!$C$33:$O$33</c:f>
              <c:numCache>
                <c:formatCode>0</c:formatCode>
                <c:ptCount val="13"/>
                <c:pt idx="0">
                  <c:v>45022.966001520814</c:v>
                </c:pt>
                <c:pt idx="1">
                  <c:v>48408.849976111007</c:v>
                </c:pt>
                <c:pt idx="2">
                  <c:v>51998.568159138253</c:v>
                </c:pt>
                <c:pt idx="3">
                  <c:v>52282.42874203853</c:v>
                </c:pt>
                <c:pt idx="4">
                  <c:v>69029.371269358278</c:v>
                </c:pt>
                <c:pt idx="5">
                  <c:v>90798.361874646391</c:v>
                </c:pt>
                <c:pt idx="6">
                  <c:v>41828.906564011762</c:v>
                </c:pt>
                <c:pt idx="7">
                  <c:v>48408.849976111007</c:v>
                </c:pt>
                <c:pt idx="8">
                  <c:v>55805.591228338431</c:v>
                </c:pt>
                <c:pt idx="9">
                  <c:v>48773.925321683593</c:v>
                </c:pt>
                <c:pt idx="10">
                  <c:v>48844.106886568828</c:v>
                </c:pt>
                <c:pt idx="11">
                  <c:v>48914.370571952888</c:v>
                </c:pt>
                <c:pt idx="12">
                  <c:v>52534.600995193112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7-4F8D-AE9E-F53621DFF087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D7-4F8D-AE9E-F53621DFF087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D7-4F8D-AE9E-F53621DFF087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6D7-4F8D-AE9E-F53621DFF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31776"/>
        <c:axId val="1"/>
      </c:scatterChart>
      <c:valAx>
        <c:axId val="182831776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31776"/>
        <c:crosses val="autoZero"/>
        <c:crossBetween val="midCat"/>
        <c:majorUnit val="393737.60365377605"/>
        <c:minorUnit val="393737.60365377605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E-43F2-B86B-6FAE92657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24560"/>
        <c:axId val="1"/>
      </c:scatterChart>
      <c:valAx>
        <c:axId val="18282456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245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1D-484C-AB7B-070F91895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40632"/>
        <c:axId val="1"/>
      </c:scatterChart>
      <c:valAx>
        <c:axId val="182840632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406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1C-4A24-B162-7A661319A22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91C-4A24-B162-7A661319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36696"/>
        <c:axId val="1"/>
      </c:scatterChart>
      <c:valAx>
        <c:axId val="182836696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3669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A-4B1C-93A5-CED5D43E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39976"/>
        <c:axId val="1"/>
      </c:scatterChart>
      <c:valAx>
        <c:axId val="182839976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399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'PT2-2'!#REF!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A9-4333-9D0B-5B90BB0AD55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AA9-4333-9D0B-5B90BB0A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44568"/>
        <c:axId val="1"/>
      </c:scatterChart>
      <c:valAx>
        <c:axId val="182844568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44568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EB8-43BC-B397-AE68B3545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41816"/>
        <c:axId val="1"/>
      </c:scatterChart>
      <c:valAx>
        <c:axId val="154741816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41816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779-406F-A7BC-3EDB9C00A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35912"/>
        <c:axId val="1"/>
      </c:scatterChart>
      <c:valAx>
        <c:axId val="154735912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735912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5FC-41DA-BB76-AE06FE120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68408"/>
        <c:axId val="1"/>
      </c:scatterChart>
      <c:valAx>
        <c:axId val="154968408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68408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'PAS2'!$H$19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'PAS2'!$C$21:$O$21</c:f>
              <c:numCache>
                <c:formatCode>0.0</c:formatCode>
                <c:ptCount val="13"/>
                <c:pt idx="0">
                  <c:v>14.5</c:v>
                </c:pt>
                <c:pt idx="1">
                  <c:v>15</c:v>
                </c:pt>
                <c:pt idx="2">
                  <c:v>15.5</c:v>
                </c:pt>
                <c:pt idx="3">
                  <c:v>16</c:v>
                </c:pt>
                <c:pt idx="4">
                  <c:v>16.5</c:v>
                </c:pt>
                <c:pt idx="5">
                  <c:v>17</c:v>
                </c:pt>
                <c:pt idx="6">
                  <c:v>17.5</c:v>
                </c:pt>
                <c:pt idx="7">
                  <c:v>18</c:v>
                </c:pt>
                <c:pt idx="8">
                  <c:v>18.5</c:v>
                </c:pt>
                <c:pt idx="9">
                  <c:v>18.489999999999998</c:v>
                </c:pt>
                <c:pt idx="10">
                  <c:v>18.5</c:v>
                </c:pt>
                <c:pt idx="11">
                  <c:v>18.510000000000002</c:v>
                </c:pt>
                <c:pt idx="12">
                  <c:v>19.010000000000002</c:v>
                </c:pt>
              </c:numCache>
            </c:numRef>
          </c:xVal>
          <c:yVal>
            <c:numRef>
              <c:f>'PAS2'!$C$36:$O$36</c:f>
              <c:numCache>
                <c:formatCode>0</c:formatCode>
                <c:ptCount val="13"/>
                <c:pt idx="0">
                  <c:v>11909.848224555059</c:v>
                </c:pt>
                <c:pt idx="1">
                  <c:v>13149.441784399629</c:v>
                </c:pt>
                <c:pt idx="2">
                  <c:v>14472.776208609725</c:v>
                </c:pt>
                <c:pt idx="3">
                  <c:v>15882.89224544669</c:v>
                </c:pt>
                <c:pt idx="4">
                  <c:v>17382.907261938832</c:v>
                </c:pt>
                <c:pt idx="5">
                  <c:v>18976.026396933412</c:v>
                </c:pt>
                <c:pt idx="6">
                  <c:v>20665.555520913938</c:v>
                </c:pt>
                <c:pt idx="7">
                  <c:v>22454.91637458199</c:v>
                </c:pt>
                <c:pt idx="8">
                  <c:v>24347.664341304553</c:v>
                </c:pt>
                <c:pt idx="9">
                  <c:v>24308.772470034088</c:v>
                </c:pt>
                <c:pt idx="10">
                  <c:v>24347.664341304553</c:v>
                </c:pt>
                <c:pt idx="11">
                  <c:v>24386.599045457995</c:v>
                </c:pt>
                <c:pt idx="12">
                  <c:v>26388.625085837775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02-4504-AF16-0A23AD7BF13B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602-4504-AF16-0A23AD7BF13B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602-4504-AF16-0A23AD7BF13B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2602-4504-AF16-0A23AD7BF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66440"/>
        <c:axId val="1"/>
      </c:scatterChart>
      <c:valAx>
        <c:axId val="154966440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66440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74-4D79-97C4-5292E804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64800"/>
        <c:axId val="1"/>
      </c:scatterChart>
      <c:valAx>
        <c:axId val="15496480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648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44-437F-8A7C-4505D459E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65784"/>
        <c:axId val="1"/>
      </c:scatterChart>
      <c:valAx>
        <c:axId val="15496578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9657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0A-4E74-A052-9F04CCF6AB0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70A-4E74-A052-9F04CCF6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79536"/>
        <c:axId val="1"/>
      </c:scatterChart>
      <c:valAx>
        <c:axId val="155279536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7953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B-4403-B281-E6F91375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81176"/>
        <c:axId val="1"/>
      </c:scatterChart>
      <c:valAx>
        <c:axId val="155281176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811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2E-4D9E-94EB-6DA7D577DDD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32E-4D9E-94EB-6DA7D577D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82160"/>
        <c:axId val="1"/>
      </c:scatterChart>
      <c:valAx>
        <c:axId val="15528216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821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CE7-4D57-8B50-2ED206EB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09648"/>
        <c:axId val="1"/>
      </c:scatterChart>
      <c:valAx>
        <c:axId val="180309648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309648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FBF-4973-A888-E716132F7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94184"/>
        <c:axId val="1"/>
      </c:scatterChart>
      <c:valAx>
        <c:axId val="18069418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9418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F94-49E6-9414-B31C6D1AC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95496"/>
        <c:axId val="1"/>
      </c:scatterChart>
      <c:valAx>
        <c:axId val="180695496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95496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'PS3'!$H$19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'PS3'!$C$21:$O$21</c:f>
              <c:numCache>
                <c:formatCode>0.0</c:formatCode>
                <c:ptCount val="13"/>
                <c:pt idx="0">
                  <c:v>19</c:v>
                </c:pt>
                <c:pt idx="1">
                  <c:v>19.5</c:v>
                </c:pt>
                <c:pt idx="2">
                  <c:v>20</c:v>
                </c:pt>
                <c:pt idx="3">
                  <c:v>20.5</c:v>
                </c:pt>
                <c:pt idx="4">
                  <c:v>21</c:v>
                </c:pt>
                <c:pt idx="5">
                  <c:v>21.5</c:v>
                </c:pt>
                <c:pt idx="6">
                  <c:v>22</c:v>
                </c:pt>
                <c:pt idx="7">
                  <c:v>22.5</c:v>
                </c:pt>
                <c:pt idx="8">
                  <c:v>23</c:v>
                </c:pt>
                <c:pt idx="9">
                  <c:v>23.5</c:v>
                </c:pt>
                <c:pt idx="10">
                  <c:v>24</c:v>
                </c:pt>
                <c:pt idx="11">
                  <c:v>24.5</c:v>
                </c:pt>
                <c:pt idx="12">
                  <c:v>25</c:v>
                </c:pt>
              </c:numCache>
            </c:numRef>
          </c:xVal>
          <c:yVal>
            <c:numRef>
              <c:f>'PS3'!$C$36:$O$36</c:f>
              <c:numCache>
                <c:formatCode>0</c:formatCode>
                <c:ptCount val="13"/>
                <c:pt idx="0">
                  <c:v>41450.108042105567</c:v>
                </c:pt>
                <c:pt idx="1">
                  <c:v>44600.054911258463</c:v>
                </c:pt>
                <c:pt idx="2">
                  <c:v>47908.85724613502</c:v>
                </c:pt>
                <c:pt idx="3">
                  <c:v>51382.9679047557</c:v>
                </c:pt>
                <c:pt idx="4">
                  <c:v>55029.591895264166</c:v>
                </c:pt>
                <c:pt idx="5">
                  <c:v>58856.83892130389</c:v>
                </c:pt>
                <c:pt idx="6">
                  <c:v>62873.908048623241</c:v>
                </c:pt>
                <c:pt idx="7">
                  <c:v>67091.312055772403</c:v>
                </c:pt>
                <c:pt idx="8">
                  <c:v>71521.150969020411</c:v>
                </c:pt>
                <c:pt idx="9">
                  <c:v>76177.446757207319</c:v>
                </c:pt>
                <c:pt idx="10">
                  <c:v>81076.5543351409</c:v>
                </c:pt>
                <c:pt idx="11">
                  <c:v>86237.668100630879</c:v>
                </c:pt>
                <c:pt idx="12">
                  <c:v>91683.448476409219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C-4694-993B-33C47022BB89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AA3C-4694-993B-33C47022BB89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AA3C-4694-993B-33C47022BB89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AA3C-4694-993B-33C47022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86640"/>
        <c:axId val="1"/>
      </c:scatterChart>
      <c:valAx>
        <c:axId val="180686640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86640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C-4C3B-9335-FECF89DB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91232"/>
        <c:axId val="1"/>
      </c:scatterChart>
      <c:valAx>
        <c:axId val="180691232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912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9-4B55-B9D1-A3667B1A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93200"/>
        <c:axId val="1"/>
      </c:scatterChart>
      <c:valAx>
        <c:axId val="180693200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932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EB-4993-B8A0-180AD9FCD9E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5EB-4993-B8A0-180AD9FCD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02056"/>
        <c:axId val="1"/>
      </c:scatterChart>
      <c:valAx>
        <c:axId val="180702056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702056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A-41B0-8574-4ADE1F1D5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97464"/>
        <c:axId val="1"/>
      </c:scatterChart>
      <c:valAx>
        <c:axId val="18069746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6974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9B-4149-9E2E-04D09F86CC0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69B-4149-9E2E-04D09F86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83144"/>
        <c:axId val="1"/>
      </c:scatterChart>
      <c:valAx>
        <c:axId val="181283144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128314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165-4BFA-9B11-F7C585594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47520"/>
        <c:axId val="1"/>
      </c:scatterChart>
      <c:valAx>
        <c:axId val="182847520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47520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E8F-4B9B-AC31-5AF97DE03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49160"/>
        <c:axId val="1"/>
      </c:scatterChart>
      <c:valAx>
        <c:axId val="182849160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49160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308-4C0F-8452-A5223B68F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53752"/>
        <c:axId val="1"/>
      </c:scatterChart>
      <c:valAx>
        <c:axId val="182853752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53752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'PT3-1'!$H$19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'PT3-1'!$C$21:$O$21</c:f>
              <c:numCache>
                <c:formatCode>0.0</c:formatCode>
                <c:ptCount val="13"/>
                <c:pt idx="0">
                  <c:v>22.5</c:v>
                </c:pt>
                <c:pt idx="1">
                  <c:v>23</c:v>
                </c:pt>
                <c:pt idx="2">
                  <c:v>23.5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 formatCode="0.00">
                  <c:v>22.44495694166336</c:v>
                </c:pt>
                <c:pt idx="10" formatCode="0.00">
                  <c:v>22.454956941663362</c:v>
                </c:pt>
                <c:pt idx="11" formatCode="0.00">
                  <c:v>22.464956941663363</c:v>
                </c:pt>
                <c:pt idx="12">
                  <c:v>22.964956941663363</c:v>
                </c:pt>
              </c:numCache>
            </c:numRef>
          </c:xVal>
          <c:yVal>
            <c:numRef>
              <c:f>'PT3-1'!$C$33:$O$33</c:f>
              <c:numCache>
                <c:formatCode>0</c:formatCode>
                <c:ptCount val="13"/>
                <c:pt idx="0">
                  <c:v>59951.706154334075</c:v>
                </c:pt>
                <c:pt idx="1">
                  <c:v>64079.832870358623</c:v>
                </c:pt>
                <c:pt idx="2">
                  <c:v>68452.916015200972</c:v>
                </c:pt>
                <c:pt idx="3">
                  <c:v>69188.601680102161</c:v>
                </c:pt>
                <c:pt idx="4">
                  <c:v>89966.530739596492</c:v>
                </c:pt>
                <c:pt idx="5">
                  <c:v>118191.95361359963</c:v>
                </c:pt>
                <c:pt idx="6">
                  <c:v>56049.14666719512</c:v>
                </c:pt>
                <c:pt idx="7">
                  <c:v>64079.832870358623</c:v>
                </c:pt>
                <c:pt idx="8">
                  <c:v>73093.724887553442</c:v>
                </c:pt>
                <c:pt idx="9">
                  <c:v>59511.362284901668</c:v>
                </c:pt>
                <c:pt idx="10">
                  <c:v>59591.160247512737</c:v>
                </c:pt>
                <c:pt idx="11">
                  <c:v>59671.047705329438</c:v>
                </c:pt>
                <c:pt idx="12">
                  <c:v>63782.768920865899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5-47A4-A939-00E825ED9334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E45-47A4-A939-00E825ED9334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E45-47A4-A939-00E825ED9334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E45-47A4-A939-00E825ED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45552"/>
        <c:axId val="1"/>
      </c:scatterChart>
      <c:valAx>
        <c:axId val="182845552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45552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D-40EC-B091-DA72CBCE8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51784"/>
        <c:axId val="1"/>
      </c:scatterChart>
      <c:valAx>
        <c:axId val="18285178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28517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B-482F-8175-E254EE4DF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7672"/>
        <c:axId val="1"/>
      </c:scatterChart>
      <c:valAx>
        <c:axId val="149867672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676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EB-4826-97C2-ADD5DB7F584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3EB-4826-97C2-ADD5DB7F5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5048"/>
        <c:axId val="1"/>
      </c:scatterChart>
      <c:valAx>
        <c:axId val="149865048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65048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5-4227-B559-98FB7DF33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7016"/>
        <c:axId val="1"/>
      </c:scatterChart>
      <c:valAx>
        <c:axId val="149867016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670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8F-44C4-885C-A11C2CCAA08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48F-44C4-885C-A11C2CCAA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71280"/>
        <c:axId val="1"/>
      </c:scatterChart>
      <c:valAx>
        <c:axId val="14987128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7128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12C-4026-A5B7-8AF1F9E63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5704"/>
        <c:axId val="1"/>
      </c:scatterChart>
      <c:valAx>
        <c:axId val="14986570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65704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8EE-427E-9B81-562E263EC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6024"/>
        <c:axId val="1"/>
      </c:scatterChart>
      <c:valAx>
        <c:axId val="14984602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4602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392-4C54-BB6B-C918F4A7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2584"/>
        <c:axId val="1"/>
      </c:scatterChart>
      <c:valAx>
        <c:axId val="149852584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52584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'PT3-2'!$H$19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'PT3-2'!$C$21:$O$21</c:f>
              <c:numCache>
                <c:formatCode>0.0</c:formatCode>
                <c:ptCount val="13"/>
                <c:pt idx="0">
                  <c:v>22.5</c:v>
                </c:pt>
                <c:pt idx="1">
                  <c:v>23</c:v>
                </c:pt>
                <c:pt idx="2">
                  <c:v>23.5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 formatCode="0.00">
                  <c:v>22.934834140561648</c:v>
                </c:pt>
                <c:pt idx="10" formatCode="0.00">
                  <c:v>22.94483414056165</c:v>
                </c:pt>
                <c:pt idx="11" formatCode="0.00">
                  <c:v>22.954834140561651</c:v>
                </c:pt>
                <c:pt idx="12">
                  <c:v>23.454834140561651</c:v>
                </c:pt>
              </c:numCache>
            </c:numRef>
          </c:xVal>
          <c:yVal>
            <c:numRef>
              <c:f>'PT3-2'!$C$33:$O$33</c:f>
              <c:numCache>
                <c:formatCode>0</c:formatCode>
                <c:ptCount val="13"/>
                <c:pt idx="0">
                  <c:v>56340.686372188153</c:v>
                </c:pt>
                <c:pt idx="1">
                  <c:v>60013.631976217468</c:v>
                </c:pt>
                <c:pt idx="2">
                  <c:v>63863.609578040334</c:v>
                </c:pt>
                <c:pt idx="3">
                  <c:v>64435.959313853346</c:v>
                </c:pt>
                <c:pt idx="4">
                  <c:v>81823.187309286383</c:v>
                </c:pt>
                <c:pt idx="5">
                  <c:v>103631.98357497033</c:v>
                </c:pt>
                <c:pt idx="6">
                  <c:v>52835.258426360277</c:v>
                </c:pt>
                <c:pt idx="7">
                  <c:v>60013.631976217468</c:v>
                </c:pt>
                <c:pt idx="8">
                  <c:v>67901.644808652258</c:v>
                </c:pt>
                <c:pt idx="9">
                  <c:v>59525.114779826661</c:v>
                </c:pt>
                <c:pt idx="10">
                  <c:v>59599.88569635091</c:v>
                </c:pt>
                <c:pt idx="11">
                  <c:v>59674.726929224904</c:v>
                </c:pt>
                <c:pt idx="12">
                  <c:v>63508.284633348507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E1-4E15-B56D-05C5CD8E0B50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BE1-4E15-B56D-05C5CD8E0B50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BE1-4E15-B56D-05C5CD8E0B50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BE1-4E15-B56D-05C5CD8E0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6680"/>
        <c:axId val="1"/>
      </c:scatterChart>
      <c:valAx>
        <c:axId val="149846680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46680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3-4803-8927-3672D61B9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7664"/>
        <c:axId val="1"/>
      </c:scatterChart>
      <c:valAx>
        <c:axId val="14984766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476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1-414B-93A9-EEDCB083C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3568"/>
        <c:axId val="1"/>
      </c:scatterChart>
      <c:valAx>
        <c:axId val="149853568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535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F1-4B7F-A278-23ACE285B90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9F1-4B7F-A278-23ACE285B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5864"/>
        <c:axId val="1"/>
      </c:scatterChart>
      <c:valAx>
        <c:axId val="149855864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5586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3-4556-A86A-8C1E9456D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9144"/>
        <c:axId val="1"/>
      </c:scatterChart>
      <c:valAx>
        <c:axId val="14985914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591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'PT3-2'!#REF!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63-45E1-992A-5D25FFEA519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A63-45E1-992A-5D25FFEA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60128"/>
        <c:axId val="1"/>
      </c:scatterChart>
      <c:valAx>
        <c:axId val="149860128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860128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23D-431F-8F12-0964EA5D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1744"/>
        <c:axId val="1"/>
      </c:scatterChart>
      <c:valAx>
        <c:axId val="155151744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151744"/>
        <c:crosses val="autoZero"/>
        <c:crossBetween val="midCat"/>
        <c:majorUnit val="20402.793426695902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198-4A9F-BEA3-367851137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47808"/>
        <c:axId val="1"/>
      </c:scatterChart>
      <c:valAx>
        <c:axId val="155147808"/>
        <c:scaling>
          <c:orientation val="minMax"/>
          <c:max val="21"/>
          <c:min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147808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Side &amp;P</c:oddFooter>
    </c:headerFooter>
    <c:pageMargins b="1" l="0.75000000000000011" r="0.75000000000000011" t="1" header="0.5" footer="0.5"/>
    <c:pageSetup orientation="portrait"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3DA-4A4F-94DB-C4FE4C172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0432"/>
        <c:axId val="1"/>
      </c:scatterChart>
      <c:valAx>
        <c:axId val="155150432"/>
        <c:scaling>
          <c:orientation val="minMax"/>
          <c:max val="22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power (kW)</a:t>
                </a:r>
              </a:p>
            </c:rich>
          </c:tx>
          <c:overlay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150432"/>
        <c:crosses val="autoZero"/>
        <c:crossBetween val="midCat"/>
        <c:majorUnit val="500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'PAS3'!$H$19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'PAS3'!$C$21:$O$21</c:f>
              <c:numCache>
                <c:formatCode>0.0</c:formatCode>
                <c:ptCount val="13"/>
                <c:pt idx="0">
                  <c:v>14.5</c:v>
                </c:pt>
                <c:pt idx="1">
                  <c:v>15</c:v>
                </c:pt>
                <c:pt idx="2">
                  <c:v>15.5</c:v>
                </c:pt>
                <c:pt idx="3">
                  <c:v>16</c:v>
                </c:pt>
                <c:pt idx="4">
                  <c:v>16.5</c:v>
                </c:pt>
                <c:pt idx="5">
                  <c:v>17</c:v>
                </c:pt>
                <c:pt idx="6">
                  <c:v>17.5</c:v>
                </c:pt>
                <c:pt idx="7">
                  <c:v>18</c:v>
                </c:pt>
                <c:pt idx="8">
                  <c:v>18.5</c:v>
                </c:pt>
                <c:pt idx="9" formatCode="0.00">
                  <c:v>18.489999999999998</c:v>
                </c:pt>
                <c:pt idx="10" formatCode="0.00">
                  <c:v>18.5</c:v>
                </c:pt>
                <c:pt idx="11" formatCode="0.00">
                  <c:v>18.510000000000002</c:v>
                </c:pt>
                <c:pt idx="12">
                  <c:v>19.010000000000002</c:v>
                </c:pt>
              </c:numCache>
            </c:numRef>
          </c:xVal>
          <c:yVal>
            <c:numRef>
              <c:f>'PAS3'!$C$36:$O$36</c:f>
              <c:numCache>
                <c:formatCode>0</c:formatCode>
                <c:ptCount val="13"/>
                <c:pt idx="0">
                  <c:v>16374.842613654744</c:v>
                </c:pt>
                <c:pt idx="1">
                  <c:v>18007.32415249155</c:v>
                </c:pt>
                <c:pt idx="2">
                  <c:v>19740.025520009061</c:v>
                </c:pt>
                <c:pt idx="3">
                  <c:v>21575.717822140356</c:v>
                </c:pt>
                <c:pt idx="4">
                  <c:v>23517.245865701403</c:v>
                </c:pt>
                <c:pt idx="5">
                  <c:v>25567.549822861045</c:v>
                </c:pt>
                <c:pt idx="6">
                  <c:v>27729.690424979261</c:v>
                </c:pt>
                <c:pt idx="7">
                  <c:v>30006.878409905763</c:v>
                </c:pt>
                <c:pt idx="8">
                  <c:v>32402.509109212238</c:v>
                </c:pt>
                <c:pt idx="9">
                  <c:v>32353.412754222085</c:v>
                </c:pt>
                <c:pt idx="10">
                  <c:v>32402.509109212238</c:v>
                </c:pt>
                <c:pt idx="11">
                  <c:v>32451.654280502222</c:v>
                </c:pt>
                <c:pt idx="12">
                  <c:v>34971.828425244472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72-4F46-95F4-AFA2B73E7AFE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C72-4F46-95F4-AFA2B73E7AFE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lgDash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C72-4F46-95F4-AFA2B73E7AFE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lgDashDot"/>
            </a:ln>
          </c:spPr>
          <c:marker>
            <c:symbol val="none"/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C72-4F46-95F4-AFA2B73E7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3056"/>
        <c:axId val="1"/>
      </c:scatterChart>
      <c:valAx>
        <c:axId val="155153056"/>
        <c:scaling>
          <c:orientation val="minMax"/>
          <c:max val="22"/>
          <c:min val="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(knots)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0.5"/>
      </c:valAx>
      <c:valAx>
        <c:axId val="1"/>
        <c:scaling>
          <c:orientation val="minMax"/>
          <c:max val="3000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2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Propulsion unit power (kW)</a:t>
                </a:r>
              </a:p>
            </c:rich>
          </c:tx>
          <c:overlay val="0"/>
          <c:spPr>
            <a:solidFill>
              <a:srgbClr val="FFFFFF"/>
            </a:solidFill>
            <a:ln w="25400">
              <a:solidFill>
                <a:srgbClr val="000000"/>
              </a:solidFill>
              <a:prstDash val="solid"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153056"/>
        <c:crosses val="autoZero"/>
        <c:crossBetween val="midCat"/>
        <c:majorUnit val="20402.793426695902"/>
        <c:minorUnit val="20402.793426695902"/>
      </c:valAx>
      <c:spPr>
        <a:noFill/>
        <a:ln w="3175">
          <a:solidFill>
            <a:srgbClr val="000000"/>
          </a:solidFill>
          <a:prstDash val="sysDash"/>
        </a:ln>
      </c:spPr>
    </c:plotArea>
    <c:legend>
      <c:legendPos val="r"/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 horizontalDpi="300" verticalDpi="300"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78-4286-A622-226E22BB5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70976"/>
        <c:axId val="1"/>
      </c:scatterChart>
      <c:valAx>
        <c:axId val="179270976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layout>
            <c:manualLayout>
              <c:xMode val="edge"/>
              <c:yMode val="edge"/>
              <c:x val="0.48451828842495609"/>
              <c:y val="0.92329664757814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layout>
            <c:manualLayout>
              <c:xMode val="edge"/>
              <c:yMode val="edge"/>
              <c:x val="9.1074670712032561E-3"/>
              <c:y val="0.284091207349081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2709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73-4F59-8A83-16738506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66384"/>
        <c:axId val="1"/>
      </c:scatterChart>
      <c:valAx>
        <c:axId val="17926638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2663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64-45BC-8A97-27BC598F04AE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264-45BC-8A97-27BC598F0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68024"/>
        <c:axId val="1"/>
      </c:scatterChart>
      <c:valAx>
        <c:axId val="179268024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268024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B-499D-9A0D-E1C239747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35584"/>
        <c:axId val="1"/>
      </c:scatterChart>
      <c:valAx>
        <c:axId val="179535584"/>
        <c:scaling>
          <c:orientation val="minMax"/>
          <c:max val="2.6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Froude Number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Spec. resistance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355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'PAS3'!#REF!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E-4370-8ED1-C668972115F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F8E-4370-8ED1-C66897211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36240"/>
        <c:axId val="1"/>
      </c:scatterChart>
      <c:valAx>
        <c:axId val="179536240"/>
        <c:scaling>
          <c:orientation val="minMax"/>
          <c:max val="2"/>
          <c:min val="0.60000000000000009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Speed - length ratio (-)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Cr value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953624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" footer="0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5" Type="http://schemas.openxmlformats.org/officeDocument/2006/relationships/chart" Target="../charts/chart62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3" Type="http://schemas.openxmlformats.org/officeDocument/2006/relationships/chart" Target="../charts/chart69.xml"/><Relationship Id="rId7" Type="http://schemas.openxmlformats.org/officeDocument/2006/relationships/chart" Target="../charts/chart73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5" Type="http://schemas.openxmlformats.org/officeDocument/2006/relationships/chart" Target="../charts/chart71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3.xml"/><Relationship Id="rId3" Type="http://schemas.openxmlformats.org/officeDocument/2006/relationships/chart" Target="../charts/chart78.xml"/><Relationship Id="rId7" Type="http://schemas.openxmlformats.org/officeDocument/2006/relationships/chart" Target="../charts/chart82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2.xml"/><Relationship Id="rId3" Type="http://schemas.openxmlformats.org/officeDocument/2006/relationships/chart" Target="../charts/chart87.xml"/><Relationship Id="rId7" Type="http://schemas.openxmlformats.org/officeDocument/2006/relationships/chart" Target="../charts/chart91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6" Type="http://schemas.openxmlformats.org/officeDocument/2006/relationships/chart" Target="../charts/chart90.xml"/><Relationship Id="rId5" Type="http://schemas.openxmlformats.org/officeDocument/2006/relationships/chart" Target="../charts/chart89.xml"/><Relationship Id="rId4" Type="http://schemas.openxmlformats.org/officeDocument/2006/relationships/chart" Target="../charts/chart88.xml"/><Relationship Id="rId9" Type="http://schemas.openxmlformats.org/officeDocument/2006/relationships/chart" Target="../charts/chart93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1.xml"/><Relationship Id="rId3" Type="http://schemas.openxmlformats.org/officeDocument/2006/relationships/chart" Target="../charts/chart96.xml"/><Relationship Id="rId7" Type="http://schemas.openxmlformats.org/officeDocument/2006/relationships/chart" Target="../charts/chart100.xml"/><Relationship Id="rId2" Type="http://schemas.openxmlformats.org/officeDocument/2006/relationships/chart" Target="../charts/chart95.xml"/><Relationship Id="rId1" Type="http://schemas.openxmlformats.org/officeDocument/2006/relationships/chart" Target="../charts/chart94.xml"/><Relationship Id="rId6" Type="http://schemas.openxmlformats.org/officeDocument/2006/relationships/chart" Target="../charts/chart99.xml"/><Relationship Id="rId5" Type="http://schemas.openxmlformats.org/officeDocument/2006/relationships/chart" Target="../charts/chart98.xml"/><Relationship Id="rId4" Type="http://schemas.openxmlformats.org/officeDocument/2006/relationships/chart" Target="../charts/chart97.xml"/><Relationship Id="rId9" Type="http://schemas.openxmlformats.org/officeDocument/2006/relationships/chart" Target="../charts/chart102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0.xml"/><Relationship Id="rId3" Type="http://schemas.openxmlformats.org/officeDocument/2006/relationships/chart" Target="../charts/chart105.xml"/><Relationship Id="rId7" Type="http://schemas.openxmlformats.org/officeDocument/2006/relationships/chart" Target="../charts/chart109.xml"/><Relationship Id="rId2" Type="http://schemas.openxmlformats.org/officeDocument/2006/relationships/chart" Target="../charts/chart104.xml"/><Relationship Id="rId1" Type="http://schemas.openxmlformats.org/officeDocument/2006/relationships/chart" Target="../charts/chart103.xml"/><Relationship Id="rId6" Type="http://schemas.openxmlformats.org/officeDocument/2006/relationships/chart" Target="../charts/chart108.xml"/><Relationship Id="rId5" Type="http://schemas.openxmlformats.org/officeDocument/2006/relationships/chart" Target="../charts/chart107.xml"/><Relationship Id="rId4" Type="http://schemas.openxmlformats.org/officeDocument/2006/relationships/chart" Target="../charts/chart106.xml"/><Relationship Id="rId9" Type="http://schemas.openxmlformats.org/officeDocument/2006/relationships/chart" Target="../charts/chart111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9.xml"/><Relationship Id="rId3" Type="http://schemas.openxmlformats.org/officeDocument/2006/relationships/chart" Target="../charts/chart114.xml"/><Relationship Id="rId7" Type="http://schemas.openxmlformats.org/officeDocument/2006/relationships/chart" Target="../charts/chart118.xml"/><Relationship Id="rId2" Type="http://schemas.openxmlformats.org/officeDocument/2006/relationships/chart" Target="../charts/chart113.xml"/><Relationship Id="rId1" Type="http://schemas.openxmlformats.org/officeDocument/2006/relationships/chart" Target="../charts/chart112.xml"/><Relationship Id="rId6" Type="http://schemas.openxmlformats.org/officeDocument/2006/relationships/chart" Target="../charts/chart117.xml"/><Relationship Id="rId5" Type="http://schemas.openxmlformats.org/officeDocument/2006/relationships/chart" Target="../charts/chart116.xml"/><Relationship Id="rId4" Type="http://schemas.openxmlformats.org/officeDocument/2006/relationships/chart" Target="../charts/chart115.xml"/><Relationship Id="rId9" Type="http://schemas.openxmlformats.org/officeDocument/2006/relationships/chart" Target="../charts/chart120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Relationship Id="rId9" Type="http://schemas.openxmlformats.org/officeDocument/2006/relationships/chart" Target="../charts/chart1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2</xdr:row>
      <xdr:rowOff>104775</xdr:rowOff>
    </xdr:from>
    <xdr:to>
      <xdr:col>21</xdr:col>
      <xdr:colOff>57150</xdr:colOff>
      <xdr:row>23</xdr:row>
      <xdr:rowOff>133350</xdr:rowOff>
    </xdr:to>
    <xdr:graphicFrame macro="">
      <xdr:nvGraphicFramePr>
        <xdr:cNvPr id="6712366" name="Diagram 1">
          <a:extLst>
            <a:ext uri="{FF2B5EF4-FFF2-40B4-BE49-F238E27FC236}">
              <a16:creationId xmlns:a16="http://schemas.microsoft.com/office/drawing/2014/main" id="{3D539192-92C6-4DC5-A1E9-84951749F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24</xdr:row>
      <xdr:rowOff>47625</xdr:rowOff>
    </xdr:from>
    <xdr:to>
      <xdr:col>22</xdr:col>
      <xdr:colOff>114300</xdr:colOff>
      <xdr:row>49</xdr:row>
      <xdr:rowOff>57150</xdr:rowOff>
    </xdr:to>
    <xdr:graphicFrame macro="">
      <xdr:nvGraphicFramePr>
        <xdr:cNvPr id="6712367" name="Diagram 2">
          <a:extLst>
            <a:ext uri="{FF2B5EF4-FFF2-40B4-BE49-F238E27FC236}">
              <a16:creationId xmlns:a16="http://schemas.microsoft.com/office/drawing/2014/main" id="{1F656B38-C936-4E42-8606-5868B5847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11</xdr:col>
      <xdr:colOff>28575</xdr:colOff>
      <xdr:row>44</xdr:row>
      <xdr:rowOff>19050</xdr:rowOff>
    </xdr:to>
    <xdr:pic>
      <xdr:nvPicPr>
        <xdr:cNvPr id="6712368" name="Picture 3">
          <a:extLst>
            <a:ext uri="{FF2B5EF4-FFF2-40B4-BE49-F238E27FC236}">
              <a16:creationId xmlns:a16="http://schemas.microsoft.com/office/drawing/2014/main" id="{7A64277F-DA3A-4403-9FB9-84F5B0915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3238500"/>
          <a:ext cx="593407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657225</xdr:colOff>
      <xdr:row>45</xdr:row>
      <xdr:rowOff>0</xdr:rowOff>
    </xdr:from>
    <xdr:to>
      <xdr:col>10</xdr:col>
      <xdr:colOff>714375</xdr:colOff>
      <xdr:row>67</xdr:row>
      <xdr:rowOff>47625</xdr:rowOff>
    </xdr:to>
    <xdr:pic>
      <xdr:nvPicPr>
        <xdr:cNvPr id="6712369" name="Picture 4">
          <a:extLst>
            <a:ext uri="{FF2B5EF4-FFF2-40B4-BE49-F238E27FC236}">
              <a16:creationId xmlns:a16="http://schemas.microsoft.com/office/drawing/2014/main" id="{2AF6E045-5C17-494E-BCB7-4BD3F646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7286625"/>
          <a:ext cx="5924550" cy="3609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28575</xdr:colOff>
      <xdr:row>50</xdr:row>
      <xdr:rowOff>38100</xdr:rowOff>
    </xdr:from>
    <xdr:to>
      <xdr:col>16</xdr:col>
      <xdr:colOff>381000</xdr:colOff>
      <xdr:row>76</xdr:row>
      <xdr:rowOff>142875</xdr:rowOff>
    </xdr:to>
    <xdr:pic>
      <xdr:nvPicPr>
        <xdr:cNvPr id="6712370" name="Picture 5">
          <a:extLst>
            <a:ext uri="{FF2B5EF4-FFF2-40B4-BE49-F238E27FC236}">
              <a16:creationId xmlns:a16="http://schemas.microsoft.com/office/drawing/2014/main" id="{A02B115D-4A4E-40AA-ABF6-8A84C6198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8134350"/>
          <a:ext cx="3400425" cy="431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25</xdr:row>
      <xdr:rowOff>95250</xdr:rowOff>
    </xdr:from>
    <xdr:to>
      <xdr:col>14</xdr:col>
      <xdr:colOff>95250</xdr:colOff>
      <xdr:row>46</xdr:row>
      <xdr:rowOff>114300</xdr:rowOff>
    </xdr:to>
    <xdr:graphicFrame macro="">
      <xdr:nvGraphicFramePr>
        <xdr:cNvPr id="6711324" name="Diagram 1">
          <a:extLst>
            <a:ext uri="{FF2B5EF4-FFF2-40B4-BE49-F238E27FC236}">
              <a16:creationId xmlns:a16="http://schemas.microsoft.com/office/drawing/2014/main" id="{DE6E979E-5F70-4479-865C-9693ECC34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466725</xdr:colOff>
      <xdr:row>46</xdr:row>
      <xdr:rowOff>76200</xdr:rowOff>
    </xdr:from>
    <xdr:to>
      <xdr:col>15</xdr:col>
      <xdr:colOff>257175</xdr:colOff>
      <xdr:row>72</xdr:row>
      <xdr:rowOff>85725</xdr:rowOff>
    </xdr:to>
    <xdr:graphicFrame macro="">
      <xdr:nvGraphicFramePr>
        <xdr:cNvPr id="6711325" name="Diagram 2">
          <a:extLst>
            <a:ext uri="{FF2B5EF4-FFF2-40B4-BE49-F238E27FC236}">
              <a16:creationId xmlns:a16="http://schemas.microsoft.com/office/drawing/2014/main" id="{40E1D7B4-0058-4715-B505-AAB8EF452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9525</xdr:colOff>
      <xdr:row>1</xdr:row>
      <xdr:rowOff>19050</xdr:rowOff>
    </xdr:from>
    <xdr:to>
      <xdr:col>16</xdr:col>
      <xdr:colOff>28575</xdr:colOff>
      <xdr:row>25</xdr:row>
      <xdr:rowOff>28575</xdr:rowOff>
    </xdr:to>
    <xdr:pic>
      <xdr:nvPicPr>
        <xdr:cNvPr id="6711326" name="Picture 3">
          <a:extLst>
            <a:ext uri="{FF2B5EF4-FFF2-40B4-BE49-F238E27FC236}">
              <a16:creationId xmlns:a16="http://schemas.microsoft.com/office/drawing/2014/main" id="{DE74F254-4078-4D2C-AB71-2435CD9BC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80975"/>
          <a:ext cx="6115050" cy="389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115</xdr:row>
      <xdr:rowOff>0</xdr:rowOff>
    </xdr:from>
    <xdr:to>
      <xdr:col>8</xdr:col>
      <xdr:colOff>0</xdr:colOff>
      <xdr:row>140</xdr:row>
      <xdr:rowOff>104775</xdr:rowOff>
    </xdr:to>
    <xdr:graphicFrame macro="">
      <xdr:nvGraphicFramePr>
        <xdr:cNvPr id="5173277" name="Chart 1">
          <a:extLst>
            <a:ext uri="{FF2B5EF4-FFF2-40B4-BE49-F238E27FC236}">
              <a16:creationId xmlns:a16="http://schemas.microsoft.com/office/drawing/2014/main" id="{015203AC-FDE8-4D1D-87D2-DA5E8E279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495300</xdr:colOff>
      <xdr:row>32</xdr:row>
      <xdr:rowOff>28575</xdr:rowOff>
    </xdr:from>
    <xdr:to>
      <xdr:col>10</xdr:col>
      <xdr:colOff>828675</xdr:colOff>
      <xdr:row>52</xdr:row>
      <xdr:rowOff>104775</xdr:rowOff>
    </xdr:to>
    <xdr:pic>
      <xdr:nvPicPr>
        <xdr:cNvPr id="5173278" name="Picture 14">
          <a:extLst>
            <a:ext uri="{FF2B5EF4-FFF2-40B4-BE49-F238E27FC236}">
              <a16:creationId xmlns:a16="http://schemas.microsoft.com/office/drawing/2014/main" id="{097A9C74-D6C4-4EEE-8F40-410E2A0A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5372100" cy="350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0</xdr:rowOff>
    </xdr:from>
    <xdr:to>
      <xdr:col>12</xdr:col>
      <xdr:colOff>1162050</xdr:colOff>
      <xdr:row>39</xdr:row>
      <xdr:rowOff>133350</xdr:rowOff>
    </xdr:to>
    <xdr:pic>
      <xdr:nvPicPr>
        <xdr:cNvPr id="65791" name="Picture 155">
          <a:extLst>
            <a:ext uri="{FF2B5EF4-FFF2-40B4-BE49-F238E27FC236}">
              <a16:creationId xmlns:a16="http://schemas.microsoft.com/office/drawing/2014/main" id="{C30892B7-57A4-487B-97FF-B3E46B79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0"/>
          <a:ext cx="5819775" cy="822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39</xdr:row>
      <xdr:rowOff>76200</xdr:rowOff>
    </xdr:from>
    <xdr:to>
      <xdr:col>12</xdr:col>
      <xdr:colOff>1200150</xdr:colOff>
      <xdr:row>73</xdr:row>
      <xdr:rowOff>28575</xdr:rowOff>
    </xdr:to>
    <xdr:pic>
      <xdr:nvPicPr>
        <xdr:cNvPr id="65803" name="Picture 267">
          <a:extLst>
            <a:ext uri="{FF2B5EF4-FFF2-40B4-BE49-F238E27FC236}">
              <a16:creationId xmlns:a16="http://schemas.microsoft.com/office/drawing/2014/main" id="{B04CC0E2-57BB-4EAA-81C6-883F9390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8162925"/>
          <a:ext cx="5838825" cy="710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352425</xdr:colOff>
      <xdr:row>72</xdr:row>
      <xdr:rowOff>171450</xdr:rowOff>
    </xdr:from>
    <xdr:to>
      <xdr:col>12</xdr:col>
      <xdr:colOff>1190625</xdr:colOff>
      <xdr:row>115</xdr:row>
      <xdr:rowOff>104775</xdr:rowOff>
    </xdr:to>
    <xdr:pic>
      <xdr:nvPicPr>
        <xdr:cNvPr id="65804" name="Picture 268">
          <a:extLst>
            <a:ext uri="{FF2B5EF4-FFF2-40B4-BE49-F238E27FC236}">
              <a16:creationId xmlns:a16="http://schemas.microsoft.com/office/drawing/2014/main" id="{516814F4-39FC-4D38-8984-CDDC13A75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5201900"/>
          <a:ext cx="5838825" cy="825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371475</xdr:colOff>
      <xdr:row>115</xdr:row>
      <xdr:rowOff>85725</xdr:rowOff>
    </xdr:from>
    <xdr:to>
      <xdr:col>12</xdr:col>
      <xdr:colOff>1209675</xdr:colOff>
      <xdr:row>145</xdr:row>
      <xdr:rowOff>57150</xdr:rowOff>
    </xdr:to>
    <xdr:pic>
      <xdr:nvPicPr>
        <xdr:cNvPr id="65805" name="Picture 269">
          <a:extLst>
            <a:ext uri="{FF2B5EF4-FFF2-40B4-BE49-F238E27FC236}">
              <a16:creationId xmlns:a16="http://schemas.microsoft.com/office/drawing/2014/main" id="{B8B01A28-20AF-4C73-9BB8-D1B9B275F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23441025"/>
          <a:ext cx="5838825" cy="486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727110" name="Chart 1">
          <a:extLst>
            <a:ext uri="{FF2B5EF4-FFF2-40B4-BE49-F238E27FC236}">
              <a16:creationId xmlns:a16="http://schemas.microsoft.com/office/drawing/2014/main" id="{76BBC625-89D7-4937-8E08-ADC187386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727111" name="Chart 2">
          <a:extLst>
            <a:ext uri="{FF2B5EF4-FFF2-40B4-BE49-F238E27FC236}">
              <a16:creationId xmlns:a16="http://schemas.microsoft.com/office/drawing/2014/main" id="{EA1C77E8-DFCB-4706-BACC-309E3A318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727112" name="Chart 5">
          <a:extLst>
            <a:ext uri="{FF2B5EF4-FFF2-40B4-BE49-F238E27FC236}">
              <a16:creationId xmlns:a16="http://schemas.microsoft.com/office/drawing/2014/main" id="{C552862C-C062-4FD8-B890-567630AB4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727113" name="Chart 6">
          <a:extLst>
            <a:ext uri="{FF2B5EF4-FFF2-40B4-BE49-F238E27FC236}">
              <a16:creationId xmlns:a16="http://schemas.microsoft.com/office/drawing/2014/main" id="{FEE16681-6DFD-4AAA-A2DA-EC213DBE5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1727114" name="Chart 7">
          <a:extLst>
            <a:ext uri="{FF2B5EF4-FFF2-40B4-BE49-F238E27FC236}">
              <a16:creationId xmlns:a16="http://schemas.microsoft.com/office/drawing/2014/main" id="{D60A95DC-F661-4A9C-80F9-9A7A8AA06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1727115" name="Chart 8">
          <a:extLst>
            <a:ext uri="{FF2B5EF4-FFF2-40B4-BE49-F238E27FC236}">
              <a16:creationId xmlns:a16="http://schemas.microsoft.com/office/drawing/2014/main" id="{A67B3E0A-5B58-4151-BA94-E220326C8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1727116" name="Chart 9">
          <a:extLst>
            <a:ext uri="{FF2B5EF4-FFF2-40B4-BE49-F238E27FC236}">
              <a16:creationId xmlns:a16="http://schemas.microsoft.com/office/drawing/2014/main" id="{6F02C463-E312-4194-9DB2-47D27ADEE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1727117" name="Chart 10">
          <a:extLst>
            <a:ext uri="{FF2B5EF4-FFF2-40B4-BE49-F238E27FC236}">
              <a16:creationId xmlns:a16="http://schemas.microsoft.com/office/drawing/2014/main" id="{F1176971-9340-42EE-9721-1E2EA47EF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21</xdr:col>
      <xdr:colOff>0</xdr:colOff>
      <xdr:row>57</xdr:row>
      <xdr:rowOff>0</xdr:rowOff>
    </xdr:to>
    <xdr:graphicFrame macro="">
      <xdr:nvGraphicFramePr>
        <xdr:cNvPr id="1727118" name="Chart 11">
          <a:extLst>
            <a:ext uri="{FF2B5EF4-FFF2-40B4-BE49-F238E27FC236}">
              <a16:creationId xmlns:a16="http://schemas.microsoft.com/office/drawing/2014/main" id="{1DD39E51-9978-4AA3-BC57-38F1B8238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21</xdr:col>
      <xdr:colOff>0</xdr:colOff>
      <xdr:row>57</xdr:row>
      <xdr:rowOff>0</xdr:rowOff>
    </xdr:to>
    <xdr:graphicFrame macro="">
      <xdr:nvGraphicFramePr>
        <xdr:cNvPr id="1727119" name="Chart 12">
          <a:extLst>
            <a:ext uri="{FF2B5EF4-FFF2-40B4-BE49-F238E27FC236}">
              <a16:creationId xmlns:a16="http://schemas.microsoft.com/office/drawing/2014/main" id="{65BE88CE-C676-4A4A-A0ED-F7D6902E4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57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1727120" name="Chart 13">
          <a:extLst>
            <a:ext uri="{FF2B5EF4-FFF2-40B4-BE49-F238E27FC236}">
              <a16:creationId xmlns:a16="http://schemas.microsoft.com/office/drawing/2014/main" id="{69345550-8B58-4123-BE8C-F182F9C75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0</xdr:colOff>
      <xdr:row>57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1727121" name="Chart 14">
          <a:extLst>
            <a:ext uri="{FF2B5EF4-FFF2-40B4-BE49-F238E27FC236}">
              <a16:creationId xmlns:a16="http://schemas.microsoft.com/office/drawing/2014/main" id="{248EA06D-B6DD-4834-8396-C79D0C7C6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21</xdr:col>
      <xdr:colOff>0</xdr:colOff>
      <xdr:row>57</xdr:row>
      <xdr:rowOff>0</xdr:rowOff>
    </xdr:to>
    <xdr:graphicFrame macro="">
      <xdr:nvGraphicFramePr>
        <xdr:cNvPr id="1727122" name="Chart 21">
          <a:extLst>
            <a:ext uri="{FF2B5EF4-FFF2-40B4-BE49-F238E27FC236}">
              <a16:creationId xmlns:a16="http://schemas.microsoft.com/office/drawing/2014/main" id="{9BABE246-E4DF-4ECA-B790-0F2684257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0</xdr:colOff>
      <xdr:row>57</xdr:row>
      <xdr:rowOff>0</xdr:rowOff>
    </xdr:from>
    <xdr:to>
      <xdr:col>21</xdr:col>
      <xdr:colOff>0</xdr:colOff>
      <xdr:row>57</xdr:row>
      <xdr:rowOff>0</xdr:rowOff>
    </xdr:to>
    <xdr:graphicFrame macro="">
      <xdr:nvGraphicFramePr>
        <xdr:cNvPr id="1727123" name="Chart 22">
          <a:extLst>
            <a:ext uri="{FF2B5EF4-FFF2-40B4-BE49-F238E27FC236}">
              <a16:creationId xmlns:a16="http://schemas.microsoft.com/office/drawing/2014/main" id="{59F48FC4-73D8-4639-A22D-65DD5AC1A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200025</xdr:colOff>
      <xdr:row>71</xdr:row>
      <xdr:rowOff>9525</xdr:rowOff>
    </xdr:from>
    <xdr:to>
      <xdr:col>13</xdr:col>
      <xdr:colOff>371475</xdr:colOff>
      <xdr:row>105</xdr:row>
      <xdr:rowOff>85725</xdr:rowOff>
    </xdr:to>
    <xdr:graphicFrame macro="">
      <xdr:nvGraphicFramePr>
        <xdr:cNvPr id="1727124" name="Chart 23">
          <a:extLst>
            <a:ext uri="{FF2B5EF4-FFF2-40B4-BE49-F238E27FC236}">
              <a16:creationId xmlns:a16="http://schemas.microsoft.com/office/drawing/2014/main" id="{DA16B0A9-2636-451C-AD5B-F3D6E3DAB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104775</xdr:colOff>
      <xdr:row>111</xdr:row>
      <xdr:rowOff>152400</xdr:rowOff>
    </xdr:from>
    <xdr:to>
      <xdr:col>13</xdr:col>
      <xdr:colOff>295275</xdr:colOff>
      <xdr:row>146</xdr:row>
      <xdr:rowOff>76200</xdr:rowOff>
    </xdr:to>
    <xdr:graphicFrame macro="">
      <xdr:nvGraphicFramePr>
        <xdr:cNvPr id="1727125" name="Chart 30">
          <a:extLst>
            <a:ext uri="{FF2B5EF4-FFF2-40B4-BE49-F238E27FC236}">
              <a16:creationId xmlns:a16="http://schemas.microsoft.com/office/drawing/2014/main" id="{FC9461EE-29BA-4FB7-B071-4A26E45CA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563" name="Chart 1">
          <a:extLst>
            <a:ext uri="{FF2B5EF4-FFF2-40B4-BE49-F238E27FC236}">
              <a16:creationId xmlns:a16="http://schemas.microsoft.com/office/drawing/2014/main" id="{7BE2BD19-E924-4D89-831C-7D10603ED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564" name="Chart 2">
          <a:extLst>
            <a:ext uri="{FF2B5EF4-FFF2-40B4-BE49-F238E27FC236}">
              <a16:creationId xmlns:a16="http://schemas.microsoft.com/office/drawing/2014/main" id="{1D621565-64FD-45B1-9A12-000476F6A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565" name="Chart 3">
          <a:extLst>
            <a:ext uri="{FF2B5EF4-FFF2-40B4-BE49-F238E27FC236}">
              <a16:creationId xmlns:a16="http://schemas.microsoft.com/office/drawing/2014/main" id="{831A74B5-C325-4C3E-A659-8E6C8E3C1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109</xdr:row>
      <xdr:rowOff>0</xdr:rowOff>
    </xdr:from>
    <xdr:to>
      <xdr:col>16</xdr:col>
      <xdr:colOff>0</xdr:colOff>
      <xdr:row>146</xdr:row>
      <xdr:rowOff>0</xdr:rowOff>
    </xdr:to>
    <xdr:graphicFrame macro="">
      <xdr:nvGraphicFramePr>
        <xdr:cNvPr id="1566" name="Chart 4">
          <a:extLst>
            <a:ext uri="{FF2B5EF4-FFF2-40B4-BE49-F238E27FC236}">
              <a16:creationId xmlns:a16="http://schemas.microsoft.com/office/drawing/2014/main" id="{976AD264-7966-431B-86D2-9D21B9D58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567" name="Chart 5">
          <a:extLst>
            <a:ext uri="{FF2B5EF4-FFF2-40B4-BE49-F238E27FC236}">
              <a16:creationId xmlns:a16="http://schemas.microsoft.com/office/drawing/2014/main" id="{D670EA8B-A9CA-431F-9F8B-2ED0A7DD9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568" name="Chart 7">
          <a:extLst>
            <a:ext uri="{FF2B5EF4-FFF2-40B4-BE49-F238E27FC236}">
              <a16:creationId xmlns:a16="http://schemas.microsoft.com/office/drawing/2014/main" id="{0CE6C820-1FCA-40EC-B6A7-690F4BC8F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1569" name="Chart 8">
          <a:extLst>
            <a:ext uri="{FF2B5EF4-FFF2-40B4-BE49-F238E27FC236}">
              <a16:creationId xmlns:a16="http://schemas.microsoft.com/office/drawing/2014/main" id="{74FEC3E3-A547-443B-AC39-DA83D9A2A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570" name="Chart 9">
          <a:extLst>
            <a:ext uri="{FF2B5EF4-FFF2-40B4-BE49-F238E27FC236}">
              <a16:creationId xmlns:a16="http://schemas.microsoft.com/office/drawing/2014/main" id="{7D24C09B-D846-402D-8B93-4EC1B2F81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1571" name="Chart 10">
          <a:extLst>
            <a:ext uri="{FF2B5EF4-FFF2-40B4-BE49-F238E27FC236}">
              <a16:creationId xmlns:a16="http://schemas.microsoft.com/office/drawing/2014/main" id="{E099404B-5576-420E-827B-0B3EBA3AF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2825" name="Chart 1">
          <a:extLst>
            <a:ext uri="{FF2B5EF4-FFF2-40B4-BE49-F238E27FC236}">
              <a16:creationId xmlns:a16="http://schemas.microsoft.com/office/drawing/2014/main" id="{12908C08-B003-4B82-A632-BA164ECE1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2826" name="Chart 2">
          <a:extLst>
            <a:ext uri="{FF2B5EF4-FFF2-40B4-BE49-F238E27FC236}">
              <a16:creationId xmlns:a16="http://schemas.microsoft.com/office/drawing/2014/main" id="{3E5B6A25-D768-44BF-B021-3A96D0461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2827" name="Chart 3">
          <a:extLst>
            <a:ext uri="{FF2B5EF4-FFF2-40B4-BE49-F238E27FC236}">
              <a16:creationId xmlns:a16="http://schemas.microsoft.com/office/drawing/2014/main" id="{27AA2183-FBE9-44AF-BA90-77E35C45C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0</xdr:colOff>
      <xdr:row>143</xdr:row>
      <xdr:rowOff>0</xdr:rowOff>
    </xdr:to>
    <xdr:graphicFrame macro="">
      <xdr:nvGraphicFramePr>
        <xdr:cNvPr id="12828" name="Chart 4">
          <a:extLst>
            <a:ext uri="{FF2B5EF4-FFF2-40B4-BE49-F238E27FC236}">
              <a16:creationId xmlns:a16="http://schemas.microsoft.com/office/drawing/2014/main" id="{91392DFE-2603-4211-B121-AC1217E74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2829" name="Chart 5">
          <a:extLst>
            <a:ext uri="{FF2B5EF4-FFF2-40B4-BE49-F238E27FC236}">
              <a16:creationId xmlns:a16="http://schemas.microsoft.com/office/drawing/2014/main" id="{62FE9CDE-7B7A-4048-89DC-2822E7D41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2830" name="Chart 7">
          <a:extLst>
            <a:ext uri="{FF2B5EF4-FFF2-40B4-BE49-F238E27FC236}">
              <a16:creationId xmlns:a16="http://schemas.microsoft.com/office/drawing/2014/main" id="{3E8299D8-B98D-4249-BC49-1996AA08F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0</xdr:colOff>
      <xdr:row>142</xdr:row>
      <xdr:rowOff>0</xdr:rowOff>
    </xdr:to>
    <xdr:graphicFrame macro="">
      <xdr:nvGraphicFramePr>
        <xdr:cNvPr id="12831" name="Chart 8">
          <a:extLst>
            <a:ext uri="{FF2B5EF4-FFF2-40B4-BE49-F238E27FC236}">
              <a16:creationId xmlns:a16="http://schemas.microsoft.com/office/drawing/2014/main" id="{3D7726B7-E2F7-4912-A8FE-DFCC967C1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2832" name="Chart 9">
          <a:extLst>
            <a:ext uri="{FF2B5EF4-FFF2-40B4-BE49-F238E27FC236}">
              <a16:creationId xmlns:a16="http://schemas.microsoft.com/office/drawing/2014/main" id="{9C034725-2830-4143-9A56-AD7FAF548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0</xdr:colOff>
      <xdr:row>142</xdr:row>
      <xdr:rowOff>0</xdr:rowOff>
    </xdr:to>
    <xdr:graphicFrame macro="">
      <xdr:nvGraphicFramePr>
        <xdr:cNvPr id="12833" name="Chart 10">
          <a:extLst>
            <a:ext uri="{FF2B5EF4-FFF2-40B4-BE49-F238E27FC236}">
              <a16:creationId xmlns:a16="http://schemas.microsoft.com/office/drawing/2014/main" id="{E95600F8-BDD9-486D-B865-6268AB20B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59233" name="Chart 1">
          <a:extLst>
            <a:ext uri="{FF2B5EF4-FFF2-40B4-BE49-F238E27FC236}">
              <a16:creationId xmlns:a16="http://schemas.microsoft.com/office/drawing/2014/main" id="{9D4C89A5-FC60-49D3-933F-7AF0FC64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59234" name="Chart 2">
          <a:extLst>
            <a:ext uri="{FF2B5EF4-FFF2-40B4-BE49-F238E27FC236}">
              <a16:creationId xmlns:a16="http://schemas.microsoft.com/office/drawing/2014/main" id="{949F0711-8698-454D-993E-5F551F626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59235" name="Chart 3">
          <a:extLst>
            <a:ext uri="{FF2B5EF4-FFF2-40B4-BE49-F238E27FC236}">
              <a16:creationId xmlns:a16="http://schemas.microsoft.com/office/drawing/2014/main" id="{904C6CF2-EB58-4446-9925-FB096878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102</xdr:row>
      <xdr:rowOff>0</xdr:rowOff>
    </xdr:from>
    <xdr:to>
      <xdr:col>15</xdr:col>
      <xdr:colOff>0</xdr:colOff>
      <xdr:row>102</xdr:row>
      <xdr:rowOff>0</xdr:rowOff>
    </xdr:to>
    <xdr:graphicFrame macro="">
      <xdr:nvGraphicFramePr>
        <xdr:cNvPr id="1659236" name="Chart 4">
          <a:extLst>
            <a:ext uri="{FF2B5EF4-FFF2-40B4-BE49-F238E27FC236}">
              <a16:creationId xmlns:a16="http://schemas.microsoft.com/office/drawing/2014/main" id="{9E2BBC10-AD23-413B-B425-61FA1D1FC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59237" name="Chart 5">
          <a:extLst>
            <a:ext uri="{FF2B5EF4-FFF2-40B4-BE49-F238E27FC236}">
              <a16:creationId xmlns:a16="http://schemas.microsoft.com/office/drawing/2014/main" id="{6FE9F056-DB94-4BF9-9961-A86187585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59238" name="Chart 7">
          <a:extLst>
            <a:ext uri="{FF2B5EF4-FFF2-40B4-BE49-F238E27FC236}">
              <a16:creationId xmlns:a16="http://schemas.microsoft.com/office/drawing/2014/main" id="{D70B16FB-4641-4B13-8CB0-05E21227A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102</xdr:row>
      <xdr:rowOff>0</xdr:rowOff>
    </xdr:from>
    <xdr:to>
      <xdr:col>15</xdr:col>
      <xdr:colOff>0</xdr:colOff>
      <xdr:row>102</xdr:row>
      <xdr:rowOff>0</xdr:rowOff>
    </xdr:to>
    <xdr:graphicFrame macro="">
      <xdr:nvGraphicFramePr>
        <xdr:cNvPr id="1659239" name="Chart 8">
          <a:extLst>
            <a:ext uri="{FF2B5EF4-FFF2-40B4-BE49-F238E27FC236}">
              <a16:creationId xmlns:a16="http://schemas.microsoft.com/office/drawing/2014/main" id="{F10183CD-90F4-46E8-8C8E-8D8F549F40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59240" name="Chart 9">
          <a:extLst>
            <a:ext uri="{FF2B5EF4-FFF2-40B4-BE49-F238E27FC236}">
              <a16:creationId xmlns:a16="http://schemas.microsoft.com/office/drawing/2014/main" id="{F091080D-4F5E-46C8-BDE2-254C786A6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102</xdr:row>
      <xdr:rowOff>0</xdr:rowOff>
    </xdr:from>
    <xdr:to>
      <xdr:col>15</xdr:col>
      <xdr:colOff>0</xdr:colOff>
      <xdr:row>102</xdr:row>
      <xdr:rowOff>0</xdr:rowOff>
    </xdr:to>
    <xdr:graphicFrame macro="">
      <xdr:nvGraphicFramePr>
        <xdr:cNvPr id="1659241" name="Chart 10">
          <a:extLst>
            <a:ext uri="{FF2B5EF4-FFF2-40B4-BE49-F238E27FC236}">
              <a16:creationId xmlns:a16="http://schemas.microsoft.com/office/drawing/2014/main" id="{23D60319-03D4-4CF1-A853-79DC5590D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42855" name="Chart 1">
          <a:extLst>
            <a:ext uri="{FF2B5EF4-FFF2-40B4-BE49-F238E27FC236}">
              <a16:creationId xmlns:a16="http://schemas.microsoft.com/office/drawing/2014/main" id="{15CDFF86-B7D3-478A-824D-53FC24747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42856" name="Chart 2">
          <a:extLst>
            <a:ext uri="{FF2B5EF4-FFF2-40B4-BE49-F238E27FC236}">
              <a16:creationId xmlns:a16="http://schemas.microsoft.com/office/drawing/2014/main" id="{6BCA23DD-6F7A-4BDB-8458-A77910DED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42857" name="Chart 3">
          <a:extLst>
            <a:ext uri="{FF2B5EF4-FFF2-40B4-BE49-F238E27FC236}">
              <a16:creationId xmlns:a16="http://schemas.microsoft.com/office/drawing/2014/main" id="{6EFEF6EA-1077-47FC-802C-3BC79F6CC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109</xdr:row>
      <xdr:rowOff>0</xdr:rowOff>
    </xdr:from>
    <xdr:to>
      <xdr:col>16</xdr:col>
      <xdr:colOff>0</xdr:colOff>
      <xdr:row>146</xdr:row>
      <xdr:rowOff>0</xdr:rowOff>
    </xdr:to>
    <xdr:graphicFrame macro="">
      <xdr:nvGraphicFramePr>
        <xdr:cNvPr id="142858" name="Chart 4">
          <a:extLst>
            <a:ext uri="{FF2B5EF4-FFF2-40B4-BE49-F238E27FC236}">
              <a16:creationId xmlns:a16="http://schemas.microsoft.com/office/drawing/2014/main" id="{4701801E-A9A6-4468-843E-7779772E64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42859" name="Chart 5">
          <a:extLst>
            <a:ext uri="{FF2B5EF4-FFF2-40B4-BE49-F238E27FC236}">
              <a16:creationId xmlns:a16="http://schemas.microsoft.com/office/drawing/2014/main" id="{B92F214F-CF21-4577-AD3C-70B89424F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42860" name="Chart 7">
          <a:extLst>
            <a:ext uri="{FF2B5EF4-FFF2-40B4-BE49-F238E27FC236}">
              <a16:creationId xmlns:a16="http://schemas.microsoft.com/office/drawing/2014/main" id="{83EC5FA6-6823-4F1A-A630-008F2CF6A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142861" name="Chart 8">
          <a:extLst>
            <a:ext uri="{FF2B5EF4-FFF2-40B4-BE49-F238E27FC236}">
              <a16:creationId xmlns:a16="http://schemas.microsoft.com/office/drawing/2014/main" id="{DD9AB326-8F3E-4367-A385-230E92CCF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42862" name="Chart 9">
          <a:extLst>
            <a:ext uri="{FF2B5EF4-FFF2-40B4-BE49-F238E27FC236}">
              <a16:creationId xmlns:a16="http://schemas.microsoft.com/office/drawing/2014/main" id="{A8B7C654-1FF9-4BC5-AF1C-8B232C1B7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142863" name="Chart 10">
          <a:extLst>
            <a:ext uri="{FF2B5EF4-FFF2-40B4-BE49-F238E27FC236}">
              <a16:creationId xmlns:a16="http://schemas.microsoft.com/office/drawing/2014/main" id="{A07C5327-7D0A-493C-A340-5E5659C01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4106" name="Chart 1">
          <a:extLst>
            <a:ext uri="{FF2B5EF4-FFF2-40B4-BE49-F238E27FC236}">
              <a16:creationId xmlns:a16="http://schemas.microsoft.com/office/drawing/2014/main" id="{B05F35A2-4C54-4D06-A50D-DDC43FE5A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4107" name="Chart 2">
          <a:extLst>
            <a:ext uri="{FF2B5EF4-FFF2-40B4-BE49-F238E27FC236}">
              <a16:creationId xmlns:a16="http://schemas.microsoft.com/office/drawing/2014/main" id="{CFFD3222-6386-460C-99B2-78BD44555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4108" name="Chart 3">
          <a:extLst>
            <a:ext uri="{FF2B5EF4-FFF2-40B4-BE49-F238E27FC236}">
              <a16:creationId xmlns:a16="http://schemas.microsoft.com/office/drawing/2014/main" id="{A99624CA-0380-4FCB-80B6-72B0C7455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109</xdr:row>
      <xdr:rowOff>0</xdr:rowOff>
    </xdr:from>
    <xdr:to>
      <xdr:col>16</xdr:col>
      <xdr:colOff>0</xdr:colOff>
      <xdr:row>146</xdr:row>
      <xdr:rowOff>0</xdr:rowOff>
    </xdr:to>
    <xdr:graphicFrame macro="">
      <xdr:nvGraphicFramePr>
        <xdr:cNvPr id="24109" name="Chart 4">
          <a:extLst>
            <a:ext uri="{FF2B5EF4-FFF2-40B4-BE49-F238E27FC236}">
              <a16:creationId xmlns:a16="http://schemas.microsoft.com/office/drawing/2014/main" id="{C35D44D1-3918-4FB4-861E-81C7BEE42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4110" name="Chart 5">
          <a:extLst>
            <a:ext uri="{FF2B5EF4-FFF2-40B4-BE49-F238E27FC236}">
              <a16:creationId xmlns:a16="http://schemas.microsoft.com/office/drawing/2014/main" id="{EA8DBA64-E72C-40E5-88CD-F3E812DA0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4111" name="Chart 7">
          <a:extLst>
            <a:ext uri="{FF2B5EF4-FFF2-40B4-BE49-F238E27FC236}">
              <a16:creationId xmlns:a16="http://schemas.microsoft.com/office/drawing/2014/main" id="{EB6860A5-A9FC-4DFF-8B16-DCB3E300F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24112" name="Chart 8">
          <a:extLst>
            <a:ext uri="{FF2B5EF4-FFF2-40B4-BE49-F238E27FC236}">
              <a16:creationId xmlns:a16="http://schemas.microsoft.com/office/drawing/2014/main" id="{BFAEEB64-D29C-4260-A9B4-87FB053DB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4113" name="Chart 9">
          <a:extLst>
            <a:ext uri="{FF2B5EF4-FFF2-40B4-BE49-F238E27FC236}">
              <a16:creationId xmlns:a16="http://schemas.microsoft.com/office/drawing/2014/main" id="{DB40E83E-4938-4471-AC38-3A793348A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108</xdr:row>
      <xdr:rowOff>0</xdr:rowOff>
    </xdr:from>
    <xdr:to>
      <xdr:col>16</xdr:col>
      <xdr:colOff>0</xdr:colOff>
      <xdr:row>145</xdr:row>
      <xdr:rowOff>0</xdr:rowOff>
    </xdr:to>
    <xdr:graphicFrame macro="">
      <xdr:nvGraphicFramePr>
        <xdr:cNvPr id="24114" name="Chart 10">
          <a:extLst>
            <a:ext uri="{FF2B5EF4-FFF2-40B4-BE49-F238E27FC236}">
              <a16:creationId xmlns:a16="http://schemas.microsoft.com/office/drawing/2014/main" id="{295650A3-DC6F-4C12-9833-250FD2E3E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97796" name="Chart 1">
          <a:extLst>
            <a:ext uri="{FF2B5EF4-FFF2-40B4-BE49-F238E27FC236}">
              <a16:creationId xmlns:a16="http://schemas.microsoft.com/office/drawing/2014/main" id="{0DA7220F-BF9B-424C-82A8-78986EE7D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97797" name="Chart 2">
          <a:extLst>
            <a:ext uri="{FF2B5EF4-FFF2-40B4-BE49-F238E27FC236}">
              <a16:creationId xmlns:a16="http://schemas.microsoft.com/office/drawing/2014/main" id="{75169D3C-4717-4EC7-BD48-5E4AE4122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97798" name="Chart 3">
          <a:extLst>
            <a:ext uri="{FF2B5EF4-FFF2-40B4-BE49-F238E27FC236}">
              <a16:creationId xmlns:a16="http://schemas.microsoft.com/office/drawing/2014/main" id="{EA992B7A-B88D-4A96-A1B2-2D7A22C9D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0</xdr:colOff>
      <xdr:row>143</xdr:row>
      <xdr:rowOff>0</xdr:rowOff>
    </xdr:to>
    <xdr:graphicFrame macro="">
      <xdr:nvGraphicFramePr>
        <xdr:cNvPr id="97799" name="Chart 4">
          <a:extLst>
            <a:ext uri="{FF2B5EF4-FFF2-40B4-BE49-F238E27FC236}">
              <a16:creationId xmlns:a16="http://schemas.microsoft.com/office/drawing/2014/main" id="{3718B343-0D39-40B1-8C79-57865EEFD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97800" name="Chart 5">
          <a:extLst>
            <a:ext uri="{FF2B5EF4-FFF2-40B4-BE49-F238E27FC236}">
              <a16:creationId xmlns:a16="http://schemas.microsoft.com/office/drawing/2014/main" id="{3E8C943E-746A-4C26-912C-BF7C6564B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97801" name="Chart 7">
          <a:extLst>
            <a:ext uri="{FF2B5EF4-FFF2-40B4-BE49-F238E27FC236}">
              <a16:creationId xmlns:a16="http://schemas.microsoft.com/office/drawing/2014/main" id="{8C7D1530-5729-4BDB-A2A4-A3D5DAA2A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0</xdr:colOff>
      <xdr:row>142</xdr:row>
      <xdr:rowOff>0</xdr:rowOff>
    </xdr:to>
    <xdr:graphicFrame macro="">
      <xdr:nvGraphicFramePr>
        <xdr:cNvPr id="97802" name="Chart 8">
          <a:extLst>
            <a:ext uri="{FF2B5EF4-FFF2-40B4-BE49-F238E27FC236}">
              <a16:creationId xmlns:a16="http://schemas.microsoft.com/office/drawing/2014/main" id="{FAE4A7C3-ABA4-4C4C-875A-719B6F610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97803" name="Chart 9">
          <a:extLst>
            <a:ext uri="{FF2B5EF4-FFF2-40B4-BE49-F238E27FC236}">
              <a16:creationId xmlns:a16="http://schemas.microsoft.com/office/drawing/2014/main" id="{0CE31207-0978-4993-8C9F-C6A291DA3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0</xdr:colOff>
      <xdr:row>142</xdr:row>
      <xdr:rowOff>0</xdr:rowOff>
    </xdr:to>
    <xdr:graphicFrame macro="">
      <xdr:nvGraphicFramePr>
        <xdr:cNvPr id="97804" name="Chart 10">
          <a:extLst>
            <a:ext uri="{FF2B5EF4-FFF2-40B4-BE49-F238E27FC236}">
              <a16:creationId xmlns:a16="http://schemas.microsoft.com/office/drawing/2014/main" id="{8D1796FA-5E8E-4517-A8AB-5BBD0CDD9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70512" name="Chart 1">
          <a:extLst>
            <a:ext uri="{FF2B5EF4-FFF2-40B4-BE49-F238E27FC236}">
              <a16:creationId xmlns:a16="http://schemas.microsoft.com/office/drawing/2014/main" id="{915D7529-9110-4C45-8A0F-82EC634A3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70513" name="Chart 2">
          <a:extLst>
            <a:ext uri="{FF2B5EF4-FFF2-40B4-BE49-F238E27FC236}">
              <a16:creationId xmlns:a16="http://schemas.microsoft.com/office/drawing/2014/main" id="{21EFCAEC-4B3C-4FF9-B821-C00F0E821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70514" name="Chart 3">
          <a:extLst>
            <a:ext uri="{FF2B5EF4-FFF2-40B4-BE49-F238E27FC236}">
              <a16:creationId xmlns:a16="http://schemas.microsoft.com/office/drawing/2014/main" id="{B40265F2-F1C5-44FE-ABA5-2A7ED7230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101</xdr:row>
      <xdr:rowOff>0</xdr:rowOff>
    </xdr:from>
    <xdr:to>
      <xdr:col>16</xdr:col>
      <xdr:colOff>0</xdr:colOff>
      <xdr:row>138</xdr:row>
      <xdr:rowOff>0</xdr:rowOff>
    </xdr:to>
    <xdr:graphicFrame macro="">
      <xdr:nvGraphicFramePr>
        <xdr:cNvPr id="1670515" name="Chart 4">
          <a:extLst>
            <a:ext uri="{FF2B5EF4-FFF2-40B4-BE49-F238E27FC236}">
              <a16:creationId xmlns:a16="http://schemas.microsoft.com/office/drawing/2014/main" id="{EBB5542C-A72B-4192-9F26-B77151531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70516" name="Chart 5">
          <a:extLst>
            <a:ext uri="{FF2B5EF4-FFF2-40B4-BE49-F238E27FC236}">
              <a16:creationId xmlns:a16="http://schemas.microsoft.com/office/drawing/2014/main" id="{F8631795-367B-4B25-A8F7-3F2B84011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70517" name="Chart 7">
          <a:extLst>
            <a:ext uri="{FF2B5EF4-FFF2-40B4-BE49-F238E27FC236}">
              <a16:creationId xmlns:a16="http://schemas.microsoft.com/office/drawing/2014/main" id="{B2CE58F2-635A-41B5-A272-3C66F2E4B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100</xdr:row>
      <xdr:rowOff>0</xdr:rowOff>
    </xdr:from>
    <xdr:to>
      <xdr:col>16</xdr:col>
      <xdr:colOff>0</xdr:colOff>
      <xdr:row>137</xdr:row>
      <xdr:rowOff>0</xdr:rowOff>
    </xdr:to>
    <xdr:graphicFrame macro="">
      <xdr:nvGraphicFramePr>
        <xdr:cNvPr id="1670518" name="Chart 8">
          <a:extLst>
            <a:ext uri="{FF2B5EF4-FFF2-40B4-BE49-F238E27FC236}">
              <a16:creationId xmlns:a16="http://schemas.microsoft.com/office/drawing/2014/main" id="{06E2FD38-856F-42CA-BFC7-CBFB4EA41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70519" name="Chart 9">
          <a:extLst>
            <a:ext uri="{FF2B5EF4-FFF2-40B4-BE49-F238E27FC236}">
              <a16:creationId xmlns:a16="http://schemas.microsoft.com/office/drawing/2014/main" id="{72CACA72-7AE5-495B-8C46-2CF8E8A69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100</xdr:row>
      <xdr:rowOff>0</xdr:rowOff>
    </xdr:from>
    <xdr:to>
      <xdr:col>16</xdr:col>
      <xdr:colOff>0</xdr:colOff>
      <xdr:row>137</xdr:row>
      <xdr:rowOff>0</xdr:rowOff>
    </xdr:to>
    <xdr:graphicFrame macro="">
      <xdr:nvGraphicFramePr>
        <xdr:cNvPr id="1670520" name="Chart 10">
          <a:extLst>
            <a:ext uri="{FF2B5EF4-FFF2-40B4-BE49-F238E27FC236}">
              <a16:creationId xmlns:a16="http://schemas.microsoft.com/office/drawing/2014/main" id="{EBABFFD0-0092-4530-A5CF-7E19F36F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31644" name="Chart 1">
          <a:extLst>
            <a:ext uri="{FF2B5EF4-FFF2-40B4-BE49-F238E27FC236}">
              <a16:creationId xmlns:a16="http://schemas.microsoft.com/office/drawing/2014/main" id="{559018C0-5160-4397-B9A7-1D1924227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31645" name="Chart 2">
          <a:extLst>
            <a:ext uri="{FF2B5EF4-FFF2-40B4-BE49-F238E27FC236}">
              <a16:creationId xmlns:a16="http://schemas.microsoft.com/office/drawing/2014/main" id="{EBE6B085-A9E6-47AF-BBB4-C17141ED6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31646" name="Chart 3">
          <a:extLst>
            <a:ext uri="{FF2B5EF4-FFF2-40B4-BE49-F238E27FC236}">
              <a16:creationId xmlns:a16="http://schemas.microsoft.com/office/drawing/2014/main" id="{295D544D-E22F-4A6B-B7AF-1CF15A577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103</xdr:row>
      <xdr:rowOff>0</xdr:rowOff>
    </xdr:from>
    <xdr:to>
      <xdr:col>16</xdr:col>
      <xdr:colOff>0</xdr:colOff>
      <xdr:row>140</xdr:row>
      <xdr:rowOff>0</xdr:rowOff>
    </xdr:to>
    <xdr:graphicFrame macro="">
      <xdr:nvGraphicFramePr>
        <xdr:cNvPr id="131647" name="Chart 4">
          <a:extLst>
            <a:ext uri="{FF2B5EF4-FFF2-40B4-BE49-F238E27FC236}">
              <a16:creationId xmlns:a16="http://schemas.microsoft.com/office/drawing/2014/main" id="{4F1367B1-2F8A-4BDA-A64D-D7B95BDEB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31648" name="Chart 5">
          <a:extLst>
            <a:ext uri="{FF2B5EF4-FFF2-40B4-BE49-F238E27FC236}">
              <a16:creationId xmlns:a16="http://schemas.microsoft.com/office/drawing/2014/main" id="{C1B9AC36-E92F-4E37-8366-44FA2534E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31649" name="Chart 7">
          <a:extLst>
            <a:ext uri="{FF2B5EF4-FFF2-40B4-BE49-F238E27FC236}">
              <a16:creationId xmlns:a16="http://schemas.microsoft.com/office/drawing/2014/main" id="{7506C0FD-1641-4DD3-86C3-25F77B7C8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102</xdr:row>
      <xdr:rowOff>0</xdr:rowOff>
    </xdr:from>
    <xdr:to>
      <xdr:col>16</xdr:col>
      <xdr:colOff>0</xdr:colOff>
      <xdr:row>139</xdr:row>
      <xdr:rowOff>0</xdr:rowOff>
    </xdr:to>
    <xdr:graphicFrame macro="">
      <xdr:nvGraphicFramePr>
        <xdr:cNvPr id="131650" name="Chart 8">
          <a:extLst>
            <a:ext uri="{FF2B5EF4-FFF2-40B4-BE49-F238E27FC236}">
              <a16:creationId xmlns:a16="http://schemas.microsoft.com/office/drawing/2014/main" id="{6F5F1147-B489-4407-8B90-98B4900A4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31651" name="Chart 9">
          <a:extLst>
            <a:ext uri="{FF2B5EF4-FFF2-40B4-BE49-F238E27FC236}">
              <a16:creationId xmlns:a16="http://schemas.microsoft.com/office/drawing/2014/main" id="{AF1DC8B8-D820-47E7-B383-C41AA3A18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102</xdr:row>
      <xdr:rowOff>0</xdr:rowOff>
    </xdr:from>
    <xdr:to>
      <xdr:col>16</xdr:col>
      <xdr:colOff>0</xdr:colOff>
      <xdr:row>139</xdr:row>
      <xdr:rowOff>0</xdr:rowOff>
    </xdr:to>
    <xdr:graphicFrame macro="">
      <xdr:nvGraphicFramePr>
        <xdr:cNvPr id="131652" name="Chart 10">
          <a:extLst>
            <a:ext uri="{FF2B5EF4-FFF2-40B4-BE49-F238E27FC236}">
              <a16:creationId xmlns:a16="http://schemas.microsoft.com/office/drawing/2014/main" id="{25358340-E7CD-437A-BE39-A45E20F0A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09084" name="Chart 1">
          <a:extLst>
            <a:ext uri="{FF2B5EF4-FFF2-40B4-BE49-F238E27FC236}">
              <a16:creationId xmlns:a16="http://schemas.microsoft.com/office/drawing/2014/main" id="{01F46394-AB84-4943-89C8-4B40B8767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09085" name="Chart 2">
          <a:extLst>
            <a:ext uri="{FF2B5EF4-FFF2-40B4-BE49-F238E27FC236}">
              <a16:creationId xmlns:a16="http://schemas.microsoft.com/office/drawing/2014/main" id="{ABFD463A-2063-42C5-BB03-17549E72D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09086" name="Chart 3">
          <a:extLst>
            <a:ext uri="{FF2B5EF4-FFF2-40B4-BE49-F238E27FC236}">
              <a16:creationId xmlns:a16="http://schemas.microsoft.com/office/drawing/2014/main" id="{249FE6FB-8F48-4737-BC16-23EAACFC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0</xdr:colOff>
      <xdr:row>141</xdr:row>
      <xdr:rowOff>0</xdr:rowOff>
    </xdr:to>
    <xdr:graphicFrame macro="">
      <xdr:nvGraphicFramePr>
        <xdr:cNvPr id="109087" name="Chart 4">
          <a:extLst>
            <a:ext uri="{FF2B5EF4-FFF2-40B4-BE49-F238E27FC236}">
              <a16:creationId xmlns:a16="http://schemas.microsoft.com/office/drawing/2014/main" id="{65267FB8-7A63-4C3B-B907-76A2CCFB4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09088" name="Chart 5">
          <a:extLst>
            <a:ext uri="{FF2B5EF4-FFF2-40B4-BE49-F238E27FC236}">
              <a16:creationId xmlns:a16="http://schemas.microsoft.com/office/drawing/2014/main" id="{D62179FB-81F2-4468-9028-9E6162CBD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09089" name="Chart 7">
          <a:extLst>
            <a:ext uri="{FF2B5EF4-FFF2-40B4-BE49-F238E27FC236}">
              <a16:creationId xmlns:a16="http://schemas.microsoft.com/office/drawing/2014/main" id="{C888F0AF-F986-4FDA-A16E-6E912016D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103</xdr:row>
      <xdr:rowOff>0</xdr:rowOff>
    </xdr:from>
    <xdr:to>
      <xdr:col>16</xdr:col>
      <xdr:colOff>0</xdr:colOff>
      <xdr:row>140</xdr:row>
      <xdr:rowOff>0</xdr:rowOff>
    </xdr:to>
    <xdr:graphicFrame macro="">
      <xdr:nvGraphicFramePr>
        <xdr:cNvPr id="109090" name="Chart 8">
          <a:extLst>
            <a:ext uri="{FF2B5EF4-FFF2-40B4-BE49-F238E27FC236}">
              <a16:creationId xmlns:a16="http://schemas.microsoft.com/office/drawing/2014/main" id="{61FA131C-C908-4862-936D-187CD7676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109091" name="Chart 9">
          <a:extLst>
            <a:ext uri="{FF2B5EF4-FFF2-40B4-BE49-F238E27FC236}">
              <a16:creationId xmlns:a16="http://schemas.microsoft.com/office/drawing/2014/main" id="{8E4C65BD-2C46-4DD0-B1CC-9036B51D0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103</xdr:row>
      <xdr:rowOff>0</xdr:rowOff>
    </xdr:from>
    <xdr:to>
      <xdr:col>16</xdr:col>
      <xdr:colOff>0</xdr:colOff>
      <xdr:row>140</xdr:row>
      <xdr:rowOff>0</xdr:rowOff>
    </xdr:to>
    <xdr:graphicFrame macro="">
      <xdr:nvGraphicFramePr>
        <xdr:cNvPr id="109092" name="Chart 10">
          <a:extLst>
            <a:ext uri="{FF2B5EF4-FFF2-40B4-BE49-F238E27FC236}">
              <a16:creationId xmlns:a16="http://schemas.microsoft.com/office/drawing/2014/main" id="{F0ACF18D-34CB-47C3-9BB1-731ED568E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20324" name="Chart 1">
          <a:extLst>
            <a:ext uri="{FF2B5EF4-FFF2-40B4-BE49-F238E27FC236}">
              <a16:creationId xmlns:a16="http://schemas.microsoft.com/office/drawing/2014/main" id="{7A25F6C0-81D6-4338-8E71-E92F7AD9C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20325" name="Chart 2">
          <a:extLst>
            <a:ext uri="{FF2B5EF4-FFF2-40B4-BE49-F238E27FC236}">
              <a16:creationId xmlns:a16="http://schemas.microsoft.com/office/drawing/2014/main" id="{4AE56DB6-0DDA-47BB-B5E3-583D4C838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20326" name="Chart 3">
          <a:extLst>
            <a:ext uri="{FF2B5EF4-FFF2-40B4-BE49-F238E27FC236}">
              <a16:creationId xmlns:a16="http://schemas.microsoft.com/office/drawing/2014/main" id="{5080705E-70C7-4547-B9AA-0E027B138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101</xdr:row>
      <xdr:rowOff>0</xdr:rowOff>
    </xdr:from>
    <xdr:to>
      <xdr:col>16</xdr:col>
      <xdr:colOff>0</xdr:colOff>
      <xdr:row>138</xdr:row>
      <xdr:rowOff>0</xdr:rowOff>
    </xdr:to>
    <xdr:graphicFrame macro="">
      <xdr:nvGraphicFramePr>
        <xdr:cNvPr id="120327" name="Chart 4">
          <a:extLst>
            <a:ext uri="{FF2B5EF4-FFF2-40B4-BE49-F238E27FC236}">
              <a16:creationId xmlns:a16="http://schemas.microsoft.com/office/drawing/2014/main" id="{C1149960-97E8-4247-9873-E1470DD67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20328" name="Chart 5">
          <a:extLst>
            <a:ext uri="{FF2B5EF4-FFF2-40B4-BE49-F238E27FC236}">
              <a16:creationId xmlns:a16="http://schemas.microsoft.com/office/drawing/2014/main" id="{4D25EF8B-C5E3-40D1-8F95-8E27795EF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20329" name="Chart 7">
          <a:extLst>
            <a:ext uri="{FF2B5EF4-FFF2-40B4-BE49-F238E27FC236}">
              <a16:creationId xmlns:a16="http://schemas.microsoft.com/office/drawing/2014/main" id="{BE4AFCAB-F78C-47E6-87CA-1B7867595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100</xdr:row>
      <xdr:rowOff>0</xdr:rowOff>
    </xdr:from>
    <xdr:to>
      <xdr:col>16</xdr:col>
      <xdr:colOff>0</xdr:colOff>
      <xdr:row>137</xdr:row>
      <xdr:rowOff>0</xdr:rowOff>
    </xdr:to>
    <xdr:graphicFrame macro="">
      <xdr:nvGraphicFramePr>
        <xdr:cNvPr id="120330" name="Chart 8">
          <a:extLst>
            <a:ext uri="{FF2B5EF4-FFF2-40B4-BE49-F238E27FC236}">
              <a16:creationId xmlns:a16="http://schemas.microsoft.com/office/drawing/2014/main" id="{E0414B67-65A3-4135-BCAD-9C81DA8CA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20331" name="Chart 9">
          <a:extLst>
            <a:ext uri="{FF2B5EF4-FFF2-40B4-BE49-F238E27FC236}">
              <a16:creationId xmlns:a16="http://schemas.microsoft.com/office/drawing/2014/main" id="{3834A766-20D9-4F7C-BD53-C7B4EF9D6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100</xdr:row>
      <xdr:rowOff>0</xdr:rowOff>
    </xdr:from>
    <xdr:to>
      <xdr:col>16</xdr:col>
      <xdr:colOff>0</xdr:colOff>
      <xdr:row>137</xdr:row>
      <xdr:rowOff>0</xdr:rowOff>
    </xdr:to>
    <xdr:graphicFrame macro="">
      <xdr:nvGraphicFramePr>
        <xdr:cNvPr id="120332" name="Chart 10">
          <a:extLst>
            <a:ext uri="{FF2B5EF4-FFF2-40B4-BE49-F238E27FC236}">
              <a16:creationId xmlns:a16="http://schemas.microsoft.com/office/drawing/2014/main" id="{891B62B5-AFE1-4B59-A7C3-FF1D3B5F4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81775" name="Chart 1">
          <a:extLst>
            <a:ext uri="{FF2B5EF4-FFF2-40B4-BE49-F238E27FC236}">
              <a16:creationId xmlns:a16="http://schemas.microsoft.com/office/drawing/2014/main" id="{B572EC02-A605-46ED-841D-177191473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81776" name="Chart 2">
          <a:extLst>
            <a:ext uri="{FF2B5EF4-FFF2-40B4-BE49-F238E27FC236}">
              <a16:creationId xmlns:a16="http://schemas.microsoft.com/office/drawing/2014/main" id="{8835E87A-C72D-4C71-B878-C4555A624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681777" name="Chart 3">
          <a:extLst>
            <a:ext uri="{FF2B5EF4-FFF2-40B4-BE49-F238E27FC236}">
              <a16:creationId xmlns:a16="http://schemas.microsoft.com/office/drawing/2014/main" id="{9B6447F8-84B0-4AC7-BDF8-C8F3614A6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0</xdr:colOff>
      <xdr:row>143</xdr:row>
      <xdr:rowOff>0</xdr:rowOff>
    </xdr:to>
    <xdr:graphicFrame macro="">
      <xdr:nvGraphicFramePr>
        <xdr:cNvPr id="1681778" name="Chart 4">
          <a:extLst>
            <a:ext uri="{FF2B5EF4-FFF2-40B4-BE49-F238E27FC236}">
              <a16:creationId xmlns:a16="http://schemas.microsoft.com/office/drawing/2014/main" id="{43B8EA18-69D1-45F3-A0CA-9B84DEF26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81779" name="Chart 5">
          <a:extLst>
            <a:ext uri="{FF2B5EF4-FFF2-40B4-BE49-F238E27FC236}">
              <a16:creationId xmlns:a16="http://schemas.microsoft.com/office/drawing/2014/main" id="{E257C5A3-390A-4392-94E5-6DE136B34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81780" name="Chart 7">
          <a:extLst>
            <a:ext uri="{FF2B5EF4-FFF2-40B4-BE49-F238E27FC236}">
              <a16:creationId xmlns:a16="http://schemas.microsoft.com/office/drawing/2014/main" id="{CF35FF41-21C9-462C-994E-07DC6A5B4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0</xdr:colOff>
      <xdr:row>142</xdr:row>
      <xdr:rowOff>0</xdr:rowOff>
    </xdr:to>
    <xdr:graphicFrame macro="">
      <xdr:nvGraphicFramePr>
        <xdr:cNvPr id="1681781" name="Chart 8">
          <a:extLst>
            <a:ext uri="{FF2B5EF4-FFF2-40B4-BE49-F238E27FC236}">
              <a16:creationId xmlns:a16="http://schemas.microsoft.com/office/drawing/2014/main" id="{F2BE4259-9BDE-4E50-85E0-3245EC089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681782" name="Chart 9">
          <a:extLst>
            <a:ext uri="{FF2B5EF4-FFF2-40B4-BE49-F238E27FC236}">
              <a16:creationId xmlns:a16="http://schemas.microsoft.com/office/drawing/2014/main" id="{B47D3002-DAC8-4711-87CE-E9E48DD74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16</xdr:col>
      <xdr:colOff>0</xdr:colOff>
      <xdr:row>142</xdr:row>
      <xdr:rowOff>0</xdr:rowOff>
    </xdr:to>
    <xdr:graphicFrame macro="">
      <xdr:nvGraphicFramePr>
        <xdr:cNvPr id="1681783" name="Chart 10">
          <a:extLst>
            <a:ext uri="{FF2B5EF4-FFF2-40B4-BE49-F238E27FC236}">
              <a16:creationId xmlns:a16="http://schemas.microsoft.com/office/drawing/2014/main" id="{6DCC3807-45C2-43F5-A936-2D349B492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44229" name="Chart 1">
          <a:extLst>
            <a:ext uri="{FF2B5EF4-FFF2-40B4-BE49-F238E27FC236}">
              <a16:creationId xmlns:a16="http://schemas.microsoft.com/office/drawing/2014/main" id="{02B9CF46-D22A-4626-8D97-A8860A868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44230" name="Chart 2">
          <a:extLst>
            <a:ext uri="{FF2B5EF4-FFF2-40B4-BE49-F238E27FC236}">
              <a16:creationId xmlns:a16="http://schemas.microsoft.com/office/drawing/2014/main" id="{C381218A-4AC5-46BA-99B6-D50E7CC59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44231" name="Chart 3">
          <a:extLst>
            <a:ext uri="{FF2B5EF4-FFF2-40B4-BE49-F238E27FC236}">
              <a16:creationId xmlns:a16="http://schemas.microsoft.com/office/drawing/2014/main" id="{EA55FE25-EAE9-48CF-9D39-F83675D45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104</xdr:row>
      <xdr:rowOff>0</xdr:rowOff>
    </xdr:from>
    <xdr:to>
      <xdr:col>16</xdr:col>
      <xdr:colOff>0</xdr:colOff>
      <xdr:row>141</xdr:row>
      <xdr:rowOff>0</xdr:rowOff>
    </xdr:to>
    <xdr:graphicFrame macro="">
      <xdr:nvGraphicFramePr>
        <xdr:cNvPr id="244232" name="Chart 4">
          <a:extLst>
            <a:ext uri="{FF2B5EF4-FFF2-40B4-BE49-F238E27FC236}">
              <a16:creationId xmlns:a16="http://schemas.microsoft.com/office/drawing/2014/main" id="{BFA75DD8-024A-4720-AE9E-A43285A6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44233" name="Chart 5">
          <a:extLst>
            <a:ext uri="{FF2B5EF4-FFF2-40B4-BE49-F238E27FC236}">
              <a16:creationId xmlns:a16="http://schemas.microsoft.com/office/drawing/2014/main" id="{31EDC8E7-3E3E-43CB-B0B8-1EBE2DEC7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44234" name="Chart 7">
          <a:extLst>
            <a:ext uri="{FF2B5EF4-FFF2-40B4-BE49-F238E27FC236}">
              <a16:creationId xmlns:a16="http://schemas.microsoft.com/office/drawing/2014/main" id="{02238218-1558-4277-A4B5-FFC9DBBE3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103</xdr:row>
      <xdr:rowOff>0</xdr:rowOff>
    </xdr:from>
    <xdr:to>
      <xdr:col>16</xdr:col>
      <xdr:colOff>0</xdr:colOff>
      <xdr:row>140</xdr:row>
      <xdr:rowOff>0</xdr:rowOff>
    </xdr:to>
    <xdr:graphicFrame macro="">
      <xdr:nvGraphicFramePr>
        <xdr:cNvPr id="244235" name="Chart 8">
          <a:extLst>
            <a:ext uri="{FF2B5EF4-FFF2-40B4-BE49-F238E27FC236}">
              <a16:creationId xmlns:a16="http://schemas.microsoft.com/office/drawing/2014/main" id="{20C1D5DA-F90A-4876-9C10-CB0B3E281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44236" name="Chart 9">
          <a:extLst>
            <a:ext uri="{FF2B5EF4-FFF2-40B4-BE49-F238E27FC236}">
              <a16:creationId xmlns:a16="http://schemas.microsoft.com/office/drawing/2014/main" id="{117BF3D1-1D3E-4D59-BB40-E6FBA4524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103</xdr:row>
      <xdr:rowOff>0</xdr:rowOff>
    </xdr:from>
    <xdr:to>
      <xdr:col>16</xdr:col>
      <xdr:colOff>0</xdr:colOff>
      <xdr:row>140</xdr:row>
      <xdr:rowOff>0</xdr:rowOff>
    </xdr:to>
    <xdr:graphicFrame macro="">
      <xdr:nvGraphicFramePr>
        <xdr:cNvPr id="244237" name="Chart 10">
          <a:extLst>
            <a:ext uri="{FF2B5EF4-FFF2-40B4-BE49-F238E27FC236}">
              <a16:creationId xmlns:a16="http://schemas.microsoft.com/office/drawing/2014/main" id="{94DE5EAF-D7AD-4A11-9D8B-D01DFED18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s/HOK%20programmer/WATSON%2015.juni%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SON-Hvidbjørnen"/>
      <sheetName val="WATSON-Beskytteren"/>
      <sheetName val="WATSON-Thetis"/>
      <sheetName val="WATSON "/>
      <sheetName val="Munro-Smith-Thetis"/>
      <sheetName val="Munro-Smith-Beskytteren"/>
      <sheetName val="Munro-Smith-Hvidbjørnen"/>
      <sheetName val="COG const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opLeftCell="I19" workbookViewId="0">
      <selection activeCell="W41" sqref="W41"/>
    </sheetView>
  </sheetViews>
  <sheetFormatPr defaultRowHeight="12.75" x14ac:dyDescent="0.2"/>
  <cols>
    <col min="1" max="1" width="11.5703125" style="1" customWidth="1"/>
    <col min="2" max="2" width="19.140625" bestFit="1" customWidth="1"/>
    <col min="3" max="3" width="12.140625" bestFit="1" customWidth="1"/>
    <col min="4" max="4" width="11.5703125" bestFit="1" customWidth="1"/>
    <col min="6" max="6" width="19.140625" bestFit="1" customWidth="1"/>
    <col min="8" max="8" width="12.28515625" bestFit="1" customWidth="1"/>
    <col min="10" max="10" width="17.5703125" bestFit="1" customWidth="1"/>
    <col min="11" max="11" width="12.140625" bestFit="1" customWidth="1"/>
  </cols>
  <sheetData>
    <row r="1" spans="1:13" x14ac:dyDescent="0.2">
      <c r="B1" s="1096"/>
      <c r="C1" s="474"/>
      <c r="D1" s="474"/>
      <c r="E1" s="1097"/>
      <c r="I1" s="1097"/>
    </row>
    <row r="2" spans="1:13" x14ac:dyDescent="0.2">
      <c r="B2" s="1096"/>
      <c r="C2" s="1098" t="s">
        <v>587</v>
      </c>
      <c r="D2" s="474"/>
      <c r="E2" s="1097"/>
      <c r="H2" s="1098" t="s">
        <v>589</v>
      </c>
      <c r="I2" s="1097"/>
      <c r="J2" s="1098" t="s">
        <v>587</v>
      </c>
    </row>
    <row r="3" spans="1:13" x14ac:dyDescent="0.2">
      <c r="A3" s="1" t="s">
        <v>334</v>
      </c>
      <c r="B3" s="1096" t="s">
        <v>590</v>
      </c>
      <c r="C3" s="474"/>
      <c r="D3" s="474" t="s">
        <v>588</v>
      </c>
      <c r="E3" s="1097"/>
      <c r="F3" s="1099" t="s">
        <v>590</v>
      </c>
      <c r="H3" t="s">
        <v>588</v>
      </c>
      <c r="I3" s="1097"/>
      <c r="J3" s="1099" t="s">
        <v>591</v>
      </c>
    </row>
    <row r="4" spans="1:13" x14ac:dyDescent="0.2">
      <c r="A4" s="1">
        <v>25</v>
      </c>
      <c r="B4" s="1100">
        <v>170</v>
      </c>
      <c r="C4" s="1101">
        <f t="shared" ref="C4:C19" si="0">(B4/B$14-1)*100</f>
        <v>3.8485033598045337</v>
      </c>
      <c r="D4" s="1101">
        <v>175</v>
      </c>
      <c r="E4" s="1102">
        <f t="shared" ref="E4:E19" si="1">(D4/D$14-1)*100</f>
        <v>6.6422912858013383</v>
      </c>
      <c r="F4" s="1103">
        <v>176</v>
      </c>
      <c r="G4" s="1103">
        <f t="shared" ref="G4:G19" si="2">(F4/F$14-1)*100</f>
        <v>5.0119331742243478</v>
      </c>
      <c r="H4" s="1103">
        <v>179</v>
      </c>
      <c r="I4" s="1104">
        <f t="shared" ref="I4:I19" si="3">(H4/H$14-1)*100</f>
        <v>6.4842355740630575</v>
      </c>
      <c r="J4" s="1103">
        <v>169.9</v>
      </c>
      <c r="K4" s="1105">
        <f t="shared" ref="K4:K19" si="4">(J4/J$14-1)*100</f>
        <v>3.7874160048869898</v>
      </c>
      <c r="L4">
        <v>172.4</v>
      </c>
      <c r="M4" s="1105">
        <f t="shared" ref="M4:M19" si="5">(L4/L$14-1)*100</f>
        <v>5.378973105134488</v>
      </c>
    </row>
    <row r="5" spans="1:13" x14ac:dyDescent="0.2">
      <c r="A5" s="1">
        <v>30</v>
      </c>
      <c r="B5" s="1100">
        <v>168.3</v>
      </c>
      <c r="C5" s="1101">
        <f t="shared" si="0"/>
        <v>2.8100183262064871</v>
      </c>
      <c r="D5" s="1101">
        <v>173</v>
      </c>
      <c r="E5" s="1102">
        <f t="shared" si="1"/>
        <v>5.4235222425350393</v>
      </c>
      <c r="F5" s="1103">
        <v>174.1</v>
      </c>
      <c r="G5" s="1103">
        <f t="shared" si="2"/>
        <v>3.8782816229117056</v>
      </c>
      <c r="H5" s="1103">
        <v>177</v>
      </c>
      <c r="I5" s="1104">
        <f t="shared" si="3"/>
        <v>5.2944675788221263</v>
      </c>
      <c r="J5" s="1103">
        <v>168</v>
      </c>
      <c r="K5" s="1105">
        <f t="shared" si="4"/>
        <v>2.6267562614538775</v>
      </c>
      <c r="L5">
        <v>170.5</v>
      </c>
      <c r="M5" s="1105">
        <f t="shared" si="5"/>
        <v>4.2176039119804498</v>
      </c>
    </row>
    <row r="6" spans="1:13" x14ac:dyDescent="0.2">
      <c r="A6" s="1">
        <v>35</v>
      </c>
      <c r="B6" s="1100">
        <v>166.6</v>
      </c>
      <c r="C6" s="1101">
        <f t="shared" si="0"/>
        <v>1.7715332926084404</v>
      </c>
      <c r="D6" s="1101">
        <v>171.3</v>
      </c>
      <c r="E6" s="1102">
        <f t="shared" si="1"/>
        <v>4.387568555758703</v>
      </c>
      <c r="F6" s="1103">
        <v>172.2</v>
      </c>
      <c r="G6" s="1103">
        <f t="shared" si="2"/>
        <v>2.7446300715990413</v>
      </c>
      <c r="H6" s="1103">
        <v>175.1</v>
      </c>
      <c r="I6" s="1104">
        <f t="shared" si="3"/>
        <v>4.1641879833432371</v>
      </c>
      <c r="J6" s="1103">
        <v>166.2</v>
      </c>
      <c r="K6" s="1105">
        <f t="shared" si="4"/>
        <v>1.5271838729383092</v>
      </c>
      <c r="L6">
        <v>168.8</v>
      </c>
      <c r="M6" s="1105">
        <f t="shared" si="5"/>
        <v>3.1784841075794823</v>
      </c>
    </row>
    <row r="7" spans="1:13" x14ac:dyDescent="0.2">
      <c r="A7" s="1">
        <v>40</v>
      </c>
      <c r="B7" s="1100">
        <v>165</v>
      </c>
      <c r="C7" s="1101">
        <f t="shared" si="0"/>
        <v>0.79413561392791543</v>
      </c>
      <c r="D7" s="1101">
        <v>169.8</v>
      </c>
      <c r="E7" s="1102">
        <f t="shared" si="1"/>
        <v>3.4734917733089787</v>
      </c>
      <c r="F7" s="1103">
        <v>170.5</v>
      </c>
      <c r="G7" s="1103">
        <f t="shared" si="2"/>
        <v>1.7303102625298328</v>
      </c>
      <c r="H7" s="1103">
        <v>173.4</v>
      </c>
      <c r="I7" s="1104">
        <f t="shared" si="3"/>
        <v>3.1528851873884767</v>
      </c>
      <c r="J7" s="1103">
        <v>164.8</v>
      </c>
      <c r="K7" s="1105">
        <f t="shared" si="4"/>
        <v>0.67196090409287201</v>
      </c>
      <c r="L7">
        <v>167.1</v>
      </c>
      <c r="M7" s="1105">
        <f t="shared" si="5"/>
        <v>2.1393643031784926</v>
      </c>
    </row>
    <row r="8" spans="1:13" x14ac:dyDescent="0.2">
      <c r="A8" s="1">
        <v>45</v>
      </c>
      <c r="B8" s="1100">
        <v>163.4</v>
      </c>
      <c r="C8" s="1101">
        <f t="shared" si="0"/>
        <v>-0.18326206475258733</v>
      </c>
      <c r="D8" s="1101">
        <v>168.2</v>
      </c>
      <c r="E8" s="1102">
        <f t="shared" si="1"/>
        <v>2.498476538695904</v>
      </c>
      <c r="F8" s="1103">
        <v>169.1</v>
      </c>
      <c r="G8" s="1103">
        <f t="shared" si="2"/>
        <v>0.89498806682577481</v>
      </c>
      <c r="H8" s="1103">
        <v>172.2</v>
      </c>
      <c r="I8" s="1104">
        <f t="shared" si="3"/>
        <v>2.4390243902439046</v>
      </c>
      <c r="J8" s="1103">
        <v>163.19999999999999</v>
      </c>
      <c r="K8" s="1105">
        <f t="shared" si="4"/>
        <v>-0.30543677458766405</v>
      </c>
      <c r="L8">
        <v>165.7</v>
      </c>
      <c r="M8" s="1105">
        <f t="shared" si="5"/>
        <v>1.2836185819070867</v>
      </c>
    </row>
    <row r="9" spans="1:13" x14ac:dyDescent="0.2">
      <c r="A9" s="1">
        <v>50</v>
      </c>
      <c r="B9" s="1100">
        <v>162</v>
      </c>
      <c r="C9" s="1101">
        <f t="shared" si="0"/>
        <v>-1.0384850335980356</v>
      </c>
      <c r="D9" s="1101">
        <v>167</v>
      </c>
      <c r="E9" s="1102">
        <f t="shared" si="1"/>
        <v>1.7672151127361424</v>
      </c>
      <c r="F9" s="1103">
        <v>168</v>
      </c>
      <c r="G9" s="1103">
        <f t="shared" si="2"/>
        <v>0.23866348448686736</v>
      </c>
      <c r="H9" s="1103">
        <v>171</v>
      </c>
      <c r="I9" s="1104">
        <f t="shared" si="3"/>
        <v>1.7251635930993547</v>
      </c>
      <c r="J9" s="1103">
        <v>162</v>
      </c>
      <c r="K9" s="1105">
        <f t="shared" si="4"/>
        <v>-1.0384850335980356</v>
      </c>
      <c r="L9">
        <v>164.3</v>
      </c>
      <c r="M9" s="1105">
        <f t="shared" si="5"/>
        <v>0.42787286063570296</v>
      </c>
    </row>
    <row r="10" spans="1:13" x14ac:dyDescent="0.2">
      <c r="A10" s="1">
        <v>55</v>
      </c>
      <c r="B10" s="1100">
        <v>161</v>
      </c>
      <c r="C10" s="1101">
        <f t="shared" si="0"/>
        <v>-1.6493585827733637</v>
      </c>
      <c r="D10" s="1101">
        <v>165.8</v>
      </c>
      <c r="E10" s="1102">
        <f t="shared" si="1"/>
        <v>1.0359536867763586</v>
      </c>
      <c r="F10" s="1103">
        <v>167</v>
      </c>
      <c r="G10" s="1103">
        <f t="shared" si="2"/>
        <v>-0.35799522673031214</v>
      </c>
      <c r="H10" s="1103">
        <v>170.1</v>
      </c>
      <c r="I10" s="1104">
        <f t="shared" si="3"/>
        <v>1.1897679952409312</v>
      </c>
      <c r="J10" s="1103">
        <v>160.80000000000001</v>
      </c>
      <c r="K10" s="1105">
        <f t="shared" si="4"/>
        <v>-1.7715332926084182</v>
      </c>
      <c r="L10">
        <v>163.19999999999999</v>
      </c>
      <c r="M10" s="1105">
        <f t="shared" si="5"/>
        <v>-0.24449877750611915</v>
      </c>
    </row>
    <row r="11" spans="1:13" x14ac:dyDescent="0.2">
      <c r="A11" s="1">
        <v>60</v>
      </c>
      <c r="B11" s="1100">
        <v>160</v>
      </c>
      <c r="C11" s="1101">
        <f t="shared" si="0"/>
        <v>-2.2602321319486807</v>
      </c>
      <c r="D11" s="1101">
        <v>164.8</v>
      </c>
      <c r="E11" s="1102">
        <f t="shared" si="1"/>
        <v>0.42656916514320908</v>
      </c>
      <c r="F11" s="1103">
        <v>166.3</v>
      </c>
      <c r="G11" s="1103">
        <f t="shared" si="2"/>
        <v>-0.77565632458233003</v>
      </c>
      <c r="H11" s="1103">
        <v>169.3</v>
      </c>
      <c r="I11" s="1104">
        <f t="shared" si="3"/>
        <v>0.71386079714457207</v>
      </c>
      <c r="J11" s="1103">
        <v>159.9</v>
      </c>
      <c r="K11" s="1105">
        <f t="shared" si="4"/>
        <v>-2.3213194868662135</v>
      </c>
      <c r="L11">
        <v>162.30000000000001</v>
      </c>
      <c r="M11" s="1105">
        <f t="shared" si="5"/>
        <v>-0.79462102689485947</v>
      </c>
    </row>
    <row r="12" spans="1:13" x14ac:dyDescent="0.2">
      <c r="A12" s="1">
        <v>65</v>
      </c>
      <c r="B12" s="1100">
        <v>159.4</v>
      </c>
      <c r="C12" s="1101">
        <f t="shared" si="0"/>
        <v>-2.6267562614538664</v>
      </c>
      <c r="D12" s="1101">
        <v>164.2</v>
      </c>
      <c r="E12" s="1102">
        <f t="shared" si="1"/>
        <v>6.0938452163306067E-2</v>
      </c>
      <c r="F12" s="1103">
        <v>165.8</v>
      </c>
      <c r="G12" s="1103">
        <f t="shared" si="2"/>
        <v>-1.0739856801909253</v>
      </c>
      <c r="H12" s="1103">
        <v>168.7</v>
      </c>
      <c r="I12" s="1104">
        <f t="shared" si="3"/>
        <v>0.35693039857227493</v>
      </c>
      <c r="J12" s="1103">
        <v>159.25</v>
      </c>
      <c r="K12" s="1105">
        <f t="shared" si="4"/>
        <v>-2.7183872938301712</v>
      </c>
      <c r="L12">
        <v>161.9</v>
      </c>
      <c r="M12" s="1105">
        <f t="shared" si="5"/>
        <v>-1.0391198044009675</v>
      </c>
    </row>
    <row r="13" spans="1:13" x14ac:dyDescent="0.2">
      <c r="A13" s="1">
        <v>70</v>
      </c>
      <c r="B13" s="1100">
        <v>161.5</v>
      </c>
      <c r="C13" s="1101">
        <f t="shared" si="0"/>
        <v>-1.3439218081856996</v>
      </c>
      <c r="D13" s="1101">
        <v>164</v>
      </c>
      <c r="E13" s="1102">
        <f t="shared" si="1"/>
        <v>-6.0938452163306067E-2</v>
      </c>
      <c r="F13" s="1103">
        <v>166.6</v>
      </c>
      <c r="G13" s="1103">
        <f t="shared" si="2"/>
        <v>-0.5966587112171795</v>
      </c>
      <c r="H13" s="1103">
        <v>168.3</v>
      </c>
      <c r="I13" s="1104">
        <f t="shared" si="3"/>
        <v>0.11897679952410645</v>
      </c>
      <c r="J13" s="1103">
        <v>161.30000000000001</v>
      </c>
      <c r="K13" s="1105">
        <f t="shared" si="4"/>
        <v>-1.4660965180207541</v>
      </c>
      <c r="L13">
        <v>162.4</v>
      </c>
      <c r="M13" s="1105">
        <f t="shared" si="5"/>
        <v>-0.73349633251833524</v>
      </c>
    </row>
    <row r="14" spans="1:13" x14ac:dyDescent="0.2">
      <c r="A14" s="1">
        <v>75</v>
      </c>
      <c r="B14" s="1100">
        <v>163.69999999999999</v>
      </c>
      <c r="C14" s="1101">
        <f t="shared" si="0"/>
        <v>0</v>
      </c>
      <c r="D14" s="1101">
        <v>164.1</v>
      </c>
      <c r="E14" s="1102">
        <f t="shared" si="1"/>
        <v>0</v>
      </c>
      <c r="F14" s="1103">
        <v>167.6</v>
      </c>
      <c r="G14" s="1103">
        <f t="shared" si="2"/>
        <v>0</v>
      </c>
      <c r="H14" s="1103">
        <v>168.1</v>
      </c>
      <c r="I14" s="1104">
        <f t="shared" si="3"/>
        <v>0</v>
      </c>
      <c r="J14" s="1103">
        <v>163.69999999999999</v>
      </c>
      <c r="K14" s="1105">
        <f t="shared" si="4"/>
        <v>0</v>
      </c>
      <c r="L14">
        <v>163.6</v>
      </c>
      <c r="M14" s="1105">
        <f t="shared" si="5"/>
        <v>0</v>
      </c>
    </row>
    <row r="15" spans="1:13" x14ac:dyDescent="0.2">
      <c r="A15" s="1">
        <v>80</v>
      </c>
      <c r="B15" s="1100">
        <v>164.6</v>
      </c>
      <c r="C15" s="1101">
        <f t="shared" si="0"/>
        <v>0.54978619425778419</v>
      </c>
      <c r="D15" s="1101">
        <v>164.3</v>
      </c>
      <c r="E15" s="1102">
        <f t="shared" si="1"/>
        <v>0.12187690432663434</v>
      </c>
      <c r="F15" s="1103">
        <v>168.1</v>
      </c>
      <c r="G15" s="1103">
        <f t="shared" si="2"/>
        <v>0.2983293556085842</v>
      </c>
      <c r="H15" s="1103">
        <v>168</v>
      </c>
      <c r="I15" s="1104">
        <f t="shared" si="3"/>
        <v>-5.9488399762042121E-2</v>
      </c>
      <c r="J15" s="1103">
        <v>164.3</v>
      </c>
      <c r="K15" s="1105">
        <f t="shared" si="4"/>
        <v>0.36652412950519686</v>
      </c>
      <c r="L15">
        <v>164.4</v>
      </c>
      <c r="M15" s="1105">
        <f t="shared" si="5"/>
        <v>0.48899755501223829</v>
      </c>
    </row>
    <row r="16" spans="1:13" x14ac:dyDescent="0.2">
      <c r="A16" s="1">
        <v>85</v>
      </c>
      <c r="B16" s="1100">
        <v>165.9</v>
      </c>
      <c r="C16" s="1101">
        <f t="shared" si="0"/>
        <v>1.3439218081857218</v>
      </c>
      <c r="D16" s="1101">
        <v>165</v>
      </c>
      <c r="E16" s="1102">
        <f t="shared" si="1"/>
        <v>0.54844606946984342</v>
      </c>
      <c r="F16" s="1103">
        <v>169.2</v>
      </c>
      <c r="G16" s="1103">
        <f t="shared" si="2"/>
        <v>0.95465393794749165</v>
      </c>
      <c r="H16" s="1103">
        <v>168.3</v>
      </c>
      <c r="I16" s="1104">
        <f t="shared" si="3"/>
        <v>0.11897679952410645</v>
      </c>
      <c r="J16" s="1103">
        <v>165.3</v>
      </c>
      <c r="K16" s="1105">
        <f t="shared" si="4"/>
        <v>0.97739767868052496</v>
      </c>
      <c r="L16">
        <v>165.8</v>
      </c>
      <c r="M16" s="1105">
        <f t="shared" si="5"/>
        <v>1.344743276283622</v>
      </c>
    </row>
    <row r="17" spans="1:13" x14ac:dyDescent="0.2">
      <c r="A17" s="1">
        <v>90</v>
      </c>
      <c r="B17" s="1100">
        <v>167.3</v>
      </c>
      <c r="C17" s="1101">
        <f t="shared" si="0"/>
        <v>2.199144777031159</v>
      </c>
      <c r="D17" s="1101">
        <v>165.8</v>
      </c>
      <c r="E17" s="1102">
        <f t="shared" si="1"/>
        <v>1.0359536867763586</v>
      </c>
      <c r="F17" s="1103">
        <v>171</v>
      </c>
      <c r="G17" s="1103">
        <f t="shared" si="2"/>
        <v>2.0286396181384392</v>
      </c>
      <c r="H17" s="1103">
        <v>168.8</v>
      </c>
      <c r="I17" s="1104">
        <f t="shared" si="3"/>
        <v>0.41641879833433926</v>
      </c>
      <c r="J17" s="1103">
        <v>166.3</v>
      </c>
      <c r="K17" s="1105">
        <f t="shared" si="4"/>
        <v>1.5882712278558531</v>
      </c>
      <c r="L17">
        <v>167.2</v>
      </c>
      <c r="M17" s="1105">
        <f t="shared" si="5"/>
        <v>2.2004889975550057</v>
      </c>
    </row>
    <row r="18" spans="1:13" x14ac:dyDescent="0.2">
      <c r="A18" s="1">
        <v>95</v>
      </c>
      <c r="B18" s="1100">
        <v>168.35</v>
      </c>
      <c r="C18" s="1101">
        <f t="shared" si="0"/>
        <v>2.8405620036652479</v>
      </c>
      <c r="D18" s="1101">
        <v>166.8</v>
      </c>
      <c r="E18" s="1102">
        <f t="shared" si="1"/>
        <v>1.6453382084095081</v>
      </c>
      <c r="F18" s="1103">
        <v>171.9</v>
      </c>
      <c r="G18" s="1103">
        <f t="shared" si="2"/>
        <v>2.5656324582338907</v>
      </c>
      <c r="H18" s="1103">
        <v>169.7</v>
      </c>
      <c r="I18" s="1104">
        <f t="shared" si="3"/>
        <v>0.95181439619274055</v>
      </c>
      <c r="J18" s="1103">
        <v>167.3</v>
      </c>
      <c r="K18" s="1105">
        <f t="shared" si="4"/>
        <v>2.199144777031159</v>
      </c>
      <c r="L18">
        <v>168.3</v>
      </c>
      <c r="M18" s="1105">
        <f t="shared" si="5"/>
        <v>2.8728606356968278</v>
      </c>
    </row>
    <row r="19" spans="1:13" x14ac:dyDescent="0.2">
      <c r="A19" s="1">
        <v>100</v>
      </c>
      <c r="B19" s="1100">
        <v>169.5</v>
      </c>
      <c r="C19" s="1101">
        <f t="shared" si="0"/>
        <v>3.5430665852168586</v>
      </c>
      <c r="D19" s="1101">
        <v>168</v>
      </c>
      <c r="E19" s="1102">
        <f t="shared" si="1"/>
        <v>2.3765996343692919</v>
      </c>
      <c r="F19" s="1103">
        <v>173</v>
      </c>
      <c r="G19" s="1103">
        <f t="shared" si="2"/>
        <v>3.2219570405727982</v>
      </c>
      <c r="H19" s="1103">
        <v>171</v>
      </c>
      <c r="I19" s="1104">
        <f t="shared" si="3"/>
        <v>1.7251635930993547</v>
      </c>
      <c r="J19" s="1103">
        <v>168.4</v>
      </c>
      <c r="K19" s="1105">
        <f t="shared" si="4"/>
        <v>2.8711056811240088</v>
      </c>
      <c r="L19">
        <v>169.3</v>
      </c>
      <c r="M19" s="1105">
        <f t="shared" si="5"/>
        <v>3.4841075794621146</v>
      </c>
    </row>
    <row r="20" spans="1:13" x14ac:dyDescent="0.2">
      <c r="A20" s="1">
        <v>25</v>
      </c>
      <c r="C20" s="1105">
        <v>5.0119331742243478</v>
      </c>
    </row>
    <row r="21" spans="1:13" x14ac:dyDescent="0.2">
      <c r="A21" s="1">
        <v>30</v>
      </c>
      <c r="C21" s="1105">
        <v>3.8782816229117056</v>
      </c>
    </row>
    <row r="22" spans="1:13" x14ac:dyDescent="0.2">
      <c r="A22" s="1">
        <v>35</v>
      </c>
      <c r="C22" s="1105">
        <v>2.7446300715990413</v>
      </c>
    </row>
    <row r="23" spans="1:13" x14ac:dyDescent="0.2">
      <c r="A23" s="1">
        <v>40</v>
      </c>
      <c r="C23" s="1105">
        <v>1.7303102625298328</v>
      </c>
    </row>
    <row r="24" spans="1:13" x14ac:dyDescent="0.2">
      <c r="A24" s="1">
        <v>45</v>
      </c>
      <c r="C24" s="1105">
        <v>0.89498806682577481</v>
      </c>
    </row>
    <row r="25" spans="1:13" x14ac:dyDescent="0.2">
      <c r="A25" s="1">
        <v>50</v>
      </c>
      <c r="C25" s="1105">
        <v>0.23866348448686736</v>
      </c>
    </row>
    <row r="26" spans="1:13" x14ac:dyDescent="0.2">
      <c r="A26" s="1">
        <v>55</v>
      </c>
      <c r="C26" s="1105">
        <v>-0.35799522673031214</v>
      </c>
    </row>
    <row r="27" spans="1:13" x14ac:dyDescent="0.2">
      <c r="A27" s="1">
        <v>60</v>
      </c>
      <c r="C27" s="1105">
        <v>-0.77565632458233003</v>
      </c>
    </row>
    <row r="28" spans="1:13" x14ac:dyDescent="0.2">
      <c r="A28" s="1">
        <v>65</v>
      </c>
      <c r="C28" s="1105">
        <v>-1.0739856801909253</v>
      </c>
    </row>
    <row r="29" spans="1:13" x14ac:dyDescent="0.2">
      <c r="A29" s="1">
        <v>70</v>
      </c>
      <c r="C29" s="1105">
        <v>-0.5966587112171795</v>
      </c>
    </row>
    <row r="30" spans="1:13" x14ac:dyDescent="0.2">
      <c r="A30" s="1">
        <v>75</v>
      </c>
      <c r="C30" s="1105">
        <v>0</v>
      </c>
    </row>
    <row r="31" spans="1:13" x14ac:dyDescent="0.2">
      <c r="A31" s="1">
        <v>80</v>
      </c>
      <c r="C31" s="1105">
        <v>0.2983293556085842</v>
      </c>
    </row>
    <row r="32" spans="1:13" x14ac:dyDescent="0.2">
      <c r="A32" s="1">
        <v>85</v>
      </c>
      <c r="C32" s="1105">
        <v>0.95465393794749165</v>
      </c>
    </row>
    <row r="33" spans="1:3" x14ac:dyDescent="0.2">
      <c r="A33" s="1">
        <v>90</v>
      </c>
      <c r="C33" s="1105">
        <v>2.0286396181384392</v>
      </c>
    </row>
    <row r="34" spans="1:3" x14ac:dyDescent="0.2">
      <c r="A34" s="1">
        <v>95</v>
      </c>
      <c r="C34" s="1105">
        <v>2.5656324582338907</v>
      </c>
    </row>
    <row r="35" spans="1:3" x14ac:dyDescent="0.2">
      <c r="A35" s="1">
        <v>100</v>
      </c>
      <c r="C35" s="1105">
        <v>3.2219570405727982</v>
      </c>
    </row>
    <row r="36" spans="1:3" x14ac:dyDescent="0.2">
      <c r="A36" s="1">
        <v>25</v>
      </c>
      <c r="C36" s="1105">
        <v>3.7874160048869898</v>
      </c>
    </row>
    <row r="37" spans="1:3" x14ac:dyDescent="0.2">
      <c r="A37" s="1">
        <v>30</v>
      </c>
      <c r="C37" s="1105">
        <v>2.6267562614538775</v>
      </c>
    </row>
    <row r="38" spans="1:3" x14ac:dyDescent="0.2">
      <c r="A38" s="1">
        <v>35</v>
      </c>
      <c r="C38" s="1105">
        <v>1.5271838729383092</v>
      </c>
    </row>
    <row r="39" spans="1:3" x14ac:dyDescent="0.2">
      <c r="A39" s="1">
        <v>40</v>
      </c>
      <c r="C39" s="1105">
        <v>0.67196090409287201</v>
      </c>
    </row>
    <row r="40" spans="1:3" x14ac:dyDescent="0.2">
      <c r="A40" s="1">
        <v>45</v>
      </c>
      <c r="C40" s="1105">
        <v>-0.30543677458766405</v>
      </c>
    </row>
    <row r="41" spans="1:3" x14ac:dyDescent="0.2">
      <c r="A41" s="1">
        <v>50</v>
      </c>
      <c r="C41" s="1105">
        <v>-1.0384850335980356</v>
      </c>
    </row>
    <row r="42" spans="1:3" x14ac:dyDescent="0.2">
      <c r="A42" s="1">
        <v>55</v>
      </c>
      <c r="C42" s="1105">
        <v>-1.7715332926084182</v>
      </c>
    </row>
    <row r="43" spans="1:3" x14ac:dyDescent="0.2">
      <c r="A43" s="1">
        <v>60</v>
      </c>
      <c r="C43" s="1105">
        <v>-2.3213194868662135</v>
      </c>
    </row>
    <row r="44" spans="1:3" x14ac:dyDescent="0.2">
      <c r="A44" s="1">
        <v>65</v>
      </c>
      <c r="C44" s="1105">
        <v>-2.7183872938301712</v>
      </c>
    </row>
    <row r="45" spans="1:3" x14ac:dyDescent="0.2">
      <c r="A45" s="1">
        <v>70</v>
      </c>
      <c r="C45" s="1105">
        <v>-1.4660965180207541</v>
      </c>
    </row>
    <row r="46" spans="1:3" x14ac:dyDescent="0.2">
      <c r="A46" s="1">
        <v>75</v>
      </c>
      <c r="C46" s="1105">
        <v>0</v>
      </c>
    </row>
    <row r="47" spans="1:3" x14ac:dyDescent="0.2">
      <c r="A47" s="1">
        <v>80</v>
      </c>
      <c r="C47" s="1105">
        <v>0.36652412950519686</v>
      </c>
    </row>
    <row r="48" spans="1:3" x14ac:dyDescent="0.2">
      <c r="A48" s="1">
        <v>85</v>
      </c>
      <c r="C48" s="1105">
        <v>0.97739767868052496</v>
      </c>
    </row>
    <row r="49" spans="1:3" x14ac:dyDescent="0.2">
      <c r="A49" s="1">
        <v>90</v>
      </c>
      <c r="C49" s="1105">
        <v>1.5882712278558531</v>
      </c>
    </row>
    <row r="50" spans="1:3" x14ac:dyDescent="0.2">
      <c r="A50" s="1">
        <v>95</v>
      </c>
      <c r="C50" s="1105">
        <v>2.199144777031159</v>
      </c>
    </row>
    <row r="51" spans="1:3" x14ac:dyDescent="0.2">
      <c r="A51" s="1">
        <v>100</v>
      </c>
      <c r="C51" s="1105">
        <v>2.8711056811240088</v>
      </c>
    </row>
    <row r="52" spans="1:3" x14ac:dyDescent="0.2">
      <c r="A52" s="1">
        <v>25</v>
      </c>
      <c r="B52" s="1107">
        <f t="shared" ref="B52:B67" si="6">0.0000000020194*A52^6-0.0000007555*A52^5+0.00011181*A52^4-0.00832*A52^3+0.33*A52^2-6.851*A52+62.9</f>
        <v>4.6658691406249986</v>
      </c>
      <c r="C52" s="1105">
        <v>5.378973105134488</v>
      </c>
    </row>
    <row r="53" spans="1:3" x14ac:dyDescent="0.2">
      <c r="A53" s="1">
        <v>30</v>
      </c>
      <c r="B53" s="1107">
        <f t="shared" si="6"/>
        <v>3.4095926000000176</v>
      </c>
      <c r="C53" s="1105">
        <v>4.2176039119804498</v>
      </c>
    </row>
    <row r="54" spans="1:3" x14ac:dyDescent="0.2">
      <c r="A54" s="1">
        <v>35</v>
      </c>
      <c r="B54" s="1107">
        <f t="shared" si="6"/>
        <v>2.4617982906250333</v>
      </c>
      <c r="C54" s="1105">
        <v>3.1784841075794823</v>
      </c>
    </row>
    <row r="55" spans="1:3" x14ac:dyDescent="0.2">
      <c r="A55" s="1">
        <v>40</v>
      </c>
      <c r="B55" s="1107">
        <f t="shared" si="6"/>
        <v>1.52186240000011</v>
      </c>
      <c r="C55" s="1105">
        <v>2.1393643031784926</v>
      </c>
    </row>
    <row r="56" spans="1:3" x14ac:dyDescent="0.2">
      <c r="A56" s="1">
        <v>45</v>
      </c>
      <c r="B56" s="1107">
        <f t="shared" si="6"/>
        <v>0.54350711562502596</v>
      </c>
      <c r="C56" s="1105">
        <v>1.2836185819070867</v>
      </c>
    </row>
    <row r="57" spans="1:3" x14ac:dyDescent="0.2">
      <c r="A57" s="1">
        <v>50</v>
      </c>
      <c r="B57" s="1107">
        <f t="shared" si="6"/>
        <v>-0.37812499999999005</v>
      </c>
      <c r="C57" s="1105">
        <v>0.42787286063570296</v>
      </c>
    </row>
    <row r="58" spans="1:3" x14ac:dyDescent="0.2">
      <c r="A58" s="1">
        <v>55</v>
      </c>
      <c r="B58" s="1107">
        <f t="shared" si="6"/>
        <v>-1.09667838437489</v>
      </c>
      <c r="C58" s="1105">
        <v>-0.24449877750611915</v>
      </c>
    </row>
    <row r="59" spans="1:3" x14ac:dyDescent="0.2">
      <c r="A59" s="1">
        <v>60</v>
      </c>
      <c r="B59" s="1107">
        <f t="shared" si="6"/>
        <v>-1.4820735999998433</v>
      </c>
      <c r="C59" s="1105">
        <v>-0.79462102689485947</v>
      </c>
    </row>
    <row r="60" spans="1:3" x14ac:dyDescent="0.2">
      <c r="A60" s="1">
        <v>65</v>
      </c>
      <c r="B60" s="1107">
        <f t="shared" si="6"/>
        <v>-1.4652782093744818</v>
      </c>
      <c r="C60" s="1105">
        <v>-1.0391198044009675</v>
      </c>
    </row>
    <row r="61" spans="1:3" x14ac:dyDescent="0.2">
      <c r="A61" s="1">
        <v>70</v>
      </c>
      <c r="B61" s="1107">
        <f t="shared" si="6"/>
        <v>-1.0603593999993919</v>
      </c>
      <c r="C61" s="1105">
        <v>-0.73349633251833524</v>
      </c>
    </row>
    <row r="62" spans="1:3" x14ac:dyDescent="0.2">
      <c r="A62" s="1">
        <v>75</v>
      </c>
      <c r="B62" s="1107">
        <f t="shared" si="6"/>
        <v>-0.3638183593746831</v>
      </c>
      <c r="C62" s="1105">
        <v>0</v>
      </c>
    </row>
    <row r="63" spans="1:3" x14ac:dyDescent="0.2">
      <c r="A63" s="1">
        <v>80</v>
      </c>
      <c r="B63" s="1107">
        <f t="shared" si="6"/>
        <v>0.46879360000072978</v>
      </c>
      <c r="C63" s="1105">
        <v>0.48899755501223829</v>
      </c>
    </row>
    <row r="64" spans="1:3" x14ac:dyDescent="0.2">
      <c r="A64" s="1">
        <v>85</v>
      </c>
      <c r="B64" s="1107">
        <f t="shared" si="6"/>
        <v>1.2689771656258912</v>
      </c>
      <c r="C64" s="1105">
        <v>1.344743276283622</v>
      </c>
    </row>
    <row r="65" spans="1:3" x14ac:dyDescent="0.2">
      <c r="A65" s="1">
        <v>90</v>
      </c>
      <c r="B65" s="1107">
        <f t="shared" si="6"/>
        <v>1.924105399999938</v>
      </c>
      <c r="C65" s="1105">
        <v>2.2004889975550057</v>
      </c>
    </row>
    <row r="66" spans="1:3" x14ac:dyDescent="0.2">
      <c r="A66" s="1">
        <v>95</v>
      </c>
      <c r="B66" s="1107">
        <f t="shared" si="6"/>
        <v>2.4689623656255648</v>
      </c>
      <c r="C66" s="1105">
        <v>2.8728606356968278</v>
      </c>
    </row>
    <row r="67" spans="1:3" x14ac:dyDescent="0.2">
      <c r="A67" s="1">
        <v>100</v>
      </c>
      <c r="B67" s="1107">
        <f t="shared" si="6"/>
        <v>3.199999999999612</v>
      </c>
      <c r="C67" s="1105">
        <v>3.4841075794621146</v>
      </c>
    </row>
  </sheetData>
  <phoneticPr fontId="2" type="noConversion"/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1"/>
  <sheetViews>
    <sheetView topLeftCell="A43" workbookViewId="0">
      <selection activeCell="F69" sqref="F69"/>
    </sheetView>
  </sheetViews>
  <sheetFormatPr defaultRowHeight="12.75" x14ac:dyDescent="0.2"/>
  <cols>
    <col min="4" max="4" width="9.42578125" bestFit="1" customWidth="1"/>
  </cols>
  <sheetData>
    <row r="2" spans="2:6" x14ac:dyDescent="0.2">
      <c r="B2" s="1106" t="s">
        <v>334</v>
      </c>
      <c r="C2" s="1106" t="s">
        <v>587</v>
      </c>
      <c r="D2" s="1106"/>
      <c r="E2" s="1106" t="s">
        <v>589</v>
      </c>
      <c r="F2" s="1106"/>
    </row>
    <row r="3" spans="2:6" x14ac:dyDescent="0.2">
      <c r="B3" s="1">
        <v>25</v>
      </c>
      <c r="C3" s="1">
        <v>175</v>
      </c>
      <c r="D3" s="1103">
        <f t="shared" ref="D3:D18" si="0">(C3/C$12-1)*100</f>
        <v>6.7073170731707377</v>
      </c>
      <c r="E3" s="1">
        <v>179</v>
      </c>
      <c r="F3" s="1103">
        <f t="shared" ref="F3:F18" si="1">(E3/E$14-1)*100</f>
        <v>6.5476190476190466</v>
      </c>
    </row>
    <row r="4" spans="2:6" x14ac:dyDescent="0.2">
      <c r="B4" s="1">
        <v>30</v>
      </c>
      <c r="C4" s="1">
        <v>173</v>
      </c>
      <c r="D4" s="1103">
        <f t="shared" si="0"/>
        <v>5.4878048780487854</v>
      </c>
      <c r="E4" s="1">
        <v>177</v>
      </c>
      <c r="F4" s="1103">
        <f t="shared" si="1"/>
        <v>5.3571428571428603</v>
      </c>
    </row>
    <row r="5" spans="2:6" x14ac:dyDescent="0.2">
      <c r="B5" s="1">
        <v>35</v>
      </c>
      <c r="C5" s="1">
        <v>171.3</v>
      </c>
      <c r="D5" s="1103">
        <f t="shared" si="0"/>
        <v>4.451219512195137</v>
      </c>
      <c r="E5" s="1">
        <v>175.1</v>
      </c>
      <c r="F5" s="1103">
        <f t="shared" si="1"/>
        <v>4.2261904761904834</v>
      </c>
    </row>
    <row r="6" spans="2:6" x14ac:dyDescent="0.2">
      <c r="B6" s="1">
        <v>40</v>
      </c>
      <c r="C6" s="1">
        <v>169.8</v>
      </c>
      <c r="D6" s="1103">
        <f t="shared" si="0"/>
        <v>3.5365853658536617</v>
      </c>
      <c r="E6" s="1">
        <v>173.4</v>
      </c>
      <c r="F6" s="1103">
        <f t="shared" si="1"/>
        <v>3.2142857142857251</v>
      </c>
    </row>
    <row r="7" spans="2:6" x14ac:dyDescent="0.2">
      <c r="B7" s="1">
        <v>45</v>
      </c>
      <c r="C7" s="1">
        <v>168.2</v>
      </c>
      <c r="D7" s="1103">
        <f t="shared" si="0"/>
        <v>2.5609756097560998</v>
      </c>
      <c r="E7" s="1">
        <v>172.2</v>
      </c>
      <c r="F7" s="1103">
        <f t="shared" si="1"/>
        <v>2.4999999999999911</v>
      </c>
    </row>
    <row r="8" spans="2:6" x14ac:dyDescent="0.2">
      <c r="B8" s="1">
        <v>50</v>
      </c>
      <c r="C8" s="1">
        <v>167</v>
      </c>
      <c r="D8" s="1103">
        <f t="shared" si="0"/>
        <v>1.8292682926829285</v>
      </c>
      <c r="E8" s="1">
        <v>171</v>
      </c>
      <c r="F8" s="1103">
        <f t="shared" si="1"/>
        <v>1.7857142857142794</v>
      </c>
    </row>
    <row r="9" spans="2:6" x14ac:dyDescent="0.2">
      <c r="B9" s="1">
        <v>55</v>
      </c>
      <c r="C9" s="1">
        <v>165.8</v>
      </c>
      <c r="D9" s="1103">
        <f t="shared" si="0"/>
        <v>1.0975609756097571</v>
      </c>
      <c r="E9" s="1">
        <v>170.1</v>
      </c>
      <c r="F9" s="1103">
        <f t="shared" si="1"/>
        <v>1.2499999999999956</v>
      </c>
    </row>
    <row r="10" spans="2:6" x14ac:dyDescent="0.2">
      <c r="B10" s="1">
        <v>60</v>
      </c>
      <c r="C10" s="1">
        <v>164.8</v>
      </c>
      <c r="D10" s="1103">
        <f t="shared" si="0"/>
        <v>0.48780487804878092</v>
      </c>
      <c r="E10" s="1">
        <v>169.3</v>
      </c>
      <c r="F10" s="1103">
        <f t="shared" si="1"/>
        <v>0.77380952380952106</v>
      </c>
    </row>
    <row r="11" spans="2:6" x14ac:dyDescent="0.2">
      <c r="B11" s="1">
        <v>65</v>
      </c>
      <c r="C11" s="1">
        <v>164.2</v>
      </c>
      <c r="D11" s="1103">
        <f t="shared" si="0"/>
        <v>0.12195121951219523</v>
      </c>
      <c r="E11" s="1">
        <v>168.7</v>
      </c>
      <c r="F11" s="1103">
        <f t="shared" si="1"/>
        <v>0.41666666666666519</v>
      </c>
    </row>
    <row r="12" spans="2:6" x14ac:dyDescent="0.2">
      <c r="B12" s="1">
        <v>70</v>
      </c>
      <c r="C12" s="1">
        <v>164</v>
      </c>
      <c r="D12" s="1103">
        <f t="shared" si="0"/>
        <v>0</v>
      </c>
      <c r="E12" s="1">
        <v>168.3</v>
      </c>
      <c r="F12" s="1103">
        <f t="shared" si="1"/>
        <v>0.17857142857142794</v>
      </c>
    </row>
    <row r="13" spans="2:6" x14ac:dyDescent="0.2">
      <c r="B13" s="1">
        <v>75</v>
      </c>
      <c r="C13" s="1">
        <v>164.1</v>
      </c>
      <c r="D13" s="1103">
        <f t="shared" si="0"/>
        <v>6.0975609756086513E-2</v>
      </c>
      <c r="E13" s="1">
        <v>168.1</v>
      </c>
      <c r="F13" s="1103">
        <f t="shared" si="1"/>
        <v>5.9523809523809312E-2</v>
      </c>
    </row>
    <row r="14" spans="2:6" x14ac:dyDescent="0.2">
      <c r="B14" s="1">
        <v>80</v>
      </c>
      <c r="C14" s="1">
        <v>164.3</v>
      </c>
      <c r="D14" s="1103">
        <f t="shared" si="0"/>
        <v>0.18292682926830395</v>
      </c>
      <c r="E14" s="1">
        <v>168</v>
      </c>
      <c r="F14" s="1103">
        <f t="shared" si="1"/>
        <v>0</v>
      </c>
    </row>
    <row r="15" spans="2:6" x14ac:dyDescent="0.2">
      <c r="B15" s="1">
        <v>85</v>
      </c>
      <c r="C15" s="1">
        <v>165</v>
      </c>
      <c r="D15" s="1103">
        <f t="shared" si="0"/>
        <v>0.60975609756097615</v>
      </c>
      <c r="E15" s="1">
        <v>168.3</v>
      </c>
      <c r="F15" s="1103">
        <f t="shared" si="1"/>
        <v>0.17857142857142794</v>
      </c>
    </row>
    <row r="16" spans="2:6" x14ac:dyDescent="0.2">
      <c r="B16" s="1">
        <v>90</v>
      </c>
      <c r="C16" s="1">
        <v>165.8</v>
      </c>
      <c r="D16" s="1103">
        <f t="shared" si="0"/>
        <v>1.0975609756097571</v>
      </c>
      <c r="E16" s="1">
        <v>168.8</v>
      </c>
      <c r="F16" s="1103">
        <f t="shared" si="1"/>
        <v>0.4761904761904745</v>
      </c>
    </row>
    <row r="17" spans="2:6" x14ac:dyDescent="0.2">
      <c r="B17" s="1">
        <v>95</v>
      </c>
      <c r="C17" s="1">
        <v>166.8</v>
      </c>
      <c r="D17" s="1103">
        <f t="shared" si="0"/>
        <v>1.7073170731707332</v>
      </c>
      <c r="E17" s="1">
        <v>169.7</v>
      </c>
      <c r="F17" s="1103">
        <f t="shared" si="1"/>
        <v>1.0119047619047583</v>
      </c>
    </row>
    <row r="18" spans="2:6" x14ac:dyDescent="0.2">
      <c r="B18" s="1">
        <v>100</v>
      </c>
      <c r="C18" s="1">
        <v>168</v>
      </c>
      <c r="D18" s="1103">
        <f t="shared" si="0"/>
        <v>2.4390243902439046</v>
      </c>
      <c r="E18" s="1">
        <v>171</v>
      </c>
      <c r="F18" s="1103">
        <f t="shared" si="1"/>
        <v>1.7857142857142794</v>
      </c>
    </row>
    <row r="19" spans="2:6" x14ac:dyDescent="0.2">
      <c r="B19" s="1">
        <v>25</v>
      </c>
      <c r="C19" s="1"/>
      <c r="D19" s="1105">
        <v>6.5476190476190466</v>
      </c>
      <c r="E19" s="1"/>
      <c r="F19" s="1"/>
    </row>
    <row r="20" spans="2:6" x14ac:dyDescent="0.2">
      <c r="B20" s="1">
        <v>30</v>
      </c>
      <c r="C20" s="1"/>
      <c r="D20" s="1105">
        <v>5.3571428571428603</v>
      </c>
      <c r="E20" s="1"/>
      <c r="F20" s="1"/>
    </row>
    <row r="21" spans="2:6" x14ac:dyDescent="0.2">
      <c r="B21" s="1">
        <v>35</v>
      </c>
      <c r="C21" s="1"/>
      <c r="D21" s="1105">
        <v>4.2261904761904834</v>
      </c>
      <c r="E21" s="1"/>
      <c r="F21" s="1"/>
    </row>
    <row r="22" spans="2:6" x14ac:dyDescent="0.2">
      <c r="B22" s="1">
        <v>40</v>
      </c>
      <c r="C22" s="1"/>
      <c r="D22" s="1105">
        <v>3.2142857142857251</v>
      </c>
      <c r="E22" s="1"/>
      <c r="F22" s="1"/>
    </row>
    <row r="23" spans="2:6" x14ac:dyDescent="0.2">
      <c r="B23" s="1">
        <v>45</v>
      </c>
      <c r="C23" s="1"/>
      <c r="D23" s="1105">
        <v>2.4999999999999911</v>
      </c>
      <c r="E23" s="1"/>
      <c r="F23" s="1"/>
    </row>
    <row r="24" spans="2:6" x14ac:dyDescent="0.2">
      <c r="B24" s="1">
        <v>50</v>
      </c>
      <c r="C24" s="1"/>
      <c r="D24" s="1105">
        <v>1.7857142857142794</v>
      </c>
      <c r="E24" s="1"/>
      <c r="F24" s="1"/>
    </row>
    <row r="25" spans="2:6" x14ac:dyDescent="0.2">
      <c r="B25" s="1">
        <v>55</v>
      </c>
      <c r="C25" s="1"/>
      <c r="D25" s="1105">
        <v>1.25</v>
      </c>
      <c r="E25" s="1"/>
      <c r="F25" s="1"/>
    </row>
    <row r="26" spans="2:6" x14ac:dyDescent="0.2">
      <c r="B26" s="1">
        <v>60</v>
      </c>
      <c r="C26" s="1"/>
      <c r="D26" s="1105">
        <v>0.77380952380952106</v>
      </c>
      <c r="E26" s="1"/>
      <c r="F26" s="1"/>
    </row>
    <row r="27" spans="2:6" x14ac:dyDescent="0.2">
      <c r="B27" s="1">
        <v>65</v>
      </c>
      <c r="C27" s="1"/>
      <c r="D27" s="1105">
        <v>0.41666666666666519</v>
      </c>
      <c r="E27" s="1"/>
      <c r="F27" s="1"/>
    </row>
    <row r="28" spans="2:6" x14ac:dyDescent="0.2">
      <c r="B28" s="1">
        <v>70</v>
      </c>
      <c r="C28" s="1"/>
      <c r="D28" s="1105">
        <v>0.17857142857142794</v>
      </c>
      <c r="E28" s="1"/>
      <c r="F28" s="1"/>
    </row>
    <row r="29" spans="2:6" x14ac:dyDescent="0.2">
      <c r="B29" s="1">
        <v>75</v>
      </c>
      <c r="C29" s="1"/>
      <c r="D29" s="1105">
        <v>5.9523809523809312E-2</v>
      </c>
      <c r="E29" s="1"/>
      <c r="F29" s="1"/>
    </row>
    <row r="30" spans="2:6" x14ac:dyDescent="0.2">
      <c r="B30" s="1">
        <v>80</v>
      </c>
      <c r="C30" s="1"/>
      <c r="D30" s="1105">
        <v>0</v>
      </c>
      <c r="E30" s="1"/>
      <c r="F30" s="1"/>
    </row>
    <row r="31" spans="2:6" x14ac:dyDescent="0.2">
      <c r="B31" s="1">
        <v>85</v>
      </c>
      <c r="C31" s="1"/>
      <c r="D31" s="1105">
        <v>0.17857142857142794</v>
      </c>
      <c r="E31" s="1"/>
      <c r="F31" s="1"/>
    </row>
    <row r="32" spans="2:6" x14ac:dyDescent="0.2">
      <c r="B32" s="1">
        <v>90</v>
      </c>
      <c r="C32" s="1"/>
      <c r="D32" s="1105">
        <v>0.4761904761904745</v>
      </c>
      <c r="E32" s="1"/>
      <c r="F32" s="1"/>
    </row>
    <row r="33" spans="2:6" x14ac:dyDescent="0.2">
      <c r="B33" s="1">
        <v>95</v>
      </c>
      <c r="C33" s="1"/>
      <c r="D33" s="1105">
        <v>1.0119047619047583</v>
      </c>
      <c r="E33" s="1"/>
      <c r="F33" s="1"/>
    </row>
    <row r="34" spans="2:6" x14ac:dyDescent="0.2">
      <c r="B34" s="1">
        <v>100</v>
      </c>
      <c r="C34" s="1"/>
      <c r="D34" s="1105">
        <v>1.7857142857142794</v>
      </c>
      <c r="E34" s="1"/>
      <c r="F34" s="1"/>
    </row>
    <row r="35" spans="2:6" x14ac:dyDescent="0.2">
      <c r="B35" s="1"/>
      <c r="C35" s="1"/>
      <c r="D35" s="1105"/>
      <c r="E35" s="1"/>
      <c r="F35" s="1"/>
    </row>
    <row r="36" spans="2:6" x14ac:dyDescent="0.2">
      <c r="B36" s="1">
        <v>25</v>
      </c>
      <c r="C36" s="1"/>
      <c r="D36" s="1107">
        <f t="shared" ref="D36:D51" si="2">0.0028*B36^2-0.41*B36+15</f>
        <v>6.5</v>
      </c>
      <c r="E36" s="1"/>
      <c r="F36" s="1"/>
    </row>
    <row r="37" spans="2:6" x14ac:dyDescent="0.2">
      <c r="B37" s="1">
        <v>30</v>
      </c>
      <c r="C37" s="1"/>
      <c r="D37" s="1107">
        <f t="shared" si="2"/>
        <v>5.2200000000000006</v>
      </c>
      <c r="E37" s="1"/>
      <c r="F37" s="1"/>
    </row>
    <row r="38" spans="2:6" x14ac:dyDescent="0.2">
      <c r="B38" s="1">
        <v>35</v>
      </c>
      <c r="C38" s="1"/>
      <c r="D38" s="1107">
        <f t="shared" si="2"/>
        <v>4.08</v>
      </c>
      <c r="E38" s="1"/>
      <c r="F38" s="1"/>
    </row>
    <row r="39" spans="2:6" x14ac:dyDescent="0.2">
      <c r="B39" s="1">
        <v>40</v>
      </c>
      <c r="C39" s="1"/>
      <c r="D39" s="1107">
        <f t="shared" si="2"/>
        <v>3.0800000000000018</v>
      </c>
      <c r="E39" s="1"/>
      <c r="F39" s="1"/>
    </row>
    <row r="40" spans="2:6" x14ac:dyDescent="0.2">
      <c r="B40" s="1">
        <v>45</v>
      </c>
      <c r="C40" s="1"/>
      <c r="D40" s="1107">
        <f t="shared" si="2"/>
        <v>2.2200000000000006</v>
      </c>
      <c r="E40" s="1"/>
      <c r="F40" s="1"/>
    </row>
    <row r="41" spans="2:6" x14ac:dyDescent="0.2">
      <c r="B41" s="1">
        <v>50</v>
      </c>
      <c r="C41" s="1"/>
      <c r="D41" s="1107">
        <f t="shared" si="2"/>
        <v>1.5</v>
      </c>
      <c r="E41" s="1"/>
      <c r="F41" s="1"/>
    </row>
    <row r="42" spans="2:6" x14ac:dyDescent="0.2">
      <c r="B42" s="1">
        <v>55</v>
      </c>
      <c r="C42" s="1"/>
      <c r="D42" s="1107">
        <f t="shared" si="2"/>
        <v>0.92000000000000348</v>
      </c>
      <c r="E42" s="1"/>
      <c r="F42" s="1"/>
    </row>
    <row r="43" spans="2:6" x14ac:dyDescent="0.2">
      <c r="B43" s="1">
        <v>60</v>
      </c>
      <c r="C43" s="1"/>
      <c r="D43" s="1107">
        <f t="shared" si="2"/>
        <v>0.4800000000000022</v>
      </c>
      <c r="E43" s="1"/>
      <c r="F43" s="1"/>
    </row>
    <row r="44" spans="2:6" x14ac:dyDescent="0.2">
      <c r="B44" s="1">
        <v>65</v>
      </c>
      <c r="C44" s="1"/>
      <c r="D44" s="1107">
        <f t="shared" si="2"/>
        <v>0.18000000000000149</v>
      </c>
      <c r="E44" s="1"/>
      <c r="F44" s="1"/>
    </row>
    <row r="45" spans="2:6" x14ac:dyDescent="0.2">
      <c r="B45" s="1">
        <v>70</v>
      </c>
      <c r="C45" s="1"/>
      <c r="D45" s="1107">
        <f t="shared" si="2"/>
        <v>2.000000000000135E-2</v>
      </c>
      <c r="E45" s="1"/>
      <c r="F45" s="1"/>
    </row>
    <row r="46" spans="2:6" x14ac:dyDescent="0.2">
      <c r="B46" s="1">
        <v>75</v>
      </c>
      <c r="C46" s="1"/>
      <c r="D46" s="1107">
        <f t="shared" si="2"/>
        <v>0</v>
      </c>
      <c r="E46" s="1"/>
      <c r="F46" s="1"/>
    </row>
    <row r="47" spans="2:6" x14ac:dyDescent="0.2">
      <c r="B47" s="1">
        <v>80</v>
      </c>
      <c r="C47" s="1"/>
      <c r="D47" s="1107">
        <f t="shared" si="2"/>
        <v>0.12000000000000099</v>
      </c>
      <c r="E47" s="1"/>
      <c r="F47" s="1"/>
    </row>
    <row r="48" spans="2:6" x14ac:dyDescent="0.2">
      <c r="B48" s="1">
        <v>85</v>
      </c>
      <c r="C48" s="1"/>
      <c r="D48" s="1107">
        <f t="shared" si="2"/>
        <v>0.37999999999999901</v>
      </c>
      <c r="E48" s="1"/>
      <c r="F48" s="1"/>
    </row>
    <row r="49" spans="2:6" x14ac:dyDescent="0.2">
      <c r="B49" s="1">
        <v>90</v>
      </c>
      <c r="C49" s="1"/>
      <c r="D49" s="1107">
        <f t="shared" si="2"/>
        <v>0.78000000000000114</v>
      </c>
      <c r="E49" s="1"/>
      <c r="F49" s="1"/>
    </row>
    <row r="50" spans="2:6" x14ac:dyDescent="0.2">
      <c r="B50" s="1">
        <v>95</v>
      </c>
      <c r="C50" s="1"/>
      <c r="D50" s="1107">
        <f t="shared" si="2"/>
        <v>1.3200000000000038</v>
      </c>
      <c r="E50" s="1"/>
      <c r="F50" s="1"/>
    </row>
    <row r="51" spans="2:6" x14ac:dyDescent="0.2">
      <c r="B51" s="1">
        <v>100</v>
      </c>
      <c r="C51" s="1"/>
      <c r="D51" s="1107">
        <f t="shared" si="2"/>
        <v>2</v>
      </c>
      <c r="E51" s="1"/>
      <c r="F51" s="1"/>
    </row>
  </sheetData>
  <phoneticPr fontId="2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7"/>
  <sheetViews>
    <sheetView topLeftCell="A43" workbookViewId="0">
      <selection activeCell="A47" sqref="A47:B47"/>
    </sheetView>
  </sheetViews>
  <sheetFormatPr defaultRowHeight="12.75" x14ac:dyDescent="0.2"/>
  <cols>
    <col min="1" max="1" width="12.7109375" style="1" customWidth="1"/>
    <col min="2" max="2" width="76" bestFit="1" customWidth="1"/>
  </cols>
  <sheetData>
    <row r="2" spans="1:2" x14ac:dyDescent="0.2">
      <c r="A2" s="1" t="s">
        <v>420</v>
      </c>
      <c r="B2" t="s">
        <v>421</v>
      </c>
    </row>
    <row r="3" spans="1:2" x14ac:dyDescent="0.2">
      <c r="A3" s="1">
        <v>140</v>
      </c>
    </row>
    <row r="45" spans="1:2" x14ac:dyDescent="0.2">
      <c r="A45" s="1094">
        <v>41319</v>
      </c>
      <c r="B45" s="1093" t="s">
        <v>422</v>
      </c>
    </row>
    <row r="46" spans="1:2" x14ac:dyDescent="0.2">
      <c r="A46" s="1092">
        <v>42049</v>
      </c>
      <c r="B46" t="s">
        <v>585</v>
      </c>
    </row>
    <row r="47" spans="1:2" x14ac:dyDescent="0.2">
      <c r="A47" s="1092">
        <v>42049</v>
      </c>
      <c r="B47" t="s">
        <v>586</v>
      </c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49"/>
  <sheetViews>
    <sheetView topLeftCell="A16" workbookViewId="0">
      <selection activeCell="F28" sqref="F28"/>
    </sheetView>
  </sheetViews>
  <sheetFormatPr defaultRowHeight="12.75" x14ac:dyDescent="0.2"/>
  <cols>
    <col min="1" max="1" width="28.42578125" style="839" customWidth="1"/>
    <col min="2" max="2" width="8" style="839" customWidth="1"/>
    <col min="3" max="3" width="9.42578125" style="839" customWidth="1"/>
    <col min="4" max="4" width="8.85546875" style="839" customWidth="1"/>
    <col min="5" max="5" width="8" style="839" customWidth="1"/>
    <col min="6" max="6" width="7.85546875" style="839" customWidth="1"/>
    <col min="7" max="7" width="8.85546875" style="9" customWidth="1"/>
    <col min="8" max="8" width="7.7109375" style="9" customWidth="1"/>
    <col min="9" max="9" width="37.42578125" style="9" bestFit="1" customWidth="1"/>
    <col min="10" max="11" width="13.7109375" customWidth="1"/>
    <col min="12" max="12" width="11.140625" customWidth="1"/>
  </cols>
  <sheetData>
    <row r="1" spans="1:7" ht="13.9" customHeight="1" x14ac:dyDescent="0.2">
      <c r="A1" s="1020" t="s">
        <v>538</v>
      </c>
      <c r="B1" s="1018" t="s">
        <v>537</v>
      </c>
      <c r="C1" s="1018" t="s">
        <v>536</v>
      </c>
      <c r="D1" s="1019" t="s">
        <v>535</v>
      </c>
      <c r="E1" s="1018" t="s">
        <v>534</v>
      </c>
      <c r="F1" s="1017" t="s">
        <v>533</v>
      </c>
    </row>
    <row r="2" spans="1:7" ht="13.9" customHeight="1" x14ac:dyDescent="0.2">
      <c r="A2" s="1016" t="s">
        <v>532</v>
      </c>
      <c r="B2" s="1014" t="s">
        <v>531</v>
      </c>
      <c r="C2" s="1014" t="s">
        <v>530</v>
      </c>
      <c r="D2" s="1015" t="s">
        <v>529</v>
      </c>
      <c r="E2" s="1014" t="s">
        <v>528</v>
      </c>
      <c r="F2" s="1013" t="s">
        <v>527</v>
      </c>
    </row>
    <row r="3" spans="1:7" ht="13.9" customHeight="1" x14ac:dyDescent="0.2">
      <c r="A3" s="1003" t="s">
        <v>526</v>
      </c>
      <c r="B3" s="991">
        <v>0.2</v>
      </c>
      <c r="C3" s="1012">
        <v>0.2</v>
      </c>
      <c r="D3" s="993">
        <v>0.2</v>
      </c>
      <c r="E3" s="1011">
        <v>0.2</v>
      </c>
      <c r="F3" s="941">
        <v>0.2</v>
      </c>
    </row>
    <row r="4" spans="1:7" ht="13.9" customHeight="1" x14ac:dyDescent="0.2">
      <c r="A4" s="986" t="s">
        <v>525</v>
      </c>
      <c r="B4" s="997">
        <v>7</v>
      </c>
      <c r="C4" s="997">
        <v>5</v>
      </c>
      <c r="D4" s="1010">
        <v>3.5</v>
      </c>
      <c r="E4" s="997">
        <v>2</v>
      </c>
      <c r="F4" s="1009">
        <v>0.4</v>
      </c>
    </row>
    <row r="5" spans="1:7" ht="13.9" customHeight="1" x14ac:dyDescent="0.2">
      <c r="A5" s="986" t="s">
        <v>524</v>
      </c>
      <c r="B5" s="991">
        <v>1.2</v>
      </c>
      <c r="C5" s="991">
        <v>1.2</v>
      </c>
      <c r="D5" s="992">
        <v>0.1</v>
      </c>
      <c r="E5" s="991">
        <v>0.1</v>
      </c>
      <c r="F5" s="943">
        <v>0.1</v>
      </c>
    </row>
    <row r="6" spans="1:7" ht="13.9" customHeight="1" x14ac:dyDescent="0.2">
      <c r="A6" s="986" t="s">
        <v>523</v>
      </c>
      <c r="B6" s="991">
        <v>0.3</v>
      </c>
      <c r="C6" s="991">
        <v>0.25</v>
      </c>
      <c r="D6" s="988">
        <v>1.4999999999999999E-2</v>
      </c>
      <c r="E6" s="988">
        <v>1.4999999999999999E-2</v>
      </c>
      <c r="F6" s="940">
        <v>4.0000000000000001E-3</v>
      </c>
    </row>
    <row r="7" spans="1:7" ht="13.9" customHeight="1" x14ac:dyDescent="0.2">
      <c r="A7" s="986" t="s">
        <v>522</v>
      </c>
      <c r="B7" s="991">
        <v>0.15</v>
      </c>
      <c r="C7" s="991">
        <v>0.1</v>
      </c>
      <c r="D7" s="992">
        <v>0.02</v>
      </c>
      <c r="E7" s="991">
        <v>0.02</v>
      </c>
      <c r="F7" s="943">
        <v>0.01</v>
      </c>
    </row>
    <row r="8" spans="1:7" ht="13.9" customHeight="1" x14ac:dyDescent="0.2">
      <c r="A8" s="1008" t="s">
        <v>521</v>
      </c>
      <c r="B8" s="1007">
        <v>1E-3</v>
      </c>
      <c r="C8" s="1007">
        <f>B8</f>
        <v>1E-3</v>
      </c>
      <c r="D8" s="1007">
        <f>C8</f>
        <v>1E-3</v>
      </c>
      <c r="E8" s="1007">
        <f>D8</f>
        <v>1E-3</v>
      </c>
      <c r="F8" s="1006">
        <f>E8</f>
        <v>1E-3</v>
      </c>
    </row>
    <row r="9" spans="1:7" ht="13.9" customHeight="1" x14ac:dyDescent="0.25">
      <c r="A9" s="996" t="s">
        <v>520</v>
      </c>
      <c r="B9" s="1004">
        <f>B3*20*B8</f>
        <v>4.0000000000000001E-3</v>
      </c>
      <c r="C9" s="1004">
        <f>C3*20*C8</f>
        <v>4.0000000000000001E-3</v>
      </c>
      <c r="D9" s="1005">
        <f>D3*20*D8</f>
        <v>4.0000000000000001E-3</v>
      </c>
      <c r="E9" s="1004">
        <f>E3*20*E8</f>
        <v>4.0000000000000001E-3</v>
      </c>
      <c r="F9" s="939">
        <f>F3*20*F8</f>
        <v>4.0000000000000001E-3</v>
      </c>
    </row>
    <row r="10" spans="1:7" ht="13.9" customHeight="1" x14ac:dyDescent="0.25">
      <c r="A10" s="1003" t="s">
        <v>519</v>
      </c>
      <c r="B10" s="1001">
        <v>3206</v>
      </c>
      <c r="C10" s="1001">
        <v>3206</v>
      </c>
      <c r="D10" s="1002">
        <v>3206</v>
      </c>
      <c r="E10" s="1001">
        <v>3206</v>
      </c>
      <c r="F10" s="1000">
        <v>3206</v>
      </c>
      <c r="G10" s="999" t="s">
        <v>518</v>
      </c>
    </row>
    <row r="11" spans="1:7" ht="13.9" customHeight="1" x14ac:dyDescent="0.2">
      <c r="A11" s="986" t="s">
        <v>517</v>
      </c>
      <c r="B11" s="997">
        <f>B4/B3</f>
        <v>35</v>
      </c>
      <c r="C11" s="997">
        <f>C4/C3</f>
        <v>25</v>
      </c>
      <c r="D11" s="998">
        <f>D4/D3</f>
        <v>17.5</v>
      </c>
      <c r="E11" s="997">
        <f>E4/E3</f>
        <v>10</v>
      </c>
      <c r="F11" s="945">
        <f>F4/F3</f>
        <v>2</v>
      </c>
    </row>
    <row r="12" spans="1:7" ht="13.9" customHeight="1" x14ac:dyDescent="0.2">
      <c r="A12" s="986" t="s">
        <v>516</v>
      </c>
      <c r="B12" s="997">
        <f>B5/B3</f>
        <v>5.9999999999999991</v>
      </c>
      <c r="C12" s="997">
        <f>C5/C3</f>
        <v>5.9999999999999991</v>
      </c>
      <c r="D12" s="998">
        <f>D5/D3</f>
        <v>0.5</v>
      </c>
      <c r="E12" s="997">
        <f>E5/E3</f>
        <v>0.5</v>
      </c>
      <c r="F12" s="945">
        <f>F5/F3</f>
        <v>0.5</v>
      </c>
    </row>
    <row r="13" spans="1:7" ht="13.9" customHeight="1" x14ac:dyDescent="0.2">
      <c r="A13" s="986" t="s">
        <v>515</v>
      </c>
      <c r="B13" s="991">
        <f>B6/B3</f>
        <v>1.4999999999999998</v>
      </c>
      <c r="C13" s="991">
        <f>C6/C3</f>
        <v>1.25</v>
      </c>
      <c r="D13" s="988">
        <f>D6/D3</f>
        <v>7.4999999999999997E-2</v>
      </c>
      <c r="E13" s="987">
        <f>E6/E3</f>
        <v>7.4999999999999997E-2</v>
      </c>
      <c r="F13" s="943">
        <f>F6/F3</f>
        <v>0.02</v>
      </c>
    </row>
    <row r="14" spans="1:7" ht="13.9" customHeight="1" x14ac:dyDescent="0.2">
      <c r="A14" s="986" t="s">
        <v>514</v>
      </c>
      <c r="B14" s="991">
        <f>B7/B3</f>
        <v>0.74999999999999989</v>
      </c>
      <c r="C14" s="991">
        <f>C7/C3</f>
        <v>0.5</v>
      </c>
      <c r="D14" s="992">
        <f>D7/D3</f>
        <v>9.9999999999999992E-2</v>
      </c>
      <c r="E14" s="991">
        <f>E7/E3</f>
        <v>9.9999999999999992E-2</v>
      </c>
      <c r="F14" s="943">
        <f>F7/F3</f>
        <v>4.9999999999999996E-2</v>
      </c>
    </row>
    <row r="15" spans="1:7" ht="13.9" customHeight="1" x14ac:dyDescent="0.25">
      <c r="A15" s="996" t="s">
        <v>513</v>
      </c>
      <c r="B15" s="994">
        <f>B9/B3</f>
        <v>0.02</v>
      </c>
      <c r="C15" s="994">
        <f>C9/C3</f>
        <v>0.02</v>
      </c>
      <c r="D15" s="995">
        <f>D9/D3</f>
        <v>0.02</v>
      </c>
      <c r="E15" s="994">
        <f>E9/E3</f>
        <v>0.02</v>
      </c>
      <c r="F15" s="942">
        <f>F9/F3</f>
        <v>0.02</v>
      </c>
    </row>
    <row r="16" spans="1:7" ht="13.9" customHeight="1" x14ac:dyDescent="0.2">
      <c r="A16" s="986" t="s">
        <v>512</v>
      </c>
      <c r="B16" s="991">
        <f>B4/B3/B21</f>
        <v>0.81775700934579443</v>
      </c>
      <c r="C16" s="991">
        <f>C4/C3/B21</f>
        <v>0.58411214953271029</v>
      </c>
      <c r="D16" s="993">
        <f>D4/D3/B21</f>
        <v>0.40887850467289721</v>
      </c>
      <c r="E16" s="991">
        <f>E4/E3/B21</f>
        <v>0.23364485981308414</v>
      </c>
      <c r="F16" s="941">
        <f>F4/F3/B21</f>
        <v>4.6728971962616828E-2</v>
      </c>
    </row>
    <row r="17" spans="1:12" ht="13.9" customHeight="1" x14ac:dyDescent="0.2">
      <c r="A17" s="986" t="s">
        <v>511</v>
      </c>
      <c r="B17" s="991">
        <f>B5/B3/B21</f>
        <v>0.14018691588785046</v>
      </c>
      <c r="C17" s="991">
        <f>C5/C3/B21</f>
        <v>0.14018691588785046</v>
      </c>
      <c r="D17" s="992">
        <f>D5/D3/B21</f>
        <v>1.1682242990654207E-2</v>
      </c>
      <c r="E17" s="991">
        <f>E5/E3/B21</f>
        <v>1.1682242990654207E-2</v>
      </c>
      <c r="F17" s="943">
        <f>F5/F3/B21</f>
        <v>1.1682242990654207E-2</v>
      </c>
    </row>
    <row r="18" spans="1:12" ht="13.9" customHeight="1" x14ac:dyDescent="0.2">
      <c r="A18" s="986" t="s">
        <v>510</v>
      </c>
      <c r="B18" s="987">
        <f>B6/B3/B21</f>
        <v>3.5046728971962614E-2</v>
      </c>
      <c r="C18" s="987">
        <f>C6/C3/B21</f>
        <v>2.9205607476635517E-2</v>
      </c>
      <c r="D18" s="990">
        <f>D6/D3/B21</f>
        <v>1.7523364485981308E-3</v>
      </c>
      <c r="E18" s="989">
        <f>E6/E3/B21</f>
        <v>1.7523364485981308E-3</v>
      </c>
      <c r="F18" s="927">
        <f>F6/F3/B21</f>
        <v>4.6728971962616824E-4</v>
      </c>
    </row>
    <row r="19" spans="1:12" ht="13.9" customHeight="1" x14ac:dyDescent="0.2">
      <c r="A19" s="986" t="s">
        <v>509</v>
      </c>
      <c r="B19" s="987">
        <f>B7/B3/B21</f>
        <v>1.7523364485981307E-2</v>
      </c>
      <c r="C19" s="987">
        <f>C7/C3/B21</f>
        <v>1.1682242990654207E-2</v>
      </c>
      <c r="D19" s="988">
        <f>D7/D3/B21</f>
        <v>2.3364485981308409E-3</v>
      </c>
      <c r="E19" s="987">
        <f>E7/E3/B21</f>
        <v>2.3364485981308409E-3</v>
      </c>
      <c r="F19" s="940">
        <f>F7/F3/B21</f>
        <v>1.1682242990654205E-3</v>
      </c>
      <c r="L19" s="328"/>
    </row>
    <row r="20" spans="1:12" ht="13.9" customHeight="1" thickBot="1" x14ac:dyDescent="0.3">
      <c r="A20" s="986" t="s">
        <v>508</v>
      </c>
      <c r="B20" s="985">
        <f>B9/B3/B21</f>
        <v>4.6728971962616824E-4</v>
      </c>
      <c r="C20" s="985">
        <f>C9/C3/B21</f>
        <v>4.6728971962616824E-4</v>
      </c>
      <c r="D20" s="984">
        <f>D9/D3/B21</f>
        <v>4.6728971962616824E-4</v>
      </c>
      <c r="E20" s="983">
        <f>E9/E3/B21</f>
        <v>4.6728971962616824E-4</v>
      </c>
      <c r="F20" s="923">
        <f>F9/F3/B21</f>
        <v>4.6728971962616824E-4</v>
      </c>
      <c r="L20" s="328"/>
    </row>
    <row r="21" spans="1:12" ht="13.9" customHeight="1" thickBot="1" x14ac:dyDescent="0.25">
      <c r="A21" s="949" t="s">
        <v>507</v>
      </c>
      <c r="B21" s="982">
        <v>42.8</v>
      </c>
      <c r="C21" s="981"/>
      <c r="D21" s="980"/>
      <c r="L21" s="328"/>
    </row>
    <row r="22" spans="1:12" ht="13.9" customHeight="1" x14ac:dyDescent="0.2">
      <c r="A22" s="979" t="s">
        <v>539</v>
      </c>
      <c r="B22" s="978"/>
      <c r="C22" s="977"/>
      <c r="D22" s="1052">
        <v>5</v>
      </c>
      <c r="I22" s="976" t="s">
        <v>506</v>
      </c>
      <c r="J22" s="975"/>
      <c r="K22" s="974"/>
      <c r="L22" s="969"/>
    </row>
    <row r="23" spans="1:12" ht="13.9" customHeight="1" x14ac:dyDescent="0.2">
      <c r="A23" s="968" t="s">
        <v>505</v>
      </c>
      <c r="B23" s="967"/>
      <c r="C23" s="966" t="s">
        <v>504</v>
      </c>
      <c r="D23" s="1053">
        <v>2</v>
      </c>
      <c r="I23" s="973" t="s">
        <v>503</v>
      </c>
      <c r="J23" s="972" t="s">
        <v>502</v>
      </c>
      <c r="K23" s="1021">
        <v>30</v>
      </c>
      <c r="L23" s="969"/>
    </row>
    <row r="24" spans="1:12" ht="13.9" customHeight="1" x14ac:dyDescent="0.2">
      <c r="A24" s="968" t="s">
        <v>501</v>
      </c>
      <c r="B24" s="967"/>
      <c r="C24" s="966" t="s">
        <v>372</v>
      </c>
      <c r="D24" s="1054">
        <v>10</v>
      </c>
      <c r="I24" s="971" t="s">
        <v>500</v>
      </c>
      <c r="J24" s="970" t="s">
        <v>176</v>
      </c>
      <c r="K24" s="1022">
        <v>50</v>
      </c>
      <c r="L24" s="969"/>
    </row>
    <row r="25" spans="1:12" ht="13.9" customHeight="1" x14ac:dyDescent="0.2">
      <c r="A25" s="968" t="s">
        <v>499</v>
      </c>
      <c r="B25" s="967"/>
      <c r="C25" s="966" t="s">
        <v>173</v>
      </c>
      <c r="D25" s="1054">
        <v>16</v>
      </c>
      <c r="I25" s="952" t="s">
        <v>498</v>
      </c>
      <c r="J25" s="951" t="s">
        <v>497</v>
      </c>
      <c r="K25" s="965">
        <f>K23/60*D3*B21</f>
        <v>4.28</v>
      </c>
      <c r="L25" s="328"/>
    </row>
    <row r="26" spans="1:12" ht="13.9" customHeight="1" thickBot="1" x14ac:dyDescent="0.25">
      <c r="A26" s="964" t="s">
        <v>496</v>
      </c>
      <c r="B26" s="963"/>
      <c r="C26" s="962" t="s">
        <v>495</v>
      </c>
      <c r="D26" s="1055">
        <v>400</v>
      </c>
      <c r="I26" s="952" t="s">
        <v>494</v>
      </c>
      <c r="J26" s="951" t="s">
        <v>478</v>
      </c>
      <c r="K26" s="958">
        <f>K23/60*D3*1000</f>
        <v>100</v>
      </c>
      <c r="L26" s="328"/>
    </row>
    <row r="27" spans="1:12" ht="13.9" customHeight="1" x14ac:dyDescent="0.25">
      <c r="A27" s="930" t="s">
        <v>493</v>
      </c>
      <c r="B27" s="961"/>
      <c r="C27" s="960" t="s">
        <v>492</v>
      </c>
      <c r="D27" s="959">
        <f>D23*D24</f>
        <v>20</v>
      </c>
      <c r="I27" s="952" t="s">
        <v>491</v>
      </c>
      <c r="J27" s="951" t="s">
        <v>478</v>
      </c>
      <c r="K27" s="958">
        <f>K26*B10/1000</f>
        <v>320.60000000000002</v>
      </c>
      <c r="L27" s="328"/>
    </row>
    <row r="28" spans="1:12" ht="13.9" customHeight="1" x14ac:dyDescent="0.2">
      <c r="A28" s="957" t="s">
        <v>490</v>
      </c>
      <c r="B28" s="929"/>
      <c r="C28" s="956" t="s">
        <v>193</v>
      </c>
      <c r="D28" s="955">
        <f>MAX(1,(IF(D26&lt;20,140-D26*1.4,IF(D26&lt;55,112-(D26-20)*0.25,IF(D26&lt;205,103.25-(D26-55)*0.015,100.7-(D26-225)*0.005))))/100)</f>
        <v>1</v>
      </c>
      <c r="I28" s="952" t="s">
        <v>489</v>
      </c>
      <c r="J28" s="951" t="s">
        <v>478</v>
      </c>
      <c r="K28" s="954">
        <f>K25*IF(D22=2,B16,IF(D22=3,C16,IF(D22=4,D16,IF(D22=5,E16,F16))))</f>
        <v>1.0000000000000002</v>
      </c>
    </row>
    <row r="29" spans="1:12" ht="13.9" customHeight="1" x14ac:dyDescent="0.2">
      <c r="A29" s="930" t="s">
        <v>488</v>
      </c>
      <c r="B29" s="938"/>
      <c r="C29" s="928" t="s">
        <v>487</v>
      </c>
      <c r="D29" s="1123">
        <f>(7.5+0.27*D27-0.001*D27^2)/D23</f>
        <v>6.25</v>
      </c>
      <c r="I29" s="952" t="s">
        <v>486</v>
      </c>
      <c r="J29" s="951" t="s">
        <v>478</v>
      </c>
      <c r="K29" s="950">
        <f>K25*IF(D22=2,B18,IF(D22=3,C18,IF(D22=4,D18,IF(D22=5,E18,F18))))</f>
        <v>7.5000000000000006E-3</v>
      </c>
    </row>
    <row r="30" spans="1:12" ht="13.9" customHeight="1" x14ac:dyDescent="0.2">
      <c r="A30" s="930" t="s">
        <v>485</v>
      </c>
      <c r="B30" s="929"/>
      <c r="C30" s="928" t="s">
        <v>484</v>
      </c>
      <c r="D30" s="943">
        <f>D29*D23/D25</f>
        <v>0.78125</v>
      </c>
      <c r="I30" s="952" t="s">
        <v>483</v>
      </c>
      <c r="J30" s="951" t="s">
        <v>478</v>
      </c>
      <c r="K30" s="953">
        <f>K25*IF(D22=2,B17,IF(D22=3,C17,IF(D22=4,D17,IF(D22=5,E17,F17))))</f>
        <v>5.000000000000001E-2</v>
      </c>
    </row>
    <row r="31" spans="1:12" ht="13.9" customHeight="1" x14ac:dyDescent="0.2">
      <c r="A31" s="937" t="s">
        <v>482</v>
      </c>
      <c r="B31" s="936"/>
      <c r="C31" s="935" t="s">
        <v>373</v>
      </c>
      <c r="D31" s="942">
        <f>D29/D24</f>
        <v>0.625</v>
      </c>
      <c r="I31" s="952" t="s">
        <v>481</v>
      </c>
      <c r="J31" s="951" t="s">
        <v>478</v>
      </c>
      <c r="K31" s="950">
        <f>K25*IF(D22=2,B20,IF(D22=3,C20,IF(D22=4,D20,IF(D22=5,E20,F20))))</f>
        <v>2E-3</v>
      </c>
    </row>
    <row r="32" spans="1:12" ht="13.9" customHeight="1" thickBot="1" x14ac:dyDescent="0.25">
      <c r="A32" s="933" t="s">
        <v>480</v>
      </c>
      <c r="B32" s="929"/>
      <c r="C32" s="932" t="s">
        <v>459</v>
      </c>
      <c r="D32" s="946">
        <f>1000*D29/B21</f>
        <v>146.02803738317758</v>
      </c>
      <c r="I32" s="949" t="s">
        <v>479</v>
      </c>
      <c r="J32" s="948" t="s">
        <v>478</v>
      </c>
      <c r="K32" s="947">
        <f>K25*IF(D22=2,B19,IF(D22=3,C19,IF(D22=4,D19,IF(D22=5,E19,F19))))</f>
        <v>0.01</v>
      </c>
    </row>
    <row r="33" spans="1:4" ht="13.9" customHeight="1" x14ac:dyDescent="0.2">
      <c r="A33" s="930" t="s">
        <v>477</v>
      </c>
      <c r="B33" s="929"/>
      <c r="C33" s="928" t="s">
        <v>457</v>
      </c>
      <c r="D33" s="945">
        <f>D32*D23/D25</f>
        <v>18.253504672897197</v>
      </c>
    </row>
    <row r="34" spans="1:4" ht="13.9" customHeight="1" x14ac:dyDescent="0.2">
      <c r="A34" s="937" t="s">
        <v>476</v>
      </c>
      <c r="B34" s="929"/>
      <c r="C34" s="935" t="s">
        <v>425</v>
      </c>
      <c r="D34" s="944">
        <f>D32/D24</f>
        <v>14.602803738317757</v>
      </c>
    </row>
    <row r="35" spans="1:4" ht="13.9" customHeight="1" x14ac:dyDescent="0.25">
      <c r="A35" s="933" t="s">
        <v>475</v>
      </c>
      <c r="B35" s="938"/>
      <c r="C35" s="932" t="s">
        <v>459</v>
      </c>
      <c r="D35" s="946">
        <f>D32*B10/1000</f>
        <v>468.1658878504673</v>
      </c>
    </row>
    <row r="36" spans="1:4" ht="13.9" customHeight="1" x14ac:dyDescent="0.25">
      <c r="A36" s="930" t="s">
        <v>474</v>
      </c>
      <c r="B36" s="929"/>
      <c r="C36" s="928" t="s">
        <v>457</v>
      </c>
      <c r="D36" s="945">
        <f>D35*D23/D25</f>
        <v>58.520735981308412</v>
      </c>
    </row>
    <row r="37" spans="1:4" ht="13.9" customHeight="1" x14ac:dyDescent="0.25">
      <c r="A37" s="937" t="s">
        <v>473</v>
      </c>
      <c r="B37" s="936"/>
      <c r="C37" s="935" t="s">
        <v>425</v>
      </c>
      <c r="D37" s="944">
        <f>D35/D24</f>
        <v>46.816588785046733</v>
      </c>
    </row>
    <row r="38" spans="1:4" ht="13.9" customHeight="1" x14ac:dyDescent="0.2">
      <c r="A38" s="933" t="s">
        <v>472</v>
      </c>
      <c r="B38" s="929"/>
      <c r="C38" s="932" t="s">
        <v>459</v>
      </c>
      <c r="D38" s="941">
        <f>D29*IF(D22=2,B16,IF(D22=3,C16,IF(D22=4,D16,IF(D22=5,E16,F16))))</f>
        <v>1.4602803738317758</v>
      </c>
    </row>
    <row r="39" spans="1:4" ht="13.9" customHeight="1" x14ac:dyDescent="0.2">
      <c r="A39" s="930" t="s">
        <v>471</v>
      </c>
      <c r="B39" s="929"/>
      <c r="C39" s="928" t="s">
        <v>457</v>
      </c>
      <c r="D39" s="943">
        <f>D38*D23/D25</f>
        <v>0.18253504672897197</v>
      </c>
    </row>
    <row r="40" spans="1:4" ht="13.9" customHeight="1" x14ac:dyDescent="0.2">
      <c r="A40" s="937" t="s">
        <v>470</v>
      </c>
      <c r="B40" s="929"/>
      <c r="C40" s="935" t="s">
        <v>425</v>
      </c>
      <c r="D40" s="942">
        <f>D38/D24</f>
        <v>0.14602803738317757</v>
      </c>
    </row>
    <row r="41" spans="1:4" ht="13.9" customHeight="1" x14ac:dyDescent="0.2">
      <c r="A41" s="933" t="s">
        <v>469</v>
      </c>
      <c r="B41" s="938"/>
      <c r="C41" s="932" t="s">
        <v>459</v>
      </c>
      <c r="D41" s="931">
        <f>D29*IF(D22=2,B18,IF(D22=3,C18,IF(D22=4,D18,IF(D22=5,E18,F18))))</f>
        <v>1.0952102803738317E-2</v>
      </c>
    </row>
    <row r="42" spans="1:4" ht="13.9" customHeight="1" x14ac:dyDescent="0.2">
      <c r="A42" s="930" t="s">
        <v>468</v>
      </c>
      <c r="B42" s="929"/>
      <c r="C42" s="928" t="s">
        <v>457</v>
      </c>
      <c r="D42" s="927">
        <f>D41*D23/D25</f>
        <v>1.3690128504672897E-3</v>
      </c>
    </row>
    <row r="43" spans="1:4" ht="13.9" customHeight="1" x14ac:dyDescent="0.2">
      <c r="A43" s="937" t="s">
        <v>467</v>
      </c>
      <c r="B43" s="936"/>
      <c r="C43" s="935" t="s">
        <v>425</v>
      </c>
      <c r="D43" s="934">
        <f>D41/D24</f>
        <v>1.0952102803738317E-3</v>
      </c>
    </row>
    <row r="44" spans="1:4" ht="13.9" customHeight="1" x14ac:dyDescent="0.2">
      <c r="A44" s="933" t="s">
        <v>466</v>
      </c>
      <c r="B44" s="929"/>
      <c r="C44" s="932" t="s">
        <v>459</v>
      </c>
      <c r="D44" s="941">
        <f>D29*IF(D22=2,B17,IF(D22=3,C17,IF(D22=4,D17,IF(D22=5,E17,F17))))</f>
        <v>7.30140186915888E-2</v>
      </c>
    </row>
    <row r="45" spans="1:4" ht="13.9" customHeight="1" x14ac:dyDescent="0.2">
      <c r="A45" s="930" t="s">
        <v>465</v>
      </c>
      <c r="B45" s="929"/>
      <c r="C45" s="928" t="s">
        <v>457</v>
      </c>
      <c r="D45" s="940">
        <f>D44*D23/D25</f>
        <v>9.1267523364486E-3</v>
      </c>
    </row>
    <row r="46" spans="1:4" ht="13.9" customHeight="1" x14ac:dyDescent="0.2">
      <c r="A46" s="937" t="s">
        <v>464</v>
      </c>
      <c r="B46" s="929"/>
      <c r="C46" s="935" t="s">
        <v>425</v>
      </c>
      <c r="D46" s="939">
        <f>D44/D24</f>
        <v>7.3014018691588802E-3</v>
      </c>
    </row>
    <row r="47" spans="1:4" ht="13.9" customHeight="1" x14ac:dyDescent="0.2">
      <c r="A47" s="933" t="s">
        <v>463</v>
      </c>
      <c r="B47" s="938"/>
      <c r="C47" s="932" t="s">
        <v>459</v>
      </c>
      <c r="D47" s="931">
        <f>D29*IF(D22=2,B20,IF(D22=3,C20,IF(D22=4,D20,IF(D22=5,E20,F20))))</f>
        <v>2.9205607476635517E-3</v>
      </c>
    </row>
    <row r="48" spans="1:4" ht="13.9" customHeight="1" x14ac:dyDescent="0.2">
      <c r="A48" s="930" t="s">
        <v>462</v>
      </c>
      <c r="B48" s="929"/>
      <c r="C48" s="928" t="s">
        <v>457</v>
      </c>
      <c r="D48" s="927">
        <f>D47*D23/D25</f>
        <v>3.6507009345794397E-4</v>
      </c>
    </row>
    <row r="49" spans="1:8" ht="13.9" customHeight="1" x14ac:dyDescent="0.2">
      <c r="A49" s="937" t="s">
        <v>461</v>
      </c>
      <c r="B49" s="936"/>
      <c r="C49" s="935" t="s">
        <v>425</v>
      </c>
      <c r="D49" s="934">
        <f>D47/D24</f>
        <v>2.9205607476635517E-4</v>
      </c>
    </row>
    <row r="50" spans="1:8" ht="13.9" customHeight="1" x14ac:dyDescent="0.2">
      <c r="A50" s="933" t="s">
        <v>460</v>
      </c>
      <c r="B50" s="929"/>
      <c r="C50" s="932" t="s">
        <v>459</v>
      </c>
      <c r="D50" s="931">
        <f>D29*IF(D22=2,B19,IF(D22=3,C19,IF(D22=4,D19,IF(D22=5,E19,F19))))</f>
        <v>1.4602803738317755E-2</v>
      </c>
    </row>
    <row r="51" spans="1:8" ht="13.9" customHeight="1" x14ac:dyDescent="0.2">
      <c r="A51" s="930" t="s">
        <v>458</v>
      </c>
      <c r="B51" s="929"/>
      <c r="C51" s="928" t="s">
        <v>457</v>
      </c>
      <c r="D51" s="927">
        <f>D50*D23/D25</f>
        <v>1.8253504672897194E-3</v>
      </c>
    </row>
    <row r="52" spans="1:8" ht="13.9" customHeight="1" thickBot="1" x14ac:dyDescent="0.25">
      <c r="A52" s="926" t="s">
        <v>456</v>
      </c>
      <c r="B52" s="925"/>
      <c r="C52" s="924" t="s">
        <v>425</v>
      </c>
      <c r="D52" s="923">
        <f>D50/D24</f>
        <v>1.4602803738317754E-3</v>
      </c>
    </row>
    <row r="53" spans="1:8" ht="15" customHeight="1" x14ac:dyDescent="0.2">
      <c r="A53" s="922"/>
      <c r="B53" s="919"/>
      <c r="C53" s="918"/>
    </row>
    <row r="54" spans="1:8" ht="15" customHeight="1" x14ac:dyDescent="0.25">
      <c r="A54" s="921" t="s">
        <v>455</v>
      </c>
      <c r="B54" s="919"/>
      <c r="C54" s="918"/>
    </row>
    <row r="55" spans="1:8" ht="15" customHeight="1" thickBot="1" x14ac:dyDescent="0.3">
      <c r="A55" s="920"/>
      <c r="B55" s="919"/>
      <c r="C55" s="918"/>
    </row>
    <row r="56" spans="1:8" ht="16.5" thickBot="1" x14ac:dyDescent="0.3">
      <c r="A56" s="917"/>
      <c r="B56" s="915"/>
      <c r="C56" s="914" t="s">
        <v>454</v>
      </c>
      <c r="D56" s="916"/>
      <c r="E56" s="915"/>
      <c r="F56" s="914" t="s">
        <v>453</v>
      </c>
      <c r="G56" s="913"/>
      <c r="H56" s="912" t="s">
        <v>452</v>
      </c>
    </row>
    <row r="57" spans="1:8" ht="18.75" thickBot="1" x14ac:dyDescent="0.3">
      <c r="A57" s="861" t="s">
        <v>451</v>
      </c>
      <c r="B57" s="859" t="s">
        <v>445</v>
      </c>
      <c r="C57" s="858" t="s">
        <v>444</v>
      </c>
      <c r="D57" s="860" t="s">
        <v>443</v>
      </c>
      <c r="E57" s="859" t="s">
        <v>445</v>
      </c>
      <c r="F57" s="858" t="s">
        <v>444</v>
      </c>
      <c r="G57" s="857" t="s">
        <v>443</v>
      </c>
      <c r="H57" s="911" t="s">
        <v>450</v>
      </c>
    </row>
    <row r="58" spans="1:8" x14ac:dyDescent="0.2">
      <c r="A58" s="855" t="s">
        <v>442</v>
      </c>
      <c r="B58" s="908">
        <v>35.097999999999999</v>
      </c>
      <c r="C58" s="908">
        <v>39.456000000000003</v>
      </c>
      <c r="D58" s="910">
        <v>40.415999999999997</v>
      </c>
      <c r="E58" s="909">
        <v>41.957000000000001</v>
      </c>
      <c r="F58" s="908">
        <v>43.753999999999998</v>
      </c>
      <c r="G58" s="907">
        <v>42.683</v>
      </c>
      <c r="H58" s="870"/>
    </row>
    <row r="59" spans="1:8" x14ac:dyDescent="0.2">
      <c r="A59" s="850" t="s">
        <v>441</v>
      </c>
      <c r="B59" s="904">
        <v>30.338999999999999</v>
      </c>
      <c r="C59" s="904">
        <v>33.295999999999999</v>
      </c>
      <c r="D59" s="906">
        <v>33.213999999999999</v>
      </c>
      <c r="E59" s="905">
        <v>33.564</v>
      </c>
      <c r="F59" s="904">
        <v>34.625999999999998</v>
      </c>
      <c r="G59" s="903">
        <v>33.826999999999998</v>
      </c>
      <c r="H59" s="867"/>
    </row>
    <row r="60" spans="1:8" x14ac:dyDescent="0.2">
      <c r="A60" s="850" t="s">
        <v>440</v>
      </c>
      <c r="B60" s="904">
        <v>34.287999999999997</v>
      </c>
      <c r="C60" s="904">
        <v>35.68</v>
      </c>
      <c r="D60" s="906">
        <v>34.386000000000003</v>
      </c>
      <c r="E60" s="905">
        <v>35.872999999999998</v>
      </c>
      <c r="F60" s="904">
        <v>36.54</v>
      </c>
      <c r="G60" s="903">
        <v>35.561</v>
      </c>
      <c r="H60" s="902">
        <v>35</v>
      </c>
    </row>
    <row r="61" spans="1:8" x14ac:dyDescent="0.2">
      <c r="A61" s="850" t="s">
        <v>439</v>
      </c>
      <c r="B61" s="904">
        <v>25.123999999999999</v>
      </c>
      <c r="C61" s="904">
        <v>24.913</v>
      </c>
      <c r="D61" s="906">
        <v>24.009</v>
      </c>
      <c r="E61" s="905">
        <v>27.805</v>
      </c>
      <c r="F61" s="904">
        <v>28.266999999999999</v>
      </c>
      <c r="G61" s="903">
        <v>27.617000000000001</v>
      </c>
      <c r="H61" s="902">
        <v>25</v>
      </c>
    </row>
    <row r="62" spans="1:8" x14ac:dyDescent="0.2">
      <c r="A62" s="850" t="s">
        <v>438</v>
      </c>
      <c r="B62" s="904">
        <v>16.257999999999999</v>
      </c>
      <c r="C62" s="904">
        <v>16.896000000000001</v>
      </c>
      <c r="D62" s="906">
        <v>16.672999999999998</v>
      </c>
      <c r="E62" s="905">
        <v>18.439</v>
      </c>
      <c r="F62" s="904">
        <v>18.817</v>
      </c>
      <c r="G62" s="903">
        <v>18.867000000000001</v>
      </c>
      <c r="H62" s="866">
        <v>17.5</v>
      </c>
    </row>
    <row r="63" spans="1:8" x14ac:dyDescent="0.2">
      <c r="A63" s="850" t="s">
        <v>437</v>
      </c>
      <c r="B63" s="904">
        <v>9.1419999999999995</v>
      </c>
      <c r="C63" s="904">
        <v>9.5370000000000008</v>
      </c>
      <c r="D63" s="906">
        <v>9.4350000000000005</v>
      </c>
      <c r="E63" s="905">
        <v>10.35</v>
      </c>
      <c r="F63" s="904">
        <v>10.592000000000001</v>
      </c>
      <c r="G63" s="903">
        <v>10.631</v>
      </c>
      <c r="H63" s="902">
        <v>10</v>
      </c>
    </row>
    <row r="64" spans="1:8" ht="13.5" thickBot="1" x14ac:dyDescent="0.25">
      <c r="A64" s="845" t="s">
        <v>436</v>
      </c>
      <c r="B64" s="899">
        <v>1.8280000000000001</v>
      </c>
      <c r="C64" s="899">
        <v>1.907</v>
      </c>
      <c r="D64" s="901">
        <v>1.887</v>
      </c>
      <c r="E64" s="900">
        <v>2.0699999999999998</v>
      </c>
      <c r="F64" s="899">
        <v>2.1179999999999999</v>
      </c>
      <c r="G64" s="898">
        <v>2.1259999999999999</v>
      </c>
      <c r="H64" s="897">
        <v>2</v>
      </c>
    </row>
    <row r="65" spans="1:8" ht="13.5" thickBot="1" x14ac:dyDescent="0.25">
      <c r="A65" s="1"/>
      <c r="B65"/>
      <c r="C65"/>
      <c r="D65"/>
      <c r="E65"/>
      <c r="F65"/>
      <c r="G65"/>
      <c r="H65" s="856"/>
    </row>
    <row r="66" spans="1:8" ht="18.75" thickBot="1" x14ac:dyDescent="0.3">
      <c r="A66" s="861" t="s">
        <v>449</v>
      </c>
      <c r="B66" s="859" t="s">
        <v>445</v>
      </c>
      <c r="C66" s="858" t="s">
        <v>444</v>
      </c>
      <c r="D66" s="860" t="s">
        <v>443</v>
      </c>
      <c r="E66" s="859" t="s">
        <v>445</v>
      </c>
      <c r="F66" s="858" t="s">
        <v>444</v>
      </c>
      <c r="G66" s="857" t="s">
        <v>443</v>
      </c>
      <c r="H66" s="856"/>
    </row>
    <row r="67" spans="1:8" x14ac:dyDescent="0.2">
      <c r="A67" s="855" t="s">
        <v>442</v>
      </c>
      <c r="B67" s="872">
        <v>3.0040351814395403</v>
      </c>
      <c r="C67" s="872">
        <v>2.522553532007457</v>
      </c>
      <c r="D67" s="871">
        <v>2.1194639152446939</v>
      </c>
      <c r="E67" s="896">
        <v>1.7380764047804531</v>
      </c>
      <c r="F67" s="853">
        <v>1.6257587501290198</v>
      </c>
      <c r="G67" s="852">
        <v>1.6085689448239253</v>
      </c>
      <c r="H67" s="870"/>
    </row>
    <row r="68" spans="1:8" x14ac:dyDescent="0.2">
      <c r="A68" s="850" t="s">
        <v>441</v>
      </c>
      <c r="B68" s="869">
        <v>1.4347115230475631</v>
      </c>
      <c r="C68" s="869">
        <v>1.1318413972751036</v>
      </c>
      <c r="D68" s="868">
        <v>0.93313671471520865</v>
      </c>
      <c r="E68" s="895">
        <v>1.5144735081583014</v>
      </c>
      <c r="F68" s="848">
        <v>1.3468402262166108</v>
      </c>
      <c r="G68" s="847">
        <v>1.3128669254919998</v>
      </c>
      <c r="H68" s="867"/>
    </row>
    <row r="69" spans="1:8" x14ac:dyDescent="0.2">
      <c r="A69" s="850" t="s">
        <v>440</v>
      </c>
      <c r="B69" s="848">
        <v>0.64917444265473734</v>
      </c>
      <c r="C69" s="848">
        <v>0.59474709194484732</v>
      </c>
      <c r="D69" s="864">
        <v>0.56470265237312611</v>
      </c>
      <c r="E69" s="895">
        <v>0.70641063826737649</v>
      </c>
      <c r="F69" s="848">
        <v>0.64623154301311292</v>
      </c>
      <c r="G69" s="847">
        <v>0.86523452263152067</v>
      </c>
      <c r="H69" s="865">
        <v>0.75</v>
      </c>
    </row>
    <row r="70" spans="1:8" x14ac:dyDescent="0.2">
      <c r="A70" s="850" t="s">
        <v>439</v>
      </c>
      <c r="B70" s="848">
        <v>0.6580683809600778</v>
      </c>
      <c r="C70" s="848">
        <v>0.48710254469478481</v>
      </c>
      <c r="D70" s="864">
        <v>0.38112005369429708</v>
      </c>
      <c r="E70" s="895">
        <v>0.63202721462227973</v>
      </c>
      <c r="F70" s="848">
        <v>0.56037901725878947</v>
      </c>
      <c r="G70" s="847">
        <v>0.54720270232274093</v>
      </c>
      <c r="H70" s="865">
        <v>0.5</v>
      </c>
    </row>
    <row r="71" spans="1:8" x14ac:dyDescent="0.2">
      <c r="A71" s="850" t="s">
        <v>438</v>
      </c>
      <c r="B71" s="848">
        <v>0.13319077378050428</v>
      </c>
      <c r="C71" s="848">
        <v>9.3388368931779694E-2</v>
      </c>
      <c r="D71" s="864">
        <v>7.0071907794012414E-2</v>
      </c>
      <c r="E71" s="895">
        <v>0.12420409496746945</v>
      </c>
      <c r="F71" s="848">
        <v>0.10463775188483822</v>
      </c>
      <c r="G71" s="847">
        <v>9.8719324339300515E-2</v>
      </c>
      <c r="H71" s="865">
        <v>0.1</v>
      </c>
    </row>
    <row r="72" spans="1:8" x14ac:dyDescent="0.2">
      <c r="A72" s="850" t="s">
        <v>437</v>
      </c>
      <c r="B72" s="848">
        <v>0.13234537241698149</v>
      </c>
      <c r="C72" s="848">
        <v>9.297803409174045E-2</v>
      </c>
      <c r="D72" s="864">
        <v>6.9838717072370174E-2</v>
      </c>
      <c r="E72" s="895">
        <v>0.12403320534938253</v>
      </c>
      <c r="F72" s="848">
        <v>0.10459008762705024</v>
      </c>
      <c r="G72" s="847">
        <v>9.8678651445050281E-2</v>
      </c>
      <c r="H72" s="865">
        <v>0.1</v>
      </c>
    </row>
    <row r="73" spans="1:8" ht="13.5" thickBot="1" x14ac:dyDescent="0.25">
      <c r="A73" s="845" t="s">
        <v>436</v>
      </c>
      <c r="B73" s="843">
        <v>5.2938148966793365E-2</v>
      </c>
      <c r="C73" s="843">
        <v>3.7191213636695836E-2</v>
      </c>
      <c r="D73" s="863">
        <v>2.7935486828948707E-2</v>
      </c>
      <c r="E73" s="894">
        <v>4.9613282139751989E-2</v>
      </c>
      <c r="F73" s="843">
        <v>4.1836035050819481E-2</v>
      </c>
      <c r="G73" s="842">
        <v>3.9471460578019285E-2</v>
      </c>
      <c r="H73" s="862">
        <v>0.05</v>
      </c>
    </row>
    <row r="74" spans="1:8" ht="13.5" thickBot="1" x14ac:dyDescent="0.25">
      <c r="A74" s="1"/>
      <c r="B74"/>
      <c r="C74"/>
      <c r="D74"/>
      <c r="E74"/>
      <c r="F74"/>
      <c r="G74"/>
      <c r="H74" s="856"/>
    </row>
    <row r="75" spans="1:8" ht="18.75" thickBot="1" x14ac:dyDescent="0.3">
      <c r="A75" s="861" t="s">
        <v>448</v>
      </c>
      <c r="B75" s="859" t="s">
        <v>445</v>
      </c>
      <c r="C75" s="858" t="s">
        <v>444</v>
      </c>
      <c r="D75" s="860" t="s">
        <v>443</v>
      </c>
      <c r="E75" s="859" t="s">
        <v>445</v>
      </c>
      <c r="F75" s="858" t="s">
        <v>444</v>
      </c>
      <c r="G75" s="857" t="s">
        <v>443</v>
      </c>
      <c r="H75" s="856"/>
    </row>
    <row r="76" spans="1:8" x14ac:dyDescent="0.2">
      <c r="A76" s="855" t="s">
        <v>442</v>
      </c>
      <c r="B76" s="893">
        <v>16.823906995365149</v>
      </c>
      <c r="C76" s="893">
        <v>13.967939257015658</v>
      </c>
      <c r="D76" s="892">
        <v>11.604606345348882</v>
      </c>
      <c r="E76" s="891">
        <v>8.001209479731898</v>
      </c>
      <c r="F76" s="890">
        <v>7.3614297551068848</v>
      </c>
      <c r="G76" s="889">
        <v>7.3633528606956853</v>
      </c>
      <c r="H76" s="888"/>
    </row>
    <row r="77" spans="1:8" x14ac:dyDescent="0.2">
      <c r="A77" s="850" t="s">
        <v>441</v>
      </c>
      <c r="B77" s="887">
        <v>6.8955104701252949</v>
      </c>
      <c r="C77" s="887">
        <v>5.5641495805858385</v>
      </c>
      <c r="D77" s="886">
        <v>5.146002779952715</v>
      </c>
      <c r="E77" s="882">
        <v>7.6891016684599922</v>
      </c>
      <c r="F77" s="881">
        <v>7.262497403238517</v>
      </c>
      <c r="G77" s="880">
        <v>7.2418558756710976</v>
      </c>
      <c r="H77" s="885"/>
    </row>
    <row r="78" spans="1:8" x14ac:dyDescent="0.2">
      <c r="A78" s="850" t="s">
        <v>440</v>
      </c>
      <c r="B78" s="884">
        <v>6.0553213230332714</v>
      </c>
      <c r="C78" s="884">
        <v>5.0420301672620154</v>
      </c>
      <c r="D78" s="883">
        <v>4.4495387454845012</v>
      </c>
      <c r="E78" s="882">
        <v>6.426335951736772</v>
      </c>
      <c r="F78" s="881">
        <v>6.391236088965738</v>
      </c>
      <c r="G78" s="880">
        <v>6.6781786187738161</v>
      </c>
      <c r="H78" s="879">
        <v>6</v>
      </c>
    </row>
    <row r="79" spans="1:8" x14ac:dyDescent="0.2">
      <c r="A79" s="850" t="s">
        <v>439</v>
      </c>
      <c r="B79" s="884">
        <v>6.7854741906513372</v>
      </c>
      <c r="C79" s="884">
        <v>4.8864244913753367</v>
      </c>
      <c r="D79" s="883">
        <v>3.8598560679876663</v>
      </c>
      <c r="E79" s="882">
        <v>7.2134734022507869</v>
      </c>
      <c r="F79" s="881">
        <v>6.663447051278955</v>
      </c>
      <c r="G79" s="880">
        <v>6.7098990925980955</v>
      </c>
      <c r="H79" s="879">
        <v>6</v>
      </c>
    </row>
    <row r="80" spans="1:8" x14ac:dyDescent="0.2">
      <c r="A80" s="850" t="s">
        <v>438</v>
      </c>
      <c r="B80" s="884">
        <v>0.56916926058115036</v>
      </c>
      <c r="C80" s="884">
        <v>0.42347487025508901</v>
      </c>
      <c r="D80" s="883">
        <v>0.33725804113562846</v>
      </c>
      <c r="E80" s="882">
        <v>0.52715838280838678</v>
      </c>
      <c r="F80" s="881">
        <v>0.47638920014589914</v>
      </c>
      <c r="G80" s="880">
        <v>0.46008154994960426</v>
      </c>
      <c r="H80" s="879">
        <v>0.5</v>
      </c>
    </row>
    <row r="81" spans="1:8" x14ac:dyDescent="0.2">
      <c r="A81" s="850" t="s">
        <v>437</v>
      </c>
      <c r="B81" s="884">
        <v>0.56474107328940171</v>
      </c>
      <c r="C81" s="884">
        <v>0.41940684305948528</v>
      </c>
      <c r="D81" s="883">
        <v>0.33343274394507832</v>
      </c>
      <c r="E81" s="882">
        <v>0.52478312665354765</v>
      </c>
      <c r="F81" s="881">
        <v>0.47518946126411649</v>
      </c>
      <c r="G81" s="880">
        <v>0.4567234429163628</v>
      </c>
      <c r="H81" s="879">
        <v>0.5</v>
      </c>
    </row>
    <row r="82" spans="1:8" ht="13.5" thickBot="1" x14ac:dyDescent="0.25">
      <c r="A82" s="845" t="s">
        <v>436</v>
      </c>
      <c r="B82" s="878">
        <v>0.56474107328940171</v>
      </c>
      <c r="C82" s="878">
        <v>0.41940684305948528</v>
      </c>
      <c r="D82" s="877">
        <v>0.33343274394507832</v>
      </c>
      <c r="E82" s="876">
        <v>0.52478312665354765</v>
      </c>
      <c r="F82" s="875">
        <v>0.47518946126411649</v>
      </c>
      <c r="G82" s="874">
        <v>0.4567234429163628</v>
      </c>
      <c r="H82" s="873">
        <v>0.5</v>
      </c>
    </row>
    <row r="83" spans="1:8" ht="13.5" thickBot="1" x14ac:dyDescent="0.25">
      <c r="A83" s="1"/>
      <c r="B83"/>
      <c r="C83"/>
      <c r="D83"/>
      <c r="E83"/>
      <c r="F83"/>
      <c r="G83"/>
      <c r="H83" s="856"/>
    </row>
    <row r="84" spans="1:8" ht="18.75" thickBot="1" x14ac:dyDescent="0.3">
      <c r="A84" s="861" t="s">
        <v>447</v>
      </c>
      <c r="B84" s="859" t="s">
        <v>445</v>
      </c>
      <c r="C84" s="858" t="s">
        <v>444</v>
      </c>
      <c r="D84" s="860" t="s">
        <v>443</v>
      </c>
      <c r="E84" s="859" t="s">
        <v>445</v>
      </c>
      <c r="F84" s="858" t="s">
        <v>444</v>
      </c>
      <c r="G84" s="857" t="s">
        <v>443</v>
      </c>
      <c r="H84" s="856"/>
    </row>
    <row r="85" spans="1:8" x14ac:dyDescent="0.2">
      <c r="A85" s="855" t="s">
        <v>442</v>
      </c>
      <c r="B85" s="872">
        <v>14.945761752882429</v>
      </c>
      <c r="C85" s="872">
        <v>9.940950848724464</v>
      </c>
      <c r="D85" s="871">
        <v>5.9322841560070207</v>
      </c>
      <c r="E85" s="854">
        <v>2.4398798204699252</v>
      </c>
      <c r="F85" s="853">
        <v>1.9043682890086679</v>
      </c>
      <c r="G85" s="852">
        <v>1.6223980861228957</v>
      </c>
      <c r="H85" s="870"/>
    </row>
    <row r="86" spans="1:8" x14ac:dyDescent="0.2">
      <c r="A86" s="850" t="s">
        <v>441</v>
      </c>
      <c r="B86" s="869">
        <v>3.6949415058603163</v>
      </c>
      <c r="C86" s="869">
        <v>2.4674902325401145</v>
      </c>
      <c r="D86" s="868">
        <v>1.5988560233819866</v>
      </c>
      <c r="E86" s="849">
        <v>2.5667396470220609</v>
      </c>
      <c r="F86" s="848">
        <v>2.0753766701023713</v>
      </c>
      <c r="G86" s="847">
        <v>1.7902875054540273</v>
      </c>
      <c r="H86" s="867"/>
    </row>
    <row r="87" spans="1:8" x14ac:dyDescent="0.2">
      <c r="A87" s="850" t="s">
        <v>440</v>
      </c>
      <c r="B87" s="848">
        <v>2.5188297094868846</v>
      </c>
      <c r="C87" s="848">
        <v>1.6299149495319276</v>
      </c>
      <c r="D87" s="864">
        <v>1.03068391894682</v>
      </c>
      <c r="E87" s="849">
        <v>1.6771103268893273</v>
      </c>
      <c r="F87" s="848">
        <v>1.3413603577128834</v>
      </c>
      <c r="G87" s="847">
        <v>1.1242722301596548</v>
      </c>
      <c r="H87" s="866">
        <v>1.5</v>
      </c>
    </row>
    <row r="88" spans="1:8" x14ac:dyDescent="0.2">
      <c r="A88" s="850" t="s">
        <v>439</v>
      </c>
      <c r="B88" s="848">
        <v>2.1318619364867168</v>
      </c>
      <c r="C88" s="848">
        <v>1.384702631069274</v>
      </c>
      <c r="D88" s="864">
        <v>0.84527341179866633</v>
      </c>
      <c r="E88" s="849">
        <v>1.4237470416822191</v>
      </c>
      <c r="F88" s="848">
        <v>1.1399415127815389</v>
      </c>
      <c r="G88" s="847">
        <v>0.9908233881336902</v>
      </c>
      <c r="H88" s="865">
        <v>1.25</v>
      </c>
    </row>
    <row r="89" spans="1:8" x14ac:dyDescent="0.2">
      <c r="A89" s="850" t="s">
        <v>438</v>
      </c>
      <c r="B89" s="848">
        <v>8.9291342032025531E-2</v>
      </c>
      <c r="C89" s="848">
        <v>5.6129478194105437E-2</v>
      </c>
      <c r="D89" s="864">
        <v>3.6882654868850208E-2</v>
      </c>
      <c r="E89" s="849">
        <v>7.7172181857055738E-2</v>
      </c>
      <c r="F89" s="848">
        <v>6.3629146621779292E-2</v>
      </c>
      <c r="G89" s="847">
        <v>5.8863129569497893E-2</v>
      </c>
      <c r="H89" s="846">
        <v>7.4999999999999997E-2</v>
      </c>
    </row>
    <row r="90" spans="1:8" x14ac:dyDescent="0.2">
      <c r="A90" s="850" t="s">
        <v>437</v>
      </c>
      <c r="B90" s="848">
        <v>8.9036840569040362E-2</v>
      </c>
      <c r="C90" s="848">
        <v>5.6166529486719838E-2</v>
      </c>
      <c r="D90" s="864">
        <v>3.6990017354232532E-2</v>
      </c>
      <c r="E90" s="849">
        <v>7.7353160104449675E-2</v>
      </c>
      <c r="F90" s="848">
        <v>6.3959791525829784E-2</v>
      </c>
      <c r="G90" s="847">
        <v>5.9274298385823612E-2</v>
      </c>
      <c r="H90" s="846">
        <v>7.4999999999999997E-2</v>
      </c>
    </row>
    <row r="91" spans="1:8" ht="13.5" thickBot="1" x14ac:dyDescent="0.25">
      <c r="A91" s="845" t="s">
        <v>436</v>
      </c>
      <c r="B91" s="843">
        <v>2.5565033430707949E-2</v>
      </c>
      <c r="C91" s="843">
        <v>1.6127023317965207E-2</v>
      </c>
      <c r="D91" s="863">
        <v>1.0620896072004235E-2</v>
      </c>
      <c r="E91" s="844">
        <v>2.2210313297317597E-2</v>
      </c>
      <c r="F91" s="843">
        <v>1.8364692616328022E-2</v>
      </c>
      <c r="G91" s="842">
        <v>1.7019353001870751E-2</v>
      </c>
      <c r="H91" s="862">
        <v>0.02</v>
      </c>
    </row>
    <row r="92" spans="1:8" ht="13.5" thickBot="1" x14ac:dyDescent="0.25">
      <c r="A92" s="1"/>
      <c r="B92"/>
      <c r="C92"/>
      <c r="D92"/>
      <c r="E92"/>
      <c r="F92"/>
      <c r="G92"/>
      <c r="H92" s="856"/>
    </row>
    <row r="93" spans="1:8" ht="18.75" thickBot="1" x14ac:dyDescent="0.3">
      <c r="A93" s="861" t="s">
        <v>446</v>
      </c>
      <c r="B93" s="859" t="s">
        <v>445</v>
      </c>
      <c r="C93" s="858" t="s">
        <v>444</v>
      </c>
      <c r="D93" s="860" t="s">
        <v>443</v>
      </c>
      <c r="E93" s="859" t="s">
        <v>445</v>
      </c>
      <c r="F93" s="858" t="s">
        <v>444</v>
      </c>
      <c r="G93" s="857" t="s">
        <v>443</v>
      </c>
      <c r="H93" s="856"/>
    </row>
    <row r="94" spans="1:8" x14ac:dyDescent="0.2">
      <c r="A94" s="855" t="s">
        <v>442</v>
      </c>
      <c r="B94" s="853">
        <v>0.02</v>
      </c>
      <c r="C94" s="853">
        <v>0.02</v>
      </c>
      <c r="D94" s="852">
        <v>0.02</v>
      </c>
      <c r="E94" s="854">
        <v>0.02</v>
      </c>
      <c r="F94" s="853">
        <v>0.02</v>
      </c>
      <c r="G94" s="852">
        <v>0.02</v>
      </c>
      <c r="H94" s="851">
        <v>0.02</v>
      </c>
    </row>
    <row r="95" spans="1:8" x14ac:dyDescent="0.2">
      <c r="A95" s="850" t="s">
        <v>441</v>
      </c>
      <c r="B95" s="848">
        <v>0.02</v>
      </c>
      <c r="C95" s="848">
        <v>0.02</v>
      </c>
      <c r="D95" s="847">
        <v>0.02</v>
      </c>
      <c r="E95" s="849">
        <v>0.02</v>
      </c>
      <c r="F95" s="848">
        <v>0.02</v>
      </c>
      <c r="G95" s="847">
        <v>0.02</v>
      </c>
      <c r="H95" s="846">
        <v>0.02</v>
      </c>
    </row>
    <row r="96" spans="1:8" x14ac:dyDescent="0.2">
      <c r="A96" s="850" t="s">
        <v>440</v>
      </c>
      <c r="B96" s="848">
        <v>0.02</v>
      </c>
      <c r="C96" s="848">
        <v>0.02</v>
      </c>
      <c r="D96" s="847">
        <v>0.02</v>
      </c>
      <c r="E96" s="849">
        <v>0.02</v>
      </c>
      <c r="F96" s="848">
        <v>0.02</v>
      </c>
      <c r="G96" s="847">
        <v>0.02</v>
      </c>
      <c r="H96" s="846">
        <v>0.02</v>
      </c>
    </row>
    <row r="97" spans="1:8" x14ac:dyDescent="0.2">
      <c r="A97" s="850" t="s">
        <v>439</v>
      </c>
      <c r="B97" s="848">
        <v>0.02</v>
      </c>
      <c r="C97" s="848">
        <v>0.02</v>
      </c>
      <c r="D97" s="847">
        <v>0.02</v>
      </c>
      <c r="E97" s="849">
        <v>0.02</v>
      </c>
      <c r="F97" s="848">
        <v>0.02</v>
      </c>
      <c r="G97" s="847">
        <v>0.02</v>
      </c>
      <c r="H97" s="846">
        <v>0.02</v>
      </c>
    </row>
    <row r="98" spans="1:8" x14ac:dyDescent="0.2">
      <c r="A98" s="850" t="s">
        <v>438</v>
      </c>
      <c r="B98" s="848">
        <v>0.02</v>
      </c>
      <c r="C98" s="848">
        <v>0.02</v>
      </c>
      <c r="D98" s="847">
        <v>0.02</v>
      </c>
      <c r="E98" s="849">
        <v>0.02</v>
      </c>
      <c r="F98" s="848">
        <v>0.02</v>
      </c>
      <c r="G98" s="847">
        <v>0.02</v>
      </c>
      <c r="H98" s="846">
        <v>0.02</v>
      </c>
    </row>
    <row r="99" spans="1:8" x14ac:dyDescent="0.2">
      <c r="A99" s="850" t="s">
        <v>437</v>
      </c>
      <c r="B99" s="848">
        <v>0.02</v>
      </c>
      <c r="C99" s="848">
        <v>0.02</v>
      </c>
      <c r="D99" s="847">
        <v>0.02</v>
      </c>
      <c r="E99" s="849">
        <v>0.02</v>
      </c>
      <c r="F99" s="848">
        <v>0.02</v>
      </c>
      <c r="G99" s="847">
        <v>0.02</v>
      </c>
      <c r="H99" s="846">
        <v>0.02</v>
      </c>
    </row>
    <row r="100" spans="1:8" ht="13.5" thickBot="1" x14ac:dyDescent="0.25">
      <c r="A100" s="845" t="s">
        <v>436</v>
      </c>
      <c r="B100" s="843">
        <v>0.02</v>
      </c>
      <c r="C100" s="843">
        <v>0.02</v>
      </c>
      <c r="D100" s="842">
        <v>0.02</v>
      </c>
      <c r="E100" s="844">
        <v>0.02</v>
      </c>
      <c r="F100" s="843">
        <v>0.02</v>
      </c>
      <c r="G100" s="842">
        <v>0.02</v>
      </c>
      <c r="H100" s="841">
        <v>0.02</v>
      </c>
    </row>
    <row r="108" spans="1:8" ht="18" x14ac:dyDescent="0.25">
      <c r="A108" s="366" t="s">
        <v>435</v>
      </c>
    </row>
    <row r="109" spans="1:8" x14ac:dyDescent="0.2">
      <c r="A109" s="306" t="s">
        <v>433</v>
      </c>
      <c r="B109" s="306" t="s">
        <v>432</v>
      </c>
      <c r="C109" s="306" t="s">
        <v>432</v>
      </c>
      <c r="D109" s="306" t="s">
        <v>431</v>
      </c>
      <c r="E109" s="306" t="s">
        <v>431</v>
      </c>
      <c r="F109" s="306" t="s">
        <v>430</v>
      </c>
      <c r="G109" s="306" t="s">
        <v>430</v>
      </c>
      <c r="H109" s="17" t="s">
        <v>429</v>
      </c>
    </row>
    <row r="110" spans="1:8" x14ac:dyDescent="0.2">
      <c r="A110" s="306" t="s">
        <v>174</v>
      </c>
      <c r="B110" s="306" t="s">
        <v>428</v>
      </c>
      <c r="C110" s="306" t="s">
        <v>427</v>
      </c>
      <c r="D110" s="306" t="s">
        <v>428</v>
      </c>
      <c r="E110" s="306" t="s">
        <v>427</v>
      </c>
      <c r="F110" s="306" t="s">
        <v>428</v>
      </c>
      <c r="G110" s="306" t="s">
        <v>427</v>
      </c>
      <c r="H110" s="306" t="s">
        <v>427</v>
      </c>
    </row>
    <row r="111" spans="1:8" x14ac:dyDescent="0.2">
      <c r="A111" s="306">
        <v>8.5</v>
      </c>
      <c r="B111" s="840">
        <v>27.5</v>
      </c>
      <c r="C111" s="840">
        <f>B111*0.84*42.5/100</f>
        <v>9.817499999999999</v>
      </c>
      <c r="D111" s="840">
        <v>25</v>
      </c>
      <c r="E111" s="840">
        <f>D111*0.84*42.5/100</f>
        <v>8.9250000000000007</v>
      </c>
      <c r="F111" s="840">
        <v>30</v>
      </c>
      <c r="G111" s="840">
        <f>F111*0.84*42.5/100</f>
        <v>10.71</v>
      </c>
      <c r="H111" s="840">
        <f>IF(A111&lt;15,0.224*A111+6.66,0.221*A111+9.33)</f>
        <v>8.5640000000000001</v>
      </c>
    </row>
    <row r="112" spans="1:8" x14ac:dyDescent="0.2">
      <c r="A112" s="306">
        <v>14</v>
      </c>
      <c r="B112" s="840">
        <v>35</v>
      </c>
      <c r="C112" s="840">
        <f>B112*0.84*42.5/100</f>
        <v>12.494999999999999</v>
      </c>
      <c r="D112" s="840">
        <v>30</v>
      </c>
      <c r="E112" s="840">
        <f>D112*0.84*42.5/100</f>
        <v>10.71</v>
      </c>
      <c r="F112" s="840">
        <v>40</v>
      </c>
      <c r="G112" s="840">
        <f>F112*0.84*42.5/100</f>
        <v>14.28</v>
      </c>
      <c r="H112" s="840">
        <f>IF(A112&lt;15,0.224*A112+6.66,0.221*A112+9.33)</f>
        <v>9.7959999999999994</v>
      </c>
    </row>
    <row r="113" spans="1:8" x14ac:dyDescent="0.2">
      <c r="A113" s="306">
        <v>26</v>
      </c>
      <c r="B113" s="840">
        <v>32</v>
      </c>
      <c r="C113" s="840">
        <f>B113*0.84*42.5/100</f>
        <v>11.423999999999999</v>
      </c>
      <c r="D113" s="840">
        <v>29</v>
      </c>
      <c r="E113" s="840">
        <f>D113*0.84*42.5/100</f>
        <v>10.353</v>
      </c>
      <c r="F113" s="840">
        <v>35</v>
      </c>
      <c r="G113" s="840">
        <f>F113*0.84*42.5/100</f>
        <v>12.494999999999999</v>
      </c>
      <c r="H113" s="840">
        <f>IF(A113&lt;15,0.224*A113+6.66,0.221*A113+9.33)</f>
        <v>15.076000000000001</v>
      </c>
    </row>
    <row r="114" spans="1:8" x14ac:dyDescent="0.2">
      <c r="A114" s="306">
        <v>40</v>
      </c>
      <c r="B114" s="840">
        <v>48</v>
      </c>
      <c r="C114" s="840">
        <f>B114*0.84*42.5/100</f>
        <v>17.135999999999999</v>
      </c>
      <c r="D114" s="840">
        <v>43</v>
      </c>
      <c r="E114" s="840">
        <f>D114*0.84*42.5/100</f>
        <v>15.350999999999999</v>
      </c>
      <c r="F114" s="840">
        <v>53</v>
      </c>
      <c r="G114" s="840">
        <f>F114*0.84*42.5/100</f>
        <v>18.920999999999999</v>
      </c>
      <c r="H114" s="840">
        <f>IF(A114&lt;15,0.224*A114+6.66,0.221*A114+9.33)</f>
        <v>18.170000000000002</v>
      </c>
    </row>
    <row r="143" spans="1:8" ht="18" x14ac:dyDescent="0.25">
      <c r="A143" s="366" t="s">
        <v>434</v>
      </c>
    </row>
    <row r="144" spans="1:8" x14ac:dyDescent="0.2">
      <c r="A144" s="306" t="s">
        <v>433</v>
      </c>
      <c r="B144" s="306" t="s">
        <v>432</v>
      </c>
      <c r="C144" s="306" t="s">
        <v>432</v>
      </c>
      <c r="D144" s="306" t="s">
        <v>431</v>
      </c>
      <c r="E144" s="306" t="s">
        <v>431</v>
      </c>
      <c r="F144" s="306" t="s">
        <v>430</v>
      </c>
      <c r="G144" s="306" t="s">
        <v>430</v>
      </c>
      <c r="H144" s="17" t="s">
        <v>429</v>
      </c>
    </row>
    <row r="145" spans="1:8" x14ac:dyDescent="0.2">
      <c r="A145" s="306" t="s">
        <v>174</v>
      </c>
      <c r="B145" s="306" t="s">
        <v>428</v>
      </c>
      <c r="C145" s="306" t="s">
        <v>427</v>
      </c>
      <c r="D145" s="306" t="s">
        <v>428</v>
      </c>
      <c r="E145" s="306" t="s">
        <v>427</v>
      </c>
      <c r="F145" s="306" t="s">
        <v>428</v>
      </c>
      <c r="G145" s="306" t="s">
        <v>427</v>
      </c>
      <c r="H145" s="306" t="s">
        <v>427</v>
      </c>
    </row>
    <row r="146" spans="1:8" x14ac:dyDescent="0.2">
      <c r="A146" s="306">
        <v>8.5</v>
      </c>
      <c r="B146" s="840">
        <v>27.5</v>
      </c>
      <c r="C146" s="840">
        <f>B146*0.84*42.5/100</f>
        <v>9.817499999999999</v>
      </c>
      <c r="D146" s="840">
        <v>25</v>
      </c>
      <c r="E146" s="840">
        <f>D146*0.84*42.5/100</f>
        <v>8.9250000000000007</v>
      </c>
      <c r="F146" s="840">
        <v>30</v>
      </c>
      <c r="G146" s="840">
        <f>F146*0.84*42.5/100</f>
        <v>10.71</v>
      </c>
      <c r="H146" s="840">
        <f>IF(A146&lt;15,0.224*A146+6.66,0.221*A146+9.33)</f>
        <v>8.5640000000000001</v>
      </c>
    </row>
    <row r="147" spans="1:8" x14ac:dyDescent="0.2">
      <c r="A147" s="306">
        <v>14</v>
      </c>
      <c r="B147" s="840">
        <v>35</v>
      </c>
      <c r="C147" s="840">
        <f>B147*0.84*42.5/100</f>
        <v>12.494999999999999</v>
      </c>
      <c r="D147" s="840">
        <v>30</v>
      </c>
      <c r="E147" s="840">
        <f>D147*0.84*42.5/100</f>
        <v>10.71</v>
      </c>
      <c r="F147" s="840">
        <v>40</v>
      </c>
      <c r="G147" s="840">
        <f>F147*0.84*42.5/100</f>
        <v>14.28</v>
      </c>
      <c r="H147" s="840">
        <f>IF(A147&lt;15,0.224*A147+6.66,0.221*A147+9.33)</f>
        <v>9.7959999999999994</v>
      </c>
    </row>
    <row r="148" spans="1:8" x14ac:dyDescent="0.2">
      <c r="A148" s="306">
        <v>26</v>
      </c>
      <c r="B148" s="840">
        <v>32</v>
      </c>
      <c r="C148" s="840">
        <f>B148*0.84*42.5/100</f>
        <v>11.423999999999999</v>
      </c>
      <c r="D148" s="840">
        <v>29</v>
      </c>
      <c r="E148" s="840">
        <f>D148*0.84*42.5/100</f>
        <v>10.353</v>
      </c>
      <c r="F148" s="840">
        <v>35</v>
      </c>
      <c r="G148" s="840">
        <f>F148*0.84*42.5/100</f>
        <v>12.494999999999999</v>
      </c>
      <c r="H148" s="840">
        <f>IF(A148&lt;15,0.224*A148+6.66,0.221*A148+9.33)</f>
        <v>15.076000000000001</v>
      </c>
    </row>
    <row r="149" spans="1:8" x14ac:dyDescent="0.2">
      <c r="A149" s="306">
        <v>40</v>
      </c>
      <c r="B149" s="840">
        <v>48</v>
      </c>
      <c r="C149" s="840">
        <f>B149*0.84*42.5/100</f>
        <v>17.135999999999999</v>
      </c>
      <c r="D149" s="840">
        <v>43</v>
      </c>
      <c r="E149" s="840">
        <f>D149*0.84*42.5/100</f>
        <v>15.350999999999999</v>
      </c>
      <c r="F149" s="840">
        <v>53</v>
      </c>
      <c r="G149" s="840">
        <f>F149*0.84*42.5/100</f>
        <v>18.920999999999999</v>
      </c>
      <c r="H149" s="840">
        <f>IF(A149&lt;15,0.224*A149+6.66,0.221*A149+9.33)</f>
        <v>18.170000000000002</v>
      </c>
    </row>
  </sheetData>
  <phoneticPr fontId="2" type="noConversion"/>
  <dataValidations count="4">
    <dataValidation type="decimal" allowBlank="1" showInputMessage="1" showErrorMessage="1" error="Talværdien skal ligge mellem 0 og 1 pct." sqref="B8:F8">
      <formula1>0</formula1>
      <formula2>1</formula2>
    </dataValidation>
    <dataValidation type="whole" allowBlank="1" showInputMessage="1" showErrorMessage="1" error="Antallet af TEU´s pr. lastbil skal være 1 eller 2" sqref="D23">
      <formula1>1</formula1>
      <formula2>2</formula2>
    </dataValidation>
    <dataValidation allowBlank="1" showInputMessage="1" showErrorMessage="1" error="Type skal angives som 1, 2 eller 3" sqref="D22"/>
    <dataValidation allowBlank="1" showInputMessage="1" showErrorMessage="1" error="Den samlede vægt af containere pr. lastbil bør ikke overstige 30 tons" sqref="D24"/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8">
    <tabColor indexed="13"/>
  </sheetPr>
  <dimension ref="A1:BM151"/>
  <sheetViews>
    <sheetView tabSelected="1" topLeftCell="A127" workbookViewId="0">
      <selection activeCell="E52" sqref="E52"/>
    </sheetView>
  </sheetViews>
  <sheetFormatPr defaultRowHeight="12.75" x14ac:dyDescent="0.2"/>
  <cols>
    <col min="1" max="1" width="48.140625" style="9" customWidth="1"/>
    <col min="2" max="2" width="9.7109375" style="825" customWidth="1"/>
    <col min="3" max="5" width="9.5703125" style="825" customWidth="1"/>
    <col min="6" max="7" width="10.7109375" style="772" customWidth="1"/>
    <col min="8" max="12" width="10.7109375" style="769" customWidth="1"/>
    <col min="13" max="13" width="20.5703125" style="769" bestFit="1" customWidth="1"/>
    <col min="14" max="26" width="9.5703125" style="769" bestFit="1" customWidth="1"/>
    <col min="27" max="47" width="9.5703125" style="440" bestFit="1" customWidth="1"/>
    <col min="48" max="53" width="9.5703125" bestFit="1" customWidth="1"/>
  </cols>
  <sheetData>
    <row r="1" spans="1:65" s="168" customFormat="1" ht="29.25" customHeight="1" thickBot="1" x14ac:dyDescent="0.25">
      <c r="A1" s="774" t="s">
        <v>388</v>
      </c>
      <c r="B1" s="775" t="s">
        <v>172</v>
      </c>
      <c r="C1" s="776" t="s">
        <v>399</v>
      </c>
      <c r="D1" s="777" t="s">
        <v>157</v>
      </c>
      <c r="E1" s="778" t="s">
        <v>156</v>
      </c>
      <c r="F1" s="723"/>
      <c r="G1" s="723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</row>
    <row r="2" spans="1:65" s="168" customFormat="1" ht="16.350000000000001" customHeight="1" x14ac:dyDescent="0.2">
      <c r="A2" s="779" t="s">
        <v>48</v>
      </c>
      <c r="B2" s="780" t="s">
        <v>171</v>
      </c>
      <c r="C2" s="832">
        <v>18000</v>
      </c>
      <c r="D2" s="781">
        <f>C2</f>
        <v>18000</v>
      </c>
      <c r="E2" s="782">
        <f>D2</f>
        <v>18000</v>
      </c>
      <c r="F2" s="725"/>
      <c r="G2" s="725"/>
      <c r="H2" s="726"/>
      <c r="I2" s="725"/>
      <c r="J2" s="725"/>
      <c r="K2" s="727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534"/>
      <c r="AB2" s="534"/>
      <c r="AC2" s="534"/>
      <c r="AD2" s="534"/>
      <c r="AE2" s="534"/>
      <c r="AF2" s="534"/>
      <c r="AG2" s="534"/>
      <c r="AH2" s="534"/>
      <c r="AI2" s="534"/>
      <c r="AJ2" s="534"/>
      <c r="AK2" s="534"/>
      <c r="AL2" s="534"/>
      <c r="AM2" s="534"/>
      <c r="AN2" s="534"/>
      <c r="AO2" s="534"/>
      <c r="AP2" s="534"/>
      <c r="AQ2" s="534"/>
      <c r="AR2" s="534"/>
      <c r="AS2" s="534"/>
      <c r="AT2" s="534"/>
      <c r="AU2" s="534"/>
      <c r="AV2" s="537"/>
      <c r="AW2" s="537"/>
      <c r="AX2" s="537"/>
      <c r="AY2" s="537"/>
      <c r="AZ2" s="537"/>
      <c r="BA2" s="537"/>
      <c r="BB2" s="537"/>
      <c r="BC2" s="537"/>
      <c r="BD2" s="537"/>
      <c r="BE2" s="537"/>
      <c r="BF2" s="537"/>
      <c r="BG2" s="537"/>
      <c r="BH2" s="537"/>
      <c r="BI2" s="537"/>
      <c r="BJ2" s="537"/>
      <c r="BK2" s="537"/>
      <c r="BL2" s="537"/>
      <c r="BM2" s="537"/>
    </row>
    <row r="3" spans="1:65" s="168" customFormat="1" ht="24.95" customHeight="1" x14ac:dyDescent="0.2">
      <c r="A3" s="783" t="s">
        <v>401</v>
      </c>
      <c r="B3" s="357" t="s">
        <v>193</v>
      </c>
      <c r="C3" s="538">
        <f>IF(C2&lt;2500,1,IF(C2&lt;=5000,2,3))</f>
        <v>3</v>
      </c>
      <c r="D3" s="538">
        <f>IF(D2&lt;2500,1,IF(D2&lt;=5000,2,3))</f>
        <v>3</v>
      </c>
      <c r="E3" s="831">
        <f>IF(E2&lt;2500,1,IF(E2&lt;=5000,2,3))</f>
        <v>3</v>
      </c>
      <c r="F3" s="728"/>
      <c r="G3" s="729"/>
      <c r="H3" s="730"/>
      <c r="I3" s="730"/>
      <c r="J3" s="730"/>
      <c r="K3" s="728"/>
      <c r="L3" s="731"/>
      <c r="M3" s="731"/>
      <c r="N3" s="731"/>
      <c r="O3" s="731"/>
      <c r="P3" s="731"/>
      <c r="Q3" s="731"/>
      <c r="R3" s="731"/>
      <c r="S3" s="731"/>
      <c r="T3" s="731"/>
      <c r="U3" s="731"/>
      <c r="V3" s="731"/>
      <c r="W3" s="731"/>
      <c r="X3" s="731"/>
      <c r="Y3" s="731"/>
      <c r="Z3" s="731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39"/>
      <c r="AR3" s="539"/>
      <c r="AS3" s="539"/>
      <c r="AT3" s="539"/>
      <c r="AU3" s="539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67"/>
      <c r="BG3" s="167"/>
      <c r="BH3" s="167"/>
      <c r="BI3" s="167"/>
      <c r="BJ3" s="167"/>
      <c r="BK3" s="167"/>
      <c r="BL3" s="167"/>
      <c r="BM3" s="167"/>
    </row>
    <row r="4" spans="1:65" s="168" customFormat="1" ht="16.350000000000001" customHeight="1" x14ac:dyDescent="0.2">
      <c r="A4" s="827" t="s">
        <v>419</v>
      </c>
      <c r="B4" s="615" t="s">
        <v>196</v>
      </c>
      <c r="C4" s="826">
        <v>0</v>
      </c>
      <c r="D4" s="834">
        <v>0</v>
      </c>
      <c r="E4" s="835">
        <v>0</v>
      </c>
      <c r="F4" s="728"/>
      <c r="G4" s="729"/>
      <c r="H4" s="730"/>
      <c r="I4" s="730"/>
      <c r="J4" s="730"/>
      <c r="K4" s="728"/>
      <c r="L4" s="731"/>
      <c r="M4" s="731"/>
      <c r="N4" s="731"/>
      <c r="O4" s="731"/>
      <c r="P4" s="731"/>
      <c r="Q4" s="731"/>
      <c r="R4" s="731"/>
      <c r="S4" s="731"/>
      <c r="T4" s="731"/>
      <c r="U4" s="731"/>
      <c r="V4" s="731"/>
      <c r="W4" s="731"/>
      <c r="X4" s="731"/>
      <c r="Y4" s="731"/>
      <c r="Z4" s="731"/>
      <c r="AA4" s="539"/>
      <c r="AB4" s="539"/>
      <c r="AC4" s="539"/>
      <c r="AD4" s="539"/>
      <c r="AE4" s="539"/>
      <c r="AF4" s="539"/>
      <c r="AG4" s="539"/>
      <c r="AH4" s="539"/>
      <c r="AI4" s="539"/>
      <c r="AJ4" s="539"/>
      <c r="AK4" s="539"/>
      <c r="AL4" s="539"/>
      <c r="AM4" s="539"/>
      <c r="AN4" s="539"/>
      <c r="AO4" s="539"/>
      <c r="AP4" s="539"/>
      <c r="AQ4" s="539"/>
      <c r="AR4" s="539"/>
      <c r="AS4" s="539"/>
      <c r="AT4" s="539"/>
      <c r="AU4" s="539"/>
      <c r="AV4" s="167"/>
      <c r="AW4" s="167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7"/>
    </row>
    <row r="5" spans="1:65" s="168" customFormat="1" ht="16.350000000000001" customHeight="1" x14ac:dyDescent="0.2">
      <c r="A5" s="356" t="s">
        <v>179</v>
      </c>
      <c r="B5" s="357" t="s">
        <v>173</v>
      </c>
      <c r="C5" s="588">
        <f>(1+C4/100)*IF(C3=1,10.14*C2^0.378,IF(C3=2,IF(C2&lt;3800,2.494*C2^0.555,241.92+(C2-3800)*0.037),IF(C2&lt;8000,131.31+0.03012*C2-0.00000099556*C2^2,14.66*C2^0.339)))</f>
        <v>406.13587128771707</v>
      </c>
      <c r="D5" s="588">
        <f>(1+D4/100)*IF(D3=1,10.14*D2^0.378,IF(D3=2,IF(D2&lt;3800,2.494*D2^0.555,241.92+(D2-3800)*0.037),IF(D2&lt;8000,131.31+0.03012*D2-0.00000099556*D2^2,14.66*D2^0.339)))</f>
        <v>406.13587128771707</v>
      </c>
      <c r="E5" s="596">
        <f>(1+E4/100)*IF(E3=1,10.14*E2^0.378,IF(E3=2,IF(E2&lt;3800,2.494*E2^0.555,241.92+(E2-3800)*0.037),IF(E2&lt;8000,131.31+0.03012*E2-0.00000099556*E2^2,14.66*E2^0.339)))</f>
        <v>406.13587128771707</v>
      </c>
      <c r="F5" s="725"/>
      <c r="G5" s="730"/>
      <c r="H5" s="725"/>
      <c r="I5" s="725"/>
      <c r="J5" s="725"/>
      <c r="K5" s="725"/>
      <c r="L5" s="732"/>
      <c r="M5" s="732"/>
      <c r="N5" s="732"/>
      <c r="O5" s="732"/>
      <c r="P5" s="732"/>
      <c r="Q5" s="732"/>
      <c r="R5" s="732"/>
      <c r="S5" s="732"/>
      <c r="T5" s="732"/>
      <c r="U5" s="732"/>
      <c r="V5" s="732"/>
      <c r="W5" s="732"/>
      <c r="X5" s="732"/>
      <c r="Y5" s="732"/>
      <c r="Z5" s="732"/>
      <c r="AA5" s="536"/>
      <c r="AB5" s="536"/>
      <c r="AC5" s="536"/>
      <c r="AD5" s="536"/>
      <c r="AE5" s="536"/>
      <c r="AF5" s="536"/>
      <c r="AG5" s="536"/>
      <c r="AH5" s="536"/>
      <c r="AI5" s="536"/>
      <c r="AJ5" s="536"/>
      <c r="AK5" s="536"/>
      <c r="AL5" s="536"/>
      <c r="AM5" s="536"/>
      <c r="AN5" s="536"/>
      <c r="AO5" s="536"/>
      <c r="AP5" s="536"/>
      <c r="AQ5" s="536"/>
      <c r="AR5" s="536"/>
      <c r="AS5" s="536"/>
      <c r="AT5" s="536"/>
      <c r="AU5" s="536"/>
      <c r="AV5" s="542"/>
      <c r="AW5" s="542"/>
      <c r="AX5" s="542"/>
      <c r="AY5" s="542"/>
      <c r="AZ5" s="542"/>
      <c r="BA5" s="542"/>
      <c r="BB5" s="542"/>
      <c r="BC5" s="542"/>
      <c r="BD5" s="542"/>
      <c r="BE5" s="542"/>
      <c r="BF5" s="542"/>
      <c r="BG5" s="542"/>
      <c r="BH5" s="542"/>
      <c r="BI5" s="542"/>
      <c r="BJ5" s="542"/>
      <c r="BK5" s="542"/>
      <c r="BL5" s="542"/>
      <c r="BM5" s="542"/>
    </row>
    <row r="6" spans="1:65" s="168" customFormat="1" ht="16.350000000000001" customHeight="1" x14ac:dyDescent="0.2">
      <c r="A6" s="356" t="s">
        <v>672</v>
      </c>
      <c r="B6" s="357" t="s">
        <v>173</v>
      </c>
      <c r="C6" s="588">
        <f>C5*1.01</f>
        <v>410.19723000059423</v>
      </c>
      <c r="D6" s="588">
        <f>D5*1.01</f>
        <v>410.19723000059423</v>
      </c>
      <c r="E6" s="596">
        <f>E5*1.01</f>
        <v>410.19723000059423</v>
      </c>
      <c r="F6" s="728"/>
      <c r="G6" s="733"/>
      <c r="H6" s="734"/>
      <c r="I6" s="734"/>
      <c r="J6" s="734"/>
      <c r="K6" s="735"/>
      <c r="L6" s="724"/>
      <c r="M6" s="724"/>
      <c r="N6" s="724"/>
      <c r="O6" s="724"/>
      <c r="P6" s="724"/>
      <c r="Q6" s="724"/>
      <c r="R6" s="724"/>
      <c r="S6" s="724"/>
      <c r="T6" s="724"/>
      <c r="U6" s="724"/>
      <c r="V6" s="724"/>
      <c r="W6" s="724"/>
      <c r="X6" s="724"/>
      <c r="Y6" s="724"/>
      <c r="Z6" s="724"/>
      <c r="AA6" s="535"/>
      <c r="AB6" s="535"/>
      <c r="AC6" s="535"/>
      <c r="AD6" s="535"/>
      <c r="AE6" s="535"/>
      <c r="AF6" s="535"/>
      <c r="AG6" s="535"/>
      <c r="AH6" s="535"/>
      <c r="AI6" s="535"/>
      <c r="AJ6" s="535"/>
      <c r="AK6" s="535"/>
      <c r="AL6" s="535"/>
      <c r="AM6" s="535"/>
      <c r="AN6" s="535"/>
      <c r="AO6" s="535"/>
      <c r="AP6" s="535"/>
      <c r="AQ6" s="535"/>
      <c r="AR6" s="535"/>
      <c r="AS6" s="535"/>
      <c r="AT6" s="535"/>
      <c r="AU6" s="535"/>
    </row>
    <row r="7" spans="1:65" s="168" customFormat="1" ht="16.350000000000001" customHeight="1" x14ac:dyDescent="0.2">
      <c r="A7" s="356" t="s">
        <v>180</v>
      </c>
      <c r="B7" s="357" t="s">
        <v>173</v>
      </c>
      <c r="C7" s="588">
        <f>IF(C3&lt;3,MIN(294.1,1.2*C5^0.977),1.2*C5^0.977)</f>
        <v>424.47601408346549</v>
      </c>
      <c r="D7" s="588">
        <f>IF(D3&lt;3,MIN(294.1,1.2*D5^0.977),1.2*D5^0.977)</f>
        <v>424.47601408346549</v>
      </c>
      <c r="E7" s="596">
        <f>IF(E3&lt;31,MIN(294.1,1.2*E5^0.977),1.2*E5^0.977)</f>
        <v>294.10000000000002</v>
      </c>
      <c r="F7" s="725"/>
      <c r="G7" s="730"/>
      <c r="H7" s="725"/>
      <c r="I7" s="725"/>
      <c r="J7" s="725"/>
      <c r="K7" s="725"/>
      <c r="L7" s="732"/>
      <c r="M7" s="732"/>
      <c r="N7" s="732"/>
      <c r="O7" s="732"/>
      <c r="P7" s="732"/>
      <c r="Q7" s="732"/>
      <c r="R7" s="732"/>
      <c r="S7" s="732"/>
      <c r="T7" s="732"/>
      <c r="U7" s="732"/>
      <c r="V7" s="732"/>
      <c r="W7" s="732"/>
      <c r="X7" s="732"/>
      <c r="Y7" s="732"/>
      <c r="Z7" s="732"/>
      <c r="AA7" s="536"/>
      <c r="AB7" s="536"/>
      <c r="AC7" s="536"/>
      <c r="AD7" s="536"/>
      <c r="AE7" s="536"/>
      <c r="AF7" s="536"/>
      <c r="AG7" s="536"/>
      <c r="AH7" s="536"/>
      <c r="AI7" s="536"/>
      <c r="AJ7" s="536"/>
      <c r="AK7" s="536"/>
      <c r="AL7" s="536"/>
      <c r="AM7" s="536"/>
      <c r="AN7" s="536"/>
      <c r="AO7" s="536"/>
      <c r="AP7" s="536"/>
      <c r="AQ7" s="536"/>
      <c r="AR7" s="536"/>
      <c r="AS7" s="536"/>
      <c r="AT7" s="536"/>
      <c r="AU7" s="536"/>
      <c r="AV7" s="542"/>
      <c r="AW7" s="542"/>
      <c r="AX7" s="542"/>
      <c r="AY7" s="542"/>
      <c r="AZ7" s="542"/>
      <c r="BA7" s="542"/>
    </row>
    <row r="8" spans="1:65" s="168" customFormat="1" ht="16.350000000000001" customHeight="1" x14ac:dyDescent="0.2">
      <c r="A8" s="356" t="s">
        <v>181</v>
      </c>
      <c r="B8" s="357" t="s">
        <v>173</v>
      </c>
      <c r="C8" s="588">
        <f>IF(C3=1,2.9*C2^0.3,IF(C3=2,32.22,32.51+0.0013*C2))</f>
        <v>55.91</v>
      </c>
      <c r="D8" s="540">
        <f>C8</f>
        <v>55.91</v>
      </c>
      <c r="E8" s="541">
        <f>C8</f>
        <v>55.91</v>
      </c>
      <c r="F8" s="725"/>
      <c r="G8" s="733"/>
      <c r="H8" s="725"/>
      <c r="I8" s="725"/>
      <c r="J8" s="725"/>
      <c r="K8" s="725"/>
      <c r="L8" s="732"/>
      <c r="M8" s="732"/>
      <c r="N8" s="732"/>
      <c r="O8" s="732"/>
      <c r="P8" s="732"/>
      <c r="Q8" s="732"/>
      <c r="R8" s="732"/>
      <c r="S8" s="732"/>
      <c r="T8" s="732"/>
      <c r="U8" s="732"/>
      <c r="V8" s="732"/>
      <c r="W8" s="732"/>
      <c r="X8" s="732"/>
      <c r="Y8" s="732"/>
      <c r="Z8" s="732"/>
      <c r="AA8" s="536"/>
      <c r="AB8" s="536"/>
      <c r="AC8" s="536"/>
      <c r="AD8" s="536"/>
      <c r="AE8" s="536"/>
      <c r="AF8" s="536"/>
      <c r="AG8" s="536"/>
      <c r="AH8" s="536"/>
      <c r="AI8" s="536"/>
      <c r="AJ8" s="536"/>
      <c r="AK8" s="536"/>
      <c r="AL8" s="536"/>
      <c r="AM8" s="536"/>
      <c r="AN8" s="536"/>
      <c r="AO8" s="536"/>
      <c r="AP8" s="536"/>
      <c r="AQ8" s="536"/>
      <c r="AR8" s="536"/>
      <c r="AS8" s="536"/>
      <c r="AT8" s="536"/>
      <c r="AU8" s="536"/>
      <c r="AV8" s="542"/>
      <c r="AW8" s="542"/>
      <c r="AX8" s="542"/>
      <c r="AY8" s="542"/>
      <c r="AZ8" s="542"/>
      <c r="BA8" s="542"/>
    </row>
    <row r="9" spans="1:65" s="168" customFormat="1" ht="16.350000000000001" customHeight="1" x14ac:dyDescent="0.2">
      <c r="A9" s="784" t="s">
        <v>182</v>
      </c>
      <c r="B9" s="551" t="s">
        <v>173</v>
      </c>
      <c r="C9" s="609">
        <f>IF(C3=1,0.767*C2^0.394,IF(C3=2,14.77+0.0013*C2,MIN(30.2,16.5+0.0011*C2)))</f>
        <v>30.2</v>
      </c>
      <c r="D9" s="829">
        <f>C9</f>
        <v>30.2</v>
      </c>
      <c r="E9" s="830">
        <f>C9</f>
        <v>30.2</v>
      </c>
      <c r="F9" s="725"/>
      <c r="G9" s="730"/>
      <c r="H9" s="725"/>
      <c r="I9" s="725"/>
      <c r="J9" s="725"/>
      <c r="K9" s="725"/>
      <c r="L9" s="732"/>
      <c r="M9" s="732"/>
      <c r="N9" s="732"/>
      <c r="O9" s="732"/>
      <c r="P9" s="732"/>
      <c r="Q9" s="732"/>
      <c r="R9" s="732"/>
      <c r="S9" s="732"/>
      <c r="T9" s="732"/>
      <c r="U9" s="732"/>
      <c r="V9" s="732"/>
      <c r="W9" s="732"/>
      <c r="X9" s="732"/>
      <c r="Y9" s="732"/>
      <c r="Z9" s="732"/>
      <c r="AA9" s="536"/>
      <c r="AB9" s="536"/>
      <c r="AC9" s="536"/>
      <c r="AD9" s="536"/>
      <c r="AE9" s="536"/>
      <c r="AF9" s="536"/>
      <c r="AG9" s="536"/>
      <c r="AH9" s="536"/>
      <c r="AI9" s="536"/>
      <c r="AJ9" s="536"/>
      <c r="AK9" s="536"/>
      <c r="AL9" s="536"/>
      <c r="AM9" s="536"/>
      <c r="AN9" s="536"/>
      <c r="AO9" s="536"/>
      <c r="AP9" s="536"/>
      <c r="AQ9" s="536"/>
      <c r="AR9" s="536"/>
      <c r="AS9" s="536"/>
      <c r="AT9" s="536"/>
      <c r="AU9" s="536"/>
      <c r="AV9" s="542"/>
      <c r="AW9" s="542"/>
      <c r="AX9" s="542"/>
      <c r="AY9" s="542"/>
      <c r="AZ9" s="542"/>
      <c r="BA9" s="542"/>
    </row>
    <row r="10" spans="1:65" s="168" customFormat="1" ht="16.350000000000001" customHeight="1" x14ac:dyDescent="0.2">
      <c r="A10" s="356" t="s">
        <v>183</v>
      </c>
      <c r="B10" s="357" t="s">
        <v>173</v>
      </c>
      <c r="C10" s="588">
        <f>IF(C3&lt;3,MIN(C11,12,1.188*C2^0.279),4.83*C2^0.11)</f>
        <v>14.191460943493519</v>
      </c>
      <c r="D10" s="540">
        <f>C10</f>
        <v>14.191460943493519</v>
      </c>
      <c r="E10" s="833">
        <f>D10</f>
        <v>14.191460943493519</v>
      </c>
      <c r="F10" s="725"/>
      <c r="G10" s="736"/>
      <c r="H10" s="734"/>
      <c r="I10" s="734"/>
      <c r="J10" s="734"/>
      <c r="K10" s="725"/>
      <c r="L10" s="732"/>
      <c r="M10" s="732"/>
      <c r="N10" s="732"/>
      <c r="O10" s="732"/>
      <c r="P10" s="732"/>
      <c r="Q10" s="732"/>
      <c r="R10" s="732"/>
      <c r="S10" s="732"/>
      <c r="T10" s="732"/>
      <c r="U10" s="732"/>
      <c r="V10" s="732"/>
      <c r="W10" s="732"/>
      <c r="X10" s="732"/>
      <c r="Y10" s="732"/>
      <c r="Z10" s="732"/>
      <c r="AA10" s="536"/>
      <c r="AB10" s="536"/>
      <c r="AC10" s="536"/>
      <c r="AD10" s="536"/>
      <c r="AE10" s="536"/>
      <c r="AF10" s="536"/>
      <c r="AG10" s="536"/>
      <c r="AH10" s="536"/>
      <c r="AI10" s="536"/>
      <c r="AJ10" s="536"/>
      <c r="AK10" s="536"/>
      <c r="AL10" s="536"/>
      <c r="AM10" s="536"/>
      <c r="AN10" s="536"/>
      <c r="AO10" s="536"/>
      <c r="AP10" s="536"/>
      <c r="AQ10" s="536"/>
      <c r="AR10" s="536"/>
      <c r="AS10" s="536"/>
      <c r="AT10" s="536"/>
      <c r="AU10" s="536"/>
      <c r="AV10" s="542"/>
      <c r="AW10" s="542"/>
      <c r="AX10" s="542"/>
      <c r="AY10" s="542"/>
      <c r="AZ10" s="542"/>
      <c r="BA10" s="542"/>
    </row>
    <row r="11" spans="1:65" s="168" customFormat="1" ht="16.350000000000001" customHeight="1" x14ac:dyDescent="0.2">
      <c r="A11" s="356" t="s">
        <v>323</v>
      </c>
      <c r="B11" s="357" t="s">
        <v>173</v>
      </c>
      <c r="C11" s="588">
        <f>IF(C3=1,0.827*C2^0.336,IF(C3=2,IF(C2&lt;3300,2.19*C2^0.211,12.1+(C2-3300)*0.00082),12.73+0.0002*C2))</f>
        <v>16.330000000000002</v>
      </c>
      <c r="D11" s="540">
        <f>C11</f>
        <v>16.330000000000002</v>
      </c>
      <c r="E11" s="541">
        <f>D11</f>
        <v>16.330000000000002</v>
      </c>
      <c r="F11" s="725"/>
      <c r="G11" s="728"/>
      <c r="H11" s="735"/>
      <c r="I11" s="735"/>
      <c r="J11" s="735"/>
      <c r="K11" s="725"/>
      <c r="L11" s="732"/>
      <c r="M11" s="732"/>
      <c r="N11" s="732"/>
      <c r="O11" s="732"/>
      <c r="P11" s="732"/>
      <c r="Q11" s="732"/>
      <c r="R11" s="732"/>
      <c r="S11" s="732"/>
      <c r="T11" s="732"/>
      <c r="U11" s="732"/>
      <c r="V11" s="732"/>
      <c r="W11" s="732"/>
      <c r="X11" s="732"/>
      <c r="Y11" s="732"/>
      <c r="Z11" s="732"/>
      <c r="AA11" s="536"/>
      <c r="AB11" s="536"/>
      <c r="AC11" s="536"/>
      <c r="AD11" s="536"/>
      <c r="AE11" s="536"/>
      <c r="AF11" s="536"/>
      <c r="AG11" s="536"/>
      <c r="AH11" s="536"/>
      <c r="AI11" s="536"/>
      <c r="AJ11" s="536"/>
      <c r="AK11" s="536"/>
      <c r="AL11" s="536"/>
      <c r="AM11" s="536"/>
      <c r="AN11" s="536"/>
      <c r="AO11" s="536"/>
      <c r="AP11" s="536"/>
      <c r="AQ11" s="536"/>
      <c r="AR11" s="536"/>
      <c r="AS11" s="536"/>
      <c r="AT11" s="536"/>
      <c r="AU11" s="536"/>
      <c r="AV11" s="542"/>
      <c r="AW11" s="542"/>
      <c r="AX11" s="542"/>
      <c r="AY11" s="542"/>
      <c r="AZ11" s="542"/>
      <c r="BA11" s="542"/>
    </row>
    <row r="12" spans="1:65" s="168" customFormat="1" ht="16.350000000000001" customHeight="1" x14ac:dyDescent="0.2">
      <c r="A12" s="356" t="s">
        <v>324</v>
      </c>
      <c r="B12" s="357" t="s">
        <v>173</v>
      </c>
      <c r="C12" s="588">
        <f>C11-C10</f>
        <v>2.1385390565064828</v>
      </c>
      <c r="D12" s="588">
        <f>D11-D10</f>
        <v>2.1385390565064828</v>
      </c>
      <c r="E12" s="596">
        <f>E11-E10</f>
        <v>2.1385390565064828</v>
      </c>
      <c r="F12" s="725"/>
      <c r="G12" s="728"/>
      <c r="H12" s="735"/>
      <c r="I12" s="735"/>
      <c r="J12" s="735"/>
      <c r="K12" s="725"/>
      <c r="L12" s="732"/>
      <c r="M12" s="732"/>
      <c r="N12" s="732"/>
      <c r="O12" s="732"/>
      <c r="P12" s="732"/>
      <c r="Q12" s="732"/>
      <c r="R12" s="732"/>
      <c r="S12" s="732"/>
      <c r="T12" s="732"/>
      <c r="U12" s="732"/>
      <c r="V12" s="732"/>
      <c r="W12" s="732"/>
      <c r="X12" s="732"/>
      <c r="Y12" s="732"/>
      <c r="Z12" s="732"/>
      <c r="AA12" s="536"/>
      <c r="AB12" s="536"/>
      <c r="AC12" s="536"/>
      <c r="AD12" s="536"/>
      <c r="AE12" s="536"/>
      <c r="AF12" s="536"/>
      <c r="AG12" s="536"/>
      <c r="AH12" s="536"/>
      <c r="AI12" s="536"/>
      <c r="AJ12" s="536"/>
      <c r="AK12" s="536"/>
      <c r="AL12" s="536"/>
      <c r="AM12" s="536"/>
      <c r="AN12" s="536"/>
      <c r="AO12" s="536"/>
      <c r="AP12" s="536"/>
      <c r="AQ12" s="536"/>
      <c r="AR12" s="536"/>
      <c r="AS12" s="536"/>
      <c r="AT12" s="536"/>
      <c r="AU12" s="536"/>
      <c r="AV12" s="542"/>
      <c r="AW12" s="542"/>
      <c r="AX12" s="542"/>
      <c r="AY12" s="542"/>
      <c r="AZ12" s="542"/>
      <c r="BA12" s="542"/>
    </row>
    <row r="13" spans="1:65" s="168" customFormat="1" ht="16.350000000000001" customHeight="1" x14ac:dyDescent="0.2">
      <c r="A13" s="356" t="s">
        <v>325</v>
      </c>
      <c r="B13" s="357" t="s">
        <v>196</v>
      </c>
      <c r="C13" s="358">
        <f>C14/C15*100</f>
        <v>78.723596949628998</v>
      </c>
      <c r="D13" s="358">
        <f>D14/D15*100</f>
        <v>78.723596949628998</v>
      </c>
      <c r="E13" s="359">
        <f>E14/E15*100</f>
        <v>78.723596949628998</v>
      </c>
      <c r="F13" s="725"/>
      <c r="G13" s="728"/>
      <c r="H13" s="735"/>
      <c r="I13" s="735"/>
      <c r="J13" s="735"/>
      <c r="K13" s="725"/>
      <c r="L13" s="732"/>
      <c r="M13" s="732"/>
      <c r="N13" s="732"/>
      <c r="O13" s="732"/>
      <c r="P13" s="732"/>
      <c r="Q13" s="732"/>
      <c r="R13" s="732"/>
      <c r="S13" s="732"/>
      <c r="T13" s="732"/>
      <c r="U13" s="732"/>
      <c r="V13" s="732"/>
      <c r="W13" s="732"/>
      <c r="X13" s="732"/>
      <c r="Y13" s="732"/>
      <c r="Z13" s="732"/>
      <c r="AA13" s="536"/>
      <c r="AB13" s="536"/>
      <c r="AC13" s="536"/>
      <c r="AD13" s="536"/>
      <c r="AE13" s="536"/>
      <c r="AF13" s="536"/>
      <c r="AG13" s="536"/>
      <c r="AH13" s="536"/>
      <c r="AI13" s="536"/>
      <c r="AJ13" s="536"/>
      <c r="AK13" s="536"/>
      <c r="AL13" s="536"/>
      <c r="AM13" s="536"/>
      <c r="AN13" s="536"/>
      <c r="AO13" s="536"/>
      <c r="AP13" s="536"/>
      <c r="AQ13" s="536"/>
      <c r="AR13" s="536"/>
      <c r="AS13" s="536"/>
      <c r="AT13" s="536"/>
      <c r="AU13" s="536"/>
      <c r="AV13" s="542"/>
      <c r="AW13" s="542"/>
      <c r="AX13" s="542"/>
      <c r="AY13" s="542"/>
      <c r="AZ13" s="542"/>
      <c r="BA13" s="542"/>
    </row>
    <row r="14" spans="1:65" s="168" customFormat="1" ht="16.350000000000001" customHeight="1" x14ac:dyDescent="0.2">
      <c r="A14" s="356" t="s">
        <v>184</v>
      </c>
      <c r="B14" s="357" t="s">
        <v>174</v>
      </c>
      <c r="C14" s="358">
        <f>C15-(C11-C10)*C5*C8*C32*1.025</f>
        <v>158706.77145045207</v>
      </c>
      <c r="D14" s="358">
        <f>D15-(D11-D10)*D5*D8*D32*1.025</f>
        <v>158706.77145045207</v>
      </c>
      <c r="E14" s="359">
        <f>E15-(E11-E10)*E5*E8*E32*1.025</f>
        <v>158706.77145045207</v>
      </c>
      <c r="F14" s="737"/>
      <c r="G14" s="728"/>
      <c r="H14" s="735"/>
      <c r="I14" s="735"/>
      <c r="J14" s="735"/>
      <c r="K14" s="737"/>
      <c r="L14" s="738"/>
      <c r="M14" s="738"/>
      <c r="N14" s="738"/>
      <c r="O14" s="738"/>
      <c r="P14" s="738"/>
      <c r="Q14" s="738"/>
      <c r="R14" s="738"/>
      <c r="S14" s="738"/>
      <c r="T14" s="738"/>
      <c r="U14" s="738"/>
      <c r="V14" s="738"/>
      <c r="W14" s="738"/>
      <c r="X14" s="738"/>
      <c r="Y14" s="738"/>
      <c r="Z14" s="738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  <c r="AP14" s="545"/>
      <c r="AQ14" s="545"/>
      <c r="AR14" s="545"/>
      <c r="AS14" s="545"/>
      <c r="AT14" s="545"/>
      <c r="AU14" s="545"/>
      <c r="AV14" s="546"/>
      <c r="AW14" s="546"/>
      <c r="AX14" s="546"/>
      <c r="AY14" s="546"/>
      <c r="AZ14" s="546"/>
      <c r="BA14" s="546"/>
    </row>
    <row r="15" spans="1:65" s="168" customFormat="1" ht="16.350000000000001" customHeight="1" x14ac:dyDescent="0.2">
      <c r="A15" s="356" t="s">
        <v>326</v>
      </c>
      <c r="B15" s="357" t="s">
        <v>174</v>
      </c>
      <c r="C15" s="358">
        <f>C16*C2</f>
        <v>201600</v>
      </c>
      <c r="D15" s="358">
        <f>D16*D2</f>
        <v>201600</v>
      </c>
      <c r="E15" s="359">
        <f>E16*E2</f>
        <v>201600</v>
      </c>
      <c r="F15" s="737"/>
      <c r="G15" s="728"/>
      <c r="H15" s="735"/>
      <c r="I15" s="735"/>
      <c r="J15" s="735"/>
      <c r="K15" s="737"/>
      <c r="L15" s="738"/>
      <c r="M15" s="738"/>
      <c r="N15" s="738"/>
      <c r="O15" s="738"/>
      <c r="P15" s="738"/>
      <c r="Q15" s="738"/>
      <c r="R15" s="738"/>
      <c r="S15" s="738"/>
      <c r="T15" s="738"/>
      <c r="U15" s="738"/>
      <c r="V15" s="738"/>
      <c r="W15" s="738"/>
      <c r="X15" s="738"/>
      <c r="Y15" s="738"/>
      <c r="Z15" s="738"/>
      <c r="AA15" s="545"/>
      <c r="AB15" s="545"/>
      <c r="AC15" s="545"/>
      <c r="AD15" s="545"/>
      <c r="AE15" s="545"/>
      <c r="AF15" s="545"/>
      <c r="AG15" s="545"/>
      <c r="AH15" s="545"/>
      <c r="AI15" s="545"/>
      <c r="AJ15" s="545"/>
      <c r="AK15" s="545"/>
      <c r="AL15" s="545"/>
      <c r="AM15" s="545"/>
      <c r="AN15" s="545"/>
      <c r="AO15" s="545"/>
      <c r="AP15" s="545"/>
      <c r="AQ15" s="545"/>
      <c r="AR15" s="545"/>
      <c r="AS15" s="545"/>
      <c r="AT15" s="545"/>
      <c r="AU15" s="545"/>
      <c r="AV15" s="546"/>
      <c r="AW15" s="546"/>
      <c r="AX15" s="546"/>
      <c r="AY15" s="546"/>
      <c r="AZ15" s="546"/>
      <c r="BA15" s="546"/>
    </row>
    <row r="16" spans="1:65" s="168" customFormat="1" ht="16.350000000000001" customHeight="1" x14ac:dyDescent="0.2">
      <c r="A16" s="356" t="s">
        <v>327</v>
      </c>
      <c r="B16" s="357" t="s">
        <v>195</v>
      </c>
      <c r="C16" s="588">
        <f>IF(C3=1,13.65,IF(C3=2,14.6-0.00038*C2,MAX(11.2,50.43*C2^-0.16)))</f>
        <v>11.2</v>
      </c>
      <c r="D16" s="540">
        <f>C16</f>
        <v>11.2</v>
      </c>
      <c r="E16" s="541">
        <f>D16</f>
        <v>11.2</v>
      </c>
      <c r="F16" s="725"/>
      <c r="G16" s="739"/>
      <c r="H16" s="725"/>
      <c r="I16" s="725"/>
      <c r="J16" s="725"/>
      <c r="K16" s="725"/>
      <c r="L16" s="732"/>
      <c r="M16" s="732"/>
      <c r="N16" s="732"/>
      <c r="O16" s="732"/>
      <c r="P16" s="732"/>
      <c r="Q16" s="732"/>
      <c r="R16" s="732"/>
      <c r="S16" s="732"/>
      <c r="T16" s="732"/>
      <c r="U16" s="732"/>
      <c r="V16" s="732"/>
      <c r="W16" s="732"/>
      <c r="X16" s="732"/>
      <c r="Y16" s="732"/>
      <c r="Z16" s="732"/>
      <c r="AA16" s="536"/>
      <c r="AB16" s="536"/>
      <c r="AC16" s="536"/>
      <c r="AD16" s="536"/>
      <c r="AE16" s="536"/>
      <c r="AF16" s="536"/>
      <c r="AG16" s="536"/>
      <c r="AH16" s="536"/>
      <c r="AI16" s="536"/>
      <c r="AJ16" s="536"/>
      <c r="AK16" s="536"/>
      <c r="AL16" s="536"/>
      <c r="AM16" s="536"/>
      <c r="AN16" s="536"/>
      <c r="AO16" s="536"/>
      <c r="AP16" s="536"/>
      <c r="AQ16" s="536"/>
      <c r="AR16" s="536"/>
      <c r="AS16" s="536"/>
      <c r="AT16" s="536"/>
      <c r="AU16" s="536"/>
      <c r="AV16" s="542"/>
      <c r="AW16" s="542"/>
      <c r="AX16" s="542"/>
      <c r="AY16" s="542"/>
      <c r="AZ16" s="542"/>
      <c r="BA16" s="542"/>
    </row>
    <row r="17" spans="1:53" s="168" customFormat="1" ht="16.350000000000001" customHeight="1" x14ac:dyDescent="0.2">
      <c r="A17" s="356" t="s">
        <v>194</v>
      </c>
      <c r="B17" s="357" t="s">
        <v>311</v>
      </c>
      <c r="C17" s="589">
        <f>IF(C3=1,0.659*C2^-0.23,IF(C3=2,0.105,MAX(0.09,0.104-0.00000115*C2)))</f>
        <v>0.09</v>
      </c>
      <c r="D17" s="589">
        <f>IF(D3=1,0.659*D2^-0.23,IF(D3=2,0.105,MAX(0.09,0.104-0.00000115*D2)))</f>
        <v>0.09</v>
      </c>
      <c r="E17" s="595">
        <f>IF(E3=1,0.659*E2^-0.23,IF(E3=2,0.105,MAX(0.09,0.104-0.00000115*E2)))</f>
        <v>0.09</v>
      </c>
      <c r="F17" s="739"/>
      <c r="G17" s="736"/>
      <c r="H17" s="736"/>
      <c r="I17" s="736"/>
      <c r="J17" s="736"/>
      <c r="K17" s="736"/>
      <c r="L17" s="740"/>
      <c r="M17" s="740"/>
      <c r="N17" s="740"/>
      <c r="O17" s="740"/>
      <c r="P17" s="740"/>
      <c r="Q17" s="740"/>
      <c r="R17" s="740"/>
      <c r="S17" s="740"/>
      <c r="T17" s="740"/>
      <c r="U17" s="740"/>
      <c r="V17" s="740"/>
      <c r="W17" s="740"/>
      <c r="X17" s="740"/>
      <c r="Y17" s="740"/>
      <c r="Z17" s="740"/>
      <c r="AA17" s="547"/>
      <c r="AB17" s="547"/>
      <c r="AC17" s="547"/>
      <c r="AD17" s="547"/>
      <c r="AE17" s="547"/>
      <c r="AF17" s="547"/>
      <c r="AG17" s="547"/>
      <c r="AH17" s="547"/>
      <c r="AI17" s="547"/>
      <c r="AJ17" s="547"/>
      <c r="AK17" s="547"/>
      <c r="AL17" s="547"/>
      <c r="AM17" s="547"/>
      <c r="AN17" s="547"/>
      <c r="AO17" s="547"/>
      <c r="AP17" s="547"/>
      <c r="AQ17" s="547"/>
      <c r="AR17" s="547"/>
      <c r="AS17" s="547"/>
      <c r="AT17" s="547"/>
      <c r="AU17" s="547"/>
      <c r="AV17" s="548"/>
      <c r="AW17" s="548"/>
      <c r="AX17" s="548"/>
      <c r="AY17" s="548"/>
      <c r="AZ17" s="548"/>
      <c r="BA17" s="548"/>
    </row>
    <row r="18" spans="1:53" s="168" customFormat="1" ht="16.350000000000001" customHeight="1" x14ac:dyDescent="0.2">
      <c r="A18" s="356" t="s">
        <v>129</v>
      </c>
      <c r="B18" s="357" t="s">
        <v>196</v>
      </c>
      <c r="C18" s="358">
        <v>0</v>
      </c>
      <c r="D18" s="543">
        <v>0</v>
      </c>
      <c r="E18" s="544">
        <v>0</v>
      </c>
      <c r="F18" s="736"/>
      <c r="G18" s="736"/>
      <c r="H18" s="736"/>
      <c r="I18" s="736"/>
      <c r="J18" s="736"/>
      <c r="K18" s="736"/>
      <c r="L18" s="740"/>
      <c r="M18" s="740"/>
      <c r="N18" s="740"/>
      <c r="O18" s="740"/>
      <c r="P18" s="740"/>
      <c r="Q18" s="740"/>
      <c r="R18" s="740"/>
      <c r="S18" s="740"/>
      <c r="T18" s="740"/>
      <c r="U18" s="740"/>
      <c r="V18" s="740"/>
      <c r="W18" s="740"/>
      <c r="X18" s="740"/>
      <c r="Y18" s="740"/>
      <c r="Z18" s="740"/>
      <c r="AA18" s="547"/>
      <c r="AB18" s="547"/>
      <c r="AC18" s="547"/>
      <c r="AD18" s="547"/>
      <c r="AE18" s="547"/>
      <c r="AF18" s="547"/>
      <c r="AG18" s="547"/>
      <c r="AH18" s="547"/>
      <c r="AI18" s="547"/>
      <c r="AJ18" s="547"/>
      <c r="AK18" s="547"/>
      <c r="AL18" s="547"/>
      <c r="AM18" s="547"/>
      <c r="AN18" s="547"/>
      <c r="AO18" s="547"/>
      <c r="AP18" s="547"/>
      <c r="AQ18" s="547"/>
      <c r="AR18" s="547"/>
      <c r="AS18" s="547"/>
      <c r="AT18" s="547"/>
      <c r="AU18" s="547"/>
      <c r="AV18" s="548"/>
      <c r="AW18" s="548"/>
      <c r="AX18" s="548"/>
      <c r="AY18" s="548"/>
      <c r="AZ18" s="548"/>
      <c r="BA18" s="548"/>
    </row>
    <row r="19" spans="1:53" s="168" customFormat="1" ht="16.350000000000001" customHeight="1" x14ac:dyDescent="0.2">
      <c r="A19" s="356" t="s">
        <v>169</v>
      </c>
      <c r="B19" s="357" t="s">
        <v>174</v>
      </c>
      <c r="C19" s="358">
        <v>0</v>
      </c>
      <c r="D19" s="358">
        <f>WEIGHT!J31+D47*D65/10*IF(D58=1,0.03,0.01)</f>
        <v>-869.80501907685448</v>
      </c>
      <c r="E19" s="359">
        <f>WEIGHT!Q31+E47*E65/10*IF(E58=1,0.03,0.01)</f>
        <v>-385.93393449575524</v>
      </c>
      <c r="F19" s="739"/>
      <c r="G19" s="736"/>
      <c r="H19" s="736"/>
      <c r="I19" s="736"/>
      <c r="J19" s="736"/>
      <c r="K19" s="736"/>
      <c r="L19" s="740"/>
      <c r="M19" s="740"/>
      <c r="N19" s="740"/>
      <c r="O19" s="740"/>
      <c r="P19" s="740"/>
      <c r="Q19" s="740"/>
      <c r="R19" s="740"/>
      <c r="S19" s="740"/>
      <c r="T19" s="740"/>
      <c r="U19" s="740"/>
      <c r="V19" s="740"/>
      <c r="W19" s="740"/>
      <c r="X19" s="740"/>
      <c r="Y19" s="740"/>
      <c r="Z19" s="740"/>
      <c r="AA19" s="547"/>
      <c r="AB19" s="547"/>
      <c r="AC19" s="547"/>
      <c r="AD19" s="547"/>
      <c r="AE19" s="547"/>
      <c r="AF19" s="547"/>
      <c r="AG19" s="547"/>
      <c r="AH19" s="547"/>
      <c r="AI19" s="547"/>
      <c r="AJ19" s="547"/>
      <c r="AK19" s="547"/>
      <c r="AL19" s="547"/>
      <c r="AM19" s="547"/>
      <c r="AN19" s="547"/>
      <c r="AO19" s="547"/>
      <c r="AP19" s="547"/>
      <c r="AQ19" s="547"/>
      <c r="AR19" s="547"/>
      <c r="AS19" s="547"/>
      <c r="AT19" s="547"/>
      <c r="AU19" s="547"/>
      <c r="AV19" s="548"/>
      <c r="AW19" s="548"/>
      <c r="AX19" s="548"/>
      <c r="AY19" s="548"/>
      <c r="AZ19" s="548"/>
      <c r="BA19" s="548"/>
    </row>
    <row r="20" spans="1:53" s="168" customFormat="1" ht="16.350000000000001" customHeight="1" x14ac:dyDescent="0.2">
      <c r="A20" s="356" t="s">
        <v>148</v>
      </c>
      <c r="B20" s="357" t="s">
        <v>174</v>
      </c>
      <c r="C20" s="785">
        <v>0</v>
      </c>
      <c r="D20" s="543">
        <v>0</v>
      </c>
      <c r="E20" s="544">
        <v>0</v>
      </c>
      <c r="F20" s="736"/>
      <c r="G20" s="736"/>
      <c r="H20" s="736"/>
      <c r="I20" s="736"/>
      <c r="J20" s="736"/>
      <c r="K20" s="736"/>
      <c r="L20" s="740"/>
      <c r="M20" s="740"/>
      <c r="N20" s="740"/>
      <c r="O20" s="740"/>
      <c r="P20" s="740"/>
      <c r="Q20" s="740"/>
      <c r="R20" s="740"/>
      <c r="S20" s="740"/>
      <c r="T20" s="740"/>
      <c r="U20" s="740"/>
      <c r="V20" s="740"/>
      <c r="W20" s="740"/>
      <c r="X20" s="740"/>
      <c r="Y20" s="740"/>
      <c r="Z20" s="740"/>
      <c r="AA20" s="547"/>
      <c r="AB20" s="547"/>
      <c r="AC20" s="547"/>
      <c r="AD20" s="547"/>
      <c r="AE20" s="547"/>
      <c r="AF20" s="547"/>
      <c r="AG20" s="547"/>
      <c r="AH20" s="547"/>
      <c r="AI20" s="547"/>
      <c r="AJ20" s="547"/>
      <c r="AK20" s="547"/>
      <c r="AL20" s="547"/>
      <c r="AM20" s="547"/>
      <c r="AN20" s="547"/>
      <c r="AO20" s="547"/>
      <c r="AP20" s="547"/>
      <c r="AQ20" s="547"/>
      <c r="AR20" s="547"/>
      <c r="AS20" s="547"/>
      <c r="AT20" s="547"/>
      <c r="AU20" s="547"/>
      <c r="AV20" s="548"/>
      <c r="AW20" s="548"/>
      <c r="AX20" s="548"/>
      <c r="AY20" s="548"/>
      <c r="AZ20" s="548"/>
      <c r="BA20" s="548"/>
    </row>
    <row r="21" spans="1:53" s="168" customFormat="1" ht="16.350000000000001" customHeight="1" x14ac:dyDescent="0.2">
      <c r="A21" s="356" t="s">
        <v>185</v>
      </c>
      <c r="B21" s="357" t="s">
        <v>174</v>
      </c>
      <c r="C21" s="358">
        <f>C5*C8*C9*C17+C18/100*WEIGHT!C24</f>
        <v>61717.779740126432</v>
      </c>
      <c r="D21" s="358">
        <f>C5*C8*C9*C17+WEIGHT!J30+WEIGHT!J32+D20+'SHIP DATA'!D18/100*WEIGHT!J66</f>
        <v>61717.779740126432</v>
      </c>
      <c r="E21" s="359">
        <f>C5*C8*C9*C17+WEIGHT!Q30+WEIGHT!Q32+E20+'SHIP DATA'!E18/100*WEIGHT!Q66</f>
        <v>61717.779740126432</v>
      </c>
      <c r="F21" s="737"/>
      <c r="G21" s="737"/>
      <c r="H21" s="737"/>
      <c r="I21" s="737"/>
      <c r="J21" s="737"/>
      <c r="K21" s="737"/>
      <c r="L21" s="738"/>
      <c r="M21" s="738"/>
      <c r="N21" s="738"/>
      <c r="O21" s="738"/>
      <c r="P21" s="738"/>
      <c r="Q21" s="738"/>
      <c r="R21" s="738"/>
      <c r="S21" s="738"/>
      <c r="T21" s="738"/>
      <c r="U21" s="738"/>
      <c r="V21" s="738"/>
      <c r="W21" s="738"/>
      <c r="X21" s="738"/>
      <c r="Y21" s="738"/>
      <c r="Z21" s="738"/>
      <c r="AA21" s="545"/>
      <c r="AB21" s="545"/>
      <c r="AC21" s="545"/>
      <c r="AD21" s="545"/>
      <c r="AE21" s="545"/>
      <c r="AF21" s="545"/>
      <c r="AG21" s="545"/>
      <c r="AH21" s="545"/>
      <c r="AI21" s="545"/>
      <c r="AJ21" s="545"/>
      <c r="AK21" s="545"/>
      <c r="AL21" s="545"/>
      <c r="AM21" s="545"/>
      <c r="AN21" s="545"/>
      <c r="AO21" s="545"/>
      <c r="AP21" s="545"/>
      <c r="AQ21" s="545"/>
      <c r="AR21" s="545"/>
      <c r="AS21" s="545"/>
      <c r="AT21" s="545"/>
      <c r="AU21" s="545"/>
      <c r="AV21" s="546"/>
      <c r="AW21" s="546"/>
      <c r="AX21" s="546"/>
      <c r="AY21" s="546"/>
      <c r="AZ21" s="546"/>
      <c r="BA21" s="546"/>
    </row>
    <row r="22" spans="1:53" s="168" customFormat="1" ht="16.350000000000001" customHeight="1" x14ac:dyDescent="0.2">
      <c r="A22" s="356" t="s">
        <v>426</v>
      </c>
      <c r="B22" s="357" t="s">
        <v>174</v>
      </c>
      <c r="C22" s="358">
        <f>WEIGHT!C24</f>
        <v>54731.156889061909</v>
      </c>
      <c r="D22" s="358">
        <f>WEIGHT!J24</f>
        <v>54731.156889061909</v>
      </c>
      <c r="E22" s="359">
        <f>WEIGHT!Q24</f>
        <v>54731.156889061909</v>
      </c>
      <c r="F22" s="737"/>
      <c r="G22" s="737"/>
      <c r="H22" s="737"/>
      <c r="I22" s="737"/>
      <c r="J22" s="737"/>
      <c r="K22" s="737"/>
      <c r="L22" s="738"/>
      <c r="M22" s="738"/>
      <c r="N22" s="738"/>
      <c r="O22" s="738"/>
      <c r="P22" s="738"/>
      <c r="Q22" s="738"/>
      <c r="R22" s="738"/>
      <c r="S22" s="738"/>
      <c r="T22" s="738"/>
      <c r="U22" s="738"/>
      <c r="V22" s="738"/>
      <c r="W22" s="738"/>
      <c r="X22" s="738"/>
      <c r="Y22" s="738"/>
      <c r="Z22" s="738"/>
      <c r="AA22" s="545"/>
      <c r="AB22" s="545"/>
      <c r="AC22" s="545"/>
      <c r="AD22" s="545"/>
      <c r="AE22" s="545"/>
      <c r="AF22" s="545"/>
      <c r="AG22" s="545"/>
      <c r="AH22" s="545"/>
      <c r="AI22" s="545"/>
      <c r="AJ22" s="545"/>
      <c r="AK22" s="545"/>
      <c r="AL22" s="545"/>
      <c r="AM22" s="545"/>
      <c r="AN22" s="545"/>
      <c r="AO22" s="545"/>
      <c r="AP22" s="545"/>
      <c r="AQ22" s="545"/>
      <c r="AR22" s="545"/>
      <c r="AS22" s="545"/>
      <c r="AT22" s="545"/>
      <c r="AU22" s="545"/>
      <c r="AV22" s="546"/>
      <c r="AW22" s="546"/>
      <c r="AX22" s="546"/>
      <c r="AY22" s="546"/>
      <c r="AZ22" s="546"/>
      <c r="BA22" s="546"/>
    </row>
    <row r="23" spans="1:53" s="168" customFormat="1" ht="16.350000000000001" customHeight="1" x14ac:dyDescent="0.2">
      <c r="A23" s="356" t="s">
        <v>198</v>
      </c>
      <c r="B23" s="357" t="s">
        <v>174</v>
      </c>
      <c r="C23" s="358">
        <f>C14+C21</f>
        <v>220424.5511905785</v>
      </c>
      <c r="D23" s="358">
        <f>D14+D21</f>
        <v>220424.5511905785</v>
      </c>
      <c r="E23" s="359">
        <f>E14+E21</f>
        <v>220424.5511905785</v>
      </c>
      <c r="F23" s="737"/>
      <c r="G23" s="737"/>
      <c r="H23" s="737"/>
      <c r="I23" s="737"/>
      <c r="J23" s="737"/>
      <c r="K23" s="737"/>
      <c r="L23" s="738"/>
      <c r="M23" s="738"/>
      <c r="N23" s="738"/>
      <c r="O23" s="738"/>
      <c r="P23" s="738"/>
      <c r="Q23" s="738"/>
      <c r="R23" s="738"/>
      <c r="S23" s="738"/>
      <c r="T23" s="738"/>
      <c r="U23" s="738"/>
      <c r="V23" s="738"/>
      <c r="W23" s="738"/>
      <c r="X23" s="738"/>
      <c r="Y23" s="738"/>
      <c r="Z23" s="738"/>
      <c r="AA23" s="545"/>
      <c r="AB23" s="545"/>
      <c r="AC23" s="545"/>
      <c r="AD23" s="545"/>
      <c r="AE23" s="545"/>
      <c r="AF23" s="545"/>
      <c r="AG23" s="545"/>
      <c r="AH23" s="545"/>
      <c r="AI23" s="545"/>
      <c r="AJ23" s="545"/>
      <c r="AK23" s="545"/>
      <c r="AL23" s="545"/>
      <c r="AM23" s="545"/>
      <c r="AN23" s="545"/>
      <c r="AO23" s="545"/>
      <c r="AP23" s="545"/>
      <c r="AQ23" s="545"/>
      <c r="AR23" s="545"/>
      <c r="AS23" s="545"/>
      <c r="AT23" s="545"/>
      <c r="AU23" s="545"/>
      <c r="AV23" s="546"/>
      <c r="AW23" s="546"/>
      <c r="AX23" s="546"/>
      <c r="AY23" s="546"/>
      <c r="AZ23" s="546"/>
      <c r="BA23" s="546"/>
    </row>
    <row r="24" spans="1:53" s="168" customFormat="1" ht="16.350000000000001" customHeight="1" x14ac:dyDescent="0.2">
      <c r="A24" s="784" t="s">
        <v>328</v>
      </c>
      <c r="B24" s="551" t="s">
        <v>174</v>
      </c>
      <c r="C24" s="590">
        <f>C15+C21</f>
        <v>263317.77974012645</v>
      </c>
      <c r="D24" s="590">
        <f>D15+D21</f>
        <v>263317.77974012645</v>
      </c>
      <c r="E24" s="594">
        <f>E15+E21</f>
        <v>263317.77974012645</v>
      </c>
      <c r="F24" s="725"/>
      <c r="G24" s="725"/>
      <c r="H24" s="737"/>
      <c r="I24" s="737"/>
      <c r="J24" s="737"/>
      <c r="K24" s="737"/>
      <c r="L24" s="738"/>
      <c r="M24" s="738"/>
      <c r="N24" s="738"/>
      <c r="O24" s="738"/>
      <c r="P24" s="738"/>
      <c r="Q24" s="738"/>
      <c r="R24" s="738"/>
      <c r="S24" s="738"/>
      <c r="T24" s="738"/>
      <c r="U24" s="738"/>
      <c r="V24" s="738"/>
      <c r="W24" s="738"/>
      <c r="X24" s="738"/>
      <c r="Y24" s="738"/>
      <c r="Z24" s="738"/>
      <c r="AA24" s="545"/>
      <c r="AB24" s="545"/>
      <c r="AC24" s="545"/>
      <c r="AD24" s="545"/>
      <c r="AE24" s="545"/>
      <c r="AF24" s="545"/>
      <c r="AG24" s="545"/>
      <c r="AH24" s="545"/>
      <c r="AI24" s="545"/>
      <c r="AJ24" s="545"/>
      <c r="AK24" s="545"/>
      <c r="AL24" s="545"/>
      <c r="AM24" s="545"/>
      <c r="AN24" s="545"/>
      <c r="AO24" s="545"/>
      <c r="AP24" s="545"/>
      <c r="AQ24" s="545"/>
      <c r="AR24" s="545"/>
      <c r="AS24" s="545"/>
      <c r="AT24" s="545"/>
      <c r="AU24" s="545"/>
      <c r="AV24" s="546"/>
      <c r="AW24" s="546"/>
      <c r="AX24" s="546"/>
      <c r="AY24" s="546"/>
      <c r="AZ24" s="546"/>
      <c r="BA24" s="546"/>
    </row>
    <row r="25" spans="1:53" s="168" customFormat="1" ht="16.350000000000001" customHeight="1" x14ac:dyDescent="0.2">
      <c r="A25" s="356" t="s">
        <v>305</v>
      </c>
      <c r="B25" s="357" t="s">
        <v>175</v>
      </c>
      <c r="C25" s="589">
        <f>C23/C5/C8/C10/1.025</f>
        <v>0.66734152844288097</v>
      </c>
      <c r="D25" s="589">
        <f>D23/D5/D8/D10/1.025</f>
        <v>0.66734152844288097</v>
      </c>
      <c r="E25" s="595">
        <f>E23/E5/E8/E10/1.025</f>
        <v>0.66734152844288097</v>
      </c>
      <c r="F25" s="736"/>
      <c r="G25" s="736"/>
      <c r="H25" s="736"/>
      <c r="I25" s="736"/>
      <c r="J25" s="736"/>
      <c r="K25" s="736"/>
      <c r="L25" s="740"/>
      <c r="M25" s="740"/>
      <c r="N25" s="740"/>
      <c r="O25" s="740"/>
      <c r="P25" s="740"/>
      <c r="Q25" s="740"/>
      <c r="R25" s="740"/>
      <c r="S25" s="740"/>
      <c r="T25" s="740"/>
      <c r="U25" s="740"/>
      <c r="V25" s="740"/>
      <c r="W25" s="740"/>
      <c r="X25" s="740"/>
      <c r="Y25" s="740"/>
      <c r="Z25" s="740"/>
      <c r="AA25" s="547"/>
      <c r="AB25" s="547"/>
      <c r="AC25" s="547"/>
      <c r="AD25" s="547"/>
      <c r="AE25" s="547"/>
      <c r="AF25" s="547"/>
      <c r="AG25" s="547"/>
      <c r="AH25" s="547"/>
      <c r="AI25" s="547"/>
      <c r="AJ25" s="547"/>
      <c r="AK25" s="547"/>
      <c r="AL25" s="547"/>
      <c r="AM25" s="547"/>
      <c r="AN25" s="547"/>
      <c r="AO25" s="547"/>
      <c r="AP25" s="547"/>
      <c r="AQ25" s="547"/>
      <c r="AR25" s="547"/>
      <c r="AS25" s="547"/>
      <c r="AT25" s="547"/>
      <c r="AU25" s="547"/>
      <c r="AV25" s="548"/>
      <c r="AW25" s="548"/>
      <c r="AX25" s="548"/>
      <c r="AY25" s="548"/>
      <c r="AZ25" s="548"/>
      <c r="BA25" s="548"/>
    </row>
    <row r="26" spans="1:53" s="168" customFormat="1" ht="16.350000000000001" customHeight="1" x14ac:dyDescent="0.2">
      <c r="A26" s="356" t="s">
        <v>329</v>
      </c>
      <c r="B26" s="357" t="s">
        <v>175</v>
      </c>
      <c r="C26" s="589">
        <f>C24/1.025/C5/C8/C11</f>
        <v>0.6928022550088464</v>
      </c>
      <c r="D26" s="589">
        <f>D24/1.025/D5/D8/D11</f>
        <v>0.6928022550088464</v>
      </c>
      <c r="E26" s="595">
        <f>E24/1.025/E5/E8/E11</f>
        <v>0.6928022550088464</v>
      </c>
      <c r="F26" s="736"/>
      <c r="G26" s="736"/>
      <c r="H26" s="736"/>
      <c r="I26" s="736"/>
      <c r="J26" s="736"/>
      <c r="K26" s="736"/>
      <c r="L26" s="740"/>
      <c r="M26" s="740"/>
      <c r="N26" s="740"/>
      <c r="O26" s="740"/>
      <c r="P26" s="740"/>
      <c r="Q26" s="740"/>
      <c r="R26" s="740"/>
      <c r="S26" s="740"/>
      <c r="T26" s="740"/>
      <c r="U26" s="740"/>
      <c r="V26" s="740"/>
      <c r="W26" s="740"/>
      <c r="X26" s="740"/>
      <c r="Y26" s="740"/>
      <c r="Z26" s="740"/>
      <c r="AA26" s="547"/>
      <c r="AB26" s="547"/>
      <c r="AC26" s="547"/>
      <c r="AD26" s="547"/>
      <c r="AE26" s="547"/>
      <c r="AF26" s="547"/>
      <c r="AG26" s="547"/>
      <c r="AH26" s="547"/>
      <c r="AI26" s="547"/>
      <c r="AJ26" s="547"/>
      <c r="AK26" s="547"/>
      <c r="AL26" s="547"/>
      <c r="AM26" s="547"/>
      <c r="AN26" s="547"/>
      <c r="AO26" s="547"/>
      <c r="AP26" s="547"/>
      <c r="AQ26" s="547"/>
      <c r="AR26" s="547"/>
      <c r="AS26" s="547"/>
      <c r="AT26" s="547"/>
      <c r="AU26" s="547"/>
      <c r="AV26" s="548"/>
      <c r="AW26" s="548"/>
      <c r="AX26" s="548"/>
      <c r="AY26" s="548"/>
      <c r="AZ26" s="548"/>
      <c r="BA26" s="548"/>
    </row>
    <row r="27" spans="1:53" s="168" customFormat="1" ht="16.350000000000001" customHeight="1" x14ac:dyDescent="0.2">
      <c r="A27" s="356" t="s">
        <v>331</v>
      </c>
      <c r="B27" s="357" t="s">
        <v>175</v>
      </c>
      <c r="C27" s="588">
        <f>C5/(C23/1.025)^(1/3)</f>
        <v>6.7789013872390314</v>
      </c>
      <c r="D27" s="588">
        <f>D5/(D23/1.025)^(1/3)</f>
        <v>6.7789013872390314</v>
      </c>
      <c r="E27" s="596">
        <f>E5/(E23/1.025)^(1/3)</f>
        <v>6.7789013872390314</v>
      </c>
      <c r="F27" s="725"/>
      <c r="G27" s="728"/>
      <c r="H27" s="735"/>
      <c r="I27" s="735"/>
      <c r="J27" s="735"/>
      <c r="K27" s="725"/>
      <c r="L27" s="732"/>
      <c r="M27" s="732"/>
      <c r="N27" s="732"/>
      <c r="O27" s="732"/>
      <c r="P27" s="732"/>
      <c r="Q27" s="732"/>
      <c r="R27" s="732"/>
      <c r="S27" s="732"/>
      <c r="T27" s="732"/>
      <c r="U27" s="732"/>
      <c r="V27" s="732"/>
      <c r="W27" s="732"/>
      <c r="X27" s="732"/>
      <c r="Y27" s="732"/>
      <c r="Z27" s="732"/>
      <c r="AA27" s="536"/>
      <c r="AB27" s="536"/>
      <c r="AC27" s="536"/>
      <c r="AD27" s="536"/>
      <c r="AE27" s="536"/>
      <c r="AF27" s="536"/>
      <c r="AG27" s="536"/>
      <c r="AH27" s="536"/>
      <c r="AI27" s="536"/>
      <c r="AJ27" s="536"/>
      <c r="AK27" s="536"/>
      <c r="AL27" s="536"/>
      <c r="AM27" s="536"/>
      <c r="AN27" s="536"/>
      <c r="AO27" s="536"/>
      <c r="AP27" s="536"/>
      <c r="AQ27" s="536"/>
      <c r="AR27" s="536"/>
      <c r="AS27" s="536"/>
      <c r="AT27" s="536"/>
      <c r="AU27" s="536"/>
      <c r="AV27" s="542"/>
      <c r="AW27" s="542"/>
      <c r="AX27" s="542"/>
      <c r="AY27" s="542"/>
      <c r="AZ27" s="542"/>
      <c r="BA27" s="542"/>
    </row>
    <row r="28" spans="1:53" s="168" customFormat="1" ht="16.350000000000001" customHeight="1" x14ac:dyDescent="0.2">
      <c r="A28" s="356" t="s">
        <v>330</v>
      </c>
      <c r="B28" s="357" t="s">
        <v>175</v>
      </c>
      <c r="C28" s="588">
        <f>C5/(C24/1.025)^(1/3)</f>
        <v>6.3887992689891409</v>
      </c>
      <c r="D28" s="588">
        <f>D5/(D24/1.025)^(1/3)</f>
        <v>6.3887992689891409</v>
      </c>
      <c r="E28" s="596">
        <f>E5/(E24/1.025)^(1/3)</f>
        <v>6.3887992689891409</v>
      </c>
      <c r="F28" s="725"/>
      <c r="G28" s="728"/>
      <c r="H28" s="735"/>
      <c r="I28" s="735"/>
      <c r="J28" s="735"/>
      <c r="K28" s="725"/>
      <c r="L28" s="732"/>
      <c r="M28" s="732"/>
      <c r="N28" s="732"/>
      <c r="O28" s="732"/>
      <c r="P28" s="732"/>
      <c r="Q28" s="732"/>
      <c r="R28" s="732"/>
      <c r="S28" s="732"/>
      <c r="T28" s="732"/>
      <c r="U28" s="732"/>
      <c r="V28" s="732"/>
      <c r="W28" s="732"/>
      <c r="X28" s="732"/>
      <c r="Y28" s="732"/>
      <c r="Z28" s="732"/>
      <c r="AA28" s="536"/>
      <c r="AB28" s="536"/>
      <c r="AC28" s="536"/>
      <c r="AD28" s="536"/>
      <c r="AE28" s="536"/>
      <c r="AF28" s="536"/>
      <c r="AG28" s="536"/>
      <c r="AH28" s="536"/>
      <c r="AI28" s="536"/>
      <c r="AJ28" s="536"/>
      <c r="AK28" s="536"/>
      <c r="AL28" s="536"/>
      <c r="AM28" s="536"/>
      <c r="AN28" s="536"/>
      <c r="AO28" s="536"/>
      <c r="AP28" s="536"/>
      <c r="AQ28" s="536"/>
      <c r="AR28" s="536"/>
      <c r="AS28" s="536"/>
      <c r="AT28" s="536"/>
      <c r="AU28" s="536"/>
      <c r="AV28" s="542"/>
      <c r="AW28" s="542"/>
      <c r="AX28" s="542"/>
      <c r="AY28" s="542"/>
      <c r="AZ28" s="542"/>
      <c r="BA28" s="542"/>
    </row>
    <row r="29" spans="1:53" s="168" customFormat="1" ht="16.350000000000001" customHeight="1" x14ac:dyDescent="0.2">
      <c r="A29" s="356" t="s">
        <v>186</v>
      </c>
      <c r="B29" s="357" t="s">
        <v>175</v>
      </c>
      <c r="C29" s="562">
        <v>0.98</v>
      </c>
      <c r="D29" s="562">
        <v>0.98</v>
      </c>
      <c r="E29" s="597">
        <v>0.98</v>
      </c>
      <c r="F29" s="728"/>
      <c r="G29" s="728"/>
      <c r="H29" s="735"/>
      <c r="I29" s="735"/>
      <c r="J29" s="735"/>
      <c r="K29" s="728"/>
      <c r="L29" s="731"/>
      <c r="M29" s="731"/>
      <c r="N29" s="731"/>
      <c r="O29" s="731"/>
      <c r="P29" s="731"/>
      <c r="Q29" s="731"/>
      <c r="R29" s="731"/>
      <c r="S29" s="731"/>
      <c r="T29" s="731"/>
      <c r="U29" s="731"/>
      <c r="V29" s="731"/>
      <c r="W29" s="731"/>
      <c r="X29" s="731"/>
      <c r="Y29" s="731"/>
      <c r="Z29" s="731"/>
      <c r="AA29" s="539"/>
      <c r="AB29" s="539"/>
      <c r="AC29" s="539"/>
      <c r="AD29" s="539"/>
      <c r="AE29" s="539"/>
      <c r="AF29" s="539"/>
      <c r="AG29" s="539"/>
      <c r="AH29" s="539"/>
      <c r="AI29" s="539"/>
      <c r="AJ29" s="539"/>
      <c r="AK29" s="539"/>
      <c r="AL29" s="539"/>
      <c r="AM29" s="539"/>
      <c r="AN29" s="539"/>
      <c r="AO29" s="539"/>
      <c r="AP29" s="539"/>
      <c r="AQ29" s="539"/>
      <c r="AR29" s="539"/>
      <c r="AS29" s="539"/>
      <c r="AT29" s="539"/>
      <c r="AU29" s="539"/>
      <c r="AV29" s="167"/>
      <c r="AW29" s="167"/>
      <c r="AX29" s="167"/>
      <c r="AY29" s="167"/>
      <c r="AZ29" s="167"/>
      <c r="BA29" s="167"/>
    </row>
    <row r="30" spans="1:53" s="168" customFormat="1" ht="16.350000000000001" customHeight="1" x14ac:dyDescent="0.2">
      <c r="A30" s="356" t="s">
        <v>189</v>
      </c>
      <c r="B30" s="357" t="s">
        <v>175</v>
      </c>
      <c r="C30" s="589">
        <f>C25/C29</f>
        <v>0.6809607433090622</v>
      </c>
      <c r="D30" s="589">
        <f>D25/D29</f>
        <v>0.6809607433090622</v>
      </c>
      <c r="E30" s="595">
        <f>E25/E29</f>
        <v>0.6809607433090622</v>
      </c>
      <c r="F30" s="736"/>
      <c r="G30" s="728"/>
      <c r="H30" s="735"/>
      <c r="I30" s="735"/>
      <c r="J30" s="735"/>
      <c r="K30" s="736"/>
      <c r="L30" s="740"/>
      <c r="M30" s="740"/>
      <c r="N30" s="740"/>
      <c r="O30" s="740"/>
      <c r="P30" s="740"/>
      <c r="Q30" s="740"/>
      <c r="R30" s="740"/>
      <c r="S30" s="740"/>
      <c r="T30" s="740"/>
      <c r="U30" s="740"/>
      <c r="V30" s="740"/>
      <c r="W30" s="740"/>
      <c r="X30" s="740"/>
      <c r="Y30" s="740"/>
      <c r="Z30" s="740"/>
      <c r="AA30" s="547"/>
      <c r="AB30" s="547"/>
      <c r="AC30" s="547"/>
      <c r="AD30" s="547"/>
      <c r="AE30" s="547"/>
      <c r="AF30" s="547"/>
      <c r="AG30" s="547"/>
      <c r="AH30" s="547"/>
      <c r="AI30" s="547"/>
      <c r="AJ30" s="547"/>
      <c r="AK30" s="547"/>
      <c r="AL30" s="547"/>
      <c r="AM30" s="547"/>
      <c r="AN30" s="547"/>
      <c r="AO30" s="547"/>
      <c r="AP30" s="547"/>
      <c r="AQ30" s="547"/>
      <c r="AR30" s="547"/>
      <c r="AS30" s="547"/>
      <c r="AT30" s="547"/>
      <c r="AU30" s="547"/>
      <c r="AV30" s="548"/>
      <c r="AW30" s="548"/>
      <c r="AX30" s="548"/>
      <c r="AY30" s="548"/>
      <c r="AZ30" s="548"/>
      <c r="BA30" s="548"/>
    </row>
    <row r="31" spans="1:53" s="168" customFormat="1" ht="16.350000000000001" customHeight="1" x14ac:dyDescent="0.2">
      <c r="A31" s="356" t="s">
        <v>332</v>
      </c>
      <c r="B31" s="357" t="s">
        <v>175</v>
      </c>
      <c r="C31" s="589">
        <f>C26/C29</f>
        <v>0.70694107653963922</v>
      </c>
      <c r="D31" s="589">
        <f>D26/D29</f>
        <v>0.70694107653963922</v>
      </c>
      <c r="E31" s="595">
        <f>E26/E29</f>
        <v>0.70694107653963922</v>
      </c>
      <c r="F31" s="736"/>
      <c r="G31" s="728"/>
      <c r="H31" s="735"/>
      <c r="I31" s="735"/>
      <c r="J31" s="735"/>
      <c r="K31" s="736"/>
      <c r="L31" s="740"/>
      <c r="M31" s="740"/>
      <c r="N31" s="740"/>
      <c r="O31" s="740"/>
      <c r="P31" s="740"/>
      <c r="Q31" s="740"/>
      <c r="R31" s="740"/>
      <c r="S31" s="740"/>
      <c r="T31" s="740"/>
      <c r="U31" s="740"/>
      <c r="V31" s="740"/>
      <c r="W31" s="740"/>
      <c r="X31" s="740"/>
      <c r="Y31" s="740"/>
      <c r="Z31" s="740"/>
      <c r="AA31" s="547"/>
      <c r="AB31" s="547"/>
      <c r="AC31" s="547"/>
      <c r="AD31" s="547"/>
      <c r="AE31" s="547"/>
      <c r="AF31" s="547"/>
      <c r="AG31" s="547"/>
      <c r="AH31" s="547"/>
      <c r="AI31" s="547"/>
      <c r="AJ31" s="547"/>
      <c r="AK31" s="547"/>
      <c r="AL31" s="547"/>
      <c r="AM31" s="547"/>
      <c r="AN31" s="547"/>
      <c r="AO31" s="547"/>
      <c r="AP31" s="547"/>
      <c r="AQ31" s="547"/>
      <c r="AR31" s="547"/>
      <c r="AS31" s="547"/>
      <c r="AT31" s="547"/>
      <c r="AU31" s="547"/>
      <c r="AV31" s="548"/>
      <c r="AW31" s="548"/>
      <c r="AX31" s="548"/>
      <c r="AY31" s="548"/>
      <c r="AZ31" s="548"/>
      <c r="BA31" s="548"/>
    </row>
    <row r="32" spans="1:53" s="168" customFormat="1" ht="16.350000000000001" customHeight="1" x14ac:dyDescent="0.2">
      <c r="A32" s="356" t="s">
        <v>161</v>
      </c>
      <c r="B32" s="357" t="s">
        <v>175</v>
      </c>
      <c r="C32" s="589">
        <f>0.55+0.45*C26</f>
        <v>0.86176101475398093</v>
      </c>
      <c r="D32" s="589">
        <f>0.55+0.45*D26</f>
        <v>0.86176101475398093</v>
      </c>
      <c r="E32" s="595">
        <f>0.55+0.45*E26</f>
        <v>0.86176101475398093</v>
      </c>
      <c r="F32" s="736"/>
      <c r="G32" s="728"/>
      <c r="H32" s="735"/>
      <c r="I32" s="735"/>
      <c r="J32" s="735"/>
      <c r="K32" s="736"/>
      <c r="L32" s="740"/>
      <c r="M32" s="740"/>
      <c r="N32" s="740"/>
      <c r="O32" s="740"/>
      <c r="P32" s="740"/>
      <c r="Q32" s="740"/>
      <c r="R32" s="740"/>
      <c r="S32" s="740"/>
      <c r="T32" s="740"/>
      <c r="U32" s="740"/>
      <c r="V32" s="740"/>
      <c r="W32" s="740"/>
      <c r="X32" s="740"/>
      <c r="Y32" s="740"/>
      <c r="Z32" s="740"/>
      <c r="AA32" s="547"/>
      <c r="AB32" s="547"/>
      <c r="AC32" s="547"/>
      <c r="AD32" s="547"/>
      <c r="AE32" s="547"/>
      <c r="AF32" s="547"/>
      <c r="AG32" s="547"/>
      <c r="AH32" s="547"/>
      <c r="AI32" s="547"/>
      <c r="AJ32" s="547"/>
      <c r="AK32" s="547"/>
      <c r="AL32" s="547"/>
      <c r="AM32" s="547"/>
      <c r="AN32" s="547"/>
      <c r="AO32" s="547"/>
      <c r="AP32" s="547"/>
      <c r="AQ32" s="547"/>
      <c r="AR32" s="547"/>
      <c r="AS32" s="547"/>
      <c r="AT32" s="547"/>
      <c r="AU32" s="547"/>
      <c r="AV32" s="548"/>
      <c r="AW32" s="548"/>
      <c r="AX32" s="548"/>
      <c r="AY32" s="548"/>
      <c r="AZ32" s="548"/>
      <c r="BA32" s="548"/>
    </row>
    <row r="33" spans="1:53" s="168" customFormat="1" ht="16.350000000000001" customHeight="1" x14ac:dyDescent="0.2">
      <c r="A33" s="356" t="s">
        <v>389</v>
      </c>
      <c r="B33" s="357" t="s">
        <v>390</v>
      </c>
      <c r="C33" s="549">
        <f>C34-2.4*(C11-C10)*(C6+C8)</f>
        <v>25924.103561831609</v>
      </c>
      <c r="D33" s="549">
        <f>D34-2.4*(D11-D10)*(D6+D8)</f>
        <v>25924.103561831609</v>
      </c>
      <c r="E33" s="550">
        <f>E34-2.4*(E11-E10)*(E6+E8)</f>
        <v>27864.745297694943</v>
      </c>
      <c r="F33" s="736"/>
      <c r="G33" s="728"/>
      <c r="H33" s="735"/>
      <c r="I33" s="735"/>
      <c r="J33" s="735"/>
      <c r="K33" s="736"/>
      <c r="L33" s="740"/>
      <c r="M33" s="740"/>
      <c r="N33" s="740"/>
      <c r="O33" s="740"/>
      <c r="P33" s="740"/>
      <c r="Q33" s="740"/>
      <c r="R33" s="740"/>
      <c r="S33" s="740"/>
      <c r="T33" s="740"/>
      <c r="U33" s="740"/>
      <c r="V33" s="740"/>
      <c r="W33" s="740"/>
      <c r="X33" s="740"/>
      <c r="Y33" s="740"/>
      <c r="Z33" s="740"/>
      <c r="AA33" s="547"/>
      <c r="AB33" s="547"/>
      <c r="AC33" s="547"/>
      <c r="AD33" s="547"/>
      <c r="AE33" s="547"/>
      <c r="AF33" s="547"/>
      <c r="AG33" s="547"/>
      <c r="AH33" s="547"/>
      <c r="AI33" s="547"/>
      <c r="AJ33" s="547"/>
      <c r="AK33" s="547"/>
      <c r="AL33" s="547"/>
      <c r="AM33" s="547"/>
      <c r="AN33" s="547"/>
      <c r="AO33" s="547"/>
      <c r="AP33" s="547"/>
      <c r="AQ33" s="547"/>
      <c r="AR33" s="547"/>
      <c r="AS33" s="547"/>
      <c r="AT33" s="547"/>
      <c r="AU33" s="547"/>
      <c r="AV33" s="548"/>
      <c r="AW33" s="548"/>
      <c r="AX33" s="548"/>
      <c r="AY33" s="548"/>
      <c r="AZ33" s="548"/>
      <c r="BA33" s="548"/>
    </row>
    <row r="34" spans="1:53" s="168" customFormat="1" ht="16.350000000000001" customHeight="1" x14ac:dyDescent="0.2">
      <c r="A34" s="784" t="s">
        <v>333</v>
      </c>
      <c r="B34" s="551" t="s">
        <v>390</v>
      </c>
      <c r="C34" s="549">
        <f>IF(C50=1,0.995*(C24/C11/1.025+1.9*C11*C6),IF(C51=1,1.21*(C24/C11/1.025+1.3*C11*C6)*(1.2-0.34*C26*C5/C6),1.13*(C24/C11/1.025+1.7*C11*C6)*(1.2-0.31*C26*C5/C6)))</f>
        <v>28316.395999934779</v>
      </c>
      <c r="D34" s="549">
        <f>IF(D50=1,0.995*(D24/D11/1.025+1.9*D11*D6),IF(D51=1,1.21*(D24/D11/1.025+1.3*D11*D6)*(1.2-0.34*D26*D5/D6),1.13*(D24/D11/1.025+1.7*D11*D6)*(1.2-0.31*D26*D5/D6)))</f>
        <v>28316.395999934779</v>
      </c>
      <c r="E34" s="1139">
        <f>IF(E50=1,0.995*(E24/E11/1.025+1.9*E11*E6),IF(E51=1,1.21*(E24/E11/1.025+1.3*E11*E6)*(1.2-0.34*E26*E5/E6),1.13*(E24/E11/1.025+1.7*E11*E6)*(1.2-0.31*E26*E5/E6)))</f>
        <v>30257.037735798112</v>
      </c>
      <c r="F34" s="725"/>
      <c r="G34" s="725"/>
      <c r="H34" s="735"/>
      <c r="I34" s="735"/>
      <c r="J34" s="735"/>
      <c r="K34" s="736"/>
      <c r="L34" s="740"/>
      <c r="M34" s="740"/>
      <c r="N34" s="740"/>
      <c r="O34" s="740"/>
      <c r="P34" s="740"/>
      <c r="Q34" s="740"/>
      <c r="R34" s="740"/>
      <c r="S34" s="740"/>
      <c r="T34" s="740"/>
      <c r="U34" s="740"/>
      <c r="V34" s="740"/>
      <c r="W34" s="740"/>
      <c r="X34" s="740"/>
      <c r="Y34" s="740"/>
      <c r="Z34" s="740"/>
      <c r="AA34" s="547"/>
      <c r="AB34" s="547"/>
      <c r="AC34" s="547"/>
      <c r="AD34" s="547"/>
      <c r="AE34" s="547"/>
      <c r="AF34" s="547"/>
      <c r="AG34" s="547"/>
      <c r="AH34" s="547"/>
      <c r="AI34" s="547"/>
      <c r="AJ34" s="547"/>
      <c r="AK34" s="547"/>
      <c r="AL34" s="547"/>
      <c r="AM34" s="547"/>
      <c r="AN34" s="547"/>
      <c r="AO34" s="547"/>
      <c r="AP34" s="547"/>
      <c r="AQ34" s="547"/>
      <c r="AR34" s="547"/>
      <c r="AS34" s="547"/>
      <c r="AT34" s="547"/>
      <c r="AU34" s="547"/>
      <c r="AV34" s="548"/>
      <c r="AW34" s="548"/>
      <c r="AX34" s="548"/>
      <c r="AY34" s="548"/>
      <c r="AZ34" s="548"/>
      <c r="BA34" s="548"/>
    </row>
    <row r="35" spans="1:53" s="168" customFormat="1" ht="16.350000000000001" customHeight="1" x14ac:dyDescent="0.2">
      <c r="A35" s="786" t="s">
        <v>190</v>
      </c>
      <c r="B35" s="787" t="s">
        <v>191</v>
      </c>
      <c r="C35" s="591">
        <f>IF(C5&lt;95,14.02+(C5-95)*0.16,IF(C5&lt;350,MIN(25.7,4+0.1216*C5-0.00017*C5^2),25.7))</f>
        <v>25.7</v>
      </c>
      <c r="D35" s="587">
        <v>23</v>
      </c>
      <c r="E35" s="1130">
        <v>23</v>
      </c>
      <c r="F35" s="728"/>
      <c r="G35" s="728"/>
      <c r="H35" s="741"/>
      <c r="I35" s="735"/>
      <c r="J35" s="735"/>
      <c r="K35" s="735"/>
      <c r="L35" s="724"/>
      <c r="M35" s="724"/>
      <c r="N35" s="724"/>
      <c r="O35" s="724"/>
      <c r="P35" s="724"/>
      <c r="Q35" s="724"/>
      <c r="R35" s="724"/>
      <c r="S35" s="724"/>
      <c r="T35" s="724"/>
      <c r="U35" s="724"/>
      <c r="V35" s="724"/>
      <c r="W35" s="724"/>
      <c r="X35" s="724"/>
      <c r="Y35" s="724"/>
      <c r="Z35" s="724"/>
      <c r="AA35" s="535"/>
      <c r="AB35" s="535"/>
      <c r="AC35" s="535"/>
      <c r="AD35" s="535"/>
      <c r="AE35" s="535"/>
      <c r="AF35" s="535"/>
      <c r="AG35" s="535"/>
      <c r="AH35" s="535"/>
      <c r="AI35" s="535"/>
      <c r="AJ35" s="535"/>
      <c r="AK35" s="535"/>
      <c r="AL35" s="535"/>
      <c r="AM35" s="535"/>
      <c r="AN35" s="535"/>
      <c r="AO35" s="535"/>
      <c r="AP35" s="535"/>
      <c r="AQ35" s="535"/>
      <c r="AR35" s="535"/>
      <c r="AS35" s="535"/>
      <c r="AT35" s="535"/>
      <c r="AU35" s="535"/>
    </row>
    <row r="36" spans="1:53" s="168" customFormat="1" ht="16.350000000000001" customHeight="1" x14ac:dyDescent="0.2">
      <c r="A36" s="786" t="s">
        <v>368</v>
      </c>
      <c r="B36" s="787" t="s">
        <v>175</v>
      </c>
      <c r="C36" s="592">
        <f>C35*0.5144/(9.81*C6)^0.5</f>
        <v>0.20840264080943741</v>
      </c>
      <c r="D36" s="592">
        <f>D35*0.5144/(9.81*D6)^0.5</f>
        <v>0.18650819994618911</v>
      </c>
      <c r="E36" s="788">
        <f>E35*0.5144/(9.81*E6)^0.5</f>
        <v>0.18650819994618911</v>
      </c>
      <c r="F36" s="728"/>
      <c r="G36" s="728"/>
      <c r="H36" s="735"/>
      <c r="I36" s="735"/>
      <c r="J36" s="735"/>
      <c r="K36" s="735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535"/>
      <c r="AB36" s="535"/>
      <c r="AC36" s="535"/>
      <c r="AD36" s="535"/>
      <c r="AE36" s="535"/>
      <c r="AF36" s="535"/>
      <c r="AG36" s="535"/>
      <c r="AH36" s="535"/>
      <c r="AI36" s="535"/>
      <c r="AJ36" s="535"/>
      <c r="AK36" s="535"/>
      <c r="AL36" s="535"/>
      <c r="AM36" s="535"/>
      <c r="AN36" s="535"/>
      <c r="AO36" s="535"/>
      <c r="AP36" s="535"/>
      <c r="AQ36" s="535"/>
      <c r="AR36" s="535"/>
      <c r="AS36" s="535"/>
      <c r="AT36" s="535"/>
      <c r="AU36" s="535"/>
    </row>
    <row r="37" spans="1:53" s="168" customFormat="1" ht="16.350000000000001" customHeight="1" x14ac:dyDescent="0.2">
      <c r="A37" s="356" t="s">
        <v>667</v>
      </c>
      <c r="B37" s="357" t="s">
        <v>191</v>
      </c>
      <c r="C37" s="556">
        <f>'PT1-1'!V33</f>
        <v>25.013805909967829</v>
      </c>
      <c r="D37" s="556">
        <f>'PT2-1'!V33</f>
        <v>22.438167721253819</v>
      </c>
      <c r="E37" s="557">
        <f>'PT3-1'!V33</f>
        <v>22.454956941663362</v>
      </c>
      <c r="F37" s="728"/>
      <c r="G37" s="728"/>
      <c r="H37" s="735"/>
      <c r="I37" s="735"/>
      <c r="J37" s="735"/>
      <c r="K37" s="735"/>
      <c r="L37" s="724"/>
      <c r="M37" s="724"/>
      <c r="N37" s="724"/>
      <c r="O37" s="724"/>
      <c r="P37" s="724"/>
      <c r="Q37" s="724"/>
      <c r="R37" s="724"/>
      <c r="S37" s="724"/>
      <c r="T37" s="724"/>
      <c r="U37" s="724"/>
      <c r="V37" s="724"/>
      <c r="W37" s="724"/>
      <c r="X37" s="724"/>
      <c r="Y37" s="724"/>
      <c r="Z37" s="724"/>
      <c r="AA37" s="535"/>
      <c r="AB37" s="535"/>
      <c r="AC37" s="535"/>
      <c r="AD37" s="535"/>
      <c r="AE37" s="535"/>
      <c r="AF37" s="535"/>
      <c r="AG37" s="535"/>
      <c r="AH37" s="535"/>
      <c r="AI37" s="535"/>
      <c r="AJ37" s="535"/>
      <c r="AK37" s="535"/>
      <c r="AL37" s="535"/>
      <c r="AM37" s="535"/>
      <c r="AN37" s="535"/>
      <c r="AO37" s="535"/>
      <c r="AP37" s="535"/>
      <c r="AQ37" s="535"/>
      <c r="AR37" s="535"/>
      <c r="AS37" s="535"/>
      <c r="AT37" s="535"/>
      <c r="AU37" s="535"/>
    </row>
    <row r="38" spans="1:53" s="168" customFormat="1" ht="16.350000000000001" customHeight="1" x14ac:dyDescent="0.2">
      <c r="A38" s="789" t="s">
        <v>369</v>
      </c>
      <c r="B38" s="790" t="s">
        <v>175</v>
      </c>
      <c r="C38" s="593">
        <f>C37*0.5144/(9.81*C6)^0.5</f>
        <v>0.20283825713354117</v>
      </c>
      <c r="D38" s="593">
        <f>D37*0.5144/(9.81*D6)^0.5</f>
        <v>0.18195227268616235</v>
      </c>
      <c r="E38" s="791">
        <f>E37*0.5144/(9.81*E6)^0.5</f>
        <v>0.18208841735038336</v>
      </c>
      <c r="F38" s="728"/>
      <c r="G38" s="728"/>
      <c r="H38" s="735"/>
      <c r="I38" s="735"/>
      <c r="J38" s="735"/>
      <c r="K38" s="735"/>
      <c r="L38" s="724"/>
      <c r="M38" s="724"/>
      <c r="N38" s="724"/>
      <c r="O38" s="724"/>
      <c r="P38" s="724"/>
      <c r="Q38" s="724"/>
      <c r="R38" s="724"/>
      <c r="S38" s="724"/>
      <c r="T38" s="724"/>
      <c r="U38" s="724"/>
      <c r="V38" s="724"/>
      <c r="W38" s="724"/>
      <c r="X38" s="724"/>
      <c r="Y38" s="724"/>
      <c r="Z38" s="724"/>
      <c r="AA38" s="535"/>
      <c r="AB38" s="535"/>
      <c r="AC38" s="535"/>
      <c r="AD38" s="535"/>
      <c r="AE38" s="535"/>
      <c r="AF38" s="535"/>
      <c r="AG38" s="535"/>
      <c r="AH38" s="535"/>
      <c r="AI38" s="535"/>
      <c r="AJ38" s="535"/>
      <c r="AK38" s="535"/>
      <c r="AL38" s="535"/>
      <c r="AM38" s="535"/>
      <c r="AN38" s="535"/>
      <c r="AO38" s="535"/>
      <c r="AP38" s="535"/>
      <c r="AQ38" s="535"/>
      <c r="AR38" s="535"/>
      <c r="AS38" s="535"/>
      <c r="AT38" s="535"/>
      <c r="AU38" s="535"/>
    </row>
    <row r="39" spans="1:53" s="168" customFormat="1" ht="16.350000000000001" customHeight="1" x14ac:dyDescent="0.2">
      <c r="A39" s="356" t="s">
        <v>187</v>
      </c>
      <c r="B39" s="357" t="s">
        <v>178</v>
      </c>
      <c r="C39" s="698">
        <v>15</v>
      </c>
      <c r="D39" s="563">
        <v>15</v>
      </c>
      <c r="E39" s="564">
        <v>15</v>
      </c>
      <c r="F39" s="728"/>
      <c r="G39" s="728"/>
      <c r="H39" s="735"/>
      <c r="I39" s="735"/>
      <c r="J39" s="735"/>
      <c r="K39" s="735"/>
      <c r="L39" s="724"/>
      <c r="M39" s="724"/>
      <c r="N39" s="724"/>
      <c r="O39" s="724"/>
      <c r="P39" s="724"/>
      <c r="Q39" s="724"/>
      <c r="R39" s="724"/>
      <c r="S39" s="724"/>
      <c r="T39" s="724"/>
      <c r="U39" s="724"/>
      <c r="V39" s="724"/>
      <c r="W39" s="724"/>
      <c r="X39" s="724"/>
      <c r="Y39" s="724"/>
      <c r="Z39" s="724"/>
      <c r="AA39" s="535"/>
      <c r="AB39" s="535"/>
      <c r="AC39" s="535"/>
      <c r="AD39" s="535"/>
      <c r="AE39" s="535"/>
      <c r="AF39" s="535"/>
      <c r="AG39" s="535"/>
      <c r="AH39" s="535"/>
      <c r="AI39" s="535"/>
      <c r="AJ39" s="535"/>
      <c r="AK39" s="535"/>
      <c r="AL39" s="535"/>
      <c r="AM39" s="535"/>
      <c r="AN39" s="535"/>
      <c r="AO39" s="535"/>
      <c r="AP39" s="535"/>
      <c r="AQ39" s="535"/>
      <c r="AR39" s="535"/>
      <c r="AS39" s="535"/>
      <c r="AT39" s="535"/>
      <c r="AU39" s="535"/>
    </row>
    <row r="40" spans="1:53" s="168" customFormat="1" ht="16.350000000000001" customHeight="1" x14ac:dyDescent="0.2">
      <c r="A40" s="552" t="s">
        <v>65</v>
      </c>
      <c r="B40" s="553" t="s">
        <v>175</v>
      </c>
      <c r="C40" s="560">
        <v>0</v>
      </c>
      <c r="D40" s="554">
        <v>0</v>
      </c>
      <c r="E40" s="555">
        <v>0</v>
      </c>
      <c r="F40" s="728"/>
      <c r="G40" s="728"/>
      <c r="H40" s="735"/>
      <c r="I40" s="735"/>
      <c r="J40" s="735"/>
      <c r="K40" s="735"/>
      <c r="L40" s="724"/>
      <c r="M40" s="724"/>
      <c r="N40" s="724"/>
      <c r="O40" s="724"/>
      <c r="P40" s="724"/>
      <c r="Q40" s="724"/>
      <c r="R40" s="724"/>
      <c r="S40" s="724"/>
      <c r="T40" s="724"/>
      <c r="U40" s="724"/>
      <c r="V40" s="724"/>
      <c r="W40" s="724"/>
      <c r="X40" s="724"/>
      <c r="Y40" s="724"/>
      <c r="Z40" s="724"/>
      <c r="AA40" s="535"/>
      <c r="AB40" s="535"/>
      <c r="AC40" s="535"/>
      <c r="AD40" s="535"/>
      <c r="AE40" s="535"/>
      <c r="AF40" s="535"/>
      <c r="AG40" s="535"/>
      <c r="AH40" s="535"/>
      <c r="AI40" s="535"/>
      <c r="AJ40" s="535"/>
      <c r="AK40" s="535"/>
      <c r="AL40" s="535"/>
      <c r="AM40" s="535"/>
      <c r="AN40" s="535"/>
      <c r="AO40" s="535"/>
      <c r="AP40" s="535"/>
      <c r="AQ40" s="535"/>
      <c r="AR40" s="535"/>
      <c r="AS40" s="535"/>
      <c r="AT40" s="535"/>
      <c r="AU40" s="535"/>
    </row>
    <row r="41" spans="1:53" s="168" customFormat="1" ht="16.350000000000001" customHeight="1" x14ac:dyDescent="0.2">
      <c r="A41" s="552" t="s">
        <v>66</v>
      </c>
      <c r="B41" s="553" t="s">
        <v>64</v>
      </c>
      <c r="C41" s="556">
        <f>MAX(0,-0.2+0.98*C40+0.21626*C40^2-0.00466*C40^3)</f>
        <v>0</v>
      </c>
      <c r="D41" s="556">
        <f>MAX(0,-0.2+0.98*D40+0.21626*D40^2-0.00466*D40^3)</f>
        <v>0</v>
      </c>
      <c r="E41" s="557">
        <f>MAX(0,-0.2+0.98*E40+0.21626*E40^2-0.00466*E40^3)</f>
        <v>0</v>
      </c>
      <c r="F41" s="728"/>
      <c r="G41" s="728"/>
      <c r="H41" s="735"/>
      <c r="I41" s="735"/>
      <c r="J41" s="735"/>
      <c r="K41" s="735"/>
      <c r="L41" s="724"/>
      <c r="M41" s="724"/>
      <c r="N41" s="724"/>
      <c r="O41" s="724"/>
      <c r="P41" s="724"/>
      <c r="Q41" s="724"/>
      <c r="R41" s="724"/>
      <c r="S41" s="724"/>
      <c r="T41" s="724"/>
      <c r="U41" s="724"/>
      <c r="V41" s="724"/>
      <c r="W41" s="724"/>
      <c r="X41" s="724"/>
      <c r="Y41" s="724"/>
      <c r="Z41" s="724"/>
      <c r="AA41" s="535"/>
      <c r="AB41" s="535"/>
      <c r="AC41" s="535"/>
      <c r="AD41" s="535"/>
      <c r="AE41" s="535"/>
      <c r="AF41" s="535"/>
      <c r="AG41" s="535"/>
      <c r="AH41" s="535"/>
      <c r="AI41" s="535"/>
      <c r="AJ41" s="535"/>
      <c r="AK41" s="535"/>
      <c r="AL41" s="535"/>
      <c r="AM41" s="535"/>
      <c r="AN41" s="535"/>
      <c r="AO41" s="535"/>
      <c r="AP41" s="535"/>
      <c r="AQ41" s="535"/>
      <c r="AR41" s="535"/>
      <c r="AS41" s="535"/>
      <c r="AT41" s="535"/>
      <c r="AU41" s="535"/>
    </row>
    <row r="42" spans="1:53" s="168" customFormat="1" ht="16.350000000000001" customHeight="1" x14ac:dyDescent="0.2">
      <c r="A42" s="552" t="s">
        <v>61</v>
      </c>
      <c r="B42" s="553" t="s">
        <v>175</v>
      </c>
      <c r="C42" s="588">
        <v>0.8</v>
      </c>
      <c r="D42" s="540">
        <v>0.8</v>
      </c>
      <c r="E42" s="541">
        <v>0.8</v>
      </c>
      <c r="F42" s="728"/>
      <c r="G42" s="728"/>
      <c r="H42" s="735"/>
      <c r="I42" s="735"/>
      <c r="J42" s="735"/>
      <c r="K42" s="735"/>
      <c r="L42" s="724"/>
      <c r="M42" s="724"/>
      <c r="N42" s="724"/>
      <c r="O42" s="724"/>
      <c r="P42" s="724"/>
      <c r="Q42" s="724"/>
      <c r="R42" s="724"/>
      <c r="S42" s="724"/>
      <c r="T42" s="724"/>
      <c r="U42" s="724"/>
      <c r="V42" s="724"/>
      <c r="W42" s="724"/>
      <c r="X42" s="724"/>
      <c r="Y42" s="724"/>
      <c r="Z42" s="724"/>
      <c r="AA42" s="535"/>
      <c r="AB42" s="535"/>
      <c r="AC42" s="535"/>
      <c r="AD42" s="535"/>
      <c r="AE42" s="535"/>
      <c r="AF42" s="535"/>
      <c r="AG42" s="535"/>
      <c r="AH42" s="535"/>
      <c r="AI42" s="535"/>
      <c r="AJ42" s="535"/>
      <c r="AK42" s="535"/>
      <c r="AL42" s="535"/>
      <c r="AM42" s="535"/>
      <c r="AN42" s="535"/>
      <c r="AO42" s="535"/>
      <c r="AP42" s="535"/>
      <c r="AQ42" s="535"/>
      <c r="AR42" s="535"/>
      <c r="AS42" s="535"/>
      <c r="AT42" s="535"/>
      <c r="AU42" s="535"/>
    </row>
    <row r="43" spans="1:53" s="168" customFormat="1" ht="16.350000000000001" customHeight="1" x14ac:dyDescent="0.2">
      <c r="A43" s="552" t="s">
        <v>67</v>
      </c>
      <c r="B43" s="553" t="s">
        <v>64</v>
      </c>
      <c r="C43" s="828">
        <v>0</v>
      </c>
      <c r="D43" s="558">
        <v>0</v>
      </c>
      <c r="E43" s="559">
        <v>0</v>
      </c>
      <c r="F43" s="728"/>
      <c r="G43" s="728"/>
      <c r="H43" s="735"/>
      <c r="I43" s="735"/>
      <c r="J43" s="735"/>
      <c r="K43" s="735"/>
      <c r="L43" s="724"/>
      <c r="M43" s="724"/>
      <c r="N43" s="724"/>
      <c r="O43" s="724"/>
      <c r="P43" s="724"/>
      <c r="Q43" s="724"/>
      <c r="R43" s="724"/>
      <c r="S43" s="724"/>
      <c r="T43" s="724"/>
      <c r="U43" s="724"/>
      <c r="V43" s="724"/>
      <c r="W43" s="724"/>
      <c r="X43" s="724"/>
      <c r="Y43" s="724"/>
      <c r="Z43" s="724"/>
      <c r="AA43" s="535"/>
      <c r="AB43" s="535"/>
      <c r="AC43" s="535"/>
      <c r="AD43" s="535"/>
      <c r="AE43" s="535"/>
      <c r="AF43" s="535"/>
      <c r="AG43" s="535"/>
      <c r="AH43" s="535"/>
      <c r="AI43" s="535"/>
      <c r="AJ43" s="535"/>
      <c r="AK43" s="535"/>
      <c r="AL43" s="535"/>
      <c r="AM43" s="535"/>
      <c r="AN43" s="535"/>
      <c r="AO43" s="535"/>
      <c r="AP43" s="535"/>
      <c r="AQ43" s="535"/>
      <c r="AR43" s="535"/>
      <c r="AS43" s="535"/>
      <c r="AT43" s="535"/>
      <c r="AU43" s="535"/>
    </row>
    <row r="44" spans="1:53" s="168" customFormat="1" ht="16.350000000000001" customHeight="1" x14ac:dyDescent="0.2">
      <c r="A44" s="552" t="s">
        <v>68</v>
      </c>
      <c r="B44" s="553" t="s">
        <v>178</v>
      </c>
      <c r="C44" s="560">
        <f>'PS1'!K31</f>
        <v>0</v>
      </c>
      <c r="D44" s="560">
        <f>'PS2'!K31</f>
        <v>0</v>
      </c>
      <c r="E44" s="561">
        <f>'PS3'!K31</f>
        <v>0</v>
      </c>
      <c r="F44" s="728"/>
      <c r="G44" s="728"/>
      <c r="H44" s="735"/>
      <c r="I44" s="735"/>
      <c r="J44" s="735"/>
      <c r="K44" s="735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35"/>
      <c r="AB44" s="535"/>
      <c r="AC44" s="535"/>
      <c r="AD44" s="535"/>
      <c r="AE44" s="535"/>
      <c r="AF44" s="535"/>
      <c r="AG44" s="535"/>
      <c r="AH44" s="535"/>
      <c r="AI44" s="535"/>
      <c r="AJ44" s="535"/>
      <c r="AK44" s="535"/>
      <c r="AL44" s="535"/>
      <c r="AM44" s="535"/>
      <c r="AN44" s="535"/>
      <c r="AO44" s="535"/>
      <c r="AP44" s="535"/>
      <c r="AQ44" s="535"/>
      <c r="AR44" s="535"/>
      <c r="AS44" s="535"/>
      <c r="AT44" s="535"/>
      <c r="AU44" s="535"/>
    </row>
    <row r="45" spans="1:53" s="168" customFormat="1" ht="16.350000000000001" customHeight="1" x14ac:dyDescent="0.2">
      <c r="A45" s="356" t="s">
        <v>306</v>
      </c>
      <c r="B45" s="357" t="s">
        <v>178</v>
      </c>
      <c r="C45" s="562">
        <f>IF(C58=1,98,96)</f>
        <v>98</v>
      </c>
      <c r="D45" s="562">
        <f>IF(D58=1,98,96)</f>
        <v>98</v>
      </c>
      <c r="E45" s="597">
        <f>IF(E58=1,98,96)</f>
        <v>98</v>
      </c>
      <c r="F45" s="728"/>
      <c r="G45" s="728"/>
      <c r="H45" s="735"/>
      <c r="I45" s="735"/>
      <c r="J45" s="735"/>
      <c r="K45" s="735"/>
      <c r="L45" s="724"/>
      <c r="M45" s="724"/>
      <c r="N45" s="724"/>
      <c r="O45" s="724"/>
      <c r="P45" s="724"/>
      <c r="Q45" s="724"/>
      <c r="R45" s="724"/>
      <c r="S45" s="724"/>
      <c r="T45" s="724"/>
      <c r="U45" s="724"/>
      <c r="V45" s="724"/>
      <c r="W45" s="724"/>
      <c r="X45" s="724"/>
      <c r="Y45" s="724"/>
      <c r="Z45" s="724"/>
      <c r="AA45" s="535"/>
      <c r="AB45" s="535"/>
      <c r="AC45" s="535"/>
      <c r="AD45" s="535"/>
      <c r="AE45" s="535"/>
      <c r="AF45" s="535"/>
      <c r="AG45" s="535"/>
      <c r="AH45" s="535"/>
      <c r="AI45" s="535"/>
      <c r="AJ45" s="535"/>
      <c r="AK45" s="535"/>
      <c r="AL45" s="535"/>
      <c r="AM45" s="535"/>
      <c r="AN45" s="535"/>
      <c r="AO45" s="535"/>
      <c r="AP45" s="535"/>
      <c r="AQ45" s="535"/>
      <c r="AR45" s="535"/>
      <c r="AS45" s="535"/>
      <c r="AT45" s="535"/>
      <c r="AU45" s="535"/>
    </row>
    <row r="46" spans="1:53" s="168" customFormat="1" ht="16.350000000000001" customHeight="1" x14ac:dyDescent="0.2">
      <c r="A46" s="356" t="s">
        <v>159</v>
      </c>
      <c r="B46" s="357" t="s">
        <v>178</v>
      </c>
      <c r="C46" s="556">
        <v>0</v>
      </c>
      <c r="D46" s="1108">
        <v>0</v>
      </c>
      <c r="E46" s="1109">
        <v>0</v>
      </c>
      <c r="F46" s="728"/>
      <c r="G46" s="728"/>
      <c r="H46" s="735"/>
      <c r="I46" s="735"/>
      <c r="J46" s="735"/>
      <c r="K46" s="735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535"/>
      <c r="AB46" s="535"/>
      <c r="AC46" s="535"/>
      <c r="AD46" s="535"/>
      <c r="AE46" s="535"/>
      <c r="AF46" s="535"/>
      <c r="AG46" s="535"/>
      <c r="AH46" s="535"/>
      <c r="AI46" s="535"/>
      <c r="AJ46" s="535"/>
      <c r="AK46" s="535"/>
      <c r="AL46" s="535"/>
      <c r="AM46" s="535"/>
      <c r="AN46" s="535"/>
      <c r="AO46" s="535"/>
      <c r="AP46" s="535"/>
      <c r="AQ46" s="535"/>
      <c r="AR46" s="535"/>
      <c r="AS46" s="535"/>
      <c r="AT46" s="535"/>
      <c r="AU46" s="535"/>
    </row>
    <row r="47" spans="1:53" s="168" customFormat="1" ht="16.350000000000001" customHeight="1" x14ac:dyDescent="0.2">
      <c r="A47" s="356" t="s">
        <v>316</v>
      </c>
      <c r="B47" s="357" t="s">
        <v>176</v>
      </c>
      <c r="C47" s="358">
        <f>'PS1'!K36/C59*100</f>
        <v>95553.023249114194</v>
      </c>
      <c r="D47" s="358">
        <f>'PS2'!K36/D59*100</f>
        <v>65122.916534099815</v>
      </c>
      <c r="E47" s="359">
        <f>'PS3'!K36/E59*100</f>
        <v>79467.945521133792</v>
      </c>
      <c r="F47" s="728"/>
      <c r="G47" s="728"/>
      <c r="H47" s="735"/>
      <c r="I47" s="735"/>
      <c r="J47" s="735"/>
      <c r="K47" s="735"/>
      <c r="L47" s="724"/>
      <c r="M47" s="724"/>
      <c r="N47" s="724"/>
      <c r="O47" s="724"/>
      <c r="P47" s="724"/>
      <c r="Q47" s="724"/>
      <c r="R47" s="724"/>
      <c r="S47" s="724"/>
      <c r="T47" s="724"/>
      <c r="U47" s="724"/>
      <c r="V47" s="724"/>
      <c r="W47" s="724"/>
      <c r="X47" s="724"/>
      <c r="Y47" s="724"/>
      <c r="Z47" s="724"/>
      <c r="AA47" s="535"/>
      <c r="AB47" s="535"/>
      <c r="AC47" s="535"/>
      <c r="AD47" s="535"/>
      <c r="AE47" s="535"/>
      <c r="AF47" s="535"/>
      <c r="AG47" s="535"/>
      <c r="AH47" s="535"/>
      <c r="AI47" s="535"/>
      <c r="AJ47" s="535"/>
      <c r="AK47" s="535"/>
      <c r="AL47" s="535"/>
      <c r="AM47" s="535"/>
      <c r="AN47" s="535"/>
      <c r="AO47" s="535"/>
      <c r="AP47" s="535"/>
      <c r="AQ47" s="535"/>
      <c r="AR47" s="535"/>
      <c r="AS47" s="535"/>
      <c r="AT47" s="535"/>
      <c r="AU47" s="535"/>
    </row>
    <row r="48" spans="1:53" s="168" customFormat="1" ht="16.350000000000001" customHeight="1" x14ac:dyDescent="0.2">
      <c r="A48" s="356" t="s">
        <v>315</v>
      </c>
      <c r="B48" s="357" t="s">
        <v>176</v>
      </c>
      <c r="C48" s="358">
        <f>IF(C47&lt;10000,0.05*C47,250+0.025*C47)</f>
        <v>2638.8255812278549</v>
      </c>
      <c r="D48" s="358">
        <f>IF(D47&lt;10000,0.05*D47,250+0.025*D47)</f>
        <v>1878.0729133524956</v>
      </c>
      <c r="E48" s="359">
        <f>IF(E47&lt;10000,0.05*E47,250+0.025*E47)</f>
        <v>2236.6986380283452</v>
      </c>
      <c r="F48" s="725"/>
      <c r="G48" s="725"/>
      <c r="H48" s="735"/>
      <c r="I48" s="735"/>
      <c r="J48" s="735"/>
      <c r="K48" s="735"/>
      <c r="L48" s="724"/>
      <c r="M48" s="724"/>
      <c r="N48" s="724"/>
      <c r="O48" s="724"/>
      <c r="P48" s="724"/>
      <c r="Q48" s="724"/>
      <c r="R48" s="724"/>
      <c r="S48" s="724"/>
      <c r="T48" s="724"/>
      <c r="U48" s="724"/>
      <c r="V48" s="724"/>
      <c r="W48" s="724"/>
      <c r="X48" s="724"/>
      <c r="Y48" s="724"/>
      <c r="Z48" s="724"/>
      <c r="AA48" s="535"/>
      <c r="AB48" s="535"/>
      <c r="AC48" s="535"/>
      <c r="AD48" s="535"/>
      <c r="AE48" s="535"/>
      <c r="AF48" s="535"/>
      <c r="AG48" s="535"/>
      <c r="AH48" s="535"/>
      <c r="AI48" s="535"/>
      <c r="AJ48" s="535"/>
      <c r="AK48" s="535"/>
      <c r="AL48" s="535"/>
      <c r="AM48" s="535"/>
      <c r="AN48" s="535"/>
      <c r="AO48" s="535"/>
      <c r="AP48" s="535"/>
      <c r="AQ48" s="535"/>
      <c r="AR48" s="535"/>
      <c r="AS48" s="535"/>
      <c r="AT48" s="535"/>
      <c r="AU48" s="535"/>
    </row>
    <row r="49" spans="1:47" s="168" customFormat="1" ht="16.350000000000001" customHeight="1" x14ac:dyDescent="0.2">
      <c r="A49" s="356" t="s">
        <v>688</v>
      </c>
      <c r="B49" s="357" t="s">
        <v>176</v>
      </c>
      <c r="C49" s="358">
        <f>0.0021*C5^2.5</f>
        <v>6980.6790117671644</v>
      </c>
      <c r="D49" s="543">
        <f>0.0021*D5^2.5</f>
        <v>6980.6790117671644</v>
      </c>
      <c r="E49" s="544">
        <f>0.0021*E5^2.5</f>
        <v>6980.6790117671644</v>
      </c>
      <c r="F49" s="725"/>
      <c r="G49" s="725"/>
      <c r="H49" s="735"/>
      <c r="I49" s="735"/>
      <c r="J49" s="735"/>
      <c r="K49" s="735"/>
      <c r="L49" s="724"/>
      <c r="M49" s="724"/>
      <c r="N49" s="724"/>
      <c r="O49" s="724"/>
      <c r="P49" s="724"/>
      <c r="Q49" s="724"/>
      <c r="R49" s="724"/>
      <c r="S49" s="724"/>
      <c r="T49" s="724"/>
      <c r="U49" s="724"/>
      <c r="V49" s="724"/>
      <c r="W49" s="724"/>
      <c r="X49" s="724"/>
      <c r="Y49" s="724"/>
      <c r="Z49" s="724"/>
      <c r="AA49" s="535"/>
      <c r="AB49" s="535"/>
      <c r="AC49" s="535"/>
      <c r="AD49" s="535"/>
      <c r="AE49" s="535"/>
      <c r="AF49" s="535"/>
      <c r="AG49" s="535"/>
      <c r="AH49" s="535"/>
      <c r="AI49" s="535"/>
      <c r="AJ49" s="535"/>
      <c r="AK49" s="535"/>
      <c r="AL49" s="535"/>
      <c r="AM49" s="535"/>
      <c r="AN49" s="535"/>
      <c r="AO49" s="535"/>
      <c r="AP49" s="535"/>
      <c r="AQ49" s="535"/>
      <c r="AR49" s="535"/>
      <c r="AS49" s="535"/>
      <c r="AT49" s="535"/>
      <c r="AU49" s="535"/>
    </row>
    <row r="50" spans="1:47" s="168" customFormat="1" ht="16.350000000000001" customHeight="1" x14ac:dyDescent="0.2">
      <c r="A50" s="356" t="s">
        <v>681</v>
      </c>
      <c r="B50" s="357" t="s">
        <v>175</v>
      </c>
      <c r="C50" s="543">
        <v>1</v>
      </c>
      <c r="D50" s="543">
        <v>1</v>
      </c>
      <c r="E50" s="544">
        <v>2</v>
      </c>
      <c r="F50" s="725"/>
      <c r="G50" s="725"/>
      <c r="H50" s="735"/>
      <c r="I50" s="735"/>
      <c r="J50" s="735"/>
      <c r="K50" s="735"/>
      <c r="L50" s="724"/>
      <c r="M50" s="724"/>
      <c r="N50" s="724"/>
      <c r="O50" s="724"/>
      <c r="P50" s="724"/>
      <c r="Q50" s="724"/>
      <c r="R50" s="724"/>
      <c r="S50" s="724"/>
      <c r="T50" s="724"/>
      <c r="U50" s="724"/>
      <c r="V50" s="724"/>
      <c r="W50" s="724"/>
      <c r="X50" s="724"/>
      <c r="Y50" s="724"/>
      <c r="Z50" s="724"/>
      <c r="AA50" s="535"/>
      <c r="AB50" s="535"/>
      <c r="AC50" s="535"/>
      <c r="AD50" s="535"/>
      <c r="AE50" s="535"/>
      <c r="AF50" s="535"/>
      <c r="AG50" s="535"/>
      <c r="AH50" s="535"/>
      <c r="AI50" s="535"/>
      <c r="AJ50" s="535"/>
      <c r="AK50" s="535"/>
      <c r="AL50" s="535"/>
      <c r="AM50" s="535"/>
      <c r="AN50" s="535"/>
      <c r="AO50" s="535"/>
      <c r="AP50" s="535"/>
      <c r="AQ50" s="535"/>
      <c r="AR50" s="535"/>
      <c r="AS50" s="535"/>
      <c r="AT50" s="535"/>
      <c r="AU50" s="535"/>
    </row>
    <row r="51" spans="1:47" s="168" customFormat="1" ht="16.350000000000001" customHeight="1" x14ac:dyDescent="0.2">
      <c r="A51" s="356" t="s">
        <v>676</v>
      </c>
      <c r="B51" s="357" t="s">
        <v>175</v>
      </c>
      <c r="C51" s="543">
        <v>1</v>
      </c>
      <c r="D51" s="543">
        <v>1</v>
      </c>
      <c r="E51" s="544">
        <v>2</v>
      </c>
      <c r="F51" s="725"/>
      <c r="G51" s="725"/>
      <c r="H51" s="735"/>
      <c r="I51" s="735"/>
      <c r="J51" s="735"/>
      <c r="K51" s="735"/>
      <c r="L51" s="724"/>
      <c r="M51" s="724"/>
      <c r="N51" s="724"/>
      <c r="O51" s="724"/>
      <c r="P51" s="724"/>
      <c r="Q51" s="724"/>
      <c r="R51" s="724"/>
      <c r="S51" s="724"/>
      <c r="T51" s="724"/>
      <c r="U51" s="724"/>
      <c r="V51" s="724"/>
      <c r="W51" s="724"/>
      <c r="X51" s="724"/>
      <c r="Y51" s="724"/>
      <c r="Z51" s="724"/>
      <c r="AA51" s="535"/>
      <c r="AB51" s="535"/>
      <c r="AC51" s="535"/>
      <c r="AD51" s="535"/>
      <c r="AE51" s="535"/>
      <c r="AF51" s="535"/>
      <c r="AG51" s="535"/>
      <c r="AH51" s="535"/>
      <c r="AI51" s="535"/>
      <c r="AJ51" s="535"/>
      <c r="AK51" s="535"/>
      <c r="AL51" s="535"/>
      <c r="AM51" s="535"/>
      <c r="AN51" s="535"/>
      <c r="AO51" s="535"/>
      <c r="AP51" s="535"/>
      <c r="AQ51" s="535"/>
      <c r="AR51" s="535"/>
      <c r="AS51" s="535"/>
      <c r="AT51" s="535"/>
      <c r="AU51" s="535"/>
    </row>
    <row r="52" spans="1:47" s="168" customFormat="1" ht="16.350000000000001" customHeight="1" x14ac:dyDescent="0.2">
      <c r="A52" s="356" t="s">
        <v>188</v>
      </c>
      <c r="B52" s="357" t="s">
        <v>173</v>
      </c>
      <c r="C52" s="588">
        <f>0.623*C11-0.16</f>
        <v>10.013590000000001</v>
      </c>
      <c r="D52" s="540">
        <f>C52</f>
        <v>10.013590000000001</v>
      </c>
      <c r="E52" s="541">
        <f>C52</f>
        <v>10.013590000000001</v>
      </c>
      <c r="F52" s="725"/>
      <c r="G52" s="725"/>
      <c r="H52" s="735"/>
      <c r="I52" s="735"/>
      <c r="J52" s="735"/>
      <c r="K52" s="735"/>
      <c r="L52" s="724"/>
      <c r="M52" s="724"/>
      <c r="N52" s="724"/>
      <c r="O52" s="724"/>
      <c r="P52" s="724"/>
      <c r="Q52" s="724"/>
      <c r="R52" s="724"/>
      <c r="S52" s="724"/>
      <c r="T52" s="724"/>
      <c r="U52" s="724"/>
      <c r="V52" s="724"/>
      <c r="W52" s="724"/>
      <c r="X52" s="724"/>
      <c r="Y52" s="724"/>
      <c r="Z52" s="724"/>
      <c r="AA52" s="535"/>
      <c r="AB52" s="535"/>
      <c r="AC52" s="535"/>
      <c r="AD52" s="535"/>
      <c r="AE52" s="535"/>
      <c r="AF52" s="535"/>
      <c r="AG52" s="535"/>
      <c r="AH52" s="535"/>
      <c r="AI52" s="535"/>
      <c r="AJ52" s="535"/>
      <c r="AK52" s="535"/>
      <c r="AL52" s="535"/>
      <c r="AM52" s="535"/>
      <c r="AN52" s="535"/>
      <c r="AO52" s="535"/>
      <c r="AP52" s="535"/>
      <c r="AQ52" s="535"/>
      <c r="AR52" s="535"/>
      <c r="AS52" s="535"/>
      <c r="AT52" s="535"/>
      <c r="AU52" s="535"/>
    </row>
    <row r="53" spans="1:47" s="168" customFormat="1" ht="16.350000000000001" customHeight="1" x14ac:dyDescent="0.2">
      <c r="A53" s="827" t="s">
        <v>581</v>
      </c>
      <c r="B53" s="615" t="s">
        <v>193</v>
      </c>
      <c r="C53" s="358">
        <v>1</v>
      </c>
      <c r="D53" s="543">
        <v>1</v>
      </c>
      <c r="E53" s="544">
        <v>1</v>
      </c>
      <c r="F53" s="725"/>
      <c r="G53" s="725"/>
      <c r="H53" s="735"/>
      <c r="I53" s="735"/>
      <c r="J53" s="735"/>
      <c r="K53" s="735"/>
      <c r="L53" s="724"/>
      <c r="M53" s="724"/>
      <c r="N53" s="724"/>
      <c r="O53" s="724"/>
      <c r="P53" s="724"/>
      <c r="Q53" s="724"/>
      <c r="R53" s="724"/>
      <c r="S53" s="724"/>
      <c r="T53" s="724"/>
      <c r="U53" s="724"/>
      <c r="V53" s="724"/>
      <c r="W53" s="724"/>
      <c r="X53" s="724"/>
      <c r="Y53" s="724"/>
      <c r="Z53" s="724"/>
      <c r="AA53" s="535"/>
      <c r="AB53" s="535"/>
      <c r="AC53" s="535"/>
      <c r="AD53" s="535"/>
      <c r="AE53" s="535"/>
      <c r="AF53" s="535"/>
      <c r="AG53" s="535"/>
      <c r="AH53" s="535"/>
      <c r="AI53" s="535"/>
      <c r="AJ53" s="535"/>
      <c r="AK53" s="535"/>
      <c r="AL53" s="535"/>
      <c r="AM53" s="535"/>
      <c r="AN53" s="535"/>
      <c r="AO53" s="535"/>
      <c r="AP53" s="535"/>
      <c r="AQ53" s="535"/>
      <c r="AR53" s="535"/>
      <c r="AS53" s="535"/>
      <c r="AT53" s="535"/>
      <c r="AU53" s="535"/>
    </row>
    <row r="54" spans="1:47" s="168" customFormat="1" ht="16.350000000000001" customHeight="1" x14ac:dyDescent="0.2">
      <c r="A54" s="356" t="s">
        <v>192</v>
      </c>
      <c r="B54" s="357" t="s">
        <v>312</v>
      </c>
      <c r="C54" s="358">
        <f>C47/C52^2/0.7854/C50</f>
        <v>1213.3159994833336</v>
      </c>
      <c r="D54" s="358">
        <f>D47/D52^2/0.7854/D50</f>
        <v>826.91969209434217</v>
      </c>
      <c r="E54" s="594">
        <f>E47/E52^2/0.7854/E50</f>
        <v>504.53521232649956</v>
      </c>
      <c r="F54" s="725"/>
      <c r="G54" s="725"/>
      <c r="H54" s="735"/>
      <c r="I54" s="742"/>
      <c r="J54" s="728"/>
      <c r="K54" s="735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535"/>
      <c r="AB54" s="535"/>
      <c r="AC54" s="535"/>
      <c r="AD54" s="535"/>
      <c r="AE54" s="535"/>
      <c r="AF54" s="535"/>
      <c r="AG54" s="535"/>
      <c r="AH54" s="535"/>
      <c r="AI54" s="535"/>
      <c r="AJ54" s="535"/>
      <c r="AK54" s="535"/>
      <c r="AL54" s="535"/>
      <c r="AM54" s="535"/>
      <c r="AN54" s="535"/>
      <c r="AO54" s="535"/>
      <c r="AP54" s="535"/>
      <c r="AQ54" s="535"/>
      <c r="AR54" s="535"/>
      <c r="AS54" s="535"/>
      <c r="AT54" s="535"/>
      <c r="AU54" s="535"/>
    </row>
    <row r="55" spans="1:47" s="168" customFormat="1" ht="16.350000000000001" customHeight="1" x14ac:dyDescent="0.2">
      <c r="A55" s="792" t="s">
        <v>337</v>
      </c>
      <c r="B55" s="793" t="s">
        <v>175</v>
      </c>
      <c r="C55" s="794">
        <f>'PT1-1'!M21/'PT1-1'!M33*('PT1-1'!N33-'PT1-1'!L33)/('PT1-1'!N21-'PT1-1'!L21)</f>
        <v>3.6882397243587004</v>
      </c>
      <c r="D55" s="794">
        <f>'PT2-1'!M21/'PT2-1'!M33*('PT2-1'!N33-'PT2-1'!L33)/('PT2-1'!N21-'PT2-1'!L21)</f>
        <v>3.4014532804023112</v>
      </c>
      <c r="E55" s="795">
        <f>'PT3-1'!M21/'PT3-1'!M33*('PT3-1'!N33-'PT3-1'!L33)/('PT3-1'!N21-'PT3-1'!L21)</f>
        <v>3.0086083447805358</v>
      </c>
      <c r="F55" s="725"/>
      <c r="G55" s="725"/>
      <c r="H55" s="735"/>
      <c r="I55" s="728"/>
      <c r="J55" s="728"/>
      <c r="K55" s="735"/>
      <c r="L55" s="724"/>
      <c r="M55" s="724"/>
      <c r="N55" s="724"/>
      <c r="O55" s="724"/>
      <c r="P55" s="724"/>
      <c r="Q55" s="724"/>
      <c r="R55" s="724"/>
      <c r="S55" s="724"/>
      <c r="T55" s="724"/>
      <c r="U55" s="724"/>
      <c r="V55" s="724"/>
      <c r="W55" s="724"/>
      <c r="X55" s="724"/>
      <c r="Y55" s="724"/>
      <c r="Z55" s="724"/>
      <c r="AA55" s="535"/>
      <c r="AB55" s="535"/>
      <c r="AC55" s="535"/>
      <c r="AD55" s="535"/>
      <c r="AE55" s="535"/>
      <c r="AF55" s="535"/>
      <c r="AG55" s="535"/>
      <c r="AH55" s="535"/>
      <c r="AI55" s="535"/>
      <c r="AJ55" s="535"/>
      <c r="AK55" s="535"/>
      <c r="AL55" s="535"/>
      <c r="AM55" s="535"/>
      <c r="AN55" s="535"/>
      <c r="AO55" s="535"/>
      <c r="AP55" s="535"/>
      <c r="AQ55" s="535"/>
      <c r="AR55" s="535"/>
      <c r="AS55" s="535"/>
      <c r="AT55" s="535"/>
      <c r="AU55" s="535"/>
    </row>
    <row r="56" spans="1:47" s="168" customFormat="1" ht="16.350000000000001" customHeight="1" thickBot="1" x14ac:dyDescent="0.25">
      <c r="A56" s="796" t="s">
        <v>63</v>
      </c>
      <c r="B56" s="797" t="s">
        <v>313</v>
      </c>
      <c r="C56" s="798">
        <f>(C47*0.75*'Emission factors'!B13*'Emission factors'!B21+C48*'Emission factors'!C13*'Emission factors'!C21)/C15/C37</f>
        <v>8.3061531462212965</v>
      </c>
      <c r="D56" s="798">
        <f>(D47*0.75*'Emission factors'!D13*'Emission factors'!D21+D48*'Emission factors'!E13*'Emission factors'!E21)/D15/D37</f>
        <v>6.3218036579538932</v>
      </c>
      <c r="E56" s="799">
        <f>(E47*0.75*'Emission factors'!F13*'Emission factors'!F21+E48*'Emission factors'!G13*'Emission factors'!G21)/E15/E37</f>
        <v>7.7009463213521441</v>
      </c>
      <c r="F56" s="725"/>
      <c r="G56" s="725"/>
      <c r="H56" s="735"/>
      <c r="I56" s="743"/>
      <c r="J56" s="743"/>
      <c r="K56" s="735"/>
      <c r="L56" s="724"/>
      <c r="M56" s="724"/>
      <c r="N56" s="724"/>
      <c r="O56" s="724"/>
      <c r="P56" s="724"/>
      <c r="Q56" s="724"/>
      <c r="R56" s="724"/>
      <c r="S56" s="724"/>
      <c r="T56" s="724"/>
      <c r="U56" s="724"/>
      <c r="V56" s="724"/>
      <c r="W56" s="724"/>
      <c r="X56" s="724"/>
      <c r="Y56" s="724"/>
      <c r="Z56" s="724"/>
      <c r="AA56" s="535"/>
      <c r="AB56" s="535"/>
      <c r="AC56" s="535"/>
      <c r="AD56" s="535"/>
      <c r="AE56" s="535"/>
      <c r="AF56" s="535"/>
      <c r="AG56" s="535"/>
      <c r="AH56" s="535"/>
      <c r="AI56" s="535"/>
      <c r="AJ56" s="535"/>
      <c r="AK56" s="535"/>
      <c r="AL56" s="535"/>
      <c r="AM56" s="535"/>
      <c r="AN56" s="535"/>
      <c r="AO56" s="535"/>
      <c r="AP56" s="535"/>
      <c r="AQ56" s="535"/>
      <c r="AR56" s="535"/>
      <c r="AS56" s="535"/>
      <c r="AT56" s="535"/>
      <c r="AU56" s="535"/>
    </row>
    <row r="57" spans="1:47" s="168" customFormat="1" ht="16.350000000000001" customHeight="1" thickBot="1" x14ac:dyDescent="0.25">
      <c r="A57" s="610" t="s">
        <v>408</v>
      </c>
      <c r="B57" s="611"/>
      <c r="C57" s="612"/>
      <c r="D57" s="612"/>
      <c r="E57" s="613"/>
      <c r="F57" s="725"/>
      <c r="G57" s="725"/>
      <c r="H57" s="735"/>
      <c r="I57" s="743"/>
      <c r="J57" s="743"/>
      <c r="K57" s="735"/>
      <c r="L57" s="724"/>
      <c r="M57" s="724"/>
      <c r="N57" s="724"/>
      <c r="O57" s="724"/>
      <c r="P57" s="724"/>
      <c r="Q57" s="724"/>
      <c r="R57" s="724"/>
      <c r="S57" s="724"/>
      <c r="T57" s="724"/>
      <c r="U57" s="724"/>
      <c r="V57" s="724"/>
      <c r="W57" s="724"/>
      <c r="X57" s="724"/>
      <c r="Y57" s="724"/>
      <c r="Z57" s="724"/>
      <c r="AA57" s="535"/>
      <c r="AB57" s="535"/>
      <c r="AC57" s="535"/>
      <c r="AD57" s="535"/>
      <c r="AE57" s="535"/>
      <c r="AF57" s="535"/>
      <c r="AG57" s="535"/>
      <c r="AH57" s="535"/>
      <c r="AI57" s="535"/>
      <c r="AJ57" s="535"/>
      <c r="AK57" s="535"/>
      <c r="AL57" s="535"/>
      <c r="AM57" s="535"/>
      <c r="AN57" s="535"/>
      <c r="AO57" s="535"/>
      <c r="AP57" s="535"/>
      <c r="AQ57" s="535"/>
      <c r="AR57" s="535"/>
      <c r="AS57" s="535"/>
      <c r="AT57" s="535"/>
      <c r="AU57" s="535"/>
    </row>
    <row r="58" spans="1:47" s="168" customFormat="1" ht="16.350000000000001" customHeight="1" x14ac:dyDescent="0.2">
      <c r="A58" s="800" t="s">
        <v>409</v>
      </c>
      <c r="B58" s="614" t="s">
        <v>193</v>
      </c>
      <c r="C58" s="693">
        <v>1</v>
      </c>
      <c r="D58" s="688">
        <v>1</v>
      </c>
      <c r="E58" s="689">
        <f>C58</f>
        <v>1</v>
      </c>
      <c r="F58" s="725"/>
      <c r="G58" s="725"/>
      <c r="H58" s="735"/>
      <c r="I58" s="743"/>
      <c r="J58" s="743"/>
      <c r="K58" s="735"/>
      <c r="L58" s="724"/>
      <c r="M58" s="724"/>
      <c r="N58" s="724"/>
      <c r="O58" s="724"/>
      <c r="P58" s="724"/>
      <c r="Q58" s="724"/>
      <c r="R58" s="724"/>
      <c r="S58" s="724"/>
      <c r="T58" s="724"/>
      <c r="U58" s="724"/>
      <c r="V58" s="724"/>
      <c r="W58" s="724"/>
      <c r="X58" s="724"/>
      <c r="Y58" s="724"/>
      <c r="Z58" s="724"/>
      <c r="AA58" s="535"/>
      <c r="AB58" s="535"/>
      <c r="AC58" s="535"/>
      <c r="AD58" s="535"/>
      <c r="AE58" s="535"/>
      <c r="AF58" s="535"/>
      <c r="AG58" s="535"/>
      <c r="AH58" s="535"/>
      <c r="AI58" s="535"/>
      <c r="AJ58" s="535"/>
      <c r="AK58" s="535"/>
      <c r="AL58" s="535"/>
      <c r="AM58" s="535"/>
      <c r="AN58" s="535"/>
      <c r="AO58" s="535"/>
      <c r="AP58" s="535"/>
      <c r="AQ58" s="535"/>
      <c r="AR58" s="535"/>
      <c r="AS58" s="535"/>
      <c r="AT58" s="535"/>
      <c r="AU58" s="535"/>
    </row>
    <row r="59" spans="1:47" s="168" customFormat="1" ht="16.350000000000001" customHeight="1" x14ac:dyDescent="0.2">
      <c r="A59" s="801" t="s">
        <v>410</v>
      </c>
      <c r="B59" s="615" t="s">
        <v>177</v>
      </c>
      <c r="C59" s="692">
        <v>90</v>
      </c>
      <c r="D59" s="690">
        <v>90</v>
      </c>
      <c r="E59" s="680">
        <v>90</v>
      </c>
      <c r="F59" s="725"/>
      <c r="G59" s="725"/>
      <c r="H59" s="735"/>
      <c r="I59" s="743"/>
      <c r="J59" s="743"/>
      <c r="K59" s="735"/>
      <c r="L59" s="724"/>
      <c r="M59" s="724"/>
      <c r="N59" s="724"/>
      <c r="O59" s="724"/>
      <c r="P59" s="724"/>
      <c r="Q59" s="724"/>
      <c r="R59" s="724"/>
      <c r="S59" s="724"/>
      <c r="T59" s="724"/>
      <c r="U59" s="724"/>
      <c r="V59" s="724"/>
      <c r="W59" s="724"/>
      <c r="X59" s="724"/>
      <c r="Y59" s="724"/>
      <c r="Z59" s="724"/>
      <c r="AA59" s="535"/>
      <c r="AB59" s="535"/>
      <c r="AC59" s="535"/>
      <c r="AD59" s="535"/>
      <c r="AE59" s="535"/>
      <c r="AF59" s="535"/>
      <c r="AG59" s="535"/>
      <c r="AH59" s="535"/>
      <c r="AI59" s="535"/>
      <c r="AJ59" s="535"/>
      <c r="AK59" s="535"/>
      <c r="AL59" s="535"/>
      <c r="AM59" s="535"/>
      <c r="AN59" s="535"/>
      <c r="AO59" s="535"/>
      <c r="AP59" s="535"/>
      <c r="AQ59" s="535"/>
      <c r="AR59" s="535"/>
      <c r="AS59" s="535"/>
      <c r="AT59" s="535"/>
      <c r="AU59" s="535"/>
    </row>
    <row r="60" spans="1:47" s="168" customFormat="1" ht="16.350000000000001" customHeight="1" x14ac:dyDescent="0.2">
      <c r="A60" s="802" t="s">
        <v>0</v>
      </c>
      <c r="B60" s="615" t="s">
        <v>175</v>
      </c>
      <c r="C60" s="681">
        <v>2</v>
      </c>
      <c r="D60" s="681">
        <v>2</v>
      </c>
      <c r="E60" s="682">
        <v>2</v>
      </c>
      <c r="F60" s="725"/>
      <c r="G60" s="725"/>
      <c r="H60" s="735"/>
      <c r="I60" s="743"/>
      <c r="J60" s="743"/>
      <c r="K60" s="735"/>
      <c r="L60" s="724"/>
      <c r="M60" s="724"/>
      <c r="N60" s="724"/>
      <c r="O60" s="724"/>
      <c r="P60" s="724"/>
      <c r="Q60" s="724"/>
      <c r="R60" s="724"/>
      <c r="S60" s="724"/>
      <c r="T60" s="724"/>
      <c r="U60" s="724"/>
      <c r="V60" s="724"/>
      <c r="W60" s="724"/>
      <c r="X60" s="724"/>
      <c r="Y60" s="724"/>
      <c r="Z60" s="724"/>
      <c r="AA60" s="535"/>
      <c r="AB60" s="535"/>
      <c r="AC60" s="535"/>
      <c r="AD60" s="535"/>
      <c r="AE60" s="535"/>
      <c r="AF60" s="535"/>
      <c r="AG60" s="535"/>
      <c r="AH60" s="535"/>
      <c r="AI60" s="535"/>
      <c r="AJ60" s="535"/>
      <c r="AK60" s="535"/>
      <c r="AL60" s="535"/>
      <c r="AM60" s="535"/>
      <c r="AN60" s="535"/>
      <c r="AO60" s="535"/>
      <c r="AP60" s="535"/>
      <c r="AQ60" s="535"/>
      <c r="AR60" s="535"/>
      <c r="AS60" s="535"/>
      <c r="AT60" s="535"/>
      <c r="AU60" s="535"/>
    </row>
    <row r="61" spans="1:47" s="168" customFormat="1" ht="16.350000000000001" customHeight="1" x14ac:dyDescent="0.2">
      <c r="A61" s="616" t="s">
        <v>592</v>
      </c>
      <c r="B61" s="615" t="s">
        <v>580</v>
      </c>
      <c r="C61" s="681">
        <v>1</v>
      </c>
      <c r="D61" s="681">
        <v>1</v>
      </c>
      <c r="E61" s="682">
        <v>1</v>
      </c>
      <c r="F61" s="725"/>
      <c r="G61" s="725"/>
      <c r="H61" s="735"/>
      <c r="I61" s="743"/>
      <c r="J61" s="743"/>
      <c r="K61" s="735"/>
      <c r="L61" s="724"/>
      <c r="M61" s="724"/>
      <c r="N61" s="724"/>
      <c r="O61" s="724"/>
      <c r="P61" s="724"/>
      <c r="Q61" s="724"/>
      <c r="R61" s="724"/>
      <c r="S61" s="724"/>
      <c r="T61" s="724"/>
      <c r="U61" s="724"/>
      <c r="V61" s="724"/>
      <c r="W61" s="724"/>
      <c r="X61" s="724"/>
      <c r="Y61" s="724"/>
      <c r="Z61" s="724"/>
      <c r="AA61" s="535"/>
      <c r="AB61" s="535"/>
      <c r="AC61" s="535"/>
      <c r="AD61" s="535"/>
      <c r="AE61" s="535"/>
      <c r="AF61" s="535"/>
      <c r="AG61" s="535"/>
      <c r="AH61" s="535"/>
      <c r="AI61" s="535"/>
      <c r="AJ61" s="535"/>
      <c r="AK61" s="535"/>
      <c r="AL61" s="535"/>
      <c r="AM61" s="535"/>
      <c r="AN61" s="535"/>
      <c r="AO61" s="535"/>
      <c r="AP61" s="535"/>
      <c r="AQ61" s="535"/>
      <c r="AR61" s="535"/>
      <c r="AS61" s="535"/>
      <c r="AT61" s="535"/>
      <c r="AU61" s="535"/>
    </row>
    <row r="62" spans="1:47" s="168" customFormat="1" ht="16.350000000000001" customHeight="1" x14ac:dyDescent="0.2">
      <c r="A62" s="802" t="s">
        <v>584</v>
      </c>
      <c r="B62" s="615" t="s">
        <v>175</v>
      </c>
      <c r="C62" s="681">
        <v>1</v>
      </c>
      <c r="D62" s="681">
        <v>1</v>
      </c>
      <c r="E62" s="682">
        <v>1</v>
      </c>
      <c r="F62" s="725"/>
      <c r="G62" s="725"/>
      <c r="H62" s="735"/>
      <c r="I62" s="743"/>
      <c r="J62" s="743"/>
      <c r="K62" s="735"/>
      <c r="L62" s="724"/>
      <c r="M62" s="724"/>
      <c r="N62" s="724"/>
      <c r="O62" s="724"/>
      <c r="P62" s="724"/>
      <c r="Q62" s="724"/>
      <c r="R62" s="724"/>
      <c r="S62" s="724"/>
      <c r="T62" s="724"/>
      <c r="U62" s="724"/>
      <c r="V62" s="724"/>
      <c r="W62" s="724"/>
      <c r="X62" s="724"/>
      <c r="Y62" s="724"/>
      <c r="Z62" s="724"/>
      <c r="AA62" s="535"/>
      <c r="AB62" s="535"/>
      <c r="AC62" s="535"/>
      <c r="AD62" s="535"/>
      <c r="AE62" s="535"/>
      <c r="AF62" s="535"/>
      <c r="AG62" s="535"/>
      <c r="AH62" s="535"/>
      <c r="AI62" s="535"/>
      <c r="AJ62" s="535"/>
      <c r="AK62" s="535"/>
      <c r="AL62" s="535"/>
      <c r="AM62" s="535"/>
      <c r="AN62" s="535"/>
      <c r="AO62" s="535"/>
      <c r="AP62" s="535"/>
      <c r="AQ62" s="535"/>
      <c r="AR62" s="535"/>
      <c r="AS62" s="535"/>
      <c r="AT62" s="535"/>
      <c r="AU62" s="535"/>
    </row>
    <row r="63" spans="1:47" s="168" customFormat="1" ht="16.350000000000001" customHeight="1" x14ac:dyDescent="0.2">
      <c r="A63" s="802" t="s">
        <v>1</v>
      </c>
      <c r="B63" s="615" t="s">
        <v>178</v>
      </c>
      <c r="C63" s="683">
        <v>1</v>
      </c>
      <c r="D63" s="683">
        <v>1</v>
      </c>
      <c r="E63" s="684">
        <v>1</v>
      </c>
      <c r="F63" s="725"/>
      <c r="G63" s="725"/>
      <c r="H63" s="735"/>
      <c r="I63" s="743"/>
      <c r="J63" s="743"/>
      <c r="K63" s="735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535"/>
      <c r="AB63" s="535"/>
      <c r="AC63" s="535"/>
      <c r="AD63" s="535"/>
      <c r="AE63" s="535"/>
      <c r="AF63" s="535"/>
      <c r="AG63" s="535"/>
      <c r="AH63" s="535"/>
      <c r="AI63" s="535"/>
      <c r="AJ63" s="535"/>
      <c r="AK63" s="535"/>
      <c r="AL63" s="535"/>
      <c r="AM63" s="535"/>
      <c r="AN63" s="535"/>
      <c r="AO63" s="535"/>
      <c r="AP63" s="535"/>
      <c r="AQ63" s="535"/>
      <c r="AR63" s="535"/>
      <c r="AS63" s="535"/>
      <c r="AT63" s="535"/>
      <c r="AU63" s="535"/>
    </row>
    <row r="64" spans="1:47" s="168" customFormat="1" ht="16.350000000000001" customHeight="1" x14ac:dyDescent="0.2">
      <c r="A64" s="616" t="s">
        <v>2</v>
      </c>
      <c r="B64" s="615" t="s">
        <v>178</v>
      </c>
      <c r="C64" s="683">
        <v>1</v>
      </c>
      <c r="D64" s="683">
        <v>1</v>
      </c>
      <c r="E64" s="684">
        <v>1</v>
      </c>
      <c r="F64" s="725"/>
      <c r="G64" s="725"/>
      <c r="H64" s="735"/>
      <c r="I64" s="743"/>
      <c r="J64" s="743"/>
      <c r="K64" s="735"/>
      <c r="L64" s="724"/>
      <c r="M64" s="724"/>
      <c r="N64" s="724"/>
      <c r="O64" s="724"/>
      <c r="P64" s="724"/>
      <c r="Q64" s="724"/>
      <c r="R64" s="724"/>
      <c r="S64" s="724"/>
      <c r="T64" s="724"/>
      <c r="U64" s="724"/>
      <c r="V64" s="724"/>
      <c r="W64" s="724"/>
      <c r="X64" s="724"/>
      <c r="Y64" s="724"/>
      <c r="Z64" s="724"/>
      <c r="AA64" s="535"/>
      <c r="AB64" s="535"/>
      <c r="AC64" s="535"/>
      <c r="AD64" s="535"/>
      <c r="AE64" s="535"/>
      <c r="AF64" s="535"/>
      <c r="AG64" s="535"/>
      <c r="AH64" s="535"/>
      <c r="AI64" s="535"/>
      <c r="AJ64" s="535"/>
      <c r="AK64" s="535"/>
      <c r="AL64" s="535"/>
      <c r="AM64" s="535"/>
      <c r="AN64" s="535"/>
      <c r="AO64" s="535"/>
      <c r="AP64" s="535"/>
      <c r="AQ64" s="535"/>
      <c r="AR64" s="535"/>
      <c r="AS64" s="535"/>
      <c r="AT64" s="535"/>
      <c r="AU64" s="535"/>
    </row>
    <row r="65" spans="1:47" s="168" customFormat="1" ht="16.350000000000001" customHeight="1" x14ac:dyDescent="0.2">
      <c r="A65" s="801" t="s">
        <v>3</v>
      </c>
      <c r="B65" s="615" t="s">
        <v>175</v>
      </c>
      <c r="C65" s="691">
        <v>0</v>
      </c>
      <c r="D65" s="691">
        <v>0</v>
      </c>
      <c r="E65" s="685">
        <v>0</v>
      </c>
      <c r="F65" s="725"/>
      <c r="G65" s="725"/>
      <c r="H65" s="735"/>
      <c r="I65" s="743"/>
      <c r="J65" s="743"/>
      <c r="K65" s="735"/>
      <c r="L65" s="724"/>
      <c r="M65" s="724"/>
      <c r="N65" s="724"/>
      <c r="O65" s="724"/>
      <c r="P65" s="724"/>
      <c r="Q65" s="724"/>
      <c r="R65" s="724"/>
      <c r="S65" s="724"/>
      <c r="T65" s="724"/>
      <c r="U65" s="724"/>
      <c r="V65" s="724"/>
      <c r="W65" s="724"/>
      <c r="X65" s="724"/>
      <c r="Y65" s="724"/>
      <c r="Z65" s="724"/>
      <c r="AA65" s="535"/>
      <c r="AB65" s="535"/>
      <c r="AC65" s="535"/>
      <c r="AD65" s="535"/>
      <c r="AE65" s="535"/>
      <c r="AF65" s="535"/>
      <c r="AG65" s="535"/>
      <c r="AH65" s="535"/>
      <c r="AI65" s="535"/>
      <c r="AJ65" s="535"/>
      <c r="AK65" s="535"/>
      <c r="AL65" s="535"/>
      <c r="AM65" s="535"/>
      <c r="AN65" s="535"/>
      <c r="AO65" s="535"/>
      <c r="AP65" s="535"/>
      <c r="AQ65" s="535"/>
      <c r="AR65" s="535"/>
      <c r="AS65" s="535"/>
      <c r="AT65" s="535"/>
      <c r="AU65" s="535"/>
    </row>
    <row r="66" spans="1:47" s="168" customFormat="1" ht="16.350000000000001" customHeight="1" x14ac:dyDescent="0.2">
      <c r="A66" s="801" t="s">
        <v>4</v>
      </c>
      <c r="B66" s="615" t="s">
        <v>175</v>
      </c>
      <c r="C66" s="681">
        <v>0</v>
      </c>
      <c r="D66" s="681">
        <v>0</v>
      </c>
      <c r="E66" s="682">
        <v>0</v>
      </c>
      <c r="F66" s="725"/>
      <c r="G66" s="725"/>
      <c r="H66" s="735"/>
      <c r="I66" s="743"/>
      <c r="J66" s="743"/>
      <c r="K66" s="735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4"/>
      <c r="W66" s="724"/>
      <c r="X66" s="724"/>
      <c r="Y66" s="724"/>
      <c r="Z66" s="724"/>
      <c r="AA66" s="535"/>
      <c r="AB66" s="535"/>
      <c r="AC66" s="535"/>
      <c r="AD66" s="535"/>
      <c r="AE66" s="535"/>
      <c r="AF66" s="535"/>
      <c r="AG66" s="535"/>
      <c r="AH66" s="535"/>
      <c r="AI66" s="535"/>
      <c r="AJ66" s="535"/>
      <c r="AK66" s="535"/>
      <c r="AL66" s="535"/>
      <c r="AM66" s="535"/>
      <c r="AN66" s="535"/>
      <c r="AO66" s="535"/>
      <c r="AP66" s="535"/>
      <c r="AQ66" s="535"/>
      <c r="AR66" s="535"/>
      <c r="AS66" s="535"/>
      <c r="AT66" s="535"/>
      <c r="AU66" s="535"/>
    </row>
    <row r="67" spans="1:47" s="168" customFormat="1" ht="16.350000000000001" customHeight="1" x14ac:dyDescent="0.2">
      <c r="A67" s="801" t="s">
        <v>5</v>
      </c>
      <c r="B67" s="615" t="s">
        <v>175</v>
      </c>
      <c r="C67" s="681">
        <v>3</v>
      </c>
      <c r="D67" s="681">
        <v>3</v>
      </c>
      <c r="E67" s="682">
        <v>3</v>
      </c>
      <c r="F67" s="725"/>
      <c r="G67" s="725"/>
      <c r="H67" s="735"/>
      <c r="I67" s="743"/>
      <c r="J67" s="743"/>
      <c r="K67" s="735"/>
      <c r="L67" s="724"/>
      <c r="M67" s="724"/>
      <c r="N67" s="724"/>
      <c r="O67" s="724"/>
      <c r="P67" s="724"/>
      <c r="Q67" s="724"/>
      <c r="R67" s="724"/>
      <c r="S67" s="724"/>
      <c r="T67" s="724"/>
      <c r="U67" s="724"/>
      <c r="V67" s="724"/>
      <c r="W67" s="724"/>
      <c r="X67" s="724"/>
      <c r="Y67" s="724"/>
      <c r="Z67" s="724"/>
      <c r="AA67" s="535"/>
      <c r="AB67" s="535"/>
      <c r="AC67" s="535"/>
      <c r="AD67" s="535"/>
      <c r="AE67" s="535"/>
      <c r="AF67" s="535"/>
      <c r="AG67" s="535"/>
      <c r="AH67" s="535"/>
      <c r="AI67" s="535"/>
      <c r="AJ67" s="535"/>
      <c r="AK67" s="535"/>
      <c r="AL67" s="535"/>
      <c r="AM67" s="535"/>
      <c r="AN67" s="535"/>
      <c r="AO67" s="535"/>
      <c r="AP67" s="535"/>
      <c r="AQ67" s="535"/>
      <c r="AR67" s="535"/>
      <c r="AS67" s="535"/>
      <c r="AT67" s="535"/>
      <c r="AU67" s="535"/>
    </row>
    <row r="68" spans="1:47" s="168" customFormat="1" ht="39.950000000000003" customHeight="1" x14ac:dyDescent="0.2">
      <c r="A68" s="801" t="s">
        <v>7</v>
      </c>
      <c r="B68" s="615" t="s">
        <v>175</v>
      </c>
      <c r="C68" s="681">
        <v>1</v>
      </c>
      <c r="D68" s="681">
        <v>1</v>
      </c>
      <c r="E68" s="682">
        <v>1</v>
      </c>
      <c r="F68" s="725"/>
      <c r="G68" s="725"/>
      <c r="H68" s="735"/>
      <c r="I68" s="743"/>
      <c r="J68" s="743"/>
      <c r="K68" s="735"/>
      <c r="L68" s="724"/>
      <c r="M68" s="724"/>
      <c r="N68" s="724"/>
      <c r="O68" s="724"/>
      <c r="P68" s="724"/>
      <c r="Q68" s="724"/>
      <c r="R68" s="724"/>
      <c r="S68" s="724"/>
      <c r="T68" s="724"/>
      <c r="U68" s="724"/>
      <c r="V68" s="724"/>
      <c r="W68" s="724"/>
      <c r="X68" s="724"/>
      <c r="Y68" s="724"/>
      <c r="Z68" s="724"/>
      <c r="AA68" s="535"/>
      <c r="AB68" s="535"/>
      <c r="AC68" s="535"/>
      <c r="AD68" s="535"/>
      <c r="AE68" s="535"/>
      <c r="AF68" s="535"/>
      <c r="AG68" s="535"/>
      <c r="AH68" s="535"/>
      <c r="AI68" s="535"/>
      <c r="AJ68" s="535"/>
      <c r="AK68" s="535"/>
      <c r="AL68" s="535"/>
      <c r="AM68" s="535"/>
      <c r="AN68" s="535"/>
      <c r="AO68" s="535"/>
      <c r="AP68" s="535"/>
      <c r="AQ68" s="535"/>
      <c r="AR68" s="535"/>
      <c r="AS68" s="535"/>
      <c r="AT68" s="535"/>
      <c r="AU68" s="535"/>
    </row>
    <row r="69" spans="1:47" s="168" customFormat="1" ht="16.350000000000001" customHeight="1" thickBot="1" x14ac:dyDescent="0.25">
      <c r="A69" s="803" t="s">
        <v>8</v>
      </c>
      <c r="B69" s="617" t="s">
        <v>175</v>
      </c>
      <c r="C69" s="686">
        <v>0</v>
      </c>
      <c r="D69" s="686">
        <v>0</v>
      </c>
      <c r="E69" s="687">
        <v>0</v>
      </c>
      <c r="F69" s="725"/>
      <c r="G69" s="725"/>
      <c r="H69" s="735"/>
      <c r="I69" s="743"/>
      <c r="J69" s="743"/>
      <c r="K69" s="735"/>
      <c r="L69" s="724"/>
      <c r="M69" s="724"/>
      <c r="N69" s="724"/>
      <c r="O69" s="724"/>
      <c r="P69" s="724"/>
      <c r="Q69" s="724"/>
      <c r="R69" s="724"/>
      <c r="S69" s="724"/>
      <c r="T69" s="724"/>
      <c r="U69" s="724"/>
      <c r="V69" s="724"/>
      <c r="W69" s="724"/>
      <c r="X69" s="724"/>
      <c r="Y69" s="724"/>
      <c r="Z69" s="724"/>
      <c r="AA69" s="535"/>
      <c r="AB69" s="535"/>
      <c r="AC69" s="535"/>
      <c r="AD69" s="535"/>
      <c r="AE69" s="535"/>
      <c r="AF69" s="535"/>
      <c r="AG69" s="535"/>
      <c r="AH69" s="535"/>
      <c r="AI69" s="535"/>
      <c r="AJ69" s="535"/>
      <c r="AK69" s="535"/>
      <c r="AL69" s="535"/>
      <c r="AM69" s="535"/>
      <c r="AN69" s="535"/>
      <c r="AO69" s="535"/>
      <c r="AP69" s="535"/>
      <c r="AQ69" s="535"/>
      <c r="AR69" s="535"/>
      <c r="AS69" s="535"/>
      <c r="AT69" s="535"/>
      <c r="AU69" s="535"/>
    </row>
    <row r="70" spans="1:47" s="168" customFormat="1" ht="17.45" customHeight="1" thickBot="1" x14ac:dyDescent="0.25">
      <c r="A70" s="804" t="s">
        <v>335</v>
      </c>
      <c r="B70" s="805"/>
      <c r="C70" s="806"/>
      <c r="D70" s="807"/>
      <c r="E70" s="808"/>
      <c r="F70" s="731"/>
      <c r="G70" s="731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535"/>
      <c r="AB70" s="535"/>
      <c r="AC70" s="535"/>
      <c r="AD70" s="535"/>
      <c r="AE70" s="535"/>
      <c r="AF70" s="535"/>
      <c r="AG70" s="535"/>
      <c r="AH70" s="535"/>
      <c r="AI70" s="535"/>
      <c r="AJ70" s="535"/>
      <c r="AK70" s="535"/>
      <c r="AL70" s="535"/>
      <c r="AM70" s="535"/>
      <c r="AN70" s="535"/>
      <c r="AO70" s="535"/>
      <c r="AP70" s="535"/>
      <c r="AQ70" s="535"/>
      <c r="AR70" s="535"/>
      <c r="AS70" s="535"/>
      <c r="AT70" s="535"/>
      <c r="AU70" s="535"/>
    </row>
    <row r="71" spans="1:47" s="168" customFormat="1" ht="16.5" customHeight="1" x14ac:dyDescent="0.2">
      <c r="A71" s="809" t="s">
        <v>392</v>
      </c>
      <c r="B71" s="810" t="s">
        <v>196</v>
      </c>
      <c r="C71" s="811">
        <f>C2*0.0017+65</f>
        <v>95.6</v>
      </c>
      <c r="D71" s="1116"/>
      <c r="E71" s="1117"/>
      <c r="F71" s="728"/>
      <c r="G71" s="728"/>
      <c r="H71" s="735"/>
      <c r="I71" s="735"/>
      <c r="J71" s="735"/>
      <c r="K71" s="735"/>
      <c r="L71" s="735"/>
      <c r="M71" s="724"/>
      <c r="N71" s="724"/>
      <c r="O71" s="724"/>
      <c r="P71" s="724"/>
      <c r="Q71" s="724"/>
      <c r="R71" s="724"/>
      <c r="S71" s="724"/>
      <c r="T71" s="724"/>
      <c r="U71" s="724"/>
      <c r="V71" s="724"/>
      <c r="W71" s="724"/>
      <c r="X71" s="724"/>
      <c r="Y71" s="724"/>
      <c r="Z71" s="724"/>
      <c r="AA71" s="535"/>
      <c r="AB71" s="535"/>
      <c r="AC71" s="535"/>
      <c r="AD71" s="535"/>
      <c r="AE71" s="535"/>
      <c r="AF71" s="535"/>
      <c r="AG71" s="535"/>
      <c r="AH71" s="535"/>
      <c r="AI71" s="535"/>
      <c r="AJ71" s="535"/>
      <c r="AK71" s="535"/>
      <c r="AL71" s="535"/>
      <c r="AM71" s="535"/>
      <c r="AN71" s="535"/>
      <c r="AO71" s="535"/>
      <c r="AP71" s="535"/>
      <c r="AQ71" s="535"/>
      <c r="AR71" s="535"/>
      <c r="AS71" s="535"/>
      <c r="AT71" s="535"/>
      <c r="AU71" s="535"/>
    </row>
    <row r="72" spans="1:47" s="168" customFormat="1" ht="16.5" customHeight="1" x14ac:dyDescent="0.2">
      <c r="A72" s="356" t="s">
        <v>367</v>
      </c>
      <c r="B72" s="357" t="s">
        <v>196</v>
      </c>
      <c r="C72" s="1118">
        <f>(C89*100/C13-100+$C71)/$C71*100</f>
        <v>88.408683335970437</v>
      </c>
      <c r="D72" s="1131">
        <f>(D89*100/D13-100+$C71)/$C71*100</f>
        <v>88.408683335970437</v>
      </c>
      <c r="E72" s="1140">
        <f>(E89*100/E13-100+$C71)/$C71*100</f>
        <v>88.408683335970437</v>
      </c>
      <c r="F72" s="744"/>
      <c r="G72" s="744"/>
      <c r="H72" s="744"/>
      <c r="I72" s="744"/>
      <c r="J72" s="744"/>
      <c r="K72" s="744"/>
      <c r="L72" s="744"/>
      <c r="M72" s="724"/>
      <c r="N72" s="724"/>
      <c r="O72" s="724"/>
      <c r="P72" s="724"/>
      <c r="Q72" s="724"/>
      <c r="R72" s="724"/>
      <c r="S72" s="724"/>
      <c r="T72" s="724"/>
      <c r="U72" s="724"/>
      <c r="V72" s="724"/>
      <c r="W72" s="724"/>
      <c r="X72" s="724"/>
      <c r="Y72" s="724"/>
      <c r="Z72" s="724"/>
      <c r="AA72" s="535"/>
      <c r="AB72" s="535"/>
      <c r="AC72" s="535"/>
      <c r="AD72" s="535"/>
      <c r="AE72" s="535"/>
      <c r="AF72" s="535"/>
      <c r="AG72" s="535"/>
      <c r="AH72" s="535"/>
      <c r="AI72" s="535"/>
      <c r="AJ72" s="535"/>
      <c r="AK72" s="535"/>
      <c r="AL72" s="535"/>
      <c r="AM72" s="535"/>
      <c r="AN72" s="535"/>
      <c r="AO72" s="535"/>
      <c r="AP72" s="535"/>
      <c r="AQ72" s="535"/>
      <c r="AR72" s="535"/>
      <c r="AS72" s="535"/>
      <c r="AT72" s="535"/>
      <c r="AU72" s="535"/>
    </row>
    <row r="73" spans="1:47" s="168" customFormat="1" ht="16.5" customHeight="1" x14ac:dyDescent="0.2">
      <c r="A73" s="356" t="s">
        <v>308</v>
      </c>
      <c r="B73" s="357" t="s">
        <v>174</v>
      </c>
      <c r="C73" s="358">
        <f>C14/100*((100-$C71)+$C71*C72/100)</f>
        <v>141120</v>
      </c>
      <c r="D73" s="358">
        <f>D14/100*((100-$C71)+$C71*D72/100)</f>
        <v>141120</v>
      </c>
      <c r="E73" s="359">
        <f>E14/100*((100-$C71)+$C71*E72/100)</f>
        <v>141120</v>
      </c>
      <c r="F73" s="745"/>
      <c r="G73" s="745"/>
      <c r="H73" s="745"/>
      <c r="I73" s="745"/>
      <c r="J73" s="745"/>
      <c r="K73" s="745"/>
      <c r="L73" s="745"/>
      <c r="M73" s="724"/>
      <c r="N73" s="724"/>
      <c r="O73" s="724"/>
      <c r="P73" s="724"/>
      <c r="Q73" s="724"/>
      <c r="R73" s="724"/>
      <c r="S73" s="724"/>
      <c r="T73" s="724"/>
      <c r="U73" s="724"/>
      <c r="V73" s="724"/>
      <c r="W73" s="724"/>
      <c r="X73" s="724"/>
      <c r="Y73" s="724"/>
      <c r="Z73" s="724"/>
      <c r="AA73" s="535"/>
      <c r="AB73" s="535"/>
      <c r="AC73" s="535"/>
      <c r="AD73" s="535"/>
      <c r="AE73" s="535"/>
      <c r="AF73" s="535"/>
      <c r="AG73" s="535"/>
      <c r="AH73" s="535"/>
      <c r="AI73" s="535"/>
      <c r="AJ73" s="535"/>
      <c r="AK73" s="535"/>
      <c r="AL73" s="535"/>
      <c r="AM73" s="535"/>
      <c r="AN73" s="535"/>
      <c r="AO73" s="535"/>
      <c r="AP73" s="535"/>
      <c r="AQ73" s="535"/>
      <c r="AR73" s="535"/>
      <c r="AS73" s="535"/>
      <c r="AT73" s="535"/>
      <c r="AU73" s="535"/>
    </row>
    <row r="74" spans="1:47" s="168" customFormat="1" ht="16.5" customHeight="1" x14ac:dyDescent="0.2">
      <c r="A74" s="356" t="s">
        <v>391</v>
      </c>
      <c r="B74" s="357" t="s">
        <v>174</v>
      </c>
      <c r="C74" s="358">
        <f>C14*$C71*C72/10000</f>
        <v>134136.90205618009</v>
      </c>
      <c r="D74" s="358">
        <f>D14*$C71*D72/10000</f>
        <v>134136.90205618009</v>
      </c>
      <c r="E74" s="359">
        <f>E14*$C71*E72/10000</f>
        <v>134136.90205618009</v>
      </c>
      <c r="F74" s="745"/>
      <c r="G74" s="745"/>
      <c r="H74" s="745"/>
      <c r="I74" s="745"/>
      <c r="J74" s="745"/>
      <c r="K74" s="745"/>
      <c r="L74" s="745"/>
      <c r="M74" s="724"/>
      <c r="N74" s="724"/>
      <c r="O74" s="724"/>
      <c r="P74" s="724"/>
      <c r="Q74" s="724"/>
      <c r="R74" s="724"/>
      <c r="S74" s="724"/>
      <c r="T74" s="724"/>
      <c r="U74" s="724"/>
      <c r="V74" s="724"/>
      <c r="W74" s="724"/>
      <c r="X74" s="724"/>
      <c r="Y74" s="724"/>
      <c r="Z74" s="724"/>
      <c r="AA74" s="535"/>
      <c r="AB74" s="535"/>
      <c r="AC74" s="535"/>
      <c r="AD74" s="535"/>
      <c r="AE74" s="535"/>
      <c r="AF74" s="535"/>
      <c r="AG74" s="535"/>
      <c r="AH74" s="535"/>
      <c r="AI74" s="535"/>
      <c r="AJ74" s="535"/>
      <c r="AK74" s="535"/>
      <c r="AL74" s="535"/>
      <c r="AM74" s="535"/>
      <c r="AN74" s="535"/>
      <c r="AO74" s="535"/>
      <c r="AP74" s="535"/>
      <c r="AQ74" s="535"/>
      <c r="AR74" s="535"/>
      <c r="AS74" s="535"/>
      <c r="AT74" s="535"/>
      <c r="AU74" s="535"/>
    </row>
    <row r="75" spans="1:47" s="168" customFormat="1" ht="16.5" customHeight="1" x14ac:dyDescent="0.2">
      <c r="A75" s="356" t="s">
        <v>310</v>
      </c>
      <c r="B75" s="357" t="s">
        <v>174</v>
      </c>
      <c r="C75" s="358">
        <f>C73+C21</f>
        <v>202837.77974012643</v>
      </c>
      <c r="D75" s="358">
        <f>D73+D21</f>
        <v>202837.77974012643</v>
      </c>
      <c r="E75" s="359">
        <f>E73+E21</f>
        <v>202837.77974012643</v>
      </c>
      <c r="F75" s="745"/>
      <c r="G75" s="745"/>
      <c r="H75" s="745"/>
      <c r="I75" s="745"/>
      <c r="J75" s="745"/>
      <c r="K75" s="745"/>
      <c r="L75" s="745"/>
      <c r="M75" s="746"/>
      <c r="N75" s="747"/>
      <c r="O75" s="724"/>
      <c r="P75" s="724"/>
      <c r="Q75" s="724"/>
      <c r="R75" s="724"/>
      <c r="S75" s="724"/>
      <c r="T75" s="724"/>
      <c r="U75" s="724"/>
      <c r="V75" s="724"/>
      <c r="W75" s="724"/>
      <c r="X75" s="724"/>
      <c r="Y75" s="724"/>
      <c r="Z75" s="724"/>
      <c r="AA75" s="535"/>
      <c r="AB75" s="535"/>
      <c r="AC75" s="535"/>
      <c r="AD75" s="535"/>
      <c r="AE75" s="535"/>
      <c r="AF75" s="535"/>
      <c r="AG75" s="535"/>
      <c r="AH75" s="535"/>
      <c r="AI75" s="535"/>
      <c r="AJ75" s="535"/>
      <c r="AK75" s="535"/>
      <c r="AL75" s="535"/>
      <c r="AM75" s="535"/>
      <c r="AN75" s="535"/>
      <c r="AO75" s="535"/>
      <c r="AP75" s="535"/>
      <c r="AQ75" s="535"/>
      <c r="AR75" s="535"/>
      <c r="AS75" s="535"/>
      <c r="AT75" s="535"/>
      <c r="AU75" s="535"/>
    </row>
    <row r="76" spans="1:47" s="168" customFormat="1" ht="16.5" customHeight="1" x14ac:dyDescent="0.2">
      <c r="A76" s="356" t="s">
        <v>161</v>
      </c>
      <c r="B76" s="357" t="s">
        <v>175</v>
      </c>
      <c r="C76" s="589">
        <f>0.55+0.45*C26-0.14*(1-C75/C24)</f>
        <v>0.8296051914428606</v>
      </c>
      <c r="D76" s="589">
        <f>0.55+0.45*D26-0.14*(1-D75/D24)</f>
        <v>0.8296051914428606</v>
      </c>
      <c r="E76" s="595">
        <f>0.55+0.45*E26-0.14*(1-E75/E24)</f>
        <v>0.8296051914428606</v>
      </c>
      <c r="F76" s="745"/>
      <c r="G76" s="745"/>
      <c r="H76" s="745"/>
      <c r="I76" s="745"/>
      <c r="J76" s="745"/>
      <c r="K76" s="745"/>
      <c r="L76" s="745"/>
      <c r="M76" s="746"/>
      <c r="N76" s="748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535"/>
      <c r="AB76" s="535"/>
      <c r="AC76" s="535"/>
      <c r="AD76" s="535"/>
      <c r="AE76" s="535"/>
      <c r="AF76" s="535"/>
      <c r="AG76" s="535"/>
      <c r="AH76" s="535"/>
      <c r="AI76" s="535"/>
      <c r="AJ76" s="535"/>
      <c r="AK76" s="535"/>
      <c r="AL76" s="535"/>
      <c r="AM76" s="535"/>
      <c r="AN76" s="535"/>
      <c r="AO76" s="535"/>
      <c r="AP76" s="535"/>
      <c r="AQ76" s="535"/>
      <c r="AR76" s="535"/>
      <c r="AS76" s="535"/>
      <c r="AT76" s="535"/>
      <c r="AU76" s="535"/>
    </row>
    <row r="77" spans="1:47" s="168" customFormat="1" ht="16.5" customHeight="1" x14ac:dyDescent="0.2">
      <c r="A77" s="356" t="s">
        <v>314</v>
      </c>
      <c r="B77" s="357" t="s">
        <v>173</v>
      </c>
      <c r="C77" s="588">
        <f>C$10-(C$23-C75)/C$5/C$8/1.025/C76</f>
        <v>13.280646410828696</v>
      </c>
      <c r="D77" s="588">
        <f>D10-(D23-D75)/D5/D8/1.025/D76</f>
        <v>13.280646410828696</v>
      </c>
      <c r="E77" s="596">
        <f>E10-(E23-E75)/E5/E8/1.025/E76</f>
        <v>13.280646410828696</v>
      </c>
      <c r="F77" s="749"/>
      <c r="G77" s="749"/>
      <c r="H77" s="749"/>
      <c r="I77" s="749"/>
      <c r="J77" s="749"/>
      <c r="K77" s="749"/>
      <c r="L77" s="749"/>
      <c r="M77" s="746"/>
      <c r="N77" s="750"/>
      <c r="O77" s="724"/>
      <c r="P77" s="724"/>
      <c r="Q77" s="724"/>
      <c r="R77" s="724"/>
      <c r="S77" s="724"/>
      <c r="T77" s="724"/>
      <c r="U77" s="724"/>
      <c r="V77" s="724"/>
      <c r="W77" s="724"/>
      <c r="X77" s="724"/>
      <c r="Y77" s="724"/>
      <c r="Z77" s="724"/>
      <c r="AA77" s="535"/>
      <c r="AB77" s="535"/>
      <c r="AC77" s="535"/>
      <c r="AD77" s="535"/>
      <c r="AE77" s="535"/>
      <c r="AF77" s="535"/>
      <c r="AG77" s="535"/>
      <c r="AH77" s="535"/>
      <c r="AI77" s="535"/>
      <c r="AJ77" s="535"/>
      <c r="AK77" s="535"/>
      <c r="AL77" s="535"/>
      <c r="AM77" s="535"/>
      <c r="AN77" s="535"/>
      <c r="AO77" s="535"/>
      <c r="AP77" s="535"/>
      <c r="AQ77" s="535"/>
      <c r="AR77" s="535"/>
      <c r="AS77" s="535"/>
      <c r="AT77" s="535"/>
      <c r="AU77" s="535"/>
    </row>
    <row r="78" spans="1:47" s="168" customFormat="1" ht="16.5" customHeight="1" x14ac:dyDescent="0.2">
      <c r="A78" s="356" t="s">
        <v>678</v>
      </c>
      <c r="B78" s="357" t="s">
        <v>390</v>
      </c>
      <c r="C78" s="549">
        <f>C34-2.4*(C11-C77)*(C6+C8)</f>
        <v>24905.214188556361</v>
      </c>
      <c r="D78" s="549">
        <f>D34-2.4*(D11-D77)*(D6+D8)</f>
        <v>24905.214188556361</v>
      </c>
      <c r="E78" s="550">
        <f>E34-2.4*(E11-E77)*(E6+E8)</f>
        <v>26845.855924419695</v>
      </c>
      <c r="F78" s="749"/>
      <c r="G78" s="749"/>
      <c r="H78" s="749"/>
      <c r="I78" s="749"/>
      <c r="J78" s="749"/>
      <c r="K78" s="749"/>
      <c r="L78" s="749"/>
      <c r="M78" s="746"/>
      <c r="N78" s="750"/>
      <c r="O78" s="724"/>
      <c r="P78" s="724"/>
      <c r="Q78" s="724"/>
      <c r="R78" s="724"/>
      <c r="S78" s="724"/>
      <c r="T78" s="724"/>
      <c r="U78" s="724"/>
      <c r="V78" s="724"/>
      <c r="W78" s="724"/>
      <c r="X78" s="724"/>
      <c r="Y78" s="724"/>
      <c r="Z78" s="724"/>
      <c r="AA78" s="535"/>
      <c r="AB78" s="535"/>
      <c r="AC78" s="535"/>
      <c r="AD78" s="535"/>
      <c r="AE78" s="535"/>
      <c r="AF78" s="535"/>
      <c r="AG78" s="535"/>
      <c r="AH78" s="535"/>
      <c r="AI78" s="535"/>
      <c r="AJ78" s="535"/>
      <c r="AK78" s="535"/>
      <c r="AL78" s="535"/>
      <c r="AM78" s="535"/>
      <c r="AN78" s="535"/>
      <c r="AO78" s="535"/>
      <c r="AP78" s="535"/>
      <c r="AQ78" s="535"/>
      <c r="AR78" s="535"/>
      <c r="AS78" s="535"/>
      <c r="AT78" s="535"/>
      <c r="AU78" s="535"/>
    </row>
    <row r="79" spans="1:47" s="168" customFormat="1" ht="16.5" customHeight="1" x14ac:dyDescent="0.2">
      <c r="A79" s="356" t="s">
        <v>309</v>
      </c>
      <c r="B79" s="357" t="s">
        <v>191</v>
      </c>
      <c r="C79" s="1138">
        <f>C35</f>
        <v>25.7</v>
      </c>
      <c r="D79" s="1108">
        <v>18.5</v>
      </c>
      <c r="E79" s="1109">
        <v>18.5</v>
      </c>
      <c r="F79" s="751"/>
      <c r="G79" s="751"/>
      <c r="H79" s="751"/>
      <c r="I79" s="751"/>
      <c r="J79" s="751"/>
      <c r="K79" s="751"/>
      <c r="L79" s="751"/>
      <c r="M79" s="746"/>
      <c r="N79" s="750"/>
      <c r="O79" s="724"/>
      <c r="P79" s="724"/>
      <c r="Q79" s="724"/>
      <c r="R79" s="724"/>
      <c r="S79" s="724"/>
      <c r="T79" s="724"/>
      <c r="U79" s="724"/>
      <c r="V79" s="724"/>
      <c r="W79" s="724"/>
      <c r="X79" s="724"/>
      <c r="Y79" s="724"/>
      <c r="Z79" s="724"/>
      <c r="AA79" s="535"/>
      <c r="AB79" s="535"/>
      <c r="AC79" s="535"/>
      <c r="AD79" s="535"/>
      <c r="AE79" s="535"/>
      <c r="AF79" s="535"/>
      <c r="AG79" s="535"/>
      <c r="AH79" s="535"/>
      <c r="AI79" s="535"/>
      <c r="AJ79" s="535"/>
      <c r="AK79" s="535"/>
      <c r="AL79" s="535"/>
      <c r="AM79" s="535"/>
      <c r="AN79" s="535"/>
      <c r="AO79" s="535"/>
      <c r="AP79" s="535"/>
      <c r="AQ79" s="535"/>
      <c r="AR79" s="535"/>
      <c r="AS79" s="535"/>
      <c r="AT79" s="535"/>
      <c r="AU79" s="535"/>
    </row>
    <row r="80" spans="1:47" s="168" customFormat="1" ht="16.5" customHeight="1" x14ac:dyDescent="0.2">
      <c r="A80" s="356" t="s">
        <v>187</v>
      </c>
      <c r="B80" s="357" t="s">
        <v>196</v>
      </c>
      <c r="C80" s="1110">
        <v>0</v>
      </c>
      <c r="D80" s="543">
        <v>0</v>
      </c>
      <c r="E80" s="544">
        <v>0</v>
      </c>
      <c r="F80" s="751"/>
      <c r="G80" s="751"/>
      <c r="H80" s="751"/>
      <c r="I80" s="751"/>
      <c r="J80" s="751"/>
      <c r="K80" s="751"/>
      <c r="L80" s="751"/>
      <c r="M80" s="746"/>
      <c r="N80" s="750"/>
      <c r="O80" s="724"/>
      <c r="P80" s="724"/>
      <c r="Q80" s="724"/>
      <c r="R80" s="724"/>
      <c r="S80" s="724"/>
      <c r="T80" s="724"/>
      <c r="U80" s="724"/>
      <c r="V80" s="724"/>
      <c r="W80" s="724"/>
      <c r="X80" s="724"/>
      <c r="Y80" s="724"/>
      <c r="Z80" s="724"/>
      <c r="AA80" s="535"/>
      <c r="AB80" s="535"/>
      <c r="AC80" s="535"/>
      <c r="AD80" s="535"/>
      <c r="AE80" s="535"/>
      <c r="AF80" s="535"/>
      <c r="AG80" s="535"/>
      <c r="AH80" s="535"/>
      <c r="AI80" s="535"/>
      <c r="AJ80" s="535"/>
      <c r="AK80" s="535"/>
      <c r="AL80" s="535"/>
      <c r="AM80" s="535"/>
      <c r="AN80" s="535"/>
      <c r="AO80" s="535"/>
      <c r="AP80" s="535"/>
      <c r="AQ80" s="535"/>
      <c r="AR80" s="535"/>
      <c r="AS80" s="535"/>
      <c r="AT80" s="535"/>
      <c r="AU80" s="535"/>
    </row>
    <row r="81" spans="1:47" s="168" customFormat="1" ht="16.5" customHeight="1" x14ac:dyDescent="0.2">
      <c r="A81" s="356" t="s">
        <v>336</v>
      </c>
      <c r="B81" s="357" t="s">
        <v>175</v>
      </c>
      <c r="C81" s="556">
        <f>'PAS1'!M21/'PAS1'!M36*('PAS1'!N36-'PAS1'!L36)/('PAS1'!N21-'PAS1'!L21)</f>
        <v>3.5098067450915402</v>
      </c>
      <c r="D81" s="556">
        <f>'PAS2'!M21/'PAS2'!M36*('PAS2'!N36-'PAS2'!L36)/('PAS2'!N21-'PAS2'!L21)</f>
        <v>2.9567346279280038</v>
      </c>
      <c r="E81" s="557">
        <f>'PAS3'!M21/'PAS3'!M36*('PAS3'!N36-'PAS3'!L36)/('PAS3'!N21-'PAS3'!L21)</f>
        <v>2.8045177459197608</v>
      </c>
      <c r="F81" s="752"/>
      <c r="G81" s="752"/>
      <c r="H81" s="752"/>
      <c r="I81" s="752"/>
      <c r="J81" s="752"/>
      <c r="K81" s="752"/>
      <c r="L81" s="752"/>
      <c r="M81" s="746"/>
      <c r="N81" s="747"/>
      <c r="O81" s="724"/>
      <c r="P81" s="724"/>
      <c r="Q81" s="724"/>
      <c r="R81" s="724"/>
      <c r="S81" s="724"/>
      <c r="T81" s="724"/>
      <c r="U81" s="724"/>
      <c r="V81" s="724"/>
      <c r="W81" s="724"/>
      <c r="X81" s="724"/>
      <c r="Y81" s="724"/>
      <c r="Z81" s="724"/>
      <c r="AA81" s="535"/>
      <c r="AB81" s="535"/>
      <c r="AC81" s="535"/>
      <c r="AD81" s="535"/>
      <c r="AE81" s="535"/>
      <c r="AF81" s="535"/>
      <c r="AG81" s="535"/>
      <c r="AH81" s="535"/>
      <c r="AI81" s="535"/>
      <c r="AJ81" s="535"/>
      <c r="AK81" s="535"/>
      <c r="AL81" s="535"/>
      <c r="AM81" s="535"/>
      <c r="AN81" s="535"/>
      <c r="AO81" s="535"/>
      <c r="AP81" s="535"/>
      <c r="AQ81" s="535"/>
      <c r="AR81" s="535"/>
      <c r="AS81" s="535"/>
      <c r="AT81" s="535"/>
      <c r="AU81" s="535"/>
    </row>
    <row r="82" spans="1:47" s="168" customFormat="1" ht="16.5" customHeight="1" x14ac:dyDescent="0.2">
      <c r="A82" s="812" t="s">
        <v>322</v>
      </c>
      <c r="B82" s="357" t="s">
        <v>176</v>
      </c>
      <c r="C82" s="358">
        <f>'PAS1'!K36</f>
        <v>70598.251905446508</v>
      </c>
      <c r="D82" s="358">
        <f>'PAS2'!K36</f>
        <v>24347.664341304553</v>
      </c>
      <c r="E82" s="359">
        <f>'PAS3'!K36</f>
        <v>32402.509109212238</v>
      </c>
      <c r="F82" s="745"/>
      <c r="G82" s="745"/>
      <c r="H82" s="745"/>
      <c r="I82" s="745"/>
      <c r="J82" s="745"/>
      <c r="K82" s="745"/>
      <c r="L82" s="745"/>
      <c r="M82" s="746"/>
      <c r="N82" s="750"/>
      <c r="O82" s="724"/>
      <c r="P82" s="724"/>
      <c r="Q82" s="724"/>
      <c r="R82" s="724"/>
      <c r="S82" s="724"/>
      <c r="T82" s="724"/>
      <c r="U82" s="724"/>
      <c r="V82" s="724"/>
      <c r="W82" s="724"/>
      <c r="X82" s="724"/>
      <c r="Y82" s="724"/>
      <c r="Z82" s="724"/>
      <c r="AA82" s="535"/>
      <c r="AB82" s="535"/>
      <c r="AC82" s="535"/>
      <c r="AD82" s="535"/>
      <c r="AE82" s="535"/>
      <c r="AF82" s="535"/>
      <c r="AG82" s="535"/>
      <c r="AH82" s="535"/>
      <c r="AI82" s="535"/>
      <c r="AJ82" s="535"/>
      <c r="AK82" s="535"/>
      <c r="AL82" s="535"/>
      <c r="AM82" s="535"/>
      <c r="AN82" s="535"/>
      <c r="AO82" s="535"/>
      <c r="AP82" s="535"/>
      <c r="AQ82" s="535"/>
      <c r="AR82" s="535"/>
      <c r="AS82" s="535"/>
      <c r="AT82" s="535"/>
      <c r="AU82" s="535"/>
    </row>
    <row r="83" spans="1:47" s="168" customFormat="1" ht="25.5" customHeight="1" x14ac:dyDescent="0.2">
      <c r="A83" s="812" t="s">
        <v>583</v>
      </c>
      <c r="B83" s="357" t="s">
        <v>334</v>
      </c>
      <c r="C83" s="358">
        <f>C82/C47*100</f>
        <v>73.883849516086315</v>
      </c>
      <c r="D83" s="358">
        <f>D82/D47*100</f>
        <v>37.387244977819094</v>
      </c>
      <c r="E83" s="359">
        <f>E82/E47*100</f>
        <v>40.774313336935428</v>
      </c>
      <c r="F83" s="745"/>
      <c r="G83" s="745"/>
      <c r="H83" s="745"/>
      <c r="I83" s="745"/>
      <c r="J83" s="745"/>
      <c r="K83" s="745"/>
      <c r="L83" s="745"/>
      <c r="M83" s="746"/>
      <c r="N83" s="747"/>
      <c r="O83" s="724"/>
      <c r="P83" s="724"/>
      <c r="Q83" s="724"/>
      <c r="R83" s="724"/>
      <c r="S83" s="724"/>
      <c r="T83" s="724"/>
      <c r="U83" s="724"/>
      <c r="V83" s="724"/>
      <c r="W83" s="724"/>
      <c r="X83" s="724"/>
      <c r="Y83" s="724"/>
      <c r="Z83" s="724"/>
      <c r="AA83" s="535"/>
      <c r="AB83" s="535"/>
      <c r="AC83" s="535"/>
      <c r="AD83" s="535"/>
      <c r="AE83" s="535"/>
      <c r="AF83" s="535"/>
      <c r="AG83" s="535"/>
      <c r="AH83" s="535"/>
      <c r="AI83" s="535"/>
      <c r="AJ83" s="535"/>
      <c r="AK83" s="535"/>
      <c r="AL83" s="535"/>
      <c r="AM83" s="535"/>
      <c r="AN83" s="535"/>
      <c r="AO83" s="535"/>
      <c r="AP83" s="535"/>
      <c r="AQ83" s="535"/>
      <c r="AR83" s="535"/>
      <c r="AS83" s="535"/>
      <c r="AT83" s="535"/>
      <c r="AU83" s="535"/>
    </row>
    <row r="84" spans="1:47" s="168" customFormat="1" ht="16.5" customHeight="1" x14ac:dyDescent="0.2">
      <c r="A84" s="812" t="s">
        <v>582</v>
      </c>
      <c r="B84" s="357" t="s">
        <v>580</v>
      </c>
      <c r="C84" s="556">
        <f>'Emission factors'!B13*IF(C62=1,100+0.0028*C83^2-0.41*C83+15,100+0.0000000020194*C83^6-0.0000007555*C83^5+0.00011181*C83^4-0.00832*C83^3+0.33*C83^2-6.851*C83+62.9)*10</f>
        <v>175.08656407356742</v>
      </c>
      <c r="D84" s="556">
        <f>'Emission factors'!D13*IF(D62=1,100+0.0028*D83^2-0.41*D83+15,100+0.0000000020194*D83^6-0.0000007555*D83^5+0.00011181*D83^4-0.00832*D83^3+0.33*D83^2-6.851*D83+62.9)*10</f>
        <v>181.37748664147176</v>
      </c>
      <c r="E84" s="557">
        <f>'Emission factors'!F13*IF(E62=1,100+0.0028*E83^2-0.41*E83+15,100+0.0000000020194*E83^6-0.0000007555*E83^5+0.00011181*E83^4-0.00832*E83^3+0.33*E83^2-6.851*E83+62.9)*10</f>
        <v>180.24383651492246</v>
      </c>
      <c r="F84" s="745"/>
      <c r="G84" s="745"/>
      <c r="H84" s="745"/>
      <c r="I84" s="745"/>
      <c r="J84" s="745"/>
      <c r="K84" s="745"/>
      <c r="L84" s="745"/>
      <c r="M84" s="746"/>
      <c r="N84" s="747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535"/>
      <c r="AB84" s="535"/>
      <c r="AC84" s="535"/>
      <c r="AD84" s="535"/>
      <c r="AE84" s="535"/>
      <c r="AF84" s="535"/>
      <c r="AG84" s="535"/>
      <c r="AH84" s="535"/>
      <c r="AI84" s="535"/>
      <c r="AJ84" s="535"/>
      <c r="AK84" s="535"/>
      <c r="AL84" s="535"/>
      <c r="AM84" s="535"/>
      <c r="AN84" s="535"/>
      <c r="AO84" s="535"/>
      <c r="AP84" s="535"/>
      <c r="AQ84" s="535"/>
      <c r="AR84" s="535"/>
      <c r="AS84" s="535"/>
      <c r="AT84" s="535"/>
      <c r="AU84" s="535"/>
    </row>
    <row r="85" spans="1:47" s="168" customFormat="1" ht="16.5" customHeight="1" x14ac:dyDescent="0.2">
      <c r="A85" s="812" t="s">
        <v>684</v>
      </c>
      <c r="B85" s="357" t="s">
        <v>338</v>
      </c>
      <c r="C85" s="588">
        <f>C48*'Emission factors'!C13/1000</f>
        <v>0.51641816624629133</v>
      </c>
      <c r="D85" s="588">
        <f>D48*'Emission factors'!E13/1000</f>
        <v>0.36753886914308342</v>
      </c>
      <c r="E85" s="596">
        <f>E48*'Emission factors'!G13/1000</f>
        <v>0.43772192346214722</v>
      </c>
      <c r="F85" s="753"/>
      <c r="G85" s="753"/>
      <c r="H85" s="753"/>
      <c r="I85" s="753"/>
      <c r="J85" s="753"/>
      <c r="K85" s="753"/>
      <c r="L85" s="753"/>
      <c r="M85" s="724"/>
      <c r="N85" s="724"/>
      <c r="O85" s="724"/>
      <c r="P85" s="724"/>
      <c r="Q85" s="724"/>
      <c r="R85" s="724"/>
      <c r="S85" s="724"/>
      <c r="T85" s="724"/>
      <c r="U85" s="724"/>
      <c r="V85" s="724"/>
      <c r="W85" s="724"/>
      <c r="X85" s="724"/>
      <c r="Y85" s="724"/>
      <c r="Z85" s="724"/>
      <c r="AA85" s="535"/>
      <c r="AB85" s="535"/>
      <c r="AC85" s="535"/>
      <c r="AD85" s="535"/>
      <c r="AE85" s="535"/>
      <c r="AF85" s="535"/>
      <c r="AG85" s="535"/>
      <c r="AH85" s="535"/>
      <c r="AI85" s="535"/>
      <c r="AJ85" s="535"/>
      <c r="AK85" s="535"/>
      <c r="AL85" s="535"/>
      <c r="AM85" s="535"/>
      <c r="AN85" s="535"/>
      <c r="AO85" s="535"/>
      <c r="AP85" s="535"/>
      <c r="AQ85" s="535"/>
      <c r="AR85" s="535"/>
      <c r="AS85" s="535"/>
      <c r="AT85" s="535"/>
      <c r="AU85" s="535"/>
    </row>
    <row r="86" spans="1:47" s="168" customFormat="1" ht="16.5" customHeight="1" x14ac:dyDescent="0.2">
      <c r="A86" s="812" t="s">
        <v>687</v>
      </c>
      <c r="B86" s="357" t="s">
        <v>338</v>
      </c>
      <c r="C86" s="588">
        <f>C49*'Emission factors'!C13/1000</f>
        <v>1.3661188826028345</v>
      </c>
      <c r="D86" s="588">
        <f>D49*'Emission factors'!E13/1000</f>
        <v>1.3661188826028345</v>
      </c>
      <c r="E86" s="596">
        <f>E49*'Emission factors'!G13/1000</f>
        <v>1.3661188826028345</v>
      </c>
      <c r="F86" s="753"/>
      <c r="G86" s="753"/>
      <c r="H86" s="753"/>
      <c r="I86" s="753"/>
      <c r="J86" s="753"/>
      <c r="K86" s="753"/>
      <c r="L86" s="753"/>
      <c r="M86" s="724"/>
      <c r="N86" s="724"/>
      <c r="O86" s="724"/>
      <c r="P86" s="724"/>
      <c r="Q86" s="724"/>
      <c r="R86" s="724"/>
      <c r="S86" s="724"/>
      <c r="T86" s="724"/>
      <c r="U86" s="724"/>
      <c r="V86" s="724"/>
      <c r="W86" s="724"/>
      <c r="X86" s="724"/>
      <c r="Y86" s="724"/>
      <c r="Z86" s="724"/>
      <c r="AA86" s="535"/>
      <c r="AB86" s="535"/>
      <c r="AC86" s="535"/>
      <c r="AD86" s="535"/>
      <c r="AE86" s="535"/>
      <c r="AF86" s="535"/>
      <c r="AG86" s="535"/>
      <c r="AH86" s="535"/>
      <c r="AI86" s="535"/>
      <c r="AJ86" s="535"/>
      <c r="AK86" s="535"/>
      <c r="AL86" s="535"/>
      <c r="AM86" s="535"/>
      <c r="AN86" s="535"/>
      <c r="AO86" s="535"/>
      <c r="AP86" s="535"/>
      <c r="AQ86" s="535"/>
      <c r="AR86" s="535"/>
      <c r="AS86" s="535"/>
      <c r="AT86" s="535"/>
      <c r="AU86" s="535"/>
    </row>
    <row r="87" spans="1:47" s="168" customFormat="1" ht="16.5" customHeight="1" x14ac:dyDescent="0.2">
      <c r="A87" s="812" t="s">
        <v>362</v>
      </c>
      <c r="B87" s="357" t="s">
        <v>338</v>
      </c>
      <c r="C87" s="588">
        <f>C82*C84/1000000</f>
        <v>12.360805355724814</v>
      </c>
      <c r="D87" s="588">
        <f>D82*D84/1000000</f>
        <v>4.4161181638160052</v>
      </c>
      <c r="E87" s="596">
        <f>E82*E84/1000000</f>
        <v>5.8403525545541362</v>
      </c>
      <c r="F87" s="753"/>
      <c r="G87" s="753"/>
      <c r="H87" s="753"/>
      <c r="I87" s="753"/>
      <c r="J87" s="753"/>
      <c r="K87" s="753"/>
      <c r="L87" s="753"/>
      <c r="M87" s="724"/>
      <c r="N87" s="724"/>
      <c r="O87" s="724"/>
      <c r="P87" s="724"/>
      <c r="Q87" s="724"/>
      <c r="R87" s="724"/>
      <c r="S87" s="724"/>
      <c r="T87" s="724"/>
      <c r="U87" s="724"/>
      <c r="V87" s="724"/>
      <c r="W87" s="724"/>
      <c r="X87" s="724"/>
      <c r="Y87" s="724"/>
      <c r="Z87" s="724"/>
      <c r="AA87" s="535"/>
      <c r="AB87" s="535"/>
      <c r="AC87" s="535"/>
      <c r="AD87" s="535"/>
      <c r="AE87" s="535"/>
      <c r="AF87" s="535"/>
      <c r="AG87" s="535"/>
      <c r="AH87" s="535"/>
      <c r="AI87" s="535"/>
      <c r="AJ87" s="535"/>
      <c r="AK87" s="535"/>
      <c r="AL87" s="535"/>
      <c r="AM87" s="535"/>
      <c r="AN87" s="535"/>
      <c r="AO87" s="535"/>
      <c r="AP87" s="535"/>
      <c r="AQ87" s="535"/>
      <c r="AR87" s="535"/>
      <c r="AS87" s="535"/>
      <c r="AT87" s="535"/>
      <c r="AU87" s="535"/>
    </row>
    <row r="88" spans="1:47" s="168" customFormat="1" ht="16.5" customHeight="1" thickBot="1" x14ac:dyDescent="0.25">
      <c r="A88" s="813" t="s">
        <v>686</v>
      </c>
      <c r="B88" s="814" t="s">
        <v>338</v>
      </c>
      <c r="C88" s="1136">
        <f>C85+C87</f>
        <v>12.877223521971105</v>
      </c>
      <c r="D88" s="1136">
        <f>D85+D87</f>
        <v>4.7836570329590886</v>
      </c>
      <c r="E88" s="1137">
        <f>E85+E87</f>
        <v>6.2780744780162836</v>
      </c>
      <c r="F88" s="752"/>
      <c r="G88" s="752"/>
      <c r="H88" s="752"/>
      <c r="I88" s="752"/>
      <c r="J88" s="752"/>
      <c r="K88" s="752"/>
      <c r="L88" s="752"/>
      <c r="M88" s="724"/>
      <c r="N88" s="724"/>
      <c r="O88" s="724"/>
      <c r="P88" s="724"/>
      <c r="Q88" s="724"/>
      <c r="R88" s="724"/>
      <c r="S88" s="724"/>
      <c r="T88" s="724"/>
      <c r="U88" s="724"/>
      <c r="V88" s="724"/>
      <c r="W88" s="724"/>
      <c r="X88" s="724"/>
      <c r="Y88" s="724"/>
      <c r="Z88" s="724"/>
      <c r="AA88" s="535"/>
      <c r="AB88" s="535"/>
      <c r="AC88" s="535"/>
      <c r="AD88" s="535"/>
      <c r="AE88" s="535"/>
      <c r="AF88" s="535"/>
      <c r="AG88" s="535"/>
      <c r="AH88" s="535"/>
      <c r="AI88" s="535"/>
      <c r="AJ88" s="535"/>
      <c r="AK88" s="535"/>
      <c r="AL88" s="535"/>
      <c r="AM88" s="535"/>
      <c r="AN88" s="535"/>
      <c r="AO88" s="535"/>
      <c r="AP88" s="535"/>
      <c r="AQ88" s="535"/>
      <c r="AR88" s="535"/>
      <c r="AS88" s="535"/>
      <c r="AT88" s="535"/>
      <c r="AU88" s="535"/>
    </row>
    <row r="89" spans="1:47" s="168" customFormat="1" ht="15" customHeight="1" thickBot="1" x14ac:dyDescent="0.25">
      <c r="A89" s="815" t="s">
        <v>407</v>
      </c>
      <c r="B89" s="816"/>
      <c r="C89" s="817">
        <v>70</v>
      </c>
      <c r="D89" s="1121">
        <v>70</v>
      </c>
      <c r="E89" s="1122">
        <v>70</v>
      </c>
      <c r="F89" s="731"/>
      <c r="G89" s="731"/>
      <c r="H89" s="724"/>
      <c r="I89" s="724"/>
      <c r="J89" s="724"/>
      <c r="K89" s="724"/>
      <c r="L89" s="724"/>
      <c r="M89" s="724"/>
      <c r="N89" s="724"/>
      <c r="O89" s="724"/>
      <c r="P89" s="724"/>
      <c r="Q89" s="724"/>
      <c r="R89" s="724"/>
      <c r="S89" s="724"/>
      <c r="T89" s="724"/>
      <c r="U89" s="724"/>
      <c r="V89" s="724"/>
      <c r="W89" s="724"/>
      <c r="X89" s="724"/>
      <c r="Y89" s="724"/>
      <c r="Z89" s="724"/>
      <c r="AA89" s="535"/>
      <c r="AB89" s="535"/>
      <c r="AC89" s="535"/>
      <c r="AD89" s="535"/>
      <c r="AE89" s="535"/>
      <c r="AF89" s="535"/>
      <c r="AG89" s="535"/>
      <c r="AH89" s="535"/>
      <c r="AI89" s="535"/>
      <c r="AJ89" s="535"/>
      <c r="AK89" s="535"/>
      <c r="AL89" s="535"/>
      <c r="AM89" s="535"/>
      <c r="AN89" s="535"/>
      <c r="AO89" s="535"/>
      <c r="AP89" s="535"/>
      <c r="AQ89" s="535"/>
      <c r="AR89" s="535"/>
      <c r="AS89" s="535"/>
      <c r="AT89" s="535"/>
      <c r="AU89" s="535"/>
    </row>
    <row r="90" spans="1:47" s="168" customFormat="1" ht="15" customHeight="1" x14ac:dyDescent="0.2">
      <c r="A90" s="356" t="s">
        <v>197</v>
      </c>
      <c r="B90" s="357" t="s">
        <v>174</v>
      </c>
      <c r="C90" s="818">
        <f>C15</f>
        <v>201600</v>
      </c>
      <c r="D90" s="818">
        <f>D15</f>
        <v>201600</v>
      </c>
      <c r="E90" s="819">
        <f>E15</f>
        <v>201600</v>
      </c>
      <c r="F90" s="739"/>
      <c r="G90" s="739"/>
      <c r="H90" s="739"/>
      <c r="I90" s="754"/>
      <c r="J90" s="739"/>
      <c r="K90" s="755"/>
      <c r="L90" s="755"/>
      <c r="M90" s="755"/>
      <c r="N90" s="755"/>
      <c r="O90" s="724"/>
      <c r="P90" s="724"/>
      <c r="Q90" s="724"/>
      <c r="R90" s="724"/>
      <c r="S90" s="724"/>
      <c r="T90" s="724"/>
      <c r="U90" s="724"/>
      <c r="V90" s="724"/>
      <c r="W90" s="724"/>
      <c r="X90" s="724"/>
      <c r="Y90" s="724"/>
      <c r="Z90" s="724"/>
      <c r="AA90" s="535"/>
      <c r="AB90" s="535"/>
      <c r="AC90" s="535"/>
      <c r="AD90" s="535"/>
      <c r="AE90" s="535"/>
      <c r="AF90" s="535"/>
      <c r="AG90" s="535"/>
      <c r="AH90" s="535"/>
      <c r="AI90" s="535"/>
      <c r="AJ90" s="535"/>
      <c r="AK90" s="535"/>
      <c r="AL90" s="535"/>
      <c r="AM90" s="535"/>
      <c r="AN90" s="535"/>
      <c r="AO90" s="535"/>
      <c r="AP90" s="535"/>
      <c r="AQ90" s="535"/>
      <c r="AR90" s="535"/>
      <c r="AS90" s="535"/>
      <c r="AT90" s="535"/>
      <c r="AU90" s="535"/>
    </row>
    <row r="91" spans="1:47" s="168" customFormat="1" ht="15" customHeight="1" x14ac:dyDescent="0.2">
      <c r="A91" s="820" t="s">
        <v>6</v>
      </c>
      <c r="B91" s="357" t="s">
        <v>174</v>
      </c>
      <c r="C91" s="358">
        <f>C15*C89/100</f>
        <v>141120</v>
      </c>
      <c r="D91" s="358">
        <f>D15*D89/100</f>
        <v>141120</v>
      </c>
      <c r="E91" s="359">
        <f>E15*E89/100</f>
        <v>141120</v>
      </c>
      <c r="F91" s="739"/>
      <c r="G91" s="739"/>
      <c r="H91" s="739"/>
      <c r="I91" s="739"/>
      <c r="J91" s="754"/>
      <c r="K91" s="739"/>
      <c r="L91" s="755"/>
      <c r="M91" s="755"/>
      <c r="N91" s="755"/>
      <c r="O91" s="755"/>
      <c r="P91" s="724"/>
      <c r="Q91" s="724"/>
      <c r="R91" s="724"/>
      <c r="S91" s="724"/>
      <c r="T91" s="724"/>
      <c r="U91" s="724"/>
      <c r="V91" s="724"/>
      <c r="W91" s="724"/>
      <c r="X91" s="724"/>
      <c r="Y91" s="724"/>
      <c r="Z91" s="724"/>
      <c r="AA91" s="535"/>
      <c r="AB91" s="535"/>
      <c r="AC91" s="535"/>
      <c r="AD91" s="535"/>
      <c r="AE91" s="535"/>
      <c r="AF91" s="535"/>
      <c r="AG91" s="535"/>
      <c r="AH91" s="535"/>
      <c r="AI91" s="535"/>
      <c r="AJ91" s="535"/>
      <c r="AK91" s="535"/>
      <c r="AL91" s="535"/>
      <c r="AM91" s="535"/>
      <c r="AN91" s="535"/>
      <c r="AO91" s="535"/>
      <c r="AP91" s="535"/>
      <c r="AQ91" s="535"/>
      <c r="AR91" s="535"/>
      <c r="AS91" s="535"/>
      <c r="AT91" s="535"/>
      <c r="AU91" s="535"/>
    </row>
    <row r="92" spans="1:47" s="168" customFormat="1" ht="15" customHeight="1" x14ac:dyDescent="0.2">
      <c r="A92" s="356" t="s">
        <v>310</v>
      </c>
      <c r="B92" s="357" t="s">
        <v>174</v>
      </c>
      <c r="C92" s="358">
        <f>C91+C21</f>
        <v>202837.77974012643</v>
      </c>
      <c r="D92" s="358">
        <f>D91+D21</f>
        <v>202837.77974012643</v>
      </c>
      <c r="E92" s="359">
        <f>E91+E21</f>
        <v>202837.77974012643</v>
      </c>
      <c r="F92" s="739"/>
      <c r="G92" s="739"/>
      <c r="H92" s="739"/>
      <c r="I92" s="755"/>
      <c r="J92" s="756"/>
      <c r="K92" s="757"/>
      <c r="L92" s="757"/>
      <c r="M92" s="757"/>
      <c r="N92" s="757"/>
      <c r="O92" s="755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535"/>
      <c r="AB92" s="535"/>
      <c r="AC92" s="535"/>
      <c r="AD92" s="535"/>
      <c r="AE92" s="535"/>
      <c r="AF92" s="535"/>
      <c r="AG92" s="535"/>
      <c r="AH92" s="535"/>
      <c r="AI92" s="535"/>
      <c r="AJ92" s="535"/>
      <c r="AK92" s="535"/>
      <c r="AL92" s="535"/>
      <c r="AM92" s="535"/>
      <c r="AN92" s="535"/>
      <c r="AO92" s="535"/>
      <c r="AP92" s="535"/>
      <c r="AQ92" s="535"/>
      <c r="AR92" s="535"/>
      <c r="AS92" s="535"/>
      <c r="AT92" s="535"/>
      <c r="AU92" s="535"/>
    </row>
    <row r="93" spans="1:47" s="168" customFormat="1" ht="15" customHeight="1" x14ac:dyDescent="0.2">
      <c r="A93" s="356" t="s">
        <v>160</v>
      </c>
      <c r="B93" s="357" t="s">
        <v>175</v>
      </c>
      <c r="C93" s="589">
        <f>C92/1.025/C5/C8/C95</f>
        <v>0.65621314675030729</v>
      </c>
      <c r="D93" s="589">
        <f>D92/1.025/D5/D8/D95</f>
        <v>0.65621314675030729</v>
      </c>
      <c r="E93" s="595">
        <f>E92/1.025/E5/E8/E95</f>
        <v>0.65621314675030729</v>
      </c>
      <c r="F93" s="739"/>
      <c r="G93" s="739"/>
      <c r="H93" s="739"/>
      <c r="I93" s="755"/>
      <c r="J93" s="758"/>
      <c r="K93" s="744"/>
      <c r="L93" s="759"/>
      <c r="M93" s="759"/>
      <c r="N93" s="759"/>
      <c r="O93" s="760"/>
      <c r="P93" s="724"/>
      <c r="Q93" s="724"/>
      <c r="R93" s="724"/>
      <c r="S93" s="724"/>
      <c r="T93" s="724"/>
      <c r="U93" s="724"/>
      <c r="V93" s="724"/>
      <c r="W93" s="724"/>
      <c r="X93" s="724"/>
      <c r="Y93" s="724"/>
      <c r="Z93" s="724"/>
      <c r="AA93" s="535"/>
      <c r="AB93" s="535"/>
      <c r="AC93" s="535"/>
      <c r="AD93" s="535"/>
      <c r="AE93" s="535"/>
      <c r="AF93" s="535"/>
      <c r="AG93" s="535"/>
      <c r="AH93" s="535"/>
      <c r="AI93" s="535"/>
      <c r="AJ93" s="535"/>
      <c r="AK93" s="535"/>
      <c r="AL93" s="535"/>
      <c r="AM93" s="535"/>
      <c r="AN93" s="535"/>
      <c r="AO93" s="535"/>
      <c r="AP93" s="535"/>
      <c r="AQ93" s="535"/>
      <c r="AR93" s="535"/>
      <c r="AS93" s="535"/>
      <c r="AT93" s="535"/>
      <c r="AU93" s="535"/>
    </row>
    <row r="94" spans="1:47" s="168" customFormat="1" ht="15" customHeight="1" x14ac:dyDescent="0.2">
      <c r="A94" s="356" t="s">
        <v>161</v>
      </c>
      <c r="B94" s="357" t="s">
        <v>175</v>
      </c>
      <c r="C94" s="589">
        <f>0.55+0.45*C26-0.14*(1-C92/C$24)</f>
        <v>0.8296051914428606</v>
      </c>
      <c r="D94" s="589">
        <f>0.55+0.45*D26-0.14*(1-D92/D$24)</f>
        <v>0.8296051914428606</v>
      </c>
      <c r="E94" s="595">
        <f>0.55+0.45*E26-0.14*(1-E92/E$24)</f>
        <v>0.8296051914428606</v>
      </c>
      <c r="F94" s="739"/>
      <c r="G94" s="739"/>
      <c r="H94" s="739"/>
      <c r="I94" s="739"/>
      <c r="J94" s="739"/>
      <c r="K94" s="739"/>
      <c r="L94" s="739"/>
      <c r="M94" s="739"/>
      <c r="N94" s="739"/>
      <c r="O94" s="724"/>
      <c r="P94" s="724"/>
      <c r="Q94" s="724"/>
      <c r="R94" s="724"/>
      <c r="S94" s="724"/>
      <c r="T94" s="724"/>
      <c r="U94" s="724"/>
      <c r="V94" s="724"/>
      <c r="W94" s="724"/>
      <c r="X94" s="724"/>
      <c r="Y94" s="724"/>
      <c r="Z94" s="724"/>
      <c r="AA94" s="535"/>
      <c r="AB94" s="535"/>
      <c r="AC94" s="535"/>
      <c r="AD94" s="535"/>
      <c r="AE94" s="535"/>
      <c r="AF94" s="535"/>
      <c r="AG94" s="535"/>
      <c r="AH94" s="535"/>
      <c r="AI94" s="535"/>
      <c r="AJ94" s="535"/>
      <c r="AK94" s="535"/>
      <c r="AL94" s="535"/>
      <c r="AM94" s="535"/>
      <c r="AN94" s="535"/>
      <c r="AO94" s="535"/>
      <c r="AP94" s="535"/>
      <c r="AQ94" s="535"/>
      <c r="AR94" s="535"/>
      <c r="AS94" s="535"/>
      <c r="AT94" s="535"/>
      <c r="AU94" s="535"/>
    </row>
    <row r="95" spans="1:47" s="168" customFormat="1" ht="15" customHeight="1" x14ac:dyDescent="0.2">
      <c r="A95" s="356" t="s">
        <v>314</v>
      </c>
      <c r="B95" s="357" t="s">
        <v>173</v>
      </c>
      <c r="C95" s="588">
        <f>C$10-(C$23-C92)/C$5/C$8/1.025/C94</f>
        <v>13.280646410828696</v>
      </c>
      <c r="D95" s="588">
        <f>D$10-(D$23-D92)/D$5/D$8/1.025/D94</f>
        <v>13.280646410828696</v>
      </c>
      <c r="E95" s="596">
        <f>E$10-(E$23-E92)/E$5/E$8/1.025/E94</f>
        <v>13.280646410828696</v>
      </c>
      <c r="F95" s="739"/>
      <c r="G95" s="739"/>
      <c r="H95" s="761"/>
      <c r="I95" s="755"/>
      <c r="J95" s="756"/>
      <c r="K95" s="757"/>
      <c r="L95" s="757"/>
      <c r="M95" s="757"/>
      <c r="N95" s="757"/>
      <c r="O95" s="755"/>
      <c r="P95" s="724"/>
      <c r="Q95" s="724"/>
      <c r="R95" s="724"/>
      <c r="S95" s="724"/>
      <c r="T95" s="724"/>
      <c r="U95" s="724"/>
      <c r="V95" s="724"/>
      <c r="W95" s="724"/>
      <c r="X95" s="724"/>
      <c r="Y95" s="724"/>
      <c r="Z95" s="724"/>
      <c r="AA95" s="535"/>
      <c r="AB95" s="535"/>
      <c r="AC95" s="535"/>
      <c r="AD95" s="535"/>
      <c r="AE95" s="535"/>
      <c r="AF95" s="535"/>
      <c r="AG95" s="535"/>
      <c r="AH95" s="535"/>
      <c r="AI95" s="535"/>
      <c r="AJ95" s="535"/>
      <c r="AK95" s="535"/>
      <c r="AL95" s="535"/>
      <c r="AM95" s="535"/>
      <c r="AN95" s="535"/>
      <c r="AO95" s="535"/>
      <c r="AP95" s="535"/>
      <c r="AQ95" s="535"/>
      <c r="AR95" s="535"/>
      <c r="AS95" s="535"/>
      <c r="AT95" s="535"/>
      <c r="AU95" s="535"/>
    </row>
    <row r="96" spans="1:47" s="168" customFormat="1" ht="15" customHeight="1" x14ac:dyDescent="0.2">
      <c r="A96" s="356" t="s">
        <v>677</v>
      </c>
      <c r="B96" s="357" t="s">
        <v>390</v>
      </c>
      <c r="C96" s="549">
        <f>C34-2.4*(C11-C95)*(C6+C8)</f>
        <v>24905.214188556361</v>
      </c>
      <c r="D96" s="549">
        <f>D34-2.4*(D11-D95)*(D6+D8)</f>
        <v>24905.214188556361</v>
      </c>
      <c r="E96" s="550">
        <f>E34-2.4*(E11-E95)*(E6+E8)</f>
        <v>26845.855924419695</v>
      </c>
      <c r="F96" s="739"/>
      <c r="G96" s="739"/>
      <c r="H96" s="761"/>
      <c r="I96" s="755"/>
      <c r="J96" s="756"/>
      <c r="K96" s="757"/>
      <c r="L96" s="757"/>
      <c r="M96" s="757"/>
      <c r="N96" s="757"/>
      <c r="O96" s="755"/>
      <c r="P96" s="724"/>
      <c r="Q96" s="724"/>
      <c r="R96" s="724"/>
      <c r="S96" s="724"/>
      <c r="T96" s="724"/>
      <c r="U96" s="724"/>
      <c r="V96" s="724"/>
      <c r="W96" s="724"/>
      <c r="X96" s="724"/>
      <c r="Y96" s="724"/>
      <c r="Z96" s="724"/>
      <c r="AA96" s="535"/>
      <c r="AB96" s="535"/>
      <c r="AC96" s="535"/>
      <c r="AD96" s="535"/>
      <c r="AE96" s="535"/>
      <c r="AF96" s="535"/>
      <c r="AG96" s="535"/>
      <c r="AH96" s="535"/>
      <c r="AI96" s="535"/>
      <c r="AJ96" s="535"/>
      <c r="AK96" s="535"/>
      <c r="AL96" s="535"/>
      <c r="AM96" s="535"/>
      <c r="AN96" s="535"/>
      <c r="AO96" s="535"/>
      <c r="AP96" s="535"/>
      <c r="AQ96" s="535"/>
      <c r="AR96" s="535"/>
      <c r="AS96" s="535"/>
      <c r="AT96" s="535"/>
      <c r="AU96" s="535"/>
    </row>
    <row r="97" spans="1:47" s="168" customFormat="1" ht="15" customHeight="1" thickBot="1" x14ac:dyDescent="0.25">
      <c r="A97" s="356" t="s">
        <v>404</v>
      </c>
      <c r="B97" s="357" t="s">
        <v>191</v>
      </c>
      <c r="C97" s="588">
        <f>'PT1-2'!V33</f>
        <v>25.810319305270045</v>
      </c>
      <c r="D97" s="588">
        <f>'PT2-2'!V33</f>
        <v>23.062208138061955</v>
      </c>
      <c r="E97" s="596">
        <f>'PT3-2'!V33</f>
        <v>22.94483414056165</v>
      </c>
      <c r="F97" s="739"/>
      <c r="G97" s="739"/>
      <c r="H97" s="761"/>
      <c r="I97" s="756"/>
      <c r="J97" s="744"/>
      <c r="K97" s="762"/>
      <c r="L97" s="760"/>
      <c r="M97" s="760"/>
      <c r="N97" s="760"/>
      <c r="O97" s="760"/>
      <c r="P97" s="724"/>
      <c r="Q97" s="724"/>
      <c r="R97" s="724"/>
      <c r="S97" s="724"/>
      <c r="T97" s="724"/>
      <c r="U97" s="724"/>
      <c r="V97" s="724"/>
      <c r="W97" s="724"/>
      <c r="X97" s="724"/>
      <c r="Y97" s="724"/>
      <c r="Z97" s="724"/>
      <c r="AA97" s="535"/>
      <c r="AB97" s="535"/>
      <c r="AC97" s="535"/>
      <c r="AD97" s="535"/>
      <c r="AE97" s="535"/>
      <c r="AF97" s="535"/>
      <c r="AG97" s="535"/>
      <c r="AH97" s="535"/>
      <c r="AI97" s="535"/>
      <c r="AJ97" s="535"/>
      <c r="AK97" s="535"/>
      <c r="AL97" s="535"/>
      <c r="AM97" s="535"/>
      <c r="AN97" s="535"/>
      <c r="AO97" s="535"/>
      <c r="AP97" s="535"/>
      <c r="AQ97" s="535"/>
      <c r="AR97" s="535"/>
      <c r="AS97" s="535"/>
      <c r="AT97" s="535"/>
      <c r="AU97" s="535"/>
    </row>
    <row r="98" spans="1:47" s="168" customFormat="1" ht="15" customHeight="1" x14ac:dyDescent="0.2">
      <c r="A98" s="1125" t="s">
        <v>405</v>
      </c>
      <c r="B98" s="1127" t="s">
        <v>313</v>
      </c>
      <c r="C98" s="1128">
        <f>(C47*0.75*'Emission factors'!B13*'Emission factors'!B21+C48*'Emission factors'!C13*'Emission factors'!C21)/C91/C97</f>
        <v>11.499747180336133</v>
      </c>
      <c r="D98" s="1128">
        <f>(D47*0.75*'Emission factors'!D13*'Emission factors'!D21+D48*'Emission factors'!E13*'Emission factors'!E21)/D91/D97</f>
        <v>8.7867741971640907</v>
      </c>
      <c r="E98" s="1126">
        <f>(E47*0.75*'Emission factors'!F13*'Emission factors'!F21+E48*'Emission factors'!G13*'Emission factors'!G21)/E91/E97</f>
        <v>10.766470632292357</v>
      </c>
      <c r="F98" s="739"/>
      <c r="G98" s="739"/>
      <c r="H98" s="735"/>
      <c r="I98" s="763"/>
      <c r="J98" s="762"/>
      <c r="K98" s="762"/>
      <c r="L98" s="760"/>
      <c r="M98" s="760"/>
      <c r="N98" s="760"/>
      <c r="O98" s="760"/>
      <c r="P98" s="724"/>
      <c r="Q98" s="724"/>
      <c r="R98" s="724"/>
      <c r="S98" s="724"/>
      <c r="T98" s="724"/>
      <c r="U98" s="724"/>
      <c r="V98" s="724"/>
      <c r="W98" s="724"/>
      <c r="X98" s="724"/>
      <c r="Y98" s="724"/>
      <c r="Z98" s="724"/>
      <c r="AA98" s="535"/>
      <c r="AB98" s="535"/>
      <c r="AC98" s="535"/>
      <c r="AD98" s="535"/>
      <c r="AE98" s="535"/>
      <c r="AF98" s="535"/>
      <c r="AG98" s="535"/>
      <c r="AH98" s="535"/>
      <c r="AI98" s="535"/>
      <c r="AJ98" s="535"/>
      <c r="AK98" s="535"/>
      <c r="AL98" s="535"/>
      <c r="AM98" s="535"/>
      <c r="AN98" s="535"/>
      <c r="AO98" s="535"/>
      <c r="AP98" s="535"/>
      <c r="AQ98" s="535"/>
      <c r="AR98" s="535"/>
      <c r="AS98" s="535"/>
      <c r="AT98" s="535"/>
      <c r="AU98" s="535"/>
    </row>
    <row r="99" spans="1:47" ht="15" customHeight="1" x14ac:dyDescent="0.2">
      <c r="A99" s="796" t="s">
        <v>406</v>
      </c>
      <c r="B99" s="797" t="s">
        <v>313</v>
      </c>
      <c r="C99" s="798">
        <f>174.22*C15^-0.201</f>
        <v>14.958753764132178</v>
      </c>
      <c r="D99" s="798">
        <f>174.22*D15^-0.201</f>
        <v>14.958753764132178</v>
      </c>
      <c r="E99" s="821">
        <f>174.22*E15^-0.201</f>
        <v>14.958753764132178</v>
      </c>
      <c r="F99" s="764"/>
      <c r="G99" s="764"/>
      <c r="H99" s="765"/>
      <c r="I99" s="766"/>
      <c r="J99" s="767"/>
      <c r="K99" s="767"/>
      <c r="L99" s="768"/>
      <c r="M99" s="768"/>
      <c r="N99" s="768"/>
      <c r="O99" s="768"/>
    </row>
    <row r="100" spans="1:47" ht="15" customHeight="1" x14ac:dyDescent="0.2">
      <c r="A100" s="796" t="s">
        <v>670</v>
      </c>
      <c r="B100" s="797" t="s">
        <v>313</v>
      </c>
      <c r="C100" s="798">
        <f>C99*0.9</f>
        <v>13.462878387718961</v>
      </c>
      <c r="D100" s="798">
        <f>D99*0.9</f>
        <v>13.462878387718961</v>
      </c>
      <c r="E100" s="821">
        <f>E99*0.9</f>
        <v>13.462878387718961</v>
      </c>
      <c r="F100" s="770"/>
      <c r="G100" s="764"/>
      <c r="H100" s="765"/>
      <c r="I100" s="766"/>
      <c r="J100" s="767"/>
      <c r="K100" s="767"/>
      <c r="L100" s="768"/>
      <c r="M100" s="768"/>
      <c r="N100" s="768"/>
      <c r="O100" s="768"/>
    </row>
    <row r="101" spans="1:47" ht="15" customHeight="1" x14ac:dyDescent="0.2">
      <c r="A101" s="796" t="s">
        <v>671</v>
      </c>
      <c r="B101" s="797" t="s">
        <v>313</v>
      </c>
      <c r="C101" s="798">
        <f>C99*0.8</f>
        <v>11.967003011305742</v>
      </c>
      <c r="D101" s="798">
        <f>D99*0.8</f>
        <v>11.967003011305742</v>
      </c>
      <c r="E101" s="821">
        <f>E99*0.8</f>
        <v>11.967003011305742</v>
      </c>
      <c r="F101" s="764"/>
      <c r="G101" s="764"/>
      <c r="H101" s="765"/>
      <c r="I101" s="766"/>
      <c r="J101" s="767"/>
      <c r="K101" s="767"/>
      <c r="L101" s="768"/>
      <c r="M101" s="768"/>
      <c r="N101" s="768"/>
      <c r="O101" s="768"/>
    </row>
    <row r="102" spans="1:47" ht="15" customHeight="1" thickBot="1" x14ac:dyDescent="0.25">
      <c r="A102" s="822" t="s">
        <v>673</v>
      </c>
      <c r="B102" s="823" t="s">
        <v>313</v>
      </c>
      <c r="C102" s="824">
        <f>C99*0.7</f>
        <v>10.471127634892524</v>
      </c>
      <c r="D102" s="824">
        <f>D99*0.7</f>
        <v>10.471127634892524</v>
      </c>
      <c r="E102" s="799">
        <f>E99*0.7</f>
        <v>10.471127634892524</v>
      </c>
      <c r="F102" s="771"/>
      <c r="G102" s="771"/>
      <c r="H102" s="765"/>
      <c r="I102" s="766"/>
      <c r="J102" s="767"/>
      <c r="K102" s="767"/>
      <c r="L102" s="768"/>
      <c r="M102" s="768"/>
      <c r="N102" s="768"/>
      <c r="O102" s="768"/>
    </row>
    <row r="103" spans="1:47" ht="15" customHeight="1" x14ac:dyDescent="0.2">
      <c r="F103" s="764"/>
      <c r="G103" s="764"/>
      <c r="H103" s="765"/>
      <c r="I103" s="766"/>
      <c r="J103" s="767"/>
      <c r="K103" s="767"/>
      <c r="L103" s="768"/>
      <c r="M103" s="768"/>
      <c r="N103" s="768"/>
      <c r="O103" s="768"/>
    </row>
    <row r="104" spans="1:47" ht="15" customHeight="1" x14ac:dyDescent="0.2">
      <c r="F104" s="764"/>
      <c r="G104" s="764"/>
      <c r="H104" s="765"/>
      <c r="I104" s="766"/>
      <c r="J104" s="767"/>
      <c r="K104" s="767"/>
      <c r="L104" s="768"/>
      <c r="M104" s="768"/>
      <c r="N104" s="768"/>
      <c r="O104" s="768"/>
    </row>
    <row r="105" spans="1:47" ht="15" customHeight="1" x14ac:dyDescent="0.2">
      <c r="I105" s="773"/>
      <c r="J105" s="767"/>
      <c r="K105" s="767"/>
      <c r="L105" s="768"/>
      <c r="M105" s="768"/>
      <c r="N105" s="768"/>
      <c r="O105" s="768"/>
    </row>
    <row r="139" spans="1:1" x14ac:dyDescent="0.2">
      <c r="A139" s="9" t="s">
        <v>423</v>
      </c>
    </row>
    <row r="140" spans="1:1" x14ac:dyDescent="0.2">
      <c r="A140" s="9" t="s">
        <v>573</v>
      </c>
    </row>
    <row r="141" spans="1:1" x14ac:dyDescent="0.2">
      <c r="A141" s="1023" t="s">
        <v>540</v>
      </c>
    </row>
    <row r="142" spans="1:1" ht="15.75" x14ac:dyDescent="0.3">
      <c r="A142" s="1023" t="s">
        <v>578</v>
      </c>
    </row>
    <row r="143" spans="1:1" x14ac:dyDescent="0.2">
      <c r="A143" s="1023" t="s">
        <v>579</v>
      </c>
    </row>
    <row r="144" spans="1:1" x14ac:dyDescent="0.2">
      <c r="A144" t="s">
        <v>674</v>
      </c>
    </row>
    <row r="145" spans="1:1" x14ac:dyDescent="0.2">
      <c r="A145" s="9" t="s">
        <v>675</v>
      </c>
    </row>
    <row r="146" spans="1:1" x14ac:dyDescent="0.2">
      <c r="A146" s="9" t="s">
        <v>679</v>
      </c>
    </row>
    <row r="147" spans="1:1" x14ac:dyDescent="0.2">
      <c r="A147" s="9" t="s">
        <v>680</v>
      </c>
    </row>
    <row r="148" spans="1:1" x14ac:dyDescent="0.2">
      <c r="A148" s="9" t="s">
        <v>682</v>
      </c>
    </row>
    <row r="149" spans="1:1" x14ac:dyDescent="0.2">
      <c r="A149" s="9" t="s">
        <v>683</v>
      </c>
    </row>
    <row r="150" spans="1:1" x14ac:dyDescent="0.2">
      <c r="A150" s="9" t="s">
        <v>689</v>
      </c>
    </row>
    <row r="151" spans="1:1" x14ac:dyDescent="0.2">
      <c r="A151" s="9" t="s">
        <v>691</v>
      </c>
    </row>
  </sheetData>
  <sheetProtection password="CC7C" sheet="1"/>
  <phoneticPr fontId="2" type="noConversion"/>
  <pageMargins left="0.75" right="0.75" top="1" bottom="1" header="0" footer="0"/>
  <pageSetup paperSize="9" orientation="portrait" r:id="rId1"/>
  <headerFooter alignWithMargins="0"/>
  <ignoredErrors>
    <ignoredError sqref="D12:E12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1">
    <tabColor indexed="11"/>
  </sheetPr>
  <dimension ref="A1:G47"/>
  <sheetViews>
    <sheetView topLeftCell="A10" workbookViewId="0">
      <selection activeCell="F21" sqref="F21"/>
    </sheetView>
  </sheetViews>
  <sheetFormatPr defaultRowHeight="12.75" x14ac:dyDescent="0.2"/>
  <cols>
    <col min="1" max="1" width="61.28515625" customWidth="1"/>
    <col min="2" max="7" width="14.5703125" customWidth="1"/>
  </cols>
  <sheetData>
    <row r="1" spans="1:7" ht="27.6" customHeight="1" thickTop="1" thickBot="1" x14ac:dyDescent="0.3">
      <c r="A1" s="618" t="s">
        <v>9</v>
      </c>
      <c r="B1" s="619" t="s">
        <v>10</v>
      </c>
      <c r="C1" s="620" t="s">
        <v>11</v>
      </c>
      <c r="D1" s="619" t="s">
        <v>10</v>
      </c>
      <c r="E1" s="621" t="s">
        <v>11</v>
      </c>
      <c r="F1" s="619" t="s">
        <v>10</v>
      </c>
      <c r="G1" s="621" t="s">
        <v>11</v>
      </c>
    </row>
    <row r="2" spans="1:7" ht="16.5" customHeight="1" x14ac:dyDescent="0.2">
      <c r="A2" s="622" t="s">
        <v>12</v>
      </c>
      <c r="B2" s="623">
        <f>'SHIP DATA'!C58</f>
        <v>1</v>
      </c>
      <c r="C2" s="624">
        <v>2</v>
      </c>
      <c r="D2" s="623">
        <f>'SHIP DATA'!D58</f>
        <v>1</v>
      </c>
      <c r="E2" s="624">
        <v>2</v>
      </c>
      <c r="F2" s="623">
        <f>'SHIP DATA'!E58</f>
        <v>1</v>
      </c>
      <c r="G2" s="625">
        <v>2</v>
      </c>
    </row>
    <row r="3" spans="1:7" ht="16.5" customHeight="1" x14ac:dyDescent="0.2">
      <c r="A3" s="626" t="s">
        <v>13</v>
      </c>
      <c r="B3" s="627">
        <f>'SHIP DATA'!C65</f>
        <v>0</v>
      </c>
      <c r="C3" s="628" t="s">
        <v>175</v>
      </c>
      <c r="D3" s="627">
        <f>'SHIP DATA'!D65</f>
        <v>0</v>
      </c>
      <c r="E3" s="628" t="s">
        <v>175</v>
      </c>
      <c r="F3" s="627">
        <f>'SHIP DATA'!E65</f>
        <v>0</v>
      </c>
      <c r="G3" s="629" t="s">
        <v>175</v>
      </c>
    </row>
    <row r="4" spans="1:7" ht="30.75" customHeight="1" x14ac:dyDescent="0.2">
      <c r="A4" s="633" t="s">
        <v>414</v>
      </c>
      <c r="B4" s="627">
        <f>'SHIP DATA'!C60</f>
        <v>2</v>
      </c>
      <c r="C4" s="630">
        <f>IF(B4=1,2,B4)</f>
        <v>2</v>
      </c>
      <c r="D4" s="627">
        <f>'SHIP DATA'!D60</f>
        <v>2</v>
      </c>
      <c r="E4" s="630">
        <f>IF(D4=1,2,D4)</f>
        <v>2</v>
      </c>
      <c r="F4" s="627">
        <f>'SHIP DATA'!E60</f>
        <v>2</v>
      </c>
      <c r="G4" s="631">
        <f>IF(F4=1,2,F4)</f>
        <v>2</v>
      </c>
    </row>
    <row r="5" spans="1:7" ht="30.75" customHeight="1" x14ac:dyDescent="0.2">
      <c r="A5" s="1095" t="s">
        <v>593</v>
      </c>
      <c r="B5" s="627">
        <f>'SHIP DATA'!C61</f>
        <v>1</v>
      </c>
      <c r="C5" s="630" t="s">
        <v>175</v>
      </c>
      <c r="D5" s="627">
        <f>'SHIP DATA'!D61</f>
        <v>1</v>
      </c>
      <c r="E5" s="630" t="s">
        <v>175</v>
      </c>
      <c r="F5" s="627">
        <f>'SHIP DATA'!E61</f>
        <v>1</v>
      </c>
      <c r="G5" s="631" t="s">
        <v>175</v>
      </c>
    </row>
    <row r="6" spans="1:7" ht="16.5" customHeight="1" x14ac:dyDescent="0.2">
      <c r="A6" s="632" t="s">
        <v>14</v>
      </c>
      <c r="B6" s="627">
        <f>'SHIP DATA'!C66</f>
        <v>0</v>
      </c>
      <c r="C6" s="630" t="s">
        <v>175</v>
      </c>
      <c r="D6" s="627">
        <f>'SHIP DATA'!D66</f>
        <v>0</v>
      </c>
      <c r="E6" s="630" t="s">
        <v>175</v>
      </c>
      <c r="F6" s="627">
        <f>'SHIP DATA'!E66</f>
        <v>0</v>
      </c>
      <c r="G6" s="631" t="s">
        <v>175</v>
      </c>
    </row>
    <row r="7" spans="1:7" ht="33" customHeight="1" x14ac:dyDescent="0.2">
      <c r="A7" s="633" t="s">
        <v>15</v>
      </c>
      <c r="B7" s="627">
        <f>'SHIP DATA'!C67</f>
        <v>3</v>
      </c>
      <c r="C7" s="630">
        <f>B7</f>
        <v>3</v>
      </c>
      <c r="D7" s="627">
        <f>'SHIP DATA'!D67</f>
        <v>3</v>
      </c>
      <c r="E7" s="630">
        <f>D7</f>
        <v>3</v>
      </c>
      <c r="F7" s="627">
        <f>'SHIP DATA'!E67</f>
        <v>3</v>
      </c>
      <c r="G7" s="631">
        <f>F7</f>
        <v>3</v>
      </c>
    </row>
    <row r="8" spans="1:7" ht="33" customHeight="1" x14ac:dyDescent="0.2">
      <c r="A8" s="632" t="s">
        <v>16</v>
      </c>
      <c r="B8" s="627">
        <f>'SHIP DATA'!C68</f>
        <v>1</v>
      </c>
      <c r="C8" s="630">
        <f>B8</f>
        <v>1</v>
      </c>
      <c r="D8" s="627">
        <f>'SHIP DATA'!D68</f>
        <v>1</v>
      </c>
      <c r="E8" s="630">
        <f>D8</f>
        <v>1</v>
      </c>
      <c r="F8" s="627">
        <f>'SHIP DATA'!E68</f>
        <v>1</v>
      </c>
      <c r="G8" s="631">
        <f>F8</f>
        <v>1</v>
      </c>
    </row>
    <row r="9" spans="1:7" ht="16.5" customHeight="1" x14ac:dyDescent="0.2">
      <c r="A9" s="634" t="s">
        <v>17</v>
      </c>
      <c r="B9" s="635">
        <f>'SHIP DATA'!C63</f>
        <v>1</v>
      </c>
      <c r="C9" s="636" t="s">
        <v>175</v>
      </c>
      <c r="D9" s="635">
        <f>'SHIP DATA'!D63</f>
        <v>1</v>
      </c>
      <c r="E9" s="636" t="s">
        <v>175</v>
      </c>
      <c r="F9" s="635">
        <f>'SHIP DATA'!E63</f>
        <v>1</v>
      </c>
      <c r="G9" s="637" t="s">
        <v>175</v>
      </c>
    </row>
    <row r="10" spans="1:7" ht="16.5" customHeight="1" x14ac:dyDescent="0.2">
      <c r="A10" s="634" t="s">
        <v>18</v>
      </c>
      <c r="B10" s="635">
        <f>'SHIP DATA'!C64</f>
        <v>1</v>
      </c>
      <c r="C10" s="636">
        <f>B10</f>
        <v>1</v>
      </c>
      <c r="D10" s="635">
        <f>'SHIP DATA'!D64</f>
        <v>1</v>
      </c>
      <c r="E10" s="636">
        <f>D10</f>
        <v>1</v>
      </c>
      <c r="F10" s="635">
        <f>'SHIP DATA'!E64</f>
        <v>1</v>
      </c>
      <c r="G10" s="637">
        <f>F10</f>
        <v>1</v>
      </c>
    </row>
    <row r="11" spans="1:7" ht="16.5" customHeight="1" thickBot="1" x14ac:dyDescent="0.25">
      <c r="A11" s="638" t="s">
        <v>19</v>
      </c>
      <c r="B11" s="639">
        <f>'SHIP DATA'!C69</f>
        <v>0</v>
      </c>
      <c r="C11" s="640">
        <f>B11</f>
        <v>0</v>
      </c>
      <c r="D11" s="639">
        <f>'SHIP DATA'!D69</f>
        <v>0</v>
      </c>
      <c r="E11" s="640">
        <f>D11</f>
        <v>0</v>
      </c>
      <c r="F11" s="639">
        <f>'SHIP DATA'!E69</f>
        <v>0</v>
      </c>
      <c r="G11" s="641">
        <f>F11</f>
        <v>0</v>
      </c>
    </row>
    <row r="12" spans="1:7" ht="19.5" thickTop="1" thickBot="1" x14ac:dyDescent="0.3">
      <c r="A12" s="642" t="s">
        <v>20</v>
      </c>
      <c r="B12" s="643"/>
      <c r="C12" s="643"/>
      <c r="D12" s="643"/>
      <c r="E12" s="643"/>
      <c r="F12" s="643"/>
      <c r="G12" s="644"/>
    </row>
    <row r="13" spans="1:7" ht="16.5" customHeight="1" thickTop="1" x14ac:dyDescent="0.2">
      <c r="A13" s="645" t="s">
        <v>21</v>
      </c>
      <c r="B13" s="646">
        <f>IF(B5&gt;1,B5/1000,IF(B4=4,IF(B2=1,0.15,0.16),IF(B4=3,0.155,IF(B2=1,0.17,0.19)*(1+B39/100)*42.7/B33)))</f>
        <v>0.17510000000000001</v>
      </c>
      <c r="C13" s="647">
        <f>IF(C4=3,0.155,IF(C4=4,0.16,0.19*42.7/C33*(1+C39/100)))</f>
        <v>0.19570000000000004</v>
      </c>
      <c r="D13" s="646">
        <f>IF(D5&gt;1,D5/1000,IF(D4=4,IF(D2=1,0.15,0.16),IF(D4=3,0.155,IF(D2=1,0.17,0.19)*(1+D39/100)*42.7/D33)))</f>
        <v>0.17510000000000001</v>
      </c>
      <c r="E13" s="648">
        <f>IF(E4=3,0.155,IF(E4=4,0.16,0.19*42.7/E33*(1+E39/100)))</f>
        <v>0.19570000000000004</v>
      </c>
      <c r="F13" s="646">
        <f>IF(F5&gt;1,F5/1000,IF(F4=4,IF(F2=1,0.15,0.16),IF(F4=3,0.155,IF(F2=1,0.17,0.19)*(1+F39/100)*42.7/F33)))</f>
        <v>0.17510000000000001</v>
      </c>
      <c r="G13" s="648">
        <f>IF(G4=3,0.155,IF(G4=4,0.16,0.19*42.7/G33*(1+G39/100)))</f>
        <v>0.19570000000000004</v>
      </c>
    </row>
    <row r="14" spans="1:7" ht="16.5" customHeight="1" x14ac:dyDescent="0.2">
      <c r="A14" s="649" t="s">
        <v>22</v>
      </c>
      <c r="B14" s="650">
        <f>B13*B21</f>
        <v>561.37059999999997</v>
      </c>
      <c r="C14" s="651">
        <f>C21*C13</f>
        <v>627.41420000000016</v>
      </c>
      <c r="D14" s="650">
        <f>D13*D21</f>
        <v>561.37059999999997</v>
      </c>
      <c r="E14" s="652">
        <f>E21*E13</f>
        <v>627.41420000000016</v>
      </c>
      <c r="F14" s="650">
        <f>F13*F21</f>
        <v>561.37059999999997</v>
      </c>
      <c r="G14" s="652">
        <f>G21*G13</f>
        <v>627.41420000000016</v>
      </c>
    </row>
    <row r="15" spans="1:7" ht="16.5" customHeight="1" x14ac:dyDescent="0.2">
      <c r="A15" s="649" t="s">
        <v>317</v>
      </c>
      <c r="B15" s="653">
        <f t="shared" ref="B15:G15" si="0">IF(AND(B2=1,B4=4),IF(B7&lt;3,12,3.4),IF(AND(B2=2,B4=4),IF(B7&lt;3,9.6,2.4),IF(AND(B2=2,B4=3),1.3,IF(OR(B4=1,B4=2),IF(B2=1,17,12)*(1-B40/100)))))</f>
        <v>3.3999999999999995</v>
      </c>
      <c r="C15" s="654">
        <f t="shared" si="0"/>
        <v>2.3999999999999995</v>
      </c>
      <c r="D15" s="653">
        <f t="shared" si="0"/>
        <v>3.3999999999999995</v>
      </c>
      <c r="E15" s="655">
        <f t="shared" si="0"/>
        <v>2.3999999999999995</v>
      </c>
      <c r="F15" s="653">
        <f t="shared" si="0"/>
        <v>3.3999999999999995</v>
      </c>
      <c r="G15" s="655">
        <f t="shared" si="0"/>
        <v>2.3999999999999995</v>
      </c>
    </row>
    <row r="16" spans="1:7" ht="16.5" customHeight="1" x14ac:dyDescent="0.2">
      <c r="A16" s="649" t="s">
        <v>318</v>
      </c>
      <c r="B16" s="656">
        <f t="shared" ref="B16:G16" si="1">IF(B4&lt;3,IF(B2=1,0.35,0.5),IF(B2=1,0.3,1.3))</f>
        <v>0.35</v>
      </c>
      <c r="C16" s="657">
        <f t="shared" si="1"/>
        <v>0.5</v>
      </c>
      <c r="D16" s="656">
        <f t="shared" si="1"/>
        <v>0.35</v>
      </c>
      <c r="E16" s="658">
        <f t="shared" si="1"/>
        <v>0.5</v>
      </c>
      <c r="F16" s="656">
        <f t="shared" si="1"/>
        <v>0.35</v>
      </c>
      <c r="G16" s="658">
        <f t="shared" si="1"/>
        <v>0.5</v>
      </c>
    </row>
    <row r="17" spans="1:7" ht="16.5" customHeight="1" x14ac:dyDescent="0.2">
      <c r="A17" s="649" t="s">
        <v>319</v>
      </c>
      <c r="B17" s="656">
        <v>0.5</v>
      </c>
      <c r="C17" s="657">
        <v>0.5</v>
      </c>
      <c r="D17" s="656">
        <v>0.5</v>
      </c>
      <c r="E17" s="658">
        <v>0.5</v>
      </c>
      <c r="F17" s="656">
        <v>0.5</v>
      </c>
      <c r="G17" s="658">
        <v>0.5</v>
      </c>
    </row>
    <row r="18" spans="1:7" ht="16.5" customHeight="1" x14ac:dyDescent="0.2">
      <c r="A18" s="649" t="s">
        <v>320</v>
      </c>
      <c r="B18" s="656">
        <f t="shared" ref="B18:G18" si="2">IF(B4&gt;2,IF(B4=3,0.03,0.1),(0.26+0.081*B19+0.103*B19^2)*(1-B41/100))</f>
        <v>0.44400000000000001</v>
      </c>
      <c r="C18" s="657">
        <f t="shared" si="2"/>
        <v>0.44400000000000001</v>
      </c>
      <c r="D18" s="656">
        <f t="shared" si="2"/>
        <v>0.44400000000000001</v>
      </c>
      <c r="E18" s="658">
        <f t="shared" si="2"/>
        <v>0.44400000000000001</v>
      </c>
      <c r="F18" s="656">
        <f t="shared" si="2"/>
        <v>0.44400000000000001</v>
      </c>
      <c r="G18" s="658">
        <f t="shared" si="2"/>
        <v>0.44400000000000001</v>
      </c>
    </row>
    <row r="19" spans="1:7" ht="16.5" customHeight="1" x14ac:dyDescent="0.2">
      <c r="A19" s="649" t="s">
        <v>321</v>
      </c>
      <c r="B19" s="653">
        <f>IF(B4=1,B9,B10)</f>
        <v>1</v>
      </c>
      <c r="C19" s="654">
        <f>B10</f>
        <v>1</v>
      </c>
      <c r="D19" s="653">
        <f>IF(D4=1,D9,D10)</f>
        <v>1</v>
      </c>
      <c r="E19" s="655">
        <f>D10</f>
        <v>1</v>
      </c>
      <c r="F19" s="653">
        <f>IF(F4=1,F9,F10)</f>
        <v>1</v>
      </c>
      <c r="G19" s="655">
        <f>F10</f>
        <v>1</v>
      </c>
    </row>
    <row r="20" spans="1:7" ht="16.5" customHeight="1" x14ac:dyDescent="0.2">
      <c r="A20" s="659" t="s">
        <v>23</v>
      </c>
      <c r="B20" s="660">
        <f t="shared" ref="B20:G20" si="3">IF(B4&lt;3,B13*21*B19*(1-B42/100),(IF(B4=3,0,0.19*21*B19*$B45/100)))</f>
        <v>3.6771000000000003</v>
      </c>
      <c r="C20" s="661">
        <f t="shared" si="3"/>
        <v>4.109700000000001</v>
      </c>
      <c r="D20" s="660">
        <f t="shared" si="3"/>
        <v>3.6771000000000003</v>
      </c>
      <c r="E20" s="662">
        <f t="shared" si="3"/>
        <v>4.109700000000001</v>
      </c>
      <c r="F20" s="660">
        <f t="shared" si="3"/>
        <v>3.6771000000000003</v>
      </c>
      <c r="G20" s="662">
        <f t="shared" si="3"/>
        <v>4.109700000000001</v>
      </c>
    </row>
    <row r="21" spans="1:7" ht="16.5" customHeight="1" x14ac:dyDescent="0.2">
      <c r="A21" s="1056" t="s">
        <v>24</v>
      </c>
      <c r="B21" s="836">
        <f>IF(B4=4,2780,(IF(AND(B4=3,B2=2),2750,IF(B4&lt;3,IF(B4=1,3114,3206)))))</f>
        <v>3206</v>
      </c>
      <c r="C21" s="837">
        <f>IF(C4=3,2750,IF(C4=4,2780,IF(C4=1,3114,3206)))</f>
        <v>3206</v>
      </c>
      <c r="D21" s="836">
        <f>IF(D4=4,2780,(IF(AND(D4=3,D2=2),2750,IF(D4&lt;3,IF(D4=1,3114,3206)))))</f>
        <v>3206</v>
      </c>
      <c r="E21" s="838">
        <f>IF(E4=3,2750,IF(E4=4,2780,IF(E4=1,3114,3206)))</f>
        <v>3206</v>
      </c>
      <c r="F21" s="836">
        <f>IF(F4=4,2780,(IF(AND(F4=3,F2=2),2750,IF(F4&lt;3,IF(F4=1,3114,3206)))))</f>
        <v>3206</v>
      </c>
      <c r="G21" s="838">
        <f>IF(G4=3,2750,IF(G4=4,2780,IF(G4=1,3114,3206)))</f>
        <v>3206</v>
      </c>
    </row>
    <row r="22" spans="1:7" ht="16.5" customHeight="1" x14ac:dyDescent="0.2">
      <c r="A22" s="649" t="s">
        <v>25</v>
      </c>
      <c r="B22" s="653">
        <f t="shared" ref="B22:G24" si="4">B15/B$13</f>
        <v>19.417475728155335</v>
      </c>
      <c r="C22" s="654">
        <f t="shared" si="4"/>
        <v>12.263668880940209</v>
      </c>
      <c r="D22" s="653">
        <f t="shared" si="4"/>
        <v>19.417475728155335</v>
      </c>
      <c r="E22" s="655">
        <f t="shared" si="4"/>
        <v>12.263668880940209</v>
      </c>
      <c r="F22" s="653">
        <f t="shared" si="4"/>
        <v>19.417475728155335</v>
      </c>
      <c r="G22" s="655">
        <f t="shared" si="4"/>
        <v>12.263668880940209</v>
      </c>
    </row>
    <row r="23" spans="1:7" ht="16.5" customHeight="1" x14ac:dyDescent="0.2">
      <c r="A23" s="649" t="s">
        <v>26</v>
      </c>
      <c r="B23" s="656">
        <f t="shared" si="4"/>
        <v>1.9988577955454023</v>
      </c>
      <c r="C23" s="657">
        <f t="shared" si="4"/>
        <v>2.5549310168625441</v>
      </c>
      <c r="D23" s="656">
        <f t="shared" si="4"/>
        <v>1.9988577955454023</v>
      </c>
      <c r="E23" s="658">
        <f t="shared" si="4"/>
        <v>2.5549310168625441</v>
      </c>
      <c r="F23" s="656">
        <f t="shared" si="4"/>
        <v>1.9988577955454023</v>
      </c>
      <c r="G23" s="658">
        <f t="shared" si="4"/>
        <v>2.5549310168625441</v>
      </c>
    </row>
    <row r="24" spans="1:7" ht="16.5" customHeight="1" x14ac:dyDescent="0.2">
      <c r="A24" s="649" t="s">
        <v>27</v>
      </c>
      <c r="B24" s="656">
        <f t="shared" si="4"/>
        <v>2.855511136493432</v>
      </c>
      <c r="C24" s="657">
        <f t="shared" si="4"/>
        <v>2.5549310168625441</v>
      </c>
      <c r="D24" s="656">
        <f t="shared" si="4"/>
        <v>2.855511136493432</v>
      </c>
      <c r="E24" s="658">
        <f t="shared" si="4"/>
        <v>2.5549310168625441</v>
      </c>
      <c r="F24" s="656">
        <f t="shared" si="4"/>
        <v>2.855511136493432</v>
      </c>
      <c r="G24" s="658">
        <f t="shared" si="4"/>
        <v>2.5549310168625441</v>
      </c>
    </row>
    <row r="25" spans="1:7" ht="16.5" customHeight="1" x14ac:dyDescent="0.2">
      <c r="A25" s="649" t="s">
        <v>28</v>
      </c>
      <c r="B25" s="695">
        <f t="shared" ref="B25:G25" si="5">B18/B13</f>
        <v>2.535693889206168</v>
      </c>
      <c r="C25" s="696">
        <f t="shared" si="5"/>
        <v>2.2687787429739394</v>
      </c>
      <c r="D25" s="695">
        <f t="shared" si="5"/>
        <v>2.535693889206168</v>
      </c>
      <c r="E25" s="697">
        <f t="shared" si="5"/>
        <v>2.2687787429739394</v>
      </c>
      <c r="F25" s="695">
        <f t="shared" si="5"/>
        <v>2.535693889206168</v>
      </c>
      <c r="G25" s="697">
        <f t="shared" si="5"/>
        <v>2.2687787429739394</v>
      </c>
    </row>
    <row r="26" spans="1:7" ht="16.5" customHeight="1" x14ac:dyDescent="0.2">
      <c r="A26" s="659" t="s">
        <v>29</v>
      </c>
      <c r="B26" s="663">
        <f t="shared" ref="B26:G26" si="6">B20/B$13</f>
        <v>21</v>
      </c>
      <c r="C26" s="664">
        <f t="shared" si="6"/>
        <v>21</v>
      </c>
      <c r="D26" s="663">
        <f t="shared" si="6"/>
        <v>21</v>
      </c>
      <c r="E26" s="665">
        <f t="shared" si="6"/>
        <v>21</v>
      </c>
      <c r="F26" s="663">
        <f t="shared" si="6"/>
        <v>21</v>
      </c>
      <c r="G26" s="665">
        <f t="shared" si="6"/>
        <v>21</v>
      </c>
    </row>
    <row r="27" spans="1:7" ht="16.5" customHeight="1" x14ac:dyDescent="0.2">
      <c r="A27" s="1056" t="s">
        <v>574</v>
      </c>
      <c r="B27" s="1057">
        <f t="shared" ref="B27:G27" si="7">B21/B33</f>
        <v>75.081967213114751</v>
      </c>
      <c r="C27" s="1064">
        <f t="shared" si="7"/>
        <v>75.081967213114751</v>
      </c>
      <c r="D27" s="1057">
        <f t="shared" si="7"/>
        <v>75.081967213114751</v>
      </c>
      <c r="E27" s="1065">
        <f t="shared" si="7"/>
        <v>75.081967213114751</v>
      </c>
      <c r="F27" s="1057">
        <f t="shared" si="7"/>
        <v>75.081967213114751</v>
      </c>
      <c r="G27" s="1064">
        <f t="shared" si="7"/>
        <v>75.081967213114751</v>
      </c>
    </row>
    <row r="28" spans="1:7" ht="16.5" customHeight="1" x14ac:dyDescent="0.2">
      <c r="A28" s="649" t="s">
        <v>512</v>
      </c>
      <c r="B28" s="1058">
        <f t="shared" ref="B28:G28" si="8">B22/B33</f>
        <v>0.45474182033150662</v>
      </c>
      <c r="C28" s="1060">
        <f t="shared" si="8"/>
        <v>0.28720536020937254</v>
      </c>
      <c r="D28" s="1058">
        <f t="shared" si="8"/>
        <v>0.45474182033150662</v>
      </c>
      <c r="E28" s="1060">
        <f t="shared" si="8"/>
        <v>0.28720536020937254</v>
      </c>
      <c r="F28" s="1058">
        <f t="shared" si="8"/>
        <v>0.45474182033150662</v>
      </c>
      <c r="G28" s="1060">
        <f t="shared" si="8"/>
        <v>0.28720536020937254</v>
      </c>
    </row>
    <row r="29" spans="1:7" ht="16.5" customHeight="1" x14ac:dyDescent="0.2">
      <c r="A29" s="649" t="s">
        <v>511</v>
      </c>
      <c r="B29" s="1058">
        <f t="shared" ref="B29:G29" si="9">B23/B33</f>
        <v>4.6811657975302158E-2</v>
      </c>
      <c r="C29" s="1060">
        <f t="shared" si="9"/>
        <v>5.9834450043619293E-2</v>
      </c>
      <c r="D29" s="1058">
        <f t="shared" si="9"/>
        <v>4.6811657975302158E-2</v>
      </c>
      <c r="E29" s="1060">
        <f t="shared" si="9"/>
        <v>5.9834450043619293E-2</v>
      </c>
      <c r="F29" s="1058">
        <f t="shared" si="9"/>
        <v>4.6811657975302158E-2</v>
      </c>
      <c r="G29" s="1060">
        <f t="shared" si="9"/>
        <v>5.9834450043619293E-2</v>
      </c>
    </row>
    <row r="30" spans="1:7" ht="16.5" customHeight="1" x14ac:dyDescent="0.2">
      <c r="A30" s="649" t="s">
        <v>510</v>
      </c>
      <c r="B30" s="1058">
        <f t="shared" ref="B30:G30" si="10">B24/B33</f>
        <v>6.6873797107574517E-2</v>
      </c>
      <c r="C30" s="1060">
        <f t="shared" si="10"/>
        <v>5.9834450043619293E-2</v>
      </c>
      <c r="D30" s="1058">
        <f t="shared" si="10"/>
        <v>6.6873797107574517E-2</v>
      </c>
      <c r="E30" s="1060">
        <f t="shared" si="10"/>
        <v>5.9834450043619293E-2</v>
      </c>
      <c r="F30" s="1058">
        <f t="shared" si="10"/>
        <v>6.6873797107574517E-2</v>
      </c>
      <c r="G30" s="1060">
        <f t="shared" si="10"/>
        <v>5.9834450043619293E-2</v>
      </c>
    </row>
    <row r="31" spans="1:7" ht="16.5" customHeight="1" x14ac:dyDescent="0.2">
      <c r="A31" s="649" t="s">
        <v>575</v>
      </c>
      <c r="B31" s="1061">
        <f t="shared" ref="B31:G31" si="11">B25/B33</f>
        <v>5.9383931831526182E-2</v>
      </c>
      <c r="C31" s="1062">
        <f t="shared" si="11"/>
        <v>5.3132991638733938E-2</v>
      </c>
      <c r="D31" s="1061">
        <f t="shared" si="11"/>
        <v>5.9383931831526182E-2</v>
      </c>
      <c r="E31" s="1062">
        <f t="shared" si="11"/>
        <v>5.3132991638733938E-2</v>
      </c>
      <c r="F31" s="1061">
        <f t="shared" si="11"/>
        <v>5.9383931831526182E-2</v>
      </c>
      <c r="G31" s="1062">
        <f t="shared" si="11"/>
        <v>5.3132991638733938E-2</v>
      </c>
    </row>
    <row r="32" spans="1:7" ht="16.5" customHeight="1" x14ac:dyDescent="0.2">
      <c r="A32" s="659" t="s">
        <v>576</v>
      </c>
      <c r="B32" s="1059">
        <f t="shared" ref="B32:G32" si="12">B26/B33</f>
        <v>0.49180327868852458</v>
      </c>
      <c r="C32" s="1063">
        <f t="shared" si="12"/>
        <v>0.49180327868852458</v>
      </c>
      <c r="D32" s="1059">
        <f t="shared" si="12"/>
        <v>0.49180327868852458</v>
      </c>
      <c r="E32" s="1063">
        <f t="shared" si="12"/>
        <v>0.49180327868852458</v>
      </c>
      <c r="F32" s="1059">
        <f t="shared" si="12"/>
        <v>0.49180327868852458</v>
      </c>
      <c r="G32" s="1063">
        <f t="shared" si="12"/>
        <v>0.49180327868852458</v>
      </c>
    </row>
    <row r="33" spans="1:7" ht="16.5" customHeight="1" x14ac:dyDescent="0.2">
      <c r="A33" s="1082" t="s">
        <v>30</v>
      </c>
      <c r="B33" s="666">
        <f>IF(B4=4,B35*B46/100+B34*B45/100,IF(B4=3,B35,B34))</f>
        <v>42.7</v>
      </c>
      <c r="C33" s="667">
        <f>IF(C4=4,C35*B46/100+B45/100*C34,IF(C4=3,C35,C34))</f>
        <v>42.7</v>
      </c>
      <c r="D33" s="1066">
        <f>IF(D4=4,D35*B46/100+D34*B45/100,IF(D4=3,D35,D34))</f>
        <v>42.7</v>
      </c>
      <c r="E33" s="1077">
        <f>IF(E4=4,E35*B46/100+B45/100*E34,IF(E4=3,E35,E34))</f>
        <v>42.7</v>
      </c>
      <c r="F33" s="666">
        <f>IF(F4=4,F35*B46/100+F34*B45/100,IF(F4=3,F35,F34))</f>
        <v>42.7</v>
      </c>
      <c r="G33" s="667">
        <f>IF(G4=4,G35*B46/100+B45/100*G34,IF(G4=3,G35,G34))</f>
        <v>42.7</v>
      </c>
    </row>
    <row r="34" spans="1:7" ht="16.5" customHeight="1" x14ac:dyDescent="0.2">
      <c r="A34" s="1083" t="s">
        <v>31</v>
      </c>
      <c r="B34" s="668">
        <f t="shared" ref="B34:G34" si="13">IF(B4=1,40.5,42.7)</f>
        <v>42.7</v>
      </c>
      <c r="C34" s="669">
        <f t="shared" si="13"/>
        <v>42.7</v>
      </c>
      <c r="D34" s="1067">
        <f t="shared" si="13"/>
        <v>42.7</v>
      </c>
      <c r="E34" s="1078">
        <f t="shared" si="13"/>
        <v>42.7</v>
      </c>
      <c r="F34" s="668">
        <f t="shared" si="13"/>
        <v>42.7</v>
      </c>
      <c r="G34" s="669">
        <f t="shared" si="13"/>
        <v>42.7</v>
      </c>
    </row>
    <row r="35" spans="1:7" ht="16.5" customHeight="1" x14ac:dyDescent="0.2">
      <c r="A35" s="1084" t="s">
        <v>32</v>
      </c>
      <c r="B35" s="663">
        <v>50</v>
      </c>
      <c r="C35" s="665">
        <v>50</v>
      </c>
      <c r="D35" s="1068">
        <v>50</v>
      </c>
      <c r="E35" s="664">
        <v>50</v>
      </c>
      <c r="F35" s="663">
        <v>50</v>
      </c>
      <c r="G35" s="665">
        <v>50</v>
      </c>
    </row>
    <row r="36" spans="1:7" ht="16.5" customHeight="1" x14ac:dyDescent="0.2">
      <c r="A36" s="1085" t="s">
        <v>33</v>
      </c>
      <c r="B36" s="670">
        <f>IF(B2=1,-B3*4,0)</f>
        <v>0</v>
      </c>
      <c r="C36" s="671">
        <v>0</v>
      </c>
      <c r="D36" s="1069">
        <f>IF(D2=1,-D3*4,0)</f>
        <v>0</v>
      </c>
      <c r="E36" s="1079">
        <v>0</v>
      </c>
      <c r="F36" s="670">
        <f>IF(F2=1,-F3*4,0)</f>
        <v>0</v>
      </c>
      <c r="G36" s="671">
        <v>0</v>
      </c>
    </row>
    <row r="37" spans="1:7" ht="16.5" customHeight="1" x14ac:dyDescent="0.2">
      <c r="A37" s="1085" t="s">
        <v>34</v>
      </c>
      <c r="B37" s="672">
        <f>IF(B11=1,3,0)</f>
        <v>0</v>
      </c>
      <c r="C37" s="673">
        <f>B37</f>
        <v>0</v>
      </c>
      <c r="D37" s="1070">
        <f>IF(D11=1,3,0)</f>
        <v>0</v>
      </c>
      <c r="E37" s="1080">
        <f>D37</f>
        <v>0</v>
      </c>
      <c r="F37" s="672">
        <f>IF(F11=1,3,0)</f>
        <v>0</v>
      </c>
      <c r="G37" s="673">
        <f>F37</f>
        <v>0</v>
      </c>
    </row>
    <row r="38" spans="1:7" ht="16.5" customHeight="1" x14ac:dyDescent="0.2">
      <c r="A38" s="1085" t="s">
        <v>35</v>
      </c>
      <c r="B38" s="672">
        <f>IF(OR(B7=1,B8=2,B8=3),0,IF(B8=1,(IF(B7=2,IF(B6=0,2,0.5),IF(B7=3,IF(B6=0,3,1.3))))))</f>
        <v>3</v>
      </c>
      <c r="C38" s="674">
        <f>B38</f>
        <v>3</v>
      </c>
      <c r="D38" s="1070">
        <f>IF(OR(D7=1,D8=2,D8=3),0,IF(D8=1,(IF(D7=2,IF(D6=0,2,0.5),IF(D7=3,IF(D6=0,3,1.3))))))</f>
        <v>3</v>
      </c>
      <c r="E38" s="1081">
        <f>D38</f>
        <v>3</v>
      </c>
      <c r="F38" s="672">
        <f>IF(OR(F7=1,F8=2,F8=3),0,IF(F8=1,(IF(F7=2,IF(F6=0,2,0.5),IF(F7=3,IF(F6=0,3,1.3))))))</f>
        <v>3</v>
      </c>
      <c r="G38" s="674">
        <f>F38</f>
        <v>3</v>
      </c>
    </row>
    <row r="39" spans="1:7" ht="16.5" customHeight="1" x14ac:dyDescent="0.2">
      <c r="A39" s="1056" t="s">
        <v>36</v>
      </c>
      <c r="B39" s="670">
        <f t="shared" ref="B39:G39" si="14">SUM(B36:B38)</f>
        <v>3</v>
      </c>
      <c r="C39" s="671">
        <f t="shared" si="14"/>
        <v>3</v>
      </c>
      <c r="D39" s="1069">
        <f t="shared" si="14"/>
        <v>3</v>
      </c>
      <c r="E39" s="1079">
        <f t="shared" si="14"/>
        <v>3</v>
      </c>
      <c r="F39" s="670">
        <f t="shared" si="14"/>
        <v>3</v>
      </c>
      <c r="G39" s="671">
        <f t="shared" si="14"/>
        <v>3</v>
      </c>
    </row>
    <row r="40" spans="1:7" ht="16.5" customHeight="1" x14ac:dyDescent="0.2">
      <c r="A40" s="1085" t="s">
        <v>37</v>
      </c>
      <c r="B40" s="675">
        <f t="shared" ref="B40:G40" si="15">IF(B7=1,0,IF(B7=2,20,IF(B7=3,80)))</f>
        <v>80</v>
      </c>
      <c r="C40" s="674">
        <f t="shared" si="15"/>
        <v>80</v>
      </c>
      <c r="D40" s="1071">
        <f t="shared" si="15"/>
        <v>80</v>
      </c>
      <c r="E40" s="1081">
        <f t="shared" si="15"/>
        <v>80</v>
      </c>
      <c r="F40" s="675">
        <f t="shared" si="15"/>
        <v>80</v>
      </c>
      <c r="G40" s="674">
        <f t="shared" si="15"/>
        <v>80</v>
      </c>
    </row>
    <row r="41" spans="1:7" ht="16.5" customHeight="1" x14ac:dyDescent="0.2">
      <c r="A41" s="1085" t="s">
        <v>38</v>
      </c>
      <c r="B41" s="675">
        <f>IF(AND(B4&lt;3,B11=1),55,0)</f>
        <v>0</v>
      </c>
      <c r="C41" s="674">
        <f>IF(AND(B4&lt;3,C11=1),55,0)</f>
        <v>0</v>
      </c>
      <c r="D41" s="1071">
        <f>IF(AND(D4&lt;3,D11=1),55,0)</f>
        <v>0</v>
      </c>
      <c r="E41" s="1081">
        <f>IF(AND(D4&lt;3,E11=1),55,0)</f>
        <v>0</v>
      </c>
      <c r="F41" s="675">
        <f>IF(AND(F4&lt;3,F11=1),55,0)</f>
        <v>0</v>
      </c>
      <c r="G41" s="674">
        <f>IF(AND(F4&lt;3,G11=1),55,0)</f>
        <v>0</v>
      </c>
    </row>
    <row r="42" spans="1:7" ht="16.5" customHeight="1" thickBot="1" x14ac:dyDescent="0.25">
      <c r="A42" s="1086" t="s">
        <v>39</v>
      </c>
      <c r="B42" s="676">
        <f t="shared" ref="B42:G42" si="16">IF(AND(B4&lt;3,B11=1),98,IF(AND(B4=3,B2=1),92,IF(AND(B4=3,B2=2),100,0)))</f>
        <v>0</v>
      </c>
      <c r="C42" s="678">
        <f t="shared" si="16"/>
        <v>0</v>
      </c>
      <c r="D42" s="1072">
        <f t="shared" si="16"/>
        <v>0</v>
      </c>
      <c r="E42" s="677">
        <f t="shared" si="16"/>
        <v>0</v>
      </c>
      <c r="F42" s="676">
        <f t="shared" si="16"/>
        <v>0</v>
      </c>
      <c r="G42" s="678">
        <f t="shared" si="16"/>
        <v>0</v>
      </c>
    </row>
    <row r="43" spans="1:7" ht="16.5" customHeight="1" thickTop="1" thickBot="1" x14ac:dyDescent="0.25">
      <c r="A43" s="1087" t="s">
        <v>577</v>
      </c>
      <c r="B43" s="1088">
        <f t="shared" ref="B43:G43" si="17">1/B13/B33*3.6</f>
        <v>0.48149133917453651</v>
      </c>
      <c r="C43" s="1089">
        <f t="shared" si="17"/>
        <v>0.43080804031405889</v>
      </c>
      <c r="D43" s="1090">
        <f t="shared" si="17"/>
        <v>0.48149133917453651</v>
      </c>
      <c r="E43" s="1091">
        <f t="shared" si="17"/>
        <v>0.43080804031405889</v>
      </c>
      <c r="F43" s="1088">
        <f t="shared" si="17"/>
        <v>0.48149133917453651</v>
      </c>
      <c r="G43" s="1089">
        <f t="shared" si="17"/>
        <v>0.43080804031405889</v>
      </c>
    </row>
    <row r="44" spans="1:7" ht="16.5" customHeight="1" thickTop="1" thickBot="1" x14ac:dyDescent="0.25">
      <c r="A44" s="1075" t="s">
        <v>40</v>
      </c>
      <c r="B44" s="1076"/>
      <c r="C44" s="328"/>
      <c r="D44" s="679"/>
      <c r="F44" s="1"/>
    </row>
    <row r="45" spans="1:7" ht="16.5" customHeight="1" x14ac:dyDescent="0.2">
      <c r="A45" s="1073" t="s">
        <v>41</v>
      </c>
      <c r="B45" s="1074">
        <v>6</v>
      </c>
      <c r="C45" s="328"/>
      <c r="D45" s="679"/>
      <c r="F45" s="1"/>
    </row>
    <row r="46" spans="1:7" ht="16.5" customHeight="1" thickBot="1" x14ac:dyDescent="0.25">
      <c r="A46" s="1075" t="s">
        <v>42</v>
      </c>
      <c r="B46" s="1076">
        <v>94</v>
      </c>
      <c r="C46" s="328"/>
      <c r="D46" s="679"/>
      <c r="F46" s="1"/>
    </row>
    <row r="47" spans="1:7" ht="16.5" customHeight="1" x14ac:dyDescent="0.2"/>
  </sheetData>
  <sheetProtection password="CC7C" sheet="1"/>
  <phoneticPr fontId="2" type="noConversion"/>
  <pageMargins left="0.75" right="0.75" top="1" bottom="1" header="0" footer="0"/>
  <pageSetup paperSize="9" orientation="portrait" r:id="rId1"/>
  <headerFooter alignWithMargins="0"/>
  <cellWatches>
    <cellWatch r="C37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</sheetPr>
  <dimension ref="A1:E24"/>
  <sheetViews>
    <sheetView topLeftCell="A13" workbookViewId="0">
      <selection activeCell="A11" sqref="A11"/>
    </sheetView>
  </sheetViews>
  <sheetFormatPr defaultRowHeight="12.75" x14ac:dyDescent="0.2"/>
  <cols>
    <col min="1" max="1" width="48.42578125" customWidth="1"/>
    <col min="2" max="2" width="9.7109375" style="1" customWidth="1"/>
    <col min="3" max="5" width="11.7109375" style="1" customWidth="1"/>
  </cols>
  <sheetData>
    <row r="1" spans="1:5" ht="18" x14ac:dyDescent="0.25">
      <c r="A1" s="366" t="s">
        <v>690</v>
      </c>
    </row>
    <row r="2" spans="1:5" ht="18.75" thickBot="1" x14ac:dyDescent="0.3">
      <c r="A2" s="366"/>
      <c r="C2" s="1" t="s">
        <v>158</v>
      </c>
      <c r="D2" s="1" t="s">
        <v>157</v>
      </c>
      <c r="E2" s="1" t="s">
        <v>156</v>
      </c>
    </row>
    <row r="3" spans="1:5" s="168" customFormat="1" ht="15.4" customHeight="1" x14ac:dyDescent="0.2">
      <c r="A3" s="1133" t="s">
        <v>685</v>
      </c>
      <c r="B3" s="333" t="s">
        <v>171</v>
      </c>
      <c r="C3" s="1134">
        <f>'SHIP DATA'!C2</f>
        <v>18000</v>
      </c>
      <c r="D3" s="1134">
        <f>'SHIP DATA'!D2</f>
        <v>18000</v>
      </c>
      <c r="E3" s="1135">
        <f>'SHIP DATA'!E2</f>
        <v>18000</v>
      </c>
    </row>
    <row r="4" spans="1:5" s="168" customFormat="1" ht="15.4" customHeight="1" x14ac:dyDescent="0.2">
      <c r="A4" s="336" t="s">
        <v>367</v>
      </c>
      <c r="B4" s="357" t="s">
        <v>196</v>
      </c>
      <c r="C4" s="358">
        <f>'SHIP DATA'!C72</f>
        <v>88.408683335970437</v>
      </c>
      <c r="D4" s="358">
        <f>'SHIP DATA'!D72</f>
        <v>88.408683335970437</v>
      </c>
      <c r="E4" s="358">
        <f>'SHIP DATA'!E72</f>
        <v>88.408683335970437</v>
      </c>
    </row>
    <row r="5" spans="1:5" s="168" customFormat="1" ht="15.4" customHeight="1" x14ac:dyDescent="0.2">
      <c r="A5" s="356" t="s">
        <v>379</v>
      </c>
      <c r="B5" s="357" t="s">
        <v>171</v>
      </c>
      <c r="C5" s="358">
        <f>'SHIP DATA'!C72*'SHIP DATA'!C2/100</f>
        <v>15913.56300047468</v>
      </c>
      <c r="D5" s="358">
        <f>'SHIP DATA'!D72*'SHIP DATA'!D2/100</f>
        <v>15913.56300047468</v>
      </c>
      <c r="E5" s="358">
        <f>'SHIP DATA'!E72*'SHIP DATA'!E2/100</f>
        <v>15913.56300047468</v>
      </c>
    </row>
    <row r="6" spans="1:5" s="168" customFormat="1" ht="15.4" customHeight="1" x14ac:dyDescent="0.2">
      <c r="A6" s="356" t="s">
        <v>366</v>
      </c>
      <c r="B6" s="357" t="s">
        <v>174</v>
      </c>
      <c r="C6" s="358">
        <f>'SHIP DATA'!C73</f>
        <v>141120</v>
      </c>
      <c r="D6" s="358">
        <f>'SHIP DATA'!D73</f>
        <v>141120</v>
      </c>
      <c r="E6" s="358">
        <f>'SHIP DATA'!E73</f>
        <v>141120</v>
      </c>
    </row>
    <row r="7" spans="1:5" s="168" customFormat="1" ht="15.4" customHeight="1" x14ac:dyDescent="0.2">
      <c r="A7" s="336" t="s">
        <v>380</v>
      </c>
      <c r="B7" s="337" t="s">
        <v>386</v>
      </c>
      <c r="C7" s="338">
        <f>C6/C5</f>
        <v>8.8679072056830126</v>
      </c>
      <c r="D7" s="338">
        <f>D6/D5</f>
        <v>8.8679072056830126</v>
      </c>
      <c r="E7" s="338">
        <f>E6/E5</f>
        <v>8.8679072056830126</v>
      </c>
    </row>
    <row r="8" spans="1:5" s="168" customFormat="1" ht="15.4" customHeight="1" thickBot="1" x14ac:dyDescent="0.25">
      <c r="A8" s="340" t="s">
        <v>341</v>
      </c>
      <c r="B8" s="341" t="s">
        <v>173</v>
      </c>
      <c r="C8" s="342">
        <f>'SHIP DATA'!C77</f>
        <v>13.280646410828696</v>
      </c>
      <c r="D8" s="342">
        <f>'SHIP DATA'!D77</f>
        <v>13.280646410828696</v>
      </c>
      <c r="E8" s="342">
        <f>'SHIP DATA'!E77</f>
        <v>13.280646410828696</v>
      </c>
    </row>
    <row r="9" spans="1:5" ht="15.4" customHeight="1" thickBot="1" x14ac:dyDescent="0.25">
      <c r="A9" s="168"/>
      <c r="B9" s="167"/>
      <c r="C9" s="167"/>
      <c r="D9" s="167"/>
      <c r="E9" s="167"/>
    </row>
    <row r="10" spans="1:5" ht="15.4" customHeight="1" x14ac:dyDescent="0.2">
      <c r="A10" s="332" t="s">
        <v>688</v>
      </c>
      <c r="B10" s="333" t="s">
        <v>176</v>
      </c>
      <c r="C10" s="566">
        <f>'SHIP DATA'!$C$49</f>
        <v>6980.6790117671644</v>
      </c>
      <c r="D10" s="566">
        <f>'SHIP DATA'!$D$49</f>
        <v>6980.6790117671644</v>
      </c>
      <c r="E10" s="566">
        <f>'SHIP DATA'!$E$49</f>
        <v>6980.6790117671644</v>
      </c>
    </row>
    <row r="11" spans="1:5" ht="15.4" customHeight="1" x14ac:dyDescent="0.2">
      <c r="A11" s="336" t="s">
        <v>344</v>
      </c>
      <c r="B11" s="337" t="s">
        <v>364</v>
      </c>
      <c r="C11" s="345">
        <f>'SHIP DATA'!C86*'Emission factors'!C33</f>
        <v>58.33327628714104</v>
      </c>
      <c r="D11" s="345">
        <f>'SHIP DATA'!D86*'Emission factors'!E33</f>
        <v>58.33327628714104</v>
      </c>
      <c r="E11" s="345">
        <f>'SHIP DATA'!E85*'Emission factors'!G33</f>
        <v>18.690726131833689</v>
      </c>
    </row>
    <row r="12" spans="1:5" ht="15.4" customHeight="1" x14ac:dyDescent="0.2">
      <c r="A12" s="336" t="s">
        <v>347</v>
      </c>
      <c r="B12" s="337" t="s">
        <v>338</v>
      </c>
      <c r="C12" s="360">
        <f>'SHIP DATA'!C86</f>
        <v>1.3661188826028345</v>
      </c>
      <c r="D12" s="360">
        <f>'SHIP DATA'!D86</f>
        <v>1.3661188826028345</v>
      </c>
      <c r="E12" s="360">
        <f>'SHIP DATA'!E86</f>
        <v>1.3661188826028345</v>
      </c>
    </row>
    <row r="13" spans="1:5" ht="15.4" customHeight="1" x14ac:dyDescent="0.2">
      <c r="A13" s="336" t="s">
        <v>52</v>
      </c>
      <c r="B13" s="337" t="s">
        <v>338</v>
      </c>
      <c r="C13" s="360">
        <f>'SHIP DATA'!C86*'Emission factors'!D21/1000</f>
        <v>4.3797771376246875</v>
      </c>
      <c r="D13" s="360">
        <f>'SHIP DATA'!D86*'Emission factors'!E21/1000</f>
        <v>4.3797771376246875</v>
      </c>
      <c r="E13" s="360">
        <f>'SHIP DATA'!E86*'Emission factors'!G21/1000</f>
        <v>4.3797771376246875</v>
      </c>
    </row>
    <row r="14" spans="1:5" ht="15.4" customHeight="1" x14ac:dyDescent="0.2">
      <c r="A14" s="336" t="s">
        <v>50</v>
      </c>
      <c r="B14" s="337" t="s">
        <v>348</v>
      </c>
      <c r="C14" s="345">
        <f>'SHIP DATA'!C86*'Emission factors'!C22</f>
        <v>16.753629628241193</v>
      </c>
      <c r="D14" s="345">
        <f>'SHIP DATA'!D86*'Emission factors'!E22</f>
        <v>16.753629628241193</v>
      </c>
      <c r="E14" s="345">
        <f>'SHIP DATA'!E86*'Emission factors'!G22</f>
        <v>16.753629628241193</v>
      </c>
    </row>
    <row r="15" spans="1:5" ht="15.4" customHeight="1" x14ac:dyDescent="0.2">
      <c r="A15" s="336" t="s">
        <v>351</v>
      </c>
      <c r="B15" s="337" t="s">
        <v>348</v>
      </c>
      <c r="C15" s="345">
        <f>'SHIP DATA'!C86*'Emission factors'!C26</f>
        <v>28.688496534659524</v>
      </c>
      <c r="D15" s="345">
        <f>'SHIP DATA'!D86*'Emission factors'!E26</f>
        <v>28.688496534659524</v>
      </c>
      <c r="E15" s="345">
        <f>'SHIP DATA'!E86*'Emission factors'!G26</f>
        <v>28.688496534659524</v>
      </c>
    </row>
    <row r="16" spans="1:5" ht="15.4" customHeight="1" x14ac:dyDescent="0.2">
      <c r="A16" s="336" t="s">
        <v>355</v>
      </c>
      <c r="B16" s="337" t="s">
        <v>348</v>
      </c>
      <c r="C16" s="360">
        <f>'SHIP DATA'!C86*'Emission factors'!C23</f>
        <v>3.4903395058835827</v>
      </c>
      <c r="D16" s="360">
        <f>'SHIP DATA'!D86*'Emission factors'!E23</f>
        <v>3.4903395058835827</v>
      </c>
      <c r="E16" s="360">
        <f>'SHIP DATA'!E86*'Emission factors'!G23</f>
        <v>3.4903395058835827</v>
      </c>
    </row>
    <row r="17" spans="1:5" ht="15.4" customHeight="1" x14ac:dyDescent="0.2">
      <c r="A17" s="336" t="s">
        <v>382</v>
      </c>
      <c r="B17" s="337" t="s">
        <v>348</v>
      </c>
      <c r="C17" s="360">
        <f>'SHIP DATA'!C86*'Emission factors'!C24</f>
        <v>3.4903395058835827</v>
      </c>
      <c r="D17" s="360">
        <f>'SHIP DATA'!D86*'Emission factors'!E24</f>
        <v>3.4903395058835827</v>
      </c>
      <c r="E17" s="360">
        <f>'SHIP DATA'!E86*'Emission factors'!G24</f>
        <v>3.4903395058835827</v>
      </c>
    </row>
    <row r="18" spans="1:5" ht="15" customHeight="1" thickBot="1" x14ac:dyDescent="0.25">
      <c r="A18" s="340" t="s">
        <v>359</v>
      </c>
      <c r="B18" s="341" t="s">
        <v>348</v>
      </c>
      <c r="C18" s="347">
        <f>'SHIP DATA'!C86*'Emission factors'!$C25</f>
        <v>3.0994214812246219</v>
      </c>
      <c r="D18" s="347">
        <f>'SHIP DATA'!D86*'Emission factors'!$E25</f>
        <v>3.0994214812246219</v>
      </c>
      <c r="E18" s="347">
        <f>'SHIP DATA'!E86*'Emission factors'!$G25</f>
        <v>3.0994214812246219</v>
      </c>
    </row>
    <row r="19" spans="1:5" ht="15.4" customHeight="1" x14ac:dyDescent="0.2"/>
    <row r="20" spans="1:5" ht="15.4" customHeight="1" x14ac:dyDescent="0.2"/>
    <row r="21" spans="1:5" ht="15.4" customHeight="1" x14ac:dyDescent="0.2"/>
    <row r="22" spans="1:5" ht="15.4" customHeight="1" x14ac:dyDescent="0.2"/>
    <row r="23" spans="1:5" ht="15.4" customHeight="1" x14ac:dyDescent="0.2"/>
    <row r="24" spans="1:5" ht="15.4" customHeight="1" x14ac:dyDescent="0.2"/>
  </sheetData>
  <sheetProtection password="CC7C" sheet="1"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7">
    <tabColor indexed="15"/>
  </sheetPr>
  <dimension ref="A1:O54"/>
  <sheetViews>
    <sheetView workbookViewId="0">
      <selection activeCell="C21" sqref="C21"/>
    </sheetView>
  </sheetViews>
  <sheetFormatPr defaultRowHeight="12.75" x14ac:dyDescent="0.2"/>
  <cols>
    <col min="1" max="1" width="48.42578125" customWidth="1"/>
    <col min="2" max="2" width="9.7109375" style="1" customWidth="1"/>
    <col min="3" max="5" width="11.7109375" style="1" customWidth="1"/>
    <col min="7" max="7" width="54.85546875" bestFit="1" customWidth="1"/>
    <col min="8" max="8" width="11.140625" bestFit="1" customWidth="1"/>
  </cols>
  <sheetData>
    <row r="1" spans="1:15" ht="18" x14ac:dyDescent="0.25">
      <c r="A1" s="366" t="s">
        <v>58</v>
      </c>
      <c r="K1" s="1" t="s">
        <v>669</v>
      </c>
      <c r="L1" s="1" t="s">
        <v>669</v>
      </c>
      <c r="M1" s="1"/>
      <c r="N1" s="1" t="s">
        <v>669</v>
      </c>
      <c r="O1" s="1" t="s">
        <v>669</v>
      </c>
    </row>
    <row r="2" spans="1:15" ht="18.75" thickBot="1" x14ac:dyDescent="0.3">
      <c r="A2" s="366"/>
      <c r="C2" s="1" t="s">
        <v>158</v>
      </c>
      <c r="D2" s="1" t="s">
        <v>157</v>
      </c>
      <c r="E2" s="1" t="s">
        <v>156</v>
      </c>
      <c r="G2" s="366" t="s">
        <v>541</v>
      </c>
      <c r="H2" s="9"/>
      <c r="I2" s="9"/>
      <c r="K2" s="1" t="s">
        <v>495</v>
      </c>
      <c r="L2" s="1" t="s">
        <v>668</v>
      </c>
      <c r="N2" s="1" t="s">
        <v>495</v>
      </c>
      <c r="O2" s="1" t="s">
        <v>668</v>
      </c>
    </row>
    <row r="3" spans="1:15" ht="15.4" customHeight="1" x14ac:dyDescent="0.2">
      <c r="A3" s="352" t="s">
        <v>367</v>
      </c>
      <c r="B3" s="353" t="s">
        <v>196</v>
      </c>
      <c r="C3" s="354">
        <f>'SHIP DATA'!C72</f>
        <v>88.408683335970437</v>
      </c>
      <c r="D3" s="354">
        <f>'SHIP DATA'!D72</f>
        <v>88.408683335970437</v>
      </c>
      <c r="E3" s="354">
        <f>'SHIP DATA'!E72</f>
        <v>88.408683335970437</v>
      </c>
      <c r="G3" s="1024" t="s">
        <v>542</v>
      </c>
      <c r="H3" s="1025" t="s">
        <v>193</v>
      </c>
      <c r="I3" s="1048">
        <v>5</v>
      </c>
      <c r="K3" s="1">
        <v>1207</v>
      </c>
      <c r="L3" s="1124">
        <f>K3/1.852</f>
        <v>651.72786177105831</v>
      </c>
      <c r="N3" s="1">
        <v>179</v>
      </c>
      <c r="O3" s="1124">
        <f>N3/1.852</f>
        <v>96.652267818574515</v>
      </c>
    </row>
    <row r="4" spans="1:15" ht="15.4" customHeight="1" x14ac:dyDescent="0.2">
      <c r="A4" s="356" t="s">
        <v>379</v>
      </c>
      <c r="B4" s="357" t="s">
        <v>171</v>
      </c>
      <c r="C4" s="358">
        <f>'SHIP DATA'!C72*'SHIP DATA'!C2/100</f>
        <v>15913.56300047468</v>
      </c>
      <c r="D4" s="358">
        <f>'SHIP DATA'!D72*'SHIP DATA'!D2/100</f>
        <v>15913.56300047468</v>
      </c>
      <c r="E4" s="358">
        <f>'SHIP DATA'!E72*'SHIP DATA'!E2/100</f>
        <v>15913.56300047468</v>
      </c>
      <c r="G4" s="1008" t="s">
        <v>505</v>
      </c>
      <c r="H4" s="1026" t="s">
        <v>193</v>
      </c>
      <c r="I4" s="1027">
        <f>'Truck data'!D23</f>
        <v>2</v>
      </c>
    </row>
    <row r="5" spans="1:15" ht="15.4" customHeight="1" x14ac:dyDescent="0.2">
      <c r="A5" s="356" t="s">
        <v>366</v>
      </c>
      <c r="B5" s="357" t="s">
        <v>174</v>
      </c>
      <c r="C5" s="358">
        <f>'SHIP DATA'!C73</f>
        <v>141120</v>
      </c>
      <c r="D5" s="358">
        <f>'SHIP DATA'!D73</f>
        <v>141120</v>
      </c>
      <c r="E5" s="358">
        <f>'SHIP DATA'!E73</f>
        <v>141120</v>
      </c>
      <c r="G5" s="1008" t="s">
        <v>543</v>
      </c>
      <c r="H5" s="1026" t="s">
        <v>544</v>
      </c>
      <c r="I5" s="1028">
        <f>'Truck data'!D24</f>
        <v>10</v>
      </c>
    </row>
    <row r="6" spans="1:15" ht="15.4" customHeight="1" x14ac:dyDescent="0.2">
      <c r="A6" s="336" t="s">
        <v>380</v>
      </c>
      <c r="B6" s="337" t="s">
        <v>386</v>
      </c>
      <c r="C6" s="338">
        <f>C5/C4</f>
        <v>8.8679072056830126</v>
      </c>
      <c r="D6" s="338">
        <f>D5/D4</f>
        <v>8.8679072056830126</v>
      </c>
      <c r="E6" s="338">
        <f>E5/E4</f>
        <v>8.8679072056830126</v>
      </c>
      <c r="G6" s="1008" t="s">
        <v>499</v>
      </c>
      <c r="H6" s="1026" t="s">
        <v>173</v>
      </c>
      <c r="I6" s="1028">
        <f>'Truck data'!D25</f>
        <v>16</v>
      </c>
    </row>
    <row r="7" spans="1:15" ht="15.4" customHeight="1" thickBot="1" x14ac:dyDescent="0.25">
      <c r="A7" s="336" t="s">
        <v>341</v>
      </c>
      <c r="B7" s="337" t="s">
        <v>173</v>
      </c>
      <c r="C7" s="345">
        <f>'SHIP DATA'!C77</f>
        <v>13.280646410828696</v>
      </c>
      <c r="D7" s="345">
        <f>'SHIP DATA'!D77</f>
        <v>13.280646410828696</v>
      </c>
      <c r="E7" s="345">
        <f>'SHIP DATA'!E77</f>
        <v>13.280646410828696</v>
      </c>
      <c r="G7" s="1029" t="s">
        <v>493</v>
      </c>
      <c r="H7" s="1030" t="s">
        <v>545</v>
      </c>
      <c r="I7" s="1031">
        <f>I4*I5</f>
        <v>20</v>
      </c>
    </row>
    <row r="8" spans="1:15" ht="15.4" customHeight="1" thickBot="1" x14ac:dyDescent="0.25">
      <c r="A8" s="340" t="s">
        <v>342</v>
      </c>
      <c r="B8" s="341" t="s">
        <v>191</v>
      </c>
      <c r="C8" s="351">
        <f>'SHIP DATA'!C79</f>
        <v>25.7</v>
      </c>
      <c r="D8" s="351">
        <f>'SHIP DATA'!D79</f>
        <v>18.5</v>
      </c>
      <c r="E8" s="351">
        <f>'SHIP DATA'!E79</f>
        <v>18.5</v>
      </c>
      <c r="G8" s="1032"/>
      <c r="H8" s="1033"/>
      <c r="I8" s="1034"/>
    </row>
    <row r="9" spans="1:15" ht="15.4" customHeight="1" x14ac:dyDescent="0.2">
      <c r="A9" s="168"/>
      <c r="B9" s="167"/>
      <c r="C9" s="167"/>
      <c r="D9" s="167"/>
      <c r="E9" s="167"/>
      <c r="G9" s="922"/>
      <c r="H9" s="919"/>
      <c r="I9" s="1035"/>
    </row>
    <row r="10" spans="1:15" ht="15.4" customHeight="1" thickBot="1" x14ac:dyDescent="0.25">
      <c r="A10" s="367" t="s">
        <v>343</v>
      </c>
      <c r="B10" s="167"/>
      <c r="C10" s="167"/>
      <c r="D10" s="167"/>
      <c r="E10" s="167"/>
      <c r="G10" s="917"/>
      <c r="H10" s="917"/>
      <c r="I10" s="917"/>
    </row>
    <row r="11" spans="1:15" ht="15.4" customHeight="1" x14ac:dyDescent="0.2">
      <c r="A11" s="332" t="s">
        <v>344</v>
      </c>
      <c r="B11" s="333" t="s">
        <v>364</v>
      </c>
      <c r="C11" s="566">
        <f>'SHIP DATA'!C85*'Emission factors'!C33+'SHIP DATA'!C87*'Emission factors'!B33</f>
        <v>549.85744438816619</v>
      </c>
      <c r="D11" s="566">
        <f>'SHIP DATA'!D85*'Emission factors'!E33+'SHIP DATA'!D87*'Emission factors'!D33</f>
        <v>204.26215530735311</v>
      </c>
      <c r="E11" s="566">
        <f>'SHIP DATA'!E85*'Emission factors'!G33+'SHIP DATA'!E87*'Emission factors'!F33</f>
        <v>268.07378021129534</v>
      </c>
      <c r="G11" s="1036" t="s">
        <v>546</v>
      </c>
      <c r="H11" s="1037" t="s">
        <v>547</v>
      </c>
      <c r="I11" s="1038">
        <f>1.852*(7.5+0.27*I7-0.001*I7^2)/I4</f>
        <v>11.575000000000001</v>
      </c>
    </row>
    <row r="12" spans="1:15" ht="15.4" customHeight="1" x14ac:dyDescent="0.2">
      <c r="A12" s="336" t="s">
        <v>164</v>
      </c>
      <c r="B12" s="337" t="s">
        <v>365</v>
      </c>
      <c r="C12" s="338">
        <f>C11/C8</f>
        <v>21.395231299150435</v>
      </c>
      <c r="D12" s="338">
        <f>D11/D8</f>
        <v>11.04119758418125</v>
      </c>
      <c r="E12" s="338">
        <f>E11/E8</f>
        <v>14.490474606015965</v>
      </c>
      <c r="G12" s="986" t="s">
        <v>548</v>
      </c>
      <c r="H12" s="928" t="s">
        <v>549</v>
      </c>
      <c r="I12" s="1039">
        <f>I11/I5</f>
        <v>1.1575000000000002</v>
      </c>
    </row>
    <row r="13" spans="1:15" ht="15.4" customHeight="1" thickBot="1" x14ac:dyDescent="0.25">
      <c r="A13" s="340" t="s">
        <v>162</v>
      </c>
      <c r="B13" s="341" t="s">
        <v>370</v>
      </c>
      <c r="C13" s="342">
        <f>C12*1000/C4</f>
        <v>1.344465177189561</v>
      </c>
      <c r="D13" s="342">
        <f>D12*1000/D4</f>
        <v>0.69382309818686771</v>
      </c>
      <c r="E13" s="342">
        <f>E12*1000/E4</f>
        <v>0.91057386743520186</v>
      </c>
      <c r="G13" s="1040" t="s">
        <v>550</v>
      </c>
      <c r="H13" s="924" t="s">
        <v>551</v>
      </c>
      <c r="I13" s="1041">
        <f>I11*I4/I6</f>
        <v>1.4468750000000001</v>
      </c>
    </row>
    <row r="14" spans="1:15" ht="15.4" customHeight="1" x14ac:dyDescent="0.2">
      <c r="A14" s="168"/>
      <c r="B14" s="167"/>
      <c r="C14" s="167"/>
      <c r="D14" s="167"/>
      <c r="E14" s="167"/>
      <c r="G14" s="839"/>
      <c r="H14" s="839"/>
      <c r="I14" s="839"/>
    </row>
    <row r="15" spans="1:15" ht="15.4" customHeight="1" thickBot="1" x14ac:dyDescent="0.25">
      <c r="A15" s="367" t="s">
        <v>346</v>
      </c>
      <c r="B15" s="167"/>
      <c r="C15" s="167"/>
      <c r="D15" s="167"/>
      <c r="E15" s="167"/>
      <c r="G15" s="9"/>
      <c r="H15" s="9"/>
      <c r="I15" s="9"/>
    </row>
    <row r="16" spans="1:15" ht="15.4" customHeight="1" x14ac:dyDescent="0.2">
      <c r="A16" s="332" t="s">
        <v>347</v>
      </c>
      <c r="B16" s="333" t="s">
        <v>338</v>
      </c>
      <c r="C16" s="343">
        <f>'SHIP DATA'!C88</f>
        <v>12.877223521971105</v>
      </c>
      <c r="D16" s="343">
        <f>'SHIP DATA'!D88</f>
        <v>4.7836570329590886</v>
      </c>
      <c r="E16" s="343">
        <f>'SHIP DATA'!E88</f>
        <v>6.2780744780162836</v>
      </c>
      <c r="G16" s="1036" t="s">
        <v>374</v>
      </c>
      <c r="H16" s="1037" t="s">
        <v>552</v>
      </c>
      <c r="I16" s="1042">
        <f>'Truck data'!D32*1.852</f>
        <v>270.4439252336449</v>
      </c>
    </row>
    <row r="17" spans="1:15" ht="15.4" customHeight="1" x14ac:dyDescent="0.2">
      <c r="A17" s="336" t="s">
        <v>163</v>
      </c>
      <c r="B17" s="337" t="s">
        <v>349</v>
      </c>
      <c r="C17" s="349">
        <f>C16*1000/C8</f>
        <v>501.05928101054889</v>
      </c>
      <c r="D17" s="349">
        <f>D16*1000/D8</f>
        <v>258.57605583562639</v>
      </c>
      <c r="E17" s="349">
        <f>E16*1000/E8</f>
        <v>339.35537719006942</v>
      </c>
      <c r="G17" s="986" t="s">
        <v>553</v>
      </c>
      <c r="H17" s="928" t="s">
        <v>554</v>
      </c>
      <c r="I17" s="1028">
        <f>I16/I5</f>
        <v>27.04439252336449</v>
      </c>
    </row>
    <row r="18" spans="1:15" ht="15.4" customHeight="1" thickBot="1" x14ac:dyDescent="0.25">
      <c r="A18" s="340" t="s">
        <v>374</v>
      </c>
      <c r="B18" s="341" t="s">
        <v>371</v>
      </c>
      <c r="C18" s="351">
        <f>C17*1000/C4</f>
        <v>31.486303915446399</v>
      </c>
      <c r="D18" s="351">
        <f>D17*1000/D4</f>
        <v>16.248784500863408</v>
      </c>
      <c r="E18" s="351">
        <f>E17*1000/E4</f>
        <v>21.324914928224867</v>
      </c>
      <c r="G18" s="1040" t="s">
        <v>555</v>
      </c>
      <c r="H18" s="924" t="s">
        <v>556</v>
      </c>
      <c r="I18" s="1031">
        <f>I16*I4/I6</f>
        <v>33.805490654205613</v>
      </c>
    </row>
    <row r="19" spans="1:15" ht="15.4" customHeight="1" x14ac:dyDescent="0.2">
      <c r="A19" s="168"/>
      <c r="B19" s="167"/>
      <c r="C19" s="167"/>
      <c r="D19" s="167"/>
      <c r="E19" s="167"/>
      <c r="G19" s="839"/>
      <c r="H19" s="839"/>
      <c r="I19" s="839"/>
    </row>
    <row r="20" spans="1:15" ht="15.4" customHeight="1" thickBot="1" x14ac:dyDescent="0.25">
      <c r="A20" s="367" t="s">
        <v>60</v>
      </c>
      <c r="B20" s="167"/>
      <c r="C20" s="167"/>
      <c r="D20" s="167"/>
      <c r="E20" s="167"/>
      <c r="G20" s="9"/>
      <c r="H20" s="9"/>
      <c r="I20" s="9"/>
    </row>
    <row r="21" spans="1:15" ht="15.4" customHeight="1" x14ac:dyDescent="0.25">
      <c r="A21" s="332" t="s">
        <v>52</v>
      </c>
      <c r="B21" s="333" t="s">
        <v>338</v>
      </c>
      <c r="C21" s="334">
        <f>('SHIP DATA'!C85*'Emission factors'!C21+'SHIP DATA'!C87*'Emission factors'!B21)/1000</f>
        <v>41.284378611439365</v>
      </c>
      <c r="D21" s="334">
        <f>('SHIP DATA'!D85*'Emission factors'!E21+'SHIP DATA'!D87*'Emission factors'!D21)/1000</f>
        <v>15.336404447666839</v>
      </c>
      <c r="E21" s="334">
        <f>('SHIP DATA'!E85*'Emission factors'!G21+'SHIP DATA'!E87*'Emission factors'!F21)/1000</f>
        <v>20.127506776520203</v>
      </c>
      <c r="G21" s="1036" t="s">
        <v>557</v>
      </c>
      <c r="H21" s="1037" t="s">
        <v>552</v>
      </c>
      <c r="I21" s="1042">
        <f>'Truck data'!D35*1.852</f>
        <v>867.04322429906551</v>
      </c>
      <c r="L21" s="1124">
        <f>L3*I21/1000</f>
        <v>565.0762266355141</v>
      </c>
      <c r="O21" s="1124">
        <f>N3*I21/1000</f>
        <v>155.20073714953273</v>
      </c>
    </row>
    <row r="22" spans="1:15" ht="15.4" customHeight="1" x14ac:dyDescent="0.25">
      <c r="A22" s="336" t="s">
        <v>53</v>
      </c>
      <c r="B22" s="337" t="s">
        <v>349</v>
      </c>
      <c r="C22" s="349">
        <f>C21*1000/C8</f>
        <v>1606.3960549198198</v>
      </c>
      <c r="D22" s="349">
        <f>D21*1000/D8</f>
        <v>828.99483500901829</v>
      </c>
      <c r="E22" s="349">
        <f>E21*1000/E8</f>
        <v>1087.9733392713624</v>
      </c>
      <c r="G22" s="986" t="s">
        <v>558</v>
      </c>
      <c r="H22" s="928" t="s">
        <v>554</v>
      </c>
      <c r="I22" s="1028">
        <f>I21/I5</f>
        <v>86.704322429906554</v>
      </c>
    </row>
    <row r="23" spans="1:15" ht="15.4" customHeight="1" thickBot="1" x14ac:dyDescent="0.3">
      <c r="A23" s="340" t="s">
        <v>54</v>
      </c>
      <c r="B23" s="341" t="s">
        <v>371</v>
      </c>
      <c r="C23" s="694">
        <f>C22*1000/C4</f>
        <v>100.94509035292117</v>
      </c>
      <c r="D23" s="694">
        <f>D22*1000/D4</f>
        <v>52.093603109768097</v>
      </c>
      <c r="E23" s="694">
        <f>E22*1000/E4</f>
        <v>68.367677259888922</v>
      </c>
      <c r="G23" s="1040" t="s">
        <v>559</v>
      </c>
      <c r="H23" s="924" t="s">
        <v>556</v>
      </c>
      <c r="I23" s="1031">
        <f>I21*I4/I6</f>
        <v>108.38040303738319</v>
      </c>
    </row>
    <row r="24" spans="1:15" ht="15.4" customHeight="1" x14ac:dyDescent="0.2">
      <c r="A24" s="168"/>
      <c r="B24" s="167"/>
      <c r="C24" s="327"/>
      <c r="D24" s="167"/>
      <c r="E24" s="167"/>
      <c r="G24" s="839"/>
      <c r="H24" s="839"/>
      <c r="I24" s="839"/>
    </row>
    <row r="25" spans="1:15" ht="15.4" customHeight="1" thickBot="1" x14ac:dyDescent="0.25">
      <c r="A25" s="367" t="s">
        <v>46</v>
      </c>
      <c r="B25" s="167"/>
      <c r="C25" s="167"/>
      <c r="D25" s="167"/>
      <c r="E25" s="167"/>
      <c r="G25" s="9"/>
      <c r="H25" s="9"/>
      <c r="I25" s="9"/>
    </row>
    <row r="26" spans="1:15" ht="15.4" customHeight="1" x14ac:dyDescent="0.2">
      <c r="A26" s="332" t="s">
        <v>50</v>
      </c>
      <c r="B26" s="333" t="s">
        <v>348</v>
      </c>
      <c r="C26" s="566">
        <f>'SHIP DATA'!C85*'Emission factors'!C22+'SHIP DATA'!C87*'Emission factors'!B22</f>
        <v>246.34881937018591</v>
      </c>
      <c r="D26" s="566">
        <f>'SHIP DATA'!D85*'Emission factors'!E22+'SHIP DATA'!D87*'Emission factors'!D22</f>
        <v>90.257242250609167</v>
      </c>
      <c r="E26" s="566">
        <f>'SHIP DATA'!E85*'Emission factors'!G22+'SHIP DATA'!E87*'Emission factors'!F22</f>
        <v>118.77298070319297</v>
      </c>
      <c r="G26" s="1036" t="s">
        <v>560</v>
      </c>
      <c r="H26" s="1037" t="s">
        <v>552</v>
      </c>
      <c r="I26" s="1043">
        <f>'Truck data'!D38*1.852</f>
        <v>2.7044392523364489</v>
      </c>
    </row>
    <row r="27" spans="1:15" ht="15.4" customHeight="1" x14ac:dyDescent="0.2">
      <c r="A27" s="336" t="s">
        <v>51</v>
      </c>
      <c r="B27" s="337" t="s">
        <v>349</v>
      </c>
      <c r="C27" s="338">
        <f>C26/C8</f>
        <v>9.585557173937195</v>
      </c>
      <c r="D27" s="338">
        <f>D26/D8</f>
        <v>4.8787698513842797</v>
      </c>
      <c r="E27" s="338">
        <f>E26/E8</f>
        <v>6.420161119091512</v>
      </c>
      <c r="G27" s="986" t="s">
        <v>561</v>
      </c>
      <c r="H27" s="928" t="s">
        <v>554</v>
      </c>
      <c r="I27" s="1044">
        <f>I26/I5</f>
        <v>0.27044392523364491</v>
      </c>
    </row>
    <row r="28" spans="1:15" ht="15.4" customHeight="1" thickBot="1" x14ac:dyDescent="0.25">
      <c r="A28" s="340" t="s">
        <v>385</v>
      </c>
      <c r="B28" s="341" t="s">
        <v>371</v>
      </c>
      <c r="C28" s="342">
        <f>C27*1000/C4</f>
        <v>0.60235141392604985</v>
      </c>
      <c r="D28" s="342">
        <f>D27*1000/D4</f>
        <v>0.30657935317431756</v>
      </c>
      <c r="E28" s="342">
        <f>E27*1000/E4</f>
        <v>0.40343957659890545</v>
      </c>
      <c r="G28" s="1040" t="s">
        <v>562</v>
      </c>
      <c r="H28" s="924" t="s">
        <v>556</v>
      </c>
      <c r="I28" s="1041">
        <f>I26*I4/I6</f>
        <v>0.33805490654205611</v>
      </c>
    </row>
    <row r="29" spans="1:15" ht="15.4" customHeight="1" x14ac:dyDescent="0.2">
      <c r="A29" s="168"/>
      <c r="B29" s="167"/>
      <c r="C29" s="167"/>
      <c r="D29" s="167"/>
      <c r="E29" s="167"/>
      <c r="G29" s="839"/>
      <c r="H29" s="839"/>
      <c r="I29" s="839"/>
    </row>
    <row r="30" spans="1:15" ht="15.4" customHeight="1" thickBot="1" x14ac:dyDescent="0.25">
      <c r="A30" s="367" t="s">
        <v>350</v>
      </c>
      <c r="B30" s="167"/>
      <c r="C30" s="167"/>
      <c r="D30" s="167"/>
      <c r="E30" s="167"/>
      <c r="G30" s="9"/>
      <c r="H30" s="9"/>
      <c r="I30" s="9"/>
    </row>
    <row r="31" spans="1:15" ht="15.4" customHeight="1" x14ac:dyDescent="0.2">
      <c r="A31" s="332" t="s">
        <v>351</v>
      </c>
      <c r="B31" s="333" t="s">
        <v>348</v>
      </c>
      <c r="C31" s="566">
        <f>'SHIP DATA'!C85*'Emission factors'!C26+'SHIP DATA'!C87*'Emission factors'!B26</f>
        <v>270.4216939613932</v>
      </c>
      <c r="D31" s="566">
        <f>'SHIP DATA'!D85*'Emission factors'!E26+'SHIP DATA'!D87*'Emission factors'!D26</f>
        <v>100.45679769214087</v>
      </c>
      <c r="E31" s="566">
        <f>'SHIP DATA'!E85*'Emission factors'!G26+'SHIP DATA'!E87*'Emission factors'!F26</f>
        <v>131.83956403834196</v>
      </c>
      <c r="G31" s="1036" t="s">
        <v>375</v>
      </c>
      <c r="H31" s="1037" t="s">
        <v>563</v>
      </c>
      <c r="I31" s="1051">
        <f>'Truck data'!D47*1.852</f>
        <v>5.4088785046728979E-3</v>
      </c>
    </row>
    <row r="32" spans="1:15" ht="15.4" customHeight="1" x14ac:dyDescent="0.2">
      <c r="A32" s="336" t="s">
        <v>352</v>
      </c>
      <c r="B32" s="337" t="s">
        <v>349</v>
      </c>
      <c r="C32" s="345">
        <f>C31/C8</f>
        <v>10.522244901221526</v>
      </c>
      <c r="D32" s="338">
        <f>D31/D8</f>
        <v>5.4300971725481553</v>
      </c>
      <c r="E32" s="338">
        <f>E31/E8</f>
        <v>7.1264629209914574</v>
      </c>
      <c r="G32" s="986" t="s">
        <v>564</v>
      </c>
      <c r="H32" s="928" t="s">
        <v>565</v>
      </c>
      <c r="I32" s="1049">
        <f>I31/I5</f>
        <v>5.4088785046728979E-4</v>
      </c>
    </row>
    <row r="33" spans="1:9" ht="15.4" customHeight="1" thickBot="1" x14ac:dyDescent="0.25">
      <c r="A33" s="340" t="s">
        <v>375</v>
      </c>
      <c r="B33" s="341" t="s">
        <v>371</v>
      </c>
      <c r="C33" s="342">
        <f>C32*1000/C4</f>
        <v>0.6612123822243744</v>
      </c>
      <c r="D33" s="351">
        <f>D32*1000/D4</f>
        <v>0.34122447451813165</v>
      </c>
      <c r="E33" s="351">
        <f>E32*1000/E4</f>
        <v>0.44782321349272219</v>
      </c>
      <c r="G33" s="1040" t="s">
        <v>566</v>
      </c>
      <c r="H33" s="924" t="s">
        <v>556</v>
      </c>
      <c r="I33" s="1050">
        <f>I31*I4/I6</f>
        <v>6.7610981308411223E-4</v>
      </c>
    </row>
    <row r="34" spans="1:9" ht="15.4" customHeight="1" x14ac:dyDescent="0.2">
      <c r="A34" s="168"/>
      <c r="B34" s="167"/>
      <c r="C34" s="167"/>
      <c r="D34" s="167"/>
      <c r="E34" s="167"/>
      <c r="G34" s="839"/>
      <c r="H34" s="839"/>
      <c r="I34" s="839"/>
    </row>
    <row r="35" spans="1:9" ht="15.4" customHeight="1" thickBot="1" x14ac:dyDescent="0.25">
      <c r="A35" s="367" t="s">
        <v>354</v>
      </c>
      <c r="B35" s="167"/>
      <c r="C35" s="167"/>
      <c r="D35" s="167"/>
      <c r="E35" s="167"/>
      <c r="G35" s="9"/>
      <c r="H35" s="9"/>
      <c r="I35" s="9"/>
    </row>
    <row r="36" spans="1:9" ht="15.4" customHeight="1" x14ac:dyDescent="0.2">
      <c r="A36" s="332" t="s">
        <v>355</v>
      </c>
      <c r="B36" s="333" t="s">
        <v>348</v>
      </c>
      <c r="C36" s="334">
        <f>'SHIP DATA'!C85*'Emission factors'!C23+'SHIP DATA'!C87*'Emission factors'!B23</f>
        <v>26.026904935123831</v>
      </c>
      <c r="D36" s="334">
        <f>'SHIP DATA'!D85*'Emission factors'!E23+'SHIP DATA'!D87*'Emission factors'!D23</f>
        <v>9.7662286744695166</v>
      </c>
      <c r="E36" s="334">
        <f>'SHIP DATA'!E85*'Emission factors'!G23+'SHIP DATA'!E87*'Emission factors'!F23</f>
        <v>12.792383551418212</v>
      </c>
      <c r="G36" s="1036" t="s">
        <v>376</v>
      </c>
      <c r="H36" s="1037" t="s">
        <v>552</v>
      </c>
      <c r="I36" s="1045">
        <f>'Truck data'!D44*1.852</f>
        <v>0.13522196261682246</v>
      </c>
    </row>
    <row r="37" spans="1:9" ht="15.4" customHeight="1" x14ac:dyDescent="0.2">
      <c r="A37" s="336" t="s">
        <v>356</v>
      </c>
      <c r="B37" s="337" t="s">
        <v>349</v>
      </c>
      <c r="C37" s="345">
        <f>C36/C8</f>
        <v>1.0127200363861413</v>
      </c>
      <c r="D37" s="345">
        <f>D36/D8</f>
        <v>0.52790425267402796</v>
      </c>
      <c r="E37" s="345">
        <f>E36/E8</f>
        <v>0.69148019196855193</v>
      </c>
      <c r="G37" s="986" t="s">
        <v>567</v>
      </c>
      <c r="H37" s="928" t="s">
        <v>554</v>
      </c>
      <c r="I37" s="1047">
        <f>I36/I5</f>
        <v>1.3522196261682246E-2</v>
      </c>
    </row>
    <row r="38" spans="1:9" ht="15.4" customHeight="1" thickBot="1" x14ac:dyDescent="0.25">
      <c r="A38" s="340" t="s">
        <v>376</v>
      </c>
      <c r="B38" s="341" t="s">
        <v>371</v>
      </c>
      <c r="C38" s="342">
        <f>C37*1000/C4</f>
        <v>6.3638798951305448E-2</v>
      </c>
      <c r="D38" s="342">
        <f>D37*1000/D4</f>
        <v>3.3173227935081623E-2</v>
      </c>
      <c r="E38" s="342">
        <f>E37*1000/E4</f>
        <v>4.3452254655222469E-2</v>
      </c>
      <c r="G38" s="1040" t="s">
        <v>568</v>
      </c>
      <c r="H38" s="924" t="s">
        <v>556</v>
      </c>
      <c r="I38" s="1046">
        <f>I36*I4/I6</f>
        <v>1.6902745327102807E-2</v>
      </c>
    </row>
    <row r="39" spans="1:9" ht="15.4" customHeight="1" x14ac:dyDescent="0.2">
      <c r="A39" s="168"/>
      <c r="B39" s="167"/>
      <c r="C39" s="167"/>
      <c r="D39" s="167"/>
      <c r="E39" s="167"/>
      <c r="G39" s="839"/>
      <c r="H39" s="839"/>
      <c r="I39" s="839"/>
    </row>
    <row r="40" spans="1:9" ht="15.4" customHeight="1" thickBot="1" x14ac:dyDescent="0.25">
      <c r="A40" s="367" t="s">
        <v>381</v>
      </c>
      <c r="B40" s="167"/>
      <c r="C40" s="167"/>
      <c r="D40" s="167"/>
      <c r="E40" s="167"/>
      <c r="G40" s="9"/>
      <c r="H40" s="9"/>
      <c r="I40" s="9"/>
    </row>
    <row r="41" spans="1:9" ht="15.4" customHeight="1" x14ac:dyDescent="0.2">
      <c r="A41" s="332" t="s">
        <v>382</v>
      </c>
      <c r="B41" s="333" t="s">
        <v>348</v>
      </c>
      <c r="C41" s="334">
        <f>'SHIP DATA'!C85*'Emission factors'!C24+'SHIP DATA'!C87*'Emission factors'!B24</f>
        <v>36.61583013991379</v>
      </c>
      <c r="D41" s="334">
        <f>'SHIP DATA'!D85*'Emission factors'!E24+'SHIP DATA'!D87*'Emission factors'!D24</f>
        <v>13.549311053523777</v>
      </c>
      <c r="E41" s="334">
        <f>'SHIP DATA'!E85*'Emission factors'!G24+'SHIP DATA'!E87*'Emission factors'!F24</f>
        <v>17.795541079591374</v>
      </c>
      <c r="G41" s="1036" t="s">
        <v>377</v>
      </c>
      <c r="H41" s="1037" t="s">
        <v>552</v>
      </c>
      <c r="I41" s="1045">
        <f>'Truck data'!D41*1.852</f>
        <v>2.0283294392523365E-2</v>
      </c>
    </row>
    <row r="42" spans="1:9" ht="15.4" customHeight="1" x14ac:dyDescent="0.2">
      <c r="A42" s="336" t="s">
        <v>383</v>
      </c>
      <c r="B42" s="337" t="s">
        <v>349</v>
      </c>
      <c r="C42" s="345">
        <f>C41/C8</f>
        <v>1.4247404723701864</v>
      </c>
      <c r="D42" s="345">
        <f>D41/D8</f>
        <v>0.73239519208236636</v>
      </c>
      <c r="E42" s="345">
        <f>E41/E8</f>
        <v>0.96192113943737156</v>
      </c>
      <c r="G42" s="986" t="s">
        <v>569</v>
      </c>
      <c r="H42" s="928" t="s">
        <v>554</v>
      </c>
      <c r="I42" s="1047">
        <f>I41/I5</f>
        <v>2.0283294392523365E-3</v>
      </c>
    </row>
    <row r="43" spans="1:9" ht="15.4" customHeight="1" thickBot="1" x14ac:dyDescent="0.25">
      <c r="A43" s="340" t="s">
        <v>377</v>
      </c>
      <c r="B43" s="341" t="s">
        <v>371</v>
      </c>
      <c r="C43" s="342">
        <f>C42*1000/C4</f>
        <v>8.9529948279193555E-2</v>
      </c>
      <c r="D43" s="342">
        <f>D42*1000/D4</f>
        <v>4.6023331925133297E-2</v>
      </c>
      <c r="E43" s="342">
        <f>E42*1000/E4</f>
        <v>6.0446622758754828E-2</v>
      </c>
      <c r="G43" s="1040" t="s">
        <v>570</v>
      </c>
      <c r="H43" s="924" t="s">
        <v>556</v>
      </c>
      <c r="I43" s="1046">
        <f>I41*I4/I6</f>
        <v>2.5354117990654206E-3</v>
      </c>
    </row>
    <row r="44" spans="1:9" ht="15.4" customHeight="1" x14ac:dyDescent="0.2">
      <c r="G44" s="839"/>
      <c r="H44" s="839"/>
      <c r="I44" s="839"/>
    </row>
    <row r="45" spans="1:9" ht="15.4" customHeight="1" thickBot="1" x14ac:dyDescent="0.25">
      <c r="A45" s="367" t="s">
        <v>358</v>
      </c>
      <c r="B45" s="167"/>
      <c r="C45" s="167"/>
      <c r="D45" s="167"/>
      <c r="E45" s="167"/>
      <c r="G45" s="839"/>
      <c r="H45" s="839"/>
      <c r="I45" s="839"/>
    </row>
    <row r="46" spans="1:9" ht="15.4" customHeight="1" x14ac:dyDescent="0.2">
      <c r="A46" s="332" t="s">
        <v>359</v>
      </c>
      <c r="B46" s="333" t="s">
        <v>348</v>
      </c>
      <c r="C46" s="334">
        <f>'SHIP DATA'!C85*'Emission factors'!$C25+'SHIP DATA'!C87*'Emission factors'!B25</f>
        <v>32.514857164243452</v>
      </c>
      <c r="D46" s="334">
        <f>'SHIP DATA'!D85*'Emission factors'!$E25+'SHIP DATA'!D87*'Emission factors'!D25</f>
        <v>12.031788215529115</v>
      </c>
      <c r="E46" s="334">
        <f>'SHIP DATA'!E85*'Emission factors'!$G25+'SHIP DATA'!E87*'Emission factors'!F25</f>
        <v>15.802440478677141</v>
      </c>
      <c r="G46" s="1036" t="s">
        <v>378</v>
      </c>
      <c r="H46" s="1037" t="s">
        <v>552</v>
      </c>
      <c r="I46" s="1045">
        <f>'Truck data'!D50*1.852</f>
        <v>2.7044392523364484E-2</v>
      </c>
    </row>
    <row r="47" spans="1:9" ht="15.4" customHeight="1" x14ac:dyDescent="0.2">
      <c r="A47" s="336" t="s">
        <v>360</v>
      </c>
      <c r="B47" s="337" t="s">
        <v>349</v>
      </c>
      <c r="C47" s="345">
        <f>C46/C8</f>
        <v>1.2651695394647258</v>
      </c>
      <c r="D47" s="345">
        <f>D46/D8</f>
        <v>0.65036693056914141</v>
      </c>
      <c r="E47" s="345">
        <f>E46/E8</f>
        <v>0.85418597182038603</v>
      </c>
      <c r="G47" s="986" t="s">
        <v>571</v>
      </c>
      <c r="H47" s="928" t="s">
        <v>554</v>
      </c>
      <c r="I47" s="1047">
        <f>I46/I5</f>
        <v>2.7044392523364485E-3</v>
      </c>
    </row>
    <row r="48" spans="1:9" ht="15.4" customHeight="1" thickBot="1" x14ac:dyDescent="0.25">
      <c r="A48" s="340" t="s">
        <v>378</v>
      </c>
      <c r="B48" s="341" t="s">
        <v>371</v>
      </c>
      <c r="C48" s="342">
        <f>C47*1000/C4</f>
        <v>7.9502594071923907E-2</v>
      </c>
      <c r="D48" s="342">
        <f>D47*1000/D4</f>
        <v>4.0868718749518376E-2</v>
      </c>
      <c r="E48" s="342">
        <f>E47*1000/E4</f>
        <v>5.3676601009774297E-2</v>
      </c>
      <c r="G48" s="1040" t="s">
        <v>572</v>
      </c>
      <c r="H48" s="924" t="s">
        <v>556</v>
      </c>
      <c r="I48" s="1046">
        <f>I46*I4/I6</f>
        <v>3.3805490654205605E-3</v>
      </c>
    </row>
    <row r="49" ht="15.4" customHeight="1" x14ac:dyDescent="0.2"/>
    <row r="50" ht="15.4" customHeight="1" x14ac:dyDescent="0.2"/>
    <row r="51" ht="15.4" customHeight="1" x14ac:dyDescent="0.2"/>
    <row r="52" ht="15.4" customHeight="1" x14ac:dyDescent="0.2"/>
    <row r="53" ht="15.4" customHeight="1" x14ac:dyDescent="0.2"/>
    <row r="54" ht="15.4" customHeight="1" x14ac:dyDescent="0.2"/>
  </sheetData>
  <sheetProtection password="CC7C" sheet="1"/>
  <phoneticPr fontId="2" type="noConversion"/>
  <dataValidations count="2">
    <dataValidation type="decimal" allowBlank="1" showInputMessage="1" showErrorMessage="1" error="Den samlede vægt af containere pr. lastbil bør ikke overstige 30 tons" sqref="I5">
      <formula1>0</formula1>
      <formula2>30/I4</formula2>
    </dataValidation>
    <dataValidation type="whole" allowBlank="1" showInputMessage="1" showErrorMessage="1" error="Antallet af TEU´s pr. lastbil skal være 1 eller 2" sqref="I4">
      <formula1>1</formula1>
      <formula2>2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6">
    <tabColor indexed="15"/>
  </sheetPr>
  <dimension ref="A1:F58"/>
  <sheetViews>
    <sheetView workbookViewId="0">
      <selection activeCell="A61" sqref="A61"/>
    </sheetView>
  </sheetViews>
  <sheetFormatPr defaultRowHeight="12.75" x14ac:dyDescent="0.2"/>
  <cols>
    <col min="1" max="1" width="49.140625" customWidth="1"/>
    <col min="2" max="2" width="9.85546875" style="1" customWidth="1"/>
    <col min="3" max="5" width="9.28515625" style="1" customWidth="1"/>
  </cols>
  <sheetData>
    <row r="1" spans="1:5" ht="18" x14ac:dyDescent="0.25">
      <c r="A1" s="368" t="s">
        <v>339</v>
      </c>
      <c r="C1" s="390">
        <f>'SHIP DATA'!C2</f>
        <v>18000</v>
      </c>
      <c r="D1" s="390" t="s">
        <v>171</v>
      </c>
    </row>
    <row r="2" spans="1:5" ht="15" customHeight="1" thickBot="1" x14ac:dyDescent="0.25">
      <c r="A2" s="330" t="s">
        <v>340</v>
      </c>
      <c r="B2" s="167"/>
      <c r="C2" s="167"/>
      <c r="D2" s="167"/>
      <c r="E2" s="167"/>
    </row>
    <row r="3" spans="1:5" ht="15" customHeight="1" x14ac:dyDescent="0.2">
      <c r="A3" s="352" t="s">
        <v>367</v>
      </c>
      <c r="B3" s="585" t="s">
        <v>196</v>
      </c>
      <c r="C3" s="354">
        <f>'SHIP DATA'!C72</f>
        <v>88.408683335970437</v>
      </c>
      <c r="D3" s="354">
        <f>'SHIP DATA'!D72</f>
        <v>88.408683335970437</v>
      </c>
      <c r="E3" s="355">
        <f>'SHIP DATA'!E72</f>
        <v>88.408683335970437</v>
      </c>
    </row>
    <row r="4" spans="1:5" ht="15" customHeight="1" x14ac:dyDescent="0.2">
      <c r="A4" s="336" t="s">
        <v>366</v>
      </c>
      <c r="B4" s="584" t="s">
        <v>174</v>
      </c>
      <c r="C4" s="349">
        <f>'SHIP DATA'!C73</f>
        <v>141120</v>
      </c>
      <c r="D4" s="349">
        <f>'SHIP DATA'!D73</f>
        <v>141120</v>
      </c>
      <c r="E4" s="350">
        <f>'SHIP DATA'!E73</f>
        <v>141120</v>
      </c>
    </row>
    <row r="5" spans="1:5" ht="15" customHeight="1" x14ac:dyDescent="0.2">
      <c r="A5" s="565" t="s">
        <v>393</v>
      </c>
      <c r="B5" s="586" t="s">
        <v>174</v>
      </c>
      <c r="C5" s="574">
        <f>'SHIP DATA'!C74</f>
        <v>134136.90205618009</v>
      </c>
      <c r="D5" s="574">
        <f>'SHIP DATA'!D74</f>
        <v>134136.90205618009</v>
      </c>
      <c r="E5" s="575">
        <f>'SHIP DATA'!E74</f>
        <v>134136.90205618009</v>
      </c>
    </row>
    <row r="6" spans="1:5" ht="15" customHeight="1" x14ac:dyDescent="0.2">
      <c r="A6" s="336" t="s">
        <v>387</v>
      </c>
      <c r="B6" s="584" t="s">
        <v>386</v>
      </c>
      <c r="C6" s="338">
        <f>C4/'Emissions-TEU'!C4</f>
        <v>8.8679072056830126</v>
      </c>
      <c r="D6" s="338">
        <f>D4/'Emissions-TEU'!D4</f>
        <v>8.8679072056830126</v>
      </c>
      <c r="E6" s="339">
        <f>E4/'Emissions-TEU'!E4</f>
        <v>8.8679072056830126</v>
      </c>
    </row>
    <row r="7" spans="1:5" ht="15" customHeight="1" x14ac:dyDescent="0.2">
      <c r="A7" s="336" t="s">
        <v>394</v>
      </c>
      <c r="B7" s="584" t="s">
        <v>372</v>
      </c>
      <c r="C7" s="338">
        <f>C5/'Emissions-TEU'!C4</f>
        <v>8.4290929725906736</v>
      </c>
      <c r="D7" s="338">
        <f>D5/'Emissions-TEU'!D4</f>
        <v>8.4290929725906736</v>
      </c>
      <c r="E7" s="339">
        <f>E5/'Emissions-TEU'!E4</f>
        <v>8.4290929725906736</v>
      </c>
    </row>
    <row r="8" spans="1:5" ht="15" customHeight="1" x14ac:dyDescent="0.2">
      <c r="A8" s="336" t="s">
        <v>341</v>
      </c>
      <c r="B8" s="584" t="s">
        <v>173</v>
      </c>
      <c r="C8" s="345">
        <f>'SHIP DATA'!C77</f>
        <v>13.280646410828696</v>
      </c>
      <c r="D8" s="345">
        <f>'SHIP DATA'!D77</f>
        <v>13.280646410828696</v>
      </c>
      <c r="E8" s="346">
        <f>'SHIP DATA'!E77</f>
        <v>13.280646410828696</v>
      </c>
    </row>
    <row r="9" spans="1:5" ht="15" customHeight="1" x14ac:dyDescent="0.2">
      <c r="A9" s="336" t="s">
        <v>342</v>
      </c>
      <c r="B9" s="584" t="s">
        <v>191</v>
      </c>
      <c r="C9" s="338">
        <f>'SHIP DATA'!C79</f>
        <v>25.7</v>
      </c>
      <c r="D9" s="338">
        <f>'SHIP DATA'!D79</f>
        <v>18.5</v>
      </c>
      <c r="E9" s="339">
        <f>'SHIP DATA'!E79</f>
        <v>18.5</v>
      </c>
    </row>
    <row r="10" spans="1:5" ht="15" customHeight="1" thickBot="1" x14ac:dyDescent="0.25">
      <c r="A10" s="568" t="s">
        <v>400</v>
      </c>
      <c r="B10" s="581"/>
      <c r="C10" s="582">
        <f>'SHIP DATA'!C81</f>
        <v>3.5098067450915402</v>
      </c>
      <c r="D10" s="582">
        <f>'SHIP DATA'!D81</f>
        <v>2.9567346279280038</v>
      </c>
      <c r="E10" s="583">
        <f>'SHIP DATA'!E81</f>
        <v>2.8045177459197608</v>
      </c>
    </row>
    <row r="11" spans="1:5" ht="15" customHeight="1" x14ac:dyDescent="0.2">
      <c r="A11" s="578"/>
      <c r="B11" s="579"/>
      <c r="C11" s="580"/>
      <c r="D11" s="580"/>
      <c r="E11" s="580"/>
    </row>
    <row r="12" spans="1:5" ht="15" customHeight="1" thickBot="1" x14ac:dyDescent="0.25">
      <c r="A12" s="330" t="s">
        <v>343</v>
      </c>
      <c r="B12" s="167"/>
      <c r="C12" s="167"/>
      <c r="D12" s="167"/>
      <c r="E12" s="167"/>
    </row>
    <row r="13" spans="1:5" ht="15" customHeight="1" x14ac:dyDescent="0.2">
      <c r="A13" s="332" t="s">
        <v>344</v>
      </c>
      <c r="B13" s="333" t="s">
        <v>364</v>
      </c>
      <c r="C13" s="566">
        <f>'SHIP DATA'!C85*'Emission factors'!C33+'SHIP DATA'!C87*'Emission factors'!B33</f>
        <v>549.85744438816619</v>
      </c>
      <c r="D13" s="566">
        <f>'SHIP DATA'!D85*'Emission factors'!E33+'SHIP DATA'!D87*'Emission factors'!D33</f>
        <v>204.26215530735311</v>
      </c>
      <c r="E13" s="567">
        <f>'SHIP DATA'!E85*'Emission factors'!G33+'SHIP DATA'!E87*'Emission factors'!F33</f>
        <v>268.07378021129534</v>
      </c>
    </row>
    <row r="14" spans="1:5" ht="15" customHeight="1" x14ac:dyDescent="0.2">
      <c r="A14" s="336" t="s">
        <v>345</v>
      </c>
      <c r="B14" s="337" t="s">
        <v>365</v>
      </c>
      <c r="C14" s="338">
        <f>C13/C9</f>
        <v>21.395231299150435</v>
      </c>
      <c r="D14" s="338">
        <f>D13/D9</f>
        <v>11.04119758418125</v>
      </c>
      <c r="E14" s="339">
        <f>E13/E9</f>
        <v>14.490474606015965</v>
      </c>
    </row>
    <row r="15" spans="1:5" ht="15" customHeight="1" x14ac:dyDescent="0.2">
      <c r="A15" s="336" t="s">
        <v>165</v>
      </c>
      <c r="B15" s="337" t="s">
        <v>395</v>
      </c>
      <c r="C15" s="360">
        <f>C16*C4/C5</f>
        <v>0.15950294789266525</v>
      </c>
      <c r="D15" s="360">
        <f>D16*D4/D5</f>
        <v>8.2312901333869357E-2</v>
      </c>
      <c r="E15" s="361">
        <f>E16*E4/E5</f>
        <v>0.10802750312473275</v>
      </c>
    </row>
    <row r="16" spans="1:5" ht="15" customHeight="1" x14ac:dyDescent="0.2">
      <c r="A16" s="336" t="s">
        <v>166</v>
      </c>
      <c r="B16" s="337" t="s">
        <v>363</v>
      </c>
      <c r="C16" s="360">
        <f>C14*1000/C4</f>
        <v>0.15161019911529502</v>
      </c>
      <c r="D16" s="360">
        <f>D14*1000/D4</f>
        <v>7.8239778799470305E-2</v>
      </c>
      <c r="E16" s="361">
        <f>E14*1000/E4</f>
        <v>0.10268193456643966</v>
      </c>
    </row>
    <row r="17" spans="1:6" ht="15" customHeight="1" thickBot="1" x14ac:dyDescent="0.25">
      <c r="A17" s="568" t="s">
        <v>59</v>
      </c>
      <c r="B17" s="569" t="s">
        <v>425</v>
      </c>
      <c r="C17" s="576">
        <f>C15/1.852</f>
        <v>8.6124701885888361E-2</v>
      </c>
      <c r="D17" s="576">
        <f>D15/1.852</f>
        <v>4.4445411087402457E-2</v>
      </c>
      <c r="E17" s="577">
        <f>E15/1.852</f>
        <v>5.8330185272533877E-2</v>
      </c>
      <c r="F17" s="720" t="s">
        <v>418</v>
      </c>
    </row>
    <row r="18" spans="1:6" ht="15" customHeight="1" thickBot="1" x14ac:dyDescent="0.25">
      <c r="A18" s="330" t="s">
        <v>346</v>
      </c>
      <c r="B18" s="167"/>
      <c r="C18" s="167"/>
      <c r="D18" s="167"/>
      <c r="E18" s="167"/>
    </row>
    <row r="19" spans="1:6" ht="15" customHeight="1" x14ac:dyDescent="0.2">
      <c r="A19" s="332" t="s">
        <v>347</v>
      </c>
      <c r="B19" s="333" t="s">
        <v>338</v>
      </c>
      <c r="C19" s="343">
        <f>'SHIP DATA'!C88</f>
        <v>12.877223521971105</v>
      </c>
      <c r="D19" s="343">
        <f>'SHIP DATA'!D88</f>
        <v>4.7836570329590886</v>
      </c>
      <c r="E19" s="344">
        <f>'SHIP DATA'!E88</f>
        <v>6.2780744780162836</v>
      </c>
    </row>
    <row r="20" spans="1:6" ht="15" customHeight="1" x14ac:dyDescent="0.2">
      <c r="A20" s="336" t="s">
        <v>163</v>
      </c>
      <c r="B20" s="337" t="s">
        <v>349</v>
      </c>
      <c r="C20" s="349">
        <f>C19*1000/C9</f>
        <v>501.05928101054889</v>
      </c>
      <c r="D20" s="349">
        <f>D19*1000/D9</f>
        <v>258.57605583562639</v>
      </c>
      <c r="E20" s="350">
        <f>E19*1000/E9</f>
        <v>339.35537719006942</v>
      </c>
    </row>
    <row r="21" spans="1:6" ht="15" customHeight="1" x14ac:dyDescent="0.2">
      <c r="A21" s="336" t="s">
        <v>168</v>
      </c>
      <c r="B21" s="337" t="s">
        <v>396</v>
      </c>
      <c r="C21" s="345">
        <f>C22*C4/C5</f>
        <v>3.7354320349570322</v>
      </c>
      <c r="D21" s="345">
        <f>D22*D4/D5</f>
        <v>1.9277026073505699</v>
      </c>
      <c r="E21" s="346">
        <f>E22*E4/E5</f>
        <v>2.5299181059656379</v>
      </c>
    </row>
    <row r="22" spans="1:6" ht="15" customHeight="1" thickBot="1" x14ac:dyDescent="0.25">
      <c r="A22" s="570" t="s">
        <v>167</v>
      </c>
      <c r="B22" s="571" t="s">
        <v>313</v>
      </c>
      <c r="C22" s="572">
        <f>C20*1000/C4</f>
        <v>3.5505901432153406</v>
      </c>
      <c r="D22" s="572">
        <f>D20*1000/D4</f>
        <v>1.8323133208306859</v>
      </c>
      <c r="E22" s="573">
        <f>E20*1000/E4</f>
        <v>2.4047291467550269</v>
      </c>
    </row>
    <row r="23" spans="1:6" ht="17.45" customHeight="1" thickBot="1" x14ac:dyDescent="0.25">
      <c r="A23" s="330" t="s">
        <v>47</v>
      </c>
      <c r="B23" s="167"/>
      <c r="C23" s="167"/>
      <c r="D23" s="167"/>
      <c r="E23" s="167"/>
    </row>
    <row r="24" spans="1:6" ht="15" customHeight="1" x14ac:dyDescent="0.2">
      <c r="A24" s="332" t="s">
        <v>52</v>
      </c>
      <c r="B24" s="333" t="s">
        <v>338</v>
      </c>
      <c r="C24" s="334">
        <f>('SHIP DATA'!C85*'Emission factors'!C21+'SHIP DATA'!C87*'Emission factors'!B21)/1000</f>
        <v>41.284378611439365</v>
      </c>
      <c r="D24" s="334">
        <f>('SHIP DATA'!D85*'Emission factors'!E21+'SHIP DATA'!D87*'Emission factors'!D21)/1000</f>
        <v>15.336404447666839</v>
      </c>
      <c r="E24" s="335">
        <f>('SHIP DATA'!E85*'Emission factors'!G21+'SHIP DATA'!E87*'Emission factors'!F21)/1000</f>
        <v>20.127506776520203</v>
      </c>
    </row>
    <row r="25" spans="1:6" ht="15" customHeight="1" x14ac:dyDescent="0.2">
      <c r="A25" s="336" t="s">
        <v>53</v>
      </c>
      <c r="B25" s="337" t="s">
        <v>349</v>
      </c>
      <c r="C25" s="349">
        <f>C24*1000/C9</f>
        <v>1606.3960549198198</v>
      </c>
      <c r="D25" s="349">
        <f>D24*1000/D9</f>
        <v>828.99483500901829</v>
      </c>
      <c r="E25" s="350">
        <f>E24*1000/E9</f>
        <v>1087.9733392713624</v>
      </c>
    </row>
    <row r="26" spans="1:6" ht="15" customHeight="1" x14ac:dyDescent="0.2">
      <c r="A26" s="336" t="s">
        <v>55</v>
      </c>
      <c r="B26" s="337" t="s">
        <v>396</v>
      </c>
      <c r="C26" s="338">
        <f>C27*C4/C5</f>
        <v>11.975795104072246</v>
      </c>
      <c r="D26" s="338">
        <f>D27*D4/D5</f>
        <v>6.1802145591659281</v>
      </c>
      <c r="E26" s="339">
        <f>E27*E4/E5</f>
        <v>8.1109174477258339</v>
      </c>
    </row>
    <row r="27" spans="1:6" ht="15" customHeight="1" x14ac:dyDescent="0.2">
      <c r="A27" s="336" t="s">
        <v>56</v>
      </c>
      <c r="B27" s="337" t="s">
        <v>313</v>
      </c>
      <c r="C27" s="338">
        <f>C25*1000/C4</f>
        <v>11.383191999148384</v>
      </c>
      <c r="D27" s="338">
        <f>D25*1000/D4</f>
        <v>5.8743965065831798</v>
      </c>
      <c r="E27" s="339">
        <f>E25*1000/E4</f>
        <v>7.709561644496616</v>
      </c>
    </row>
    <row r="28" spans="1:6" ht="15" customHeight="1" thickBot="1" x14ac:dyDescent="0.25">
      <c r="A28" s="340" t="s">
        <v>424</v>
      </c>
      <c r="B28" s="569" t="s">
        <v>425</v>
      </c>
      <c r="C28" s="582">
        <f>C26/1.852</f>
        <v>6.4664120432355539</v>
      </c>
      <c r="D28" s="582">
        <f>D26/1.852</f>
        <v>3.3370488980377582</v>
      </c>
      <c r="E28" s="583">
        <f>E26/1.852</f>
        <v>4.379545058167297</v>
      </c>
      <c r="F28" s="720" t="s">
        <v>418</v>
      </c>
    </row>
    <row r="29" spans="1:6" ht="15" customHeight="1" thickBot="1" x14ac:dyDescent="0.25">
      <c r="A29" s="330" t="s">
        <v>46</v>
      </c>
      <c r="B29" s="167"/>
      <c r="C29" s="167"/>
      <c r="D29" s="167"/>
      <c r="E29" s="167"/>
    </row>
    <row r="30" spans="1:6" ht="15" customHeight="1" x14ac:dyDescent="0.2">
      <c r="A30" s="332" t="s">
        <v>50</v>
      </c>
      <c r="B30" s="333" t="s">
        <v>348</v>
      </c>
      <c r="C30" s="566">
        <f>'SHIP DATA'!C85*'Emission factors'!C22+'SHIP DATA'!C87*'Emission factors'!B22</f>
        <v>246.34881937018591</v>
      </c>
      <c r="D30" s="566">
        <f>'SHIP DATA'!D85*'Emission factors'!E22+'SHIP DATA'!D87*'Emission factors'!D22</f>
        <v>90.257242250609167</v>
      </c>
      <c r="E30" s="567">
        <f>'SHIP DATA'!E85*'Emission factors'!G22+'SHIP DATA'!E87*'Emission factors'!F22</f>
        <v>118.77298070319297</v>
      </c>
    </row>
    <row r="31" spans="1:6" ht="15" customHeight="1" x14ac:dyDescent="0.2">
      <c r="A31" s="336" t="s">
        <v>51</v>
      </c>
      <c r="B31" s="337" t="s">
        <v>349</v>
      </c>
      <c r="C31" s="345">
        <f>C30/C9</f>
        <v>9.585557173937195</v>
      </c>
      <c r="D31" s="345">
        <f>D30/D9</f>
        <v>4.8787698513842797</v>
      </c>
      <c r="E31" s="346">
        <f>E30/E9</f>
        <v>6.420161119091512</v>
      </c>
    </row>
    <row r="32" spans="1:6" ht="15" customHeight="1" x14ac:dyDescent="0.2">
      <c r="A32" s="336" t="s">
        <v>397</v>
      </c>
      <c r="B32" s="337" t="s">
        <v>396</v>
      </c>
      <c r="C32" s="360">
        <f>C33*C4/C5</f>
        <v>7.1461000120030427E-2</v>
      </c>
      <c r="D32" s="360">
        <f>D33*D4/D5</f>
        <v>3.6371570959204957E-2</v>
      </c>
      <c r="E32" s="361">
        <f>E33*E4/E5</f>
        <v>4.7862750821564215E-2</v>
      </c>
    </row>
    <row r="33" spans="1:5" ht="15" customHeight="1" thickBot="1" x14ac:dyDescent="0.25">
      <c r="A33" s="340" t="s">
        <v>57</v>
      </c>
      <c r="B33" s="341" t="s">
        <v>313</v>
      </c>
      <c r="C33" s="347">
        <f>C31*1000/C4</f>
        <v>6.7924866595359942E-2</v>
      </c>
      <c r="D33" s="347">
        <f>D31*1000/D4</f>
        <v>3.4571781826702661E-2</v>
      </c>
      <c r="E33" s="348">
        <f>E31*1000/E4</f>
        <v>4.5494338995829872E-2</v>
      </c>
    </row>
    <row r="34" spans="1:5" ht="15" customHeight="1" thickBot="1" x14ac:dyDescent="0.25">
      <c r="A34" s="330" t="s">
        <v>350</v>
      </c>
      <c r="B34" s="167"/>
      <c r="C34" s="167"/>
      <c r="D34" s="167"/>
      <c r="E34" s="167"/>
    </row>
    <row r="35" spans="1:5" ht="15" customHeight="1" x14ac:dyDescent="0.2">
      <c r="A35" s="332" t="s">
        <v>351</v>
      </c>
      <c r="B35" s="333" t="s">
        <v>348</v>
      </c>
      <c r="C35" s="566">
        <f>'SHIP DATA'!C85*'Emission factors'!C26+'SHIP DATA'!C87*'Emission factors'!B26</f>
        <v>270.4216939613932</v>
      </c>
      <c r="D35" s="566">
        <f>'SHIP DATA'!D85*'Emission factors'!E26+'SHIP DATA'!D87*'Emission factors'!D26</f>
        <v>100.45679769214087</v>
      </c>
      <c r="E35" s="567">
        <f>'SHIP DATA'!E85*'Emission factors'!G26+'SHIP DATA'!E87*'Emission factors'!F26</f>
        <v>131.83956403834196</v>
      </c>
    </row>
    <row r="36" spans="1:5" ht="15" customHeight="1" x14ac:dyDescent="0.2">
      <c r="A36" s="336" t="s">
        <v>352</v>
      </c>
      <c r="B36" s="337" t="s">
        <v>349</v>
      </c>
      <c r="C36" s="338">
        <f>C35/C9</f>
        <v>10.522244901221526</v>
      </c>
      <c r="D36" s="338">
        <f>D35/D9</f>
        <v>5.4300971725481553</v>
      </c>
      <c r="E36" s="339">
        <f>E35/E9</f>
        <v>7.1264629209914574</v>
      </c>
    </row>
    <row r="37" spans="1:5" ht="15" customHeight="1" x14ac:dyDescent="0.2">
      <c r="A37" s="336" t="s">
        <v>398</v>
      </c>
      <c r="B37" s="337" t="s">
        <v>396</v>
      </c>
      <c r="C37" s="360">
        <f>C38*C4/C5</f>
        <v>7.8444072734097661E-2</v>
      </c>
      <c r="D37" s="360">
        <f>D38*D4/D5</f>
        <v>4.0481754754361977E-2</v>
      </c>
      <c r="E37" s="361">
        <f>E38*E4/E5</f>
        <v>5.3128280225278393E-2</v>
      </c>
    </row>
    <row r="38" spans="1:5" ht="15" customHeight="1" thickBot="1" x14ac:dyDescent="0.25">
      <c r="A38" s="340" t="s">
        <v>353</v>
      </c>
      <c r="B38" s="341" t="s">
        <v>313</v>
      </c>
      <c r="C38" s="347">
        <f>C36*1000/C4</f>
        <v>7.4562393007522154E-2</v>
      </c>
      <c r="D38" s="347">
        <f>D36*1000/D4</f>
        <v>3.847857973744441E-2</v>
      </c>
      <c r="E38" s="348">
        <f>E36*1000/E4</f>
        <v>5.0499312081855569E-2</v>
      </c>
    </row>
    <row r="39" spans="1:5" ht="15" customHeight="1" thickBot="1" x14ac:dyDescent="0.25">
      <c r="A39" s="330" t="s">
        <v>354</v>
      </c>
      <c r="B39" s="167"/>
      <c r="C39" s="167"/>
      <c r="D39" s="167"/>
      <c r="E39" s="167"/>
    </row>
    <row r="40" spans="1:5" ht="15" customHeight="1" x14ac:dyDescent="0.2">
      <c r="A40" s="332" t="s">
        <v>355</v>
      </c>
      <c r="B40" s="333" t="s">
        <v>348</v>
      </c>
      <c r="C40" s="334">
        <f>'SHIP DATA'!C85*'Emission factors'!C23+'SHIP DATA'!C87*'Emission factors'!B23</f>
        <v>26.026904935123831</v>
      </c>
      <c r="D40" s="334">
        <f>'SHIP DATA'!D85*'Emission factors'!E23+'SHIP DATA'!D87*'Emission factors'!D23</f>
        <v>9.7662286744695166</v>
      </c>
      <c r="E40" s="335">
        <f>'SHIP DATA'!E85*'Emission factors'!G23+'SHIP DATA'!E87*'Emission factors'!F23</f>
        <v>12.792383551418212</v>
      </c>
    </row>
    <row r="41" spans="1:5" ht="15" customHeight="1" x14ac:dyDescent="0.2">
      <c r="A41" s="336" t="s">
        <v>356</v>
      </c>
      <c r="B41" s="337" t="s">
        <v>349</v>
      </c>
      <c r="C41" s="345">
        <f>C40/C9</f>
        <v>1.0127200363861413</v>
      </c>
      <c r="D41" s="345">
        <f>D40/D9</f>
        <v>0.52790425267402796</v>
      </c>
      <c r="E41" s="346">
        <f>E40/E9</f>
        <v>0.69148019196855193</v>
      </c>
    </row>
    <row r="42" spans="1:5" ht="15" customHeight="1" x14ac:dyDescent="0.2">
      <c r="A42" s="336" t="s">
        <v>45</v>
      </c>
      <c r="B42" s="337" t="s">
        <v>396</v>
      </c>
      <c r="C42" s="362">
        <f>C43*C4/C5</f>
        <v>7.5498988038503181E-3</v>
      </c>
      <c r="D42" s="362">
        <f>D43*D4/D5</f>
        <v>3.9355631789746246E-3</v>
      </c>
      <c r="E42" s="363">
        <f>E43*E4/E5</f>
        <v>5.1550332635454908E-3</v>
      </c>
    </row>
    <row r="43" spans="1:5" ht="15" customHeight="1" thickBot="1" x14ac:dyDescent="0.25">
      <c r="A43" s="340" t="s">
        <v>357</v>
      </c>
      <c r="B43" s="341" t="s">
        <v>313</v>
      </c>
      <c r="C43" s="364">
        <f>C41*1000/C4</f>
        <v>7.1763041127135864E-3</v>
      </c>
      <c r="D43" s="364">
        <f>D41*1000/D4</f>
        <v>3.7408181170211731E-3</v>
      </c>
      <c r="E43" s="365">
        <f>E41*1000/E4</f>
        <v>4.8999446709789675E-3</v>
      </c>
    </row>
    <row r="44" spans="1:5" ht="15" customHeight="1" thickBot="1" x14ac:dyDescent="0.25">
      <c r="A44" s="330" t="s">
        <v>381</v>
      </c>
      <c r="B44" s="167"/>
      <c r="C44" s="167"/>
      <c r="D44" s="167"/>
      <c r="E44" s="167"/>
    </row>
    <row r="45" spans="1:5" ht="15" customHeight="1" x14ac:dyDescent="0.2">
      <c r="A45" s="332" t="s">
        <v>382</v>
      </c>
      <c r="B45" s="333" t="s">
        <v>348</v>
      </c>
      <c r="C45" s="343">
        <f>'SHIP DATA'!C85*'Emission factors'!C24+'SHIP DATA'!C87*'Emission factors'!B24</f>
        <v>36.61583013991379</v>
      </c>
      <c r="D45" s="343">
        <f>'SHIP DATA'!D85*'Emission factors'!E24+'SHIP DATA'!D87*'Emission factors'!D24</f>
        <v>13.549311053523777</v>
      </c>
      <c r="E45" s="344">
        <f>'SHIP DATA'!E85*'Emission factors'!G24+'SHIP DATA'!E87*'Emission factors'!F24</f>
        <v>17.795541079591374</v>
      </c>
    </row>
    <row r="46" spans="1:5" ht="15" customHeight="1" x14ac:dyDescent="0.2">
      <c r="A46" s="336" t="s">
        <v>383</v>
      </c>
      <c r="B46" s="337" t="s">
        <v>349</v>
      </c>
      <c r="C46" s="345">
        <f>C45/C9</f>
        <v>1.4247404723701864</v>
      </c>
      <c r="D46" s="345">
        <f>D45/D9</f>
        <v>0.73239519208236636</v>
      </c>
      <c r="E46" s="346">
        <f>E45/E9</f>
        <v>0.96192113943737156</v>
      </c>
    </row>
    <row r="47" spans="1:5" ht="15" customHeight="1" x14ac:dyDescent="0.2">
      <c r="A47" s="336" t="s">
        <v>44</v>
      </c>
      <c r="B47" s="337" t="s">
        <v>396</v>
      </c>
      <c r="C47" s="360">
        <f>C48*C4/C5</f>
        <v>1.0621540012706326E-2</v>
      </c>
      <c r="D47" s="360">
        <f>D48*D4/D5</f>
        <v>5.4600574551484718E-3</v>
      </c>
      <c r="E47" s="361">
        <f>E48*E4/E5</f>
        <v>7.171189469058213E-3</v>
      </c>
    </row>
    <row r="48" spans="1:5" ht="15" customHeight="1" thickBot="1" x14ac:dyDescent="0.25">
      <c r="A48" s="340" t="s">
        <v>384</v>
      </c>
      <c r="B48" s="341" t="s">
        <v>313</v>
      </c>
      <c r="C48" s="347">
        <f>C46*1000/C4</f>
        <v>1.0095950059312546E-2</v>
      </c>
      <c r="D48" s="347">
        <f>D46*1000/D4</f>
        <v>5.1898752273410315E-3</v>
      </c>
      <c r="E48" s="348">
        <f>E46*1000/E4</f>
        <v>6.8163346048566581E-3</v>
      </c>
    </row>
    <row r="49" spans="1:5" ht="15" customHeight="1" thickBot="1" x14ac:dyDescent="0.25">
      <c r="A49" s="330" t="s">
        <v>358</v>
      </c>
      <c r="B49" s="167"/>
      <c r="C49" s="167"/>
      <c r="D49" s="167"/>
      <c r="E49" s="167"/>
    </row>
    <row r="50" spans="1:5" ht="15" customHeight="1" x14ac:dyDescent="0.2">
      <c r="A50" s="332" t="s">
        <v>359</v>
      </c>
      <c r="B50" s="333" t="s">
        <v>348</v>
      </c>
      <c r="C50" s="334">
        <f>'SHIP DATA'!C85*'Emission factors'!C25+'SHIP DATA'!C87*'Emission factors'!B25</f>
        <v>32.514857164243452</v>
      </c>
      <c r="D50" s="334">
        <f>'SHIP DATA'!D85*'Emission factors'!E25+'SHIP DATA'!D87*'Emission factors'!D25</f>
        <v>12.031788215529115</v>
      </c>
      <c r="E50" s="335">
        <f>'SHIP DATA'!E85*'Emission factors'!G25+'SHIP DATA'!E87*'Emission factors'!F25</f>
        <v>15.802440478677141</v>
      </c>
    </row>
    <row r="51" spans="1:5" ht="15" customHeight="1" x14ac:dyDescent="0.2">
      <c r="A51" s="336" t="s">
        <v>360</v>
      </c>
      <c r="B51" s="337" t="s">
        <v>349</v>
      </c>
      <c r="C51" s="345">
        <f>C50/C9</f>
        <v>1.2651695394647258</v>
      </c>
      <c r="D51" s="345">
        <f>D50/D9</f>
        <v>0.65036693056914141</v>
      </c>
      <c r="E51" s="346">
        <f>E50/E9</f>
        <v>0.85418597182038603</v>
      </c>
    </row>
    <row r="52" spans="1:5" ht="15" customHeight="1" x14ac:dyDescent="0.2">
      <c r="A52" s="336" t="s">
        <v>43</v>
      </c>
      <c r="B52" s="337" t="s">
        <v>396</v>
      </c>
      <c r="C52" s="362">
        <f>C53*C4/C5</f>
        <v>9.4319275312832202E-3</v>
      </c>
      <c r="D52" s="362">
        <f>D53*D4/D5</f>
        <v>4.848531020171843E-3</v>
      </c>
      <c r="E52" s="363">
        <f>E53*E4/E5</f>
        <v>6.3680162485236936E-3</v>
      </c>
    </row>
    <row r="53" spans="1:5" ht="15" customHeight="1" thickBot="1" x14ac:dyDescent="0.25">
      <c r="A53" s="340" t="s">
        <v>361</v>
      </c>
      <c r="B53" s="341" t="s">
        <v>313</v>
      </c>
      <c r="C53" s="364">
        <f>C51*1000/C4</f>
        <v>8.9652036526695431E-3</v>
      </c>
      <c r="D53" s="364">
        <f>D51*1000/D4</f>
        <v>4.6086092018788371E-3</v>
      </c>
      <c r="E53" s="365">
        <f>E51*1000/E4</f>
        <v>6.0529051291127126E-3</v>
      </c>
    </row>
    <row r="54" spans="1:5" ht="15" customHeight="1" x14ac:dyDescent="0.2"/>
    <row r="55" spans="1:5" ht="15" customHeight="1" x14ac:dyDescent="0.2"/>
    <row r="56" spans="1:5" ht="15" customHeight="1" x14ac:dyDescent="0.2"/>
    <row r="57" spans="1:5" ht="15" customHeight="1" x14ac:dyDescent="0.2"/>
    <row r="58" spans="1:5" ht="15" customHeight="1" x14ac:dyDescent="0.2"/>
  </sheetData>
  <sheetProtection password="CC7C" sheet="1"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6">
    <tabColor indexed="12"/>
  </sheetPr>
  <dimension ref="A1:U210"/>
  <sheetViews>
    <sheetView topLeftCell="E4" workbookViewId="0">
      <selection activeCell="C24" sqref="C24"/>
    </sheetView>
  </sheetViews>
  <sheetFormatPr defaultRowHeight="12.75" x14ac:dyDescent="0.2"/>
  <cols>
    <col min="1" max="1" width="30.7109375" customWidth="1"/>
    <col min="3" max="3" width="12.7109375" customWidth="1"/>
    <col min="8" max="8" width="31" customWidth="1"/>
    <col min="10" max="10" width="10.42578125" customWidth="1"/>
    <col min="11" max="11" width="11" customWidth="1"/>
    <col min="12" max="12" width="10" customWidth="1"/>
    <col min="15" max="15" width="32" customWidth="1"/>
    <col min="17" max="17" width="11.140625" customWidth="1"/>
    <col min="18" max="18" width="10.28515625" customWidth="1"/>
  </cols>
  <sheetData>
    <row r="1" spans="1:21" ht="21" customHeight="1" x14ac:dyDescent="0.35">
      <c r="A1" s="475" t="s">
        <v>106</v>
      </c>
      <c r="B1" s="476"/>
      <c r="C1" s="476"/>
      <c r="D1" s="476"/>
      <c r="E1" s="475" t="s">
        <v>158</v>
      </c>
      <c r="F1" s="478"/>
      <c r="G1" s="478"/>
      <c r="H1" s="482" t="s">
        <v>157</v>
      </c>
      <c r="I1" s="476"/>
      <c r="J1" s="476"/>
      <c r="K1" s="476"/>
      <c r="L1" s="476"/>
      <c r="M1" s="478"/>
      <c r="N1" s="478"/>
      <c r="O1" s="487" t="s">
        <v>156</v>
      </c>
      <c r="P1" s="476"/>
      <c r="Q1" s="476"/>
      <c r="R1" s="476"/>
      <c r="S1" s="478"/>
      <c r="T1" s="478"/>
      <c r="U1" s="480"/>
    </row>
    <row r="2" spans="1:21" s="402" customFormat="1" ht="15" customHeight="1" thickBot="1" x14ac:dyDescent="0.25">
      <c r="A2" s="400"/>
      <c r="B2" s="401"/>
      <c r="C2" s="401"/>
      <c r="D2" s="401"/>
      <c r="E2" s="17"/>
      <c r="F2" s="17"/>
      <c r="G2" s="17"/>
      <c r="H2" s="483"/>
      <c r="I2" s="401"/>
      <c r="J2" s="401"/>
      <c r="K2" s="401"/>
      <c r="L2" s="401"/>
      <c r="M2" s="17"/>
      <c r="N2" s="17"/>
      <c r="O2" s="488"/>
      <c r="P2" s="401"/>
      <c r="Q2" s="401"/>
      <c r="R2" s="401"/>
      <c r="S2" s="17"/>
      <c r="T2" s="17"/>
      <c r="U2" s="188"/>
    </row>
    <row r="3" spans="1:21" ht="15" customHeight="1" thickBot="1" x14ac:dyDescent="0.25">
      <c r="A3" s="403" t="s">
        <v>76</v>
      </c>
      <c r="B3" s="404"/>
      <c r="C3" s="404"/>
      <c r="D3" s="404"/>
      <c r="E3" s="404"/>
      <c r="F3" s="404"/>
      <c r="G3" s="404"/>
      <c r="H3" s="489" t="s">
        <v>76</v>
      </c>
      <c r="I3" s="404"/>
      <c r="J3" s="404"/>
      <c r="K3" s="404"/>
      <c r="L3" s="404"/>
      <c r="M3" s="404"/>
      <c r="N3" s="404"/>
      <c r="O3" s="489" t="s">
        <v>76</v>
      </c>
      <c r="P3" s="404"/>
      <c r="Q3" s="404"/>
      <c r="R3" s="404"/>
      <c r="S3" s="404"/>
      <c r="T3" s="404"/>
      <c r="U3" s="432"/>
    </row>
    <row r="4" spans="1:21" ht="15" customHeight="1" x14ac:dyDescent="0.2">
      <c r="A4" s="204" t="s">
        <v>77</v>
      </c>
      <c r="B4" s="405" t="s">
        <v>173</v>
      </c>
      <c r="C4" s="406">
        <f>'SHIP DATA'!C5</f>
        <v>406.13587128771707</v>
      </c>
      <c r="D4" s="204" t="s">
        <v>49</v>
      </c>
      <c r="E4" s="204"/>
      <c r="F4" s="204"/>
      <c r="G4" s="396">
        <f>C8/1.025/C4/C5/C7</f>
        <v>0.6928022550088464</v>
      </c>
      <c r="H4" s="490" t="s">
        <v>77</v>
      </c>
      <c r="I4" s="484" t="s">
        <v>173</v>
      </c>
      <c r="J4" s="406">
        <f>'SHIP DATA'!D5</f>
        <v>406.13587128771707</v>
      </c>
      <c r="K4" s="204" t="s">
        <v>49</v>
      </c>
      <c r="L4" s="204"/>
      <c r="M4" s="204"/>
      <c r="N4" s="392">
        <f>J8/1.025/J4/J5/J7</f>
        <v>0.6928022550088464</v>
      </c>
      <c r="O4" s="490" t="s">
        <v>77</v>
      </c>
      <c r="P4" s="484" t="s">
        <v>173</v>
      </c>
      <c r="Q4" s="406">
        <f>'SHIP DATA'!E5</f>
        <v>406.13587128771707</v>
      </c>
      <c r="R4" s="204" t="s">
        <v>49</v>
      </c>
      <c r="S4" s="204"/>
      <c r="T4" s="204"/>
      <c r="U4" s="205">
        <f>Q8/1.025/Q4/Q5/Q7</f>
        <v>0.6928022550088464</v>
      </c>
    </row>
    <row r="5" spans="1:21" ht="15" customHeight="1" x14ac:dyDescent="0.2">
      <c r="A5" s="17" t="s">
        <v>62</v>
      </c>
      <c r="B5" s="405" t="s">
        <v>173</v>
      </c>
      <c r="C5" s="406">
        <f>'SHIP DATA'!C8</f>
        <v>55.91</v>
      </c>
      <c r="D5" s="17" t="s">
        <v>78</v>
      </c>
      <c r="E5" s="17"/>
      <c r="F5" s="17"/>
      <c r="G5" s="392">
        <f>G4+(1-G4)*(C6-C7)/3/C7</f>
        <v>0.77977577456441494</v>
      </c>
      <c r="H5" s="490" t="s">
        <v>62</v>
      </c>
      <c r="I5" s="484" t="s">
        <v>173</v>
      </c>
      <c r="J5" s="406">
        <f>'SHIP DATA'!D8</f>
        <v>55.91</v>
      </c>
      <c r="K5" s="17" t="s">
        <v>78</v>
      </c>
      <c r="L5" s="17"/>
      <c r="M5" s="17"/>
      <c r="N5" s="392">
        <f>N4+(1-N4)*(J6-J7)/3/J7</f>
        <v>0.77977577456441494</v>
      </c>
      <c r="O5" s="490" t="s">
        <v>62</v>
      </c>
      <c r="P5" s="484" t="s">
        <v>173</v>
      </c>
      <c r="Q5" s="406">
        <f>'SHIP DATA'!E8</f>
        <v>55.91</v>
      </c>
      <c r="R5" s="17" t="s">
        <v>78</v>
      </c>
      <c r="S5" s="17"/>
      <c r="T5" s="17"/>
      <c r="U5" s="205">
        <f>U4+(1-U4)*(Q6-Q7)/3/Q7</f>
        <v>0.77977577456441494</v>
      </c>
    </row>
    <row r="6" spans="1:21" ht="15" customHeight="1" x14ac:dyDescent="0.2">
      <c r="A6" s="17" t="s">
        <v>79</v>
      </c>
      <c r="B6" s="405" t="s">
        <v>173</v>
      </c>
      <c r="C6" s="406">
        <f>'SHIP DATA'!C9</f>
        <v>30.2</v>
      </c>
      <c r="D6" s="17" t="s">
        <v>80</v>
      </c>
      <c r="E6" s="17"/>
      <c r="F6" s="17"/>
      <c r="G6" s="392">
        <f>G4+(1-G4)*(0.8*C6-C7)/3/C7</f>
        <v>0.74190122098722422</v>
      </c>
      <c r="H6" s="490" t="s">
        <v>79</v>
      </c>
      <c r="I6" s="484" t="s">
        <v>173</v>
      </c>
      <c r="J6" s="406">
        <f>'SHIP DATA'!D9</f>
        <v>30.2</v>
      </c>
      <c r="K6" s="17" t="s">
        <v>80</v>
      </c>
      <c r="L6" s="17"/>
      <c r="M6" s="17"/>
      <c r="N6" s="392">
        <f>N4+(1-N4)*(0.8*J6-J7)/3/J7</f>
        <v>0.74190122098722422</v>
      </c>
      <c r="O6" s="490" t="s">
        <v>79</v>
      </c>
      <c r="P6" s="484" t="s">
        <v>173</v>
      </c>
      <c r="Q6" s="406">
        <f>'SHIP DATA'!E9</f>
        <v>30.2</v>
      </c>
      <c r="R6" s="17" t="s">
        <v>80</v>
      </c>
      <c r="S6" s="17"/>
      <c r="T6" s="17"/>
      <c r="U6" s="205">
        <f>U4+(1-U4)*(0.8*Q6-Q7)/3/Q7</f>
        <v>0.74190122098722422</v>
      </c>
    </row>
    <row r="7" spans="1:21" ht="15" customHeight="1" x14ac:dyDescent="0.2">
      <c r="A7" s="17" t="s">
        <v>81</v>
      </c>
      <c r="B7" s="405" t="s">
        <v>173</v>
      </c>
      <c r="C7" s="406">
        <f>'SHIP DATA'!C11</f>
        <v>16.330000000000002</v>
      </c>
      <c r="D7" s="203"/>
      <c r="E7" s="204"/>
      <c r="F7" s="204"/>
      <c r="G7" s="204"/>
      <c r="H7" s="490" t="s">
        <v>81</v>
      </c>
      <c r="I7" s="484" t="s">
        <v>173</v>
      </c>
      <c r="J7" s="406">
        <f>'SHIP DATA'!D11</f>
        <v>16.330000000000002</v>
      </c>
      <c r="K7" s="203"/>
      <c r="L7" s="204"/>
      <c r="M7" s="188"/>
      <c r="N7" s="204"/>
      <c r="O7" s="490" t="s">
        <v>81</v>
      </c>
      <c r="P7" s="484" t="s">
        <v>173</v>
      </c>
      <c r="Q7" s="406">
        <f>'SHIP DATA'!E11</f>
        <v>16.330000000000002</v>
      </c>
      <c r="R7" s="203"/>
      <c r="S7" s="204"/>
      <c r="T7" s="188"/>
      <c r="U7" s="188"/>
    </row>
    <row r="8" spans="1:21" ht="15" customHeight="1" thickBot="1" x14ac:dyDescent="0.25">
      <c r="A8" s="17" t="s">
        <v>82</v>
      </c>
      <c r="B8" s="405" t="s">
        <v>174</v>
      </c>
      <c r="C8" s="423">
        <f>'SHIP DATA'!C15+'SHIP DATA'!C17*WEIGHT!C4*WEIGHT!C5*WEIGHT!C6</f>
        <v>263317.77974012645</v>
      </c>
      <c r="D8" s="426"/>
      <c r="E8" s="395"/>
      <c r="F8" s="427"/>
      <c r="G8" s="395"/>
      <c r="H8" s="490" t="s">
        <v>82</v>
      </c>
      <c r="I8" s="484" t="s">
        <v>174</v>
      </c>
      <c r="J8" s="423">
        <f>'SHIP DATA'!D15+'SHIP DATA'!D17*WEIGHT!J4*WEIGHT!J5*WEIGHT!J6</f>
        <v>263317.77974012645</v>
      </c>
      <c r="K8" s="426"/>
      <c r="L8" s="395"/>
      <c r="M8" s="433"/>
      <c r="N8" s="204"/>
      <c r="O8" s="490" t="s">
        <v>82</v>
      </c>
      <c r="P8" s="484" t="s">
        <v>174</v>
      </c>
      <c r="Q8" s="423">
        <f>'SHIP DATA'!E15+'SHIP DATA'!E17*WEIGHT!Q4*WEIGHT!Q5*WEIGHT!Q6</f>
        <v>263317.77974012645</v>
      </c>
      <c r="R8" s="426"/>
      <c r="S8" s="395"/>
      <c r="T8" s="433"/>
      <c r="U8" s="188"/>
    </row>
    <row r="9" spans="1:21" ht="15" customHeight="1" x14ac:dyDescent="0.2">
      <c r="A9" s="407" t="s">
        <v>83</v>
      </c>
      <c r="B9" s="408" t="s">
        <v>84</v>
      </c>
      <c r="C9" s="408" t="s">
        <v>62</v>
      </c>
      <c r="D9" s="408" t="s">
        <v>85</v>
      </c>
      <c r="E9" s="408" t="s">
        <v>86</v>
      </c>
      <c r="F9" s="408" t="s">
        <v>87</v>
      </c>
      <c r="G9" s="408" t="s">
        <v>88</v>
      </c>
      <c r="H9" s="491" t="s">
        <v>83</v>
      </c>
      <c r="I9" s="408" t="s">
        <v>84</v>
      </c>
      <c r="J9" s="408" t="s">
        <v>62</v>
      </c>
      <c r="K9" s="408" t="s">
        <v>85</v>
      </c>
      <c r="L9" s="408" t="s">
        <v>86</v>
      </c>
      <c r="M9" s="408" t="s">
        <v>87</v>
      </c>
      <c r="N9" s="408" t="s">
        <v>88</v>
      </c>
      <c r="O9" s="491" t="s">
        <v>83</v>
      </c>
      <c r="P9" s="408" t="s">
        <v>84</v>
      </c>
      <c r="Q9" s="408" t="s">
        <v>62</v>
      </c>
      <c r="R9" s="408" t="s">
        <v>85</v>
      </c>
      <c r="S9" s="408" t="s">
        <v>86</v>
      </c>
      <c r="T9" s="408" t="s">
        <v>87</v>
      </c>
      <c r="U9" s="428" t="s">
        <v>88</v>
      </c>
    </row>
    <row r="10" spans="1:21" ht="15" customHeight="1" thickBot="1" x14ac:dyDescent="0.25">
      <c r="A10" s="409"/>
      <c r="B10" s="410" t="s">
        <v>173</v>
      </c>
      <c r="C10" s="410" t="s">
        <v>173</v>
      </c>
      <c r="D10" s="410" t="s">
        <v>173</v>
      </c>
      <c r="E10" s="410" t="s">
        <v>89</v>
      </c>
      <c r="F10" s="410" t="s">
        <v>90</v>
      </c>
      <c r="G10" s="410" t="s">
        <v>89</v>
      </c>
      <c r="H10" s="492"/>
      <c r="I10" s="410" t="s">
        <v>173</v>
      </c>
      <c r="J10" s="410" t="s">
        <v>173</v>
      </c>
      <c r="K10" s="410" t="s">
        <v>173</v>
      </c>
      <c r="L10" s="410" t="s">
        <v>89</v>
      </c>
      <c r="M10" s="410" t="s">
        <v>90</v>
      </c>
      <c r="N10" s="410" t="s">
        <v>89</v>
      </c>
      <c r="O10" s="492"/>
      <c r="P10" s="410" t="s">
        <v>173</v>
      </c>
      <c r="Q10" s="410" t="s">
        <v>173</v>
      </c>
      <c r="R10" s="410" t="s">
        <v>173</v>
      </c>
      <c r="S10" s="410" t="s">
        <v>89</v>
      </c>
      <c r="T10" s="410" t="s">
        <v>90</v>
      </c>
      <c r="U10" s="429" t="s">
        <v>89</v>
      </c>
    </row>
    <row r="11" spans="1:21" ht="15" customHeight="1" x14ac:dyDescent="0.2">
      <c r="A11" s="17"/>
      <c r="B11" s="412"/>
      <c r="C11" s="233"/>
      <c r="D11" s="412"/>
      <c r="E11" s="277"/>
      <c r="F11" s="277"/>
      <c r="G11" s="219"/>
      <c r="H11" s="490"/>
      <c r="I11" s="412"/>
      <c r="J11" s="233"/>
      <c r="K11" s="412"/>
      <c r="L11" s="277"/>
      <c r="M11" s="277"/>
      <c r="N11" s="219"/>
      <c r="O11" s="490"/>
      <c r="P11" s="412"/>
      <c r="Q11" s="233"/>
      <c r="R11" s="412"/>
      <c r="S11" s="277"/>
      <c r="T11" s="277"/>
      <c r="U11" s="394"/>
    </row>
    <row r="12" spans="1:21" ht="15" customHeight="1" thickBot="1" x14ac:dyDescent="0.25">
      <c r="A12" s="398" t="s">
        <v>91</v>
      </c>
      <c r="B12" s="413"/>
      <c r="C12" s="413"/>
      <c r="D12" s="413"/>
      <c r="E12" s="414">
        <f>SUM(E11:E11)</f>
        <v>0</v>
      </c>
      <c r="F12" s="414">
        <f>SUM(F11:F11)</f>
        <v>0</v>
      </c>
      <c r="G12" s="481">
        <f>SUM(G11:G11)</f>
        <v>0</v>
      </c>
      <c r="H12" s="235" t="s">
        <v>91</v>
      </c>
      <c r="I12" s="413"/>
      <c r="J12" s="413"/>
      <c r="K12" s="413"/>
      <c r="L12" s="414">
        <f>SUM(L11:L11)</f>
        <v>0</v>
      </c>
      <c r="M12" s="414">
        <f>SUM(M11:M11)</f>
        <v>0</v>
      </c>
      <c r="N12" s="481">
        <f>SUM(N11:N11)</f>
        <v>0</v>
      </c>
      <c r="O12" s="235" t="s">
        <v>91</v>
      </c>
      <c r="P12" s="413"/>
      <c r="Q12" s="413"/>
      <c r="R12" s="413"/>
      <c r="S12" s="414">
        <f>SUM(S11:S11)</f>
        <v>0</v>
      </c>
      <c r="T12" s="414">
        <f>SUM(T11:T11)</f>
        <v>0</v>
      </c>
      <c r="U12" s="430">
        <f>SUM(U11:U11)</f>
        <v>0</v>
      </c>
    </row>
    <row r="13" spans="1:21" ht="15" customHeight="1" x14ac:dyDescent="0.2">
      <c r="A13" s="407" t="s">
        <v>92</v>
      </c>
      <c r="B13" s="408" t="s">
        <v>84</v>
      </c>
      <c r="C13" s="408" t="s">
        <v>62</v>
      </c>
      <c r="D13" s="408" t="s">
        <v>85</v>
      </c>
      <c r="E13" s="408" t="s">
        <v>86</v>
      </c>
      <c r="F13" s="408" t="s">
        <v>87</v>
      </c>
      <c r="G13" s="408" t="s">
        <v>88</v>
      </c>
      <c r="H13" s="491" t="s">
        <v>92</v>
      </c>
      <c r="I13" s="408" t="s">
        <v>84</v>
      </c>
      <c r="J13" s="408" t="s">
        <v>62</v>
      </c>
      <c r="K13" s="408" t="s">
        <v>85</v>
      </c>
      <c r="L13" s="408" t="s">
        <v>86</v>
      </c>
      <c r="M13" s="408" t="s">
        <v>87</v>
      </c>
      <c r="N13" s="408" t="s">
        <v>88</v>
      </c>
      <c r="O13" s="491" t="s">
        <v>92</v>
      </c>
      <c r="P13" s="408" t="s">
        <v>84</v>
      </c>
      <c r="Q13" s="408" t="s">
        <v>62</v>
      </c>
      <c r="R13" s="408" t="s">
        <v>85</v>
      </c>
      <c r="S13" s="408" t="s">
        <v>86</v>
      </c>
      <c r="T13" s="408" t="s">
        <v>87</v>
      </c>
      <c r="U13" s="428" t="s">
        <v>88</v>
      </c>
    </row>
    <row r="14" spans="1:21" ht="15" customHeight="1" thickBot="1" x14ac:dyDescent="0.25">
      <c r="A14" s="409"/>
      <c r="B14" s="410" t="s">
        <v>173</v>
      </c>
      <c r="C14" s="410" t="s">
        <v>173</v>
      </c>
      <c r="D14" s="410" t="s">
        <v>173</v>
      </c>
      <c r="E14" s="410" t="s">
        <v>89</v>
      </c>
      <c r="F14" s="410" t="s">
        <v>90</v>
      </c>
      <c r="G14" s="410" t="s">
        <v>89</v>
      </c>
      <c r="H14" s="492"/>
      <c r="I14" s="410" t="s">
        <v>173</v>
      </c>
      <c r="J14" s="410" t="s">
        <v>173</v>
      </c>
      <c r="K14" s="410" t="s">
        <v>173</v>
      </c>
      <c r="L14" s="410" t="s">
        <v>89</v>
      </c>
      <c r="M14" s="410" t="s">
        <v>90</v>
      </c>
      <c r="N14" s="410" t="s">
        <v>89</v>
      </c>
      <c r="O14" s="492"/>
      <c r="P14" s="410" t="s">
        <v>173</v>
      </c>
      <c r="Q14" s="410" t="s">
        <v>173</v>
      </c>
      <c r="R14" s="410" t="s">
        <v>173</v>
      </c>
      <c r="S14" s="410" t="s">
        <v>89</v>
      </c>
      <c r="T14" s="410" t="s">
        <v>90</v>
      </c>
      <c r="U14" s="429" t="s">
        <v>89</v>
      </c>
    </row>
    <row r="15" spans="1:21" ht="15" customHeight="1" x14ac:dyDescent="0.2">
      <c r="A15" s="204"/>
      <c r="B15" s="411">
        <f>C4*0.05</f>
        <v>20.306793564385856</v>
      </c>
      <c r="C15" s="411">
        <f>0.9*C5</f>
        <v>50.318999999999996</v>
      </c>
      <c r="D15" s="411">
        <f>C6</f>
        <v>30.2</v>
      </c>
      <c r="E15" s="219">
        <f>B15*C15</f>
        <v>1021.8175453663318</v>
      </c>
      <c r="F15" s="219">
        <f>D15*E15</f>
        <v>30858.88987006322</v>
      </c>
      <c r="G15" s="219">
        <f>B15*D15</f>
        <v>613.26516564445285</v>
      </c>
      <c r="H15" s="490"/>
      <c r="I15" s="411">
        <f>J4*0.05</f>
        <v>20.306793564385856</v>
      </c>
      <c r="J15" s="411">
        <f>0.9*J5</f>
        <v>50.318999999999996</v>
      </c>
      <c r="K15" s="411">
        <f>J6</f>
        <v>30.2</v>
      </c>
      <c r="L15" s="219">
        <f>I15*J15</f>
        <v>1021.8175453663318</v>
      </c>
      <c r="M15" s="219">
        <f>K15*L15</f>
        <v>30858.88987006322</v>
      </c>
      <c r="N15" s="219">
        <f>I15*K15</f>
        <v>613.26516564445285</v>
      </c>
      <c r="O15" s="490"/>
      <c r="P15" s="411">
        <f>Q4*0.05</f>
        <v>20.306793564385856</v>
      </c>
      <c r="Q15" s="411">
        <f>0.9*Q5</f>
        <v>50.318999999999996</v>
      </c>
      <c r="R15" s="411">
        <f>Q6</f>
        <v>30.2</v>
      </c>
      <c r="S15" s="219">
        <f>P15*Q15</f>
        <v>1021.8175453663318</v>
      </c>
      <c r="T15" s="219">
        <f>R15*S15</f>
        <v>30858.88987006322</v>
      </c>
      <c r="U15" s="394">
        <f>P15*R15</f>
        <v>613.26516564445285</v>
      </c>
    </row>
    <row r="16" spans="1:21" ht="15" customHeight="1" x14ac:dyDescent="0.2">
      <c r="A16" s="398" t="s">
        <v>93</v>
      </c>
      <c r="B16" s="238"/>
      <c r="C16" s="238"/>
      <c r="D16" s="238"/>
      <c r="E16" s="414">
        <f>SUM(E15:E15)</f>
        <v>1021.8175453663318</v>
      </c>
      <c r="F16" s="414">
        <f>SUM(F15:F15)</f>
        <v>30858.88987006322</v>
      </c>
      <c r="G16" s="414">
        <f>SUM(G15:G15)</f>
        <v>613.26516564445285</v>
      </c>
      <c r="H16" s="235" t="s">
        <v>93</v>
      </c>
      <c r="I16" s="238"/>
      <c r="J16" s="238"/>
      <c r="K16" s="238"/>
      <c r="L16" s="414">
        <f>SUM(L15:L15)</f>
        <v>1021.8175453663318</v>
      </c>
      <c r="M16" s="414">
        <f>SUM(M15:M15)</f>
        <v>30858.88987006322</v>
      </c>
      <c r="N16" s="414">
        <f>SUM(N15:N15)</f>
        <v>613.26516564445285</v>
      </c>
      <c r="O16" s="235" t="s">
        <v>93</v>
      </c>
      <c r="P16" s="238"/>
      <c r="Q16" s="238"/>
      <c r="R16" s="238"/>
      <c r="S16" s="414">
        <f>SUM(S15:S15)</f>
        <v>1021.8175453663318</v>
      </c>
      <c r="T16" s="414">
        <f>SUM(T15:T15)</f>
        <v>30858.88987006322</v>
      </c>
      <c r="U16" s="431">
        <f>SUM(U15:U15)</f>
        <v>613.26516564445285</v>
      </c>
    </row>
    <row r="17" spans="1:21" ht="15" customHeight="1" x14ac:dyDescent="0.2">
      <c r="A17" s="17" t="s">
        <v>170</v>
      </c>
      <c r="B17" s="17"/>
      <c r="C17" s="306">
        <v>3.5999999999999997E-2</v>
      </c>
      <c r="D17" s="17"/>
      <c r="E17" s="17"/>
      <c r="F17" s="17"/>
      <c r="G17" s="204"/>
      <c r="H17" s="490" t="s">
        <v>170</v>
      </c>
      <c r="I17" s="17"/>
      <c r="J17" s="306">
        <f>C17</f>
        <v>3.5999999999999997E-2</v>
      </c>
      <c r="K17" s="17"/>
      <c r="L17" s="9"/>
      <c r="M17" s="17"/>
      <c r="N17" s="204"/>
      <c r="O17" s="490" t="s">
        <v>170</v>
      </c>
      <c r="P17" s="17"/>
      <c r="Q17" s="306">
        <f>C17</f>
        <v>3.5999999999999997E-2</v>
      </c>
      <c r="R17" s="17"/>
      <c r="S17" s="17"/>
      <c r="T17" s="17"/>
      <c r="U17" s="204"/>
    </row>
    <row r="18" spans="1:21" ht="15" customHeight="1" thickBot="1" x14ac:dyDescent="0.25">
      <c r="A18" s="17" t="s">
        <v>109</v>
      </c>
      <c r="B18" s="17"/>
      <c r="C18" s="306">
        <v>1.4999999999999999E-2</v>
      </c>
      <c r="D18" s="17"/>
      <c r="E18" s="17"/>
      <c r="F18" s="17"/>
      <c r="G18" s="204"/>
      <c r="H18" s="490" t="s">
        <v>109</v>
      </c>
      <c r="I18" s="17"/>
      <c r="J18" s="306">
        <v>1.4999999999999999E-2</v>
      </c>
      <c r="K18" s="17"/>
      <c r="L18" s="9"/>
      <c r="M18" s="17"/>
      <c r="N18" s="204"/>
      <c r="O18" s="490" t="s">
        <v>109</v>
      </c>
      <c r="P18" s="17"/>
      <c r="Q18" s="306">
        <v>1.4999999999999999E-2</v>
      </c>
      <c r="R18" s="17"/>
      <c r="S18" s="17"/>
      <c r="T18" s="17"/>
      <c r="U18" s="204"/>
    </row>
    <row r="19" spans="1:21" ht="15" customHeight="1" thickBot="1" x14ac:dyDescent="0.25">
      <c r="A19" s="403" t="s">
        <v>94</v>
      </c>
      <c r="B19" s="404"/>
      <c r="C19" s="404"/>
      <c r="D19" s="17"/>
      <c r="E19" s="17"/>
      <c r="F19" s="17"/>
      <c r="G19" s="204"/>
      <c r="H19" s="489" t="s">
        <v>94</v>
      </c>
      <c r="I19" s="404"/>
      <c r="J19" s="404"/>
      <c r="K19" s="17"/>
      <c r="L19" s="416"/>
      <c r="M19" s="17"/>
      <c r="N19" s="204"/>
      <c r="O19" s="489" t="s">
        <v>94</v>
      </c>
      <c r="P19" s="404"/>
      <c r="Q19" s="404"/>
      <c r="R19" s="17"/>
      <c r="S19" s="17"/>
      <c r="T19" s="17"/>
      <c r="U19" s="204"/>
    </row>
    <row r="20" spans="1:21" ht="15" customHeight="1" x14ac:dyDescent="0.2">
      <c r="A20" s="17" t="s">
        <v>95</v>
      </c>
      <c r="B20" s="306" t="s">
        <v>104</v>
      </c>
      <c r="C20" s="277">
        <f>G5*C4*C5*C6</f>
        <v>534733.66112503398</v>
      </c>
      <c r="D20" s="417" t="s">
        <v>96</v>
      </c>
      <c r="E20" s="17"/>
      <c r="F20" s="506"/>
      <c r="G20" s="204"/>
      <c r="H20" s="490" t="s">
        <v>95</v>
      </c>
      <c r="I20" s="306" t="s">
        <v>104</v>
      </c>
      <c r="J20" s="277">
        <f>N5*J4*J5*J6</f>
        <v>534733.66112503398</v>
      </c>
      <c r="K20" s="417" t="s">
        <v>96</v>
      </c>
      <c r="L20" s="418"/>
      <c r="M20" s="17"/>
      <c r="N20" s="204"/>
      <c r="O20" s="490" t="s">
        <v>95</v>
      </c>
      <c r="P20" s="306" t="s">
        <v>104</v>
      </c>
      <c r="Q20" s="277">
        <f>U5*Q4*Q5*Q6</f>
        <v>534733.66112503398</v>
      </c>
      <c r="R20" s="417" t="s">
        <v>96</v>
      </c>
      <c r="S20" s="17"/>
      <c r="T20" s="17"/>
      <c r="U20" s="204"/>
    </row>
    <row r="21" spans="1:21" ht="15" customHeight="1" x14ac:dyDescent="0.2">
      <c r="A21" s="17" t="s">
        <v>97</v>
      </c>
      <c r="B21" s="306" t="s">
        <v>104</v>
      </c>
      <c r="C21" s="277">
        <f>F12+F16</f>
        <v>30858.88987006322</v>
      </c>
      <c r="D21" s="417" t="s">
        <v>98</v>
      </c>
      <c r="E21" s="17"/>
      <c r="F21" s="506"/>
      <c r="G21" s="204"/>
      <c r="H21" s="490" t="s">
        <v>97</v>
      </c>
      <c r="I21" s="306" t="s">
        <v>104</v>
      </c>
      <c r="J21" s="277">
        <f>M12+M16</f>
        <v>30858.88987006322</v>
      </c>
      <c r="K21" s="417" t="s">
        <v>98</v>
      </c>
      <c r="L21" s="418"/>
      <c r="M21" s="17"/>
      <c r="N21" s="204"/>
      <c r="O21" s="490" t="s">
        <v>97</v>
      </c>
      <c r="P21" s="306" t="s">
        <v>104</v>
      </c>
      <c r="Q21" s="277">
        <f>T12+T16</f>
        <v>30858.88987006322</v>
      </c>
      <c r="R21" s="417" t="s">
        <v>98</v>
      </c>
      <c r="S21" s="17"/>
      <c r="T21" s="17"/>
      <c r="U21" s="204"/>
    </row>
    <row r="22" spans="1:21" ht="15" customHeight="1" x14ac:dyDescent="0.2">
      <c r="A22" s="17" t="s">
        <v>99</v>
      </c>
      <c r="B22" s="306" t="s">
        <v>104</v>
      </c>
      <c r="C22" s="277">
        <f>C20+C21</f>
        <v>565592.55099509715</v>
      </c>
      <c r="D22" s="417" t="s">
        <v>100</v>
      </c>
      <c r="E22" s="17"/>
      <c r="F22" s="506"/>
      <c r="G22" s="204"/>
      <c r="H22" s="490" t="s">
        <v>99</v>
      </c>
      <c r="I22" s="306" t="s">
        <v>104</v>
      </c>
      <c r="J22" s="277">
        <f>J20+J21</f>
        <v>565592.55099509715</v>
      </c>
      <c r="K22" s="417" t="s">
        <v>100</v>
      </c>
      <c r="L22" s="418"/>
      <c r="M22" s="17"/>
      <c r="N22" s="204"/>
      <c r="O22" s="490" t="s">
        <v>99</v>
      </c>
      <c r="P22" s="306" t="s">
        <v>104</v>
      </c>
      <c r="Q22" s="277">
        <f>Q20+Q21</f>
        <v>565592.55099509715</v>
      </c>
      <c r="R22" s="417" t="s">
        <v>100</v>
      </c>
      <c r="S22" s="17"/>
      <c r="T22" s="17"/>
      <c r="U22" s="204"/>
    </row>
    <row r="23" spans="1:21" ht="15" customHeight="1" x14ac:dyDescent="0.2">
      <c r="A23" s="17" t="s">
        <v>101</v>
      </c>
      <c r="B23" s="306" t="s">
        <v>105</v>
      </c>
      <c r="C23" s="277">
        <f>C4*(C5+C7)+0.85*C4*(C6-C7)+0.85*G12+0.75*G16</f>
        <v>34587.343070604562</v>
      </c>
      <c r="D23" s="17"/>
      <c r="E23" s="17"/>
      <c r="F23" s="506"/>
      <c r="G23" s="204"/>
      <c r="H23" s="490" t="s">
        <v>101</v>
      </c>
      <c r="I23" s="306" t="s">
        <v>105</v>
      </c>
      <c r="J23" s="277">
        <f>J4*(J5+J7)+0.85*J4*(J6-J7)+0.85*N12+0.75*N16</f>
        <v>34587.343070604562</v>
      </c>
      <c r="K23" s="17"/>
      <c r="L23" s="418"/>
      <c r="M23" s="17"/>
      <c r="N23" s="204"/>
      <c r="O23" s="490" t="s">
        <v>101</v>
      </c>
      <c r="P23" s="306" t="s">
        <v>105</v>
      </c>
      <c r="Q23" s="277">
        <f>Q4*(Q5+Q7)+0.85*Q4*(Q6-Q7)+0.85*U12+0.75*U16</f>
        <v>34587.343070604562</v>
      </c>
      <c r="R23" s="17"/>
      <c r="S23" s="17"/>
      <c r="T23" s="17"/>
      <c r="U23" s="204"/>
    </row>
    <row r="24" spans="1:21" ht="15" customHeight="1" x14ac:dyDescent="0.2">
      <c r="A24" s="195" t="s">
        <v>102</v>
      </c>
      <c r="B24" s="419" t="s">
        <v>174</v>
      </c>
      <c r="C24" s="420">
        <f>C17*C23^1.36*(1+0.5*(G6-0.7))</f>
        <v>54731.156889061909</v>
      </c>
      <c r="D24" s="17"/>
      <c r="E24" s="504">
        <f>C24/C27*100</f>
        <v>89.880345143827057</v>
      </c>
      <c r="F24" s="506"/>
      <c r="G24" s="204"/>
      <c r="H24" s="493" t="s">
        <v>102</v>
      </c>
      <c r="I24" s="419" t="s">
        <v>174</v>
      </c>
      <c r="J24" s="420">
        <f>J17*J23^1.36*(1+0.5*(N6-0.7))</f>
        <v>54731.156889061909</v>
      </c>
      <c r="K24" s="17"/>
      <c r="L24" s="418"/>
      <c r="M24" s="17"/>
      <c r="N24" s="204"/>
      <c r="O24" s="493" t="s">
        <v>102</v>
      </c>
      <c r="P24" s="419" t="s">
        <v>174</v>
      </c>
      <c r="Q24" s="420">
        <f>Q17*Q23^1.36*(1+0.5*(U6-0.7))</f>
        <v>54731.156889061909</v>
      </c>
      <c r="R24" s="17"/>
      <c r="S24" s="17"/>
      <c r="T24" s="17"/>
      <c r="U24" s="204"/>
    </row>
    <row r="25" spans="1:21" ht="15" customHeight="1" x14ac:dyDescent="0.2">
      <c r="A25" s="421" t="s">
        <v>143</v>
      </c>
      <c r="B25" s="422" t="s">
        <v>174</v>
      </c>
      <c r="C25" s="424">
        <f>IF('SHIP DATA'!C58=1,1,0.7)*(0.08*'SHIP DATA'!C47-0.00000032*'SHIP DATA'!C47^2)</f>
        <v>4722.5201792744938</v>
      </c>
      <c r="E25" s="504">
        <f>C25/C27*100</f>
        <v>7.7553950581064512</v>
      </c>
      <c r="F25" s="506"/>
      <c r="G25" s="474"/>
      <c r="H25" s="494" t="s">
        <v>143</v>
      </c>
      <c r="I25" s="422" t="s">
        <v>174</v>
      </c>
      <c r="J25" s="424">
        <f>IF('SHIP DATA'!D58=1,1,0.7)*(0.08*'SHIP DATA'!D47-0.00000032*'SHIP DATA'!D47^2)</f>
        <v>3852.7151601976393</v>
      </c>
      <c r="K25" s="424"/>
      <c r="N25" s="474"/>
      <c r="O25" s="494" t="s">
        <v>143</v>
      </c>
      <c r="P25" s="422" t="s">
        <v>174</v>
      </c>
      <c r="Q25" s="424">
        <f>IF('SHIP DATA'!E58=1,1,0.7)*(0.08*'SHIP DATA'!E47-0.00000032*'SHIP DATA'!E47^2)</f>
        <v>4336.5862447787385</v>
      </c>
      <c r="U25" s="474"/>
    </row>
    <row r="26" spans="1:21" ht="15" customHeight="1" x14ac:dyDescent="0.2">
      <c r="A26" s="421" t="s">
        <v>103</v>
      </c>
      <c r="B26" s="422" t="s">
        <v>174</v>
      </c>
      <c r="C26" s="424">
        <f>49*'SHIP DATA'!C2^0.345</f>
        <v>1439.6770921096786</v>
      </c>
      <c r="E26" s="504">
        <f>C26/C27*100</f>
        <v>2.3642597980664961</v>
      </c>
      <c r="F26" s="506"/>
      <c r="G26" s="474"/>
      <c r="H26" s="494" t="s">
        <v>103</v>
      </c>
      <c r="I26" s="422" t="s">
        <v>174</v>
      </c>
      <c r="J26" s="424">
        <f>49*'SHIP DATA'!D2^0.345</f>
        <v>1439.6770921096786</v>
      </c>
      <c r="K26" s="424"/>
      <c r="N26" s="474"/>
      <c r="O26" s="494" t="s">
        <v>103</v>
      </c>
      <c r="P26" s="422" t="s">
        <v>174</v>
      </c>
      <c r="Q26" s="424">
        <f>49*'SHIP DATA'!D2^0.345</f>
        <v>1439.6770921096786</v>
      </c>
      <c r="U26" s="474"/>
    </row>
    <row r="27" spans="1:21" ht="15" customHeight="1" x14ac:dyDescent="0.2">
      <c r="A27" s="436" t="s">
        <v>144</v>
      </c>
      <c r="B27" s="437" t="s">
        <v>174</v>
      </c>
      <c r="C27" s="472">
        <f>SUM(C24:C26)</f>
        <v>60893.354160446077</v>
      </c>
      <c r="D27" s="424"/>
      <c r="E27" s="505">
        <v>100</v>
      </c>
      <c r="F27" s="506"/>
      <c r="H27" s="495" t="s">
        <v>146</v>
      </c>
      <c r="I27" s="437" t="s">
        <v>174</v>
      </c>
      <c r="J27" s="472">
        <f>J25+J26+J66</f>
        <v>60023.549141369229</v>
      </c>
      <c r="K27" s="331"/>
      <c r="L27" s="331"/>
      <c r="M27" s="331"/>
      <c r="N27" s="331"/>
      <c r="O27" s="495" t="s">
        <v>144</v>
      </c>
      <c r="P27" s="437" t="s">
        <v>174</v>
      </c>
      <c r="Q27" s="472">
        <f>Q25+Q26+Q66</f>
        <v>60507.420225950329</v>
      </c>
    </row>
    <row r="28" spans="1:21" ht="15" customHeight="1" x14ac:dyDescent="0.2">
      <c r="A28" s="421" t="s">
        <v>107</v>
      </c>
      <c r="B28" s="422" t="s">
        <v>174</v>
      </c>
      <c r="C28" s="424">
        <f>'SHIP DATA'!C21</f>
        <v>61717.779740126432</v>
      </c>
      <c r="D28" s="473">
        <f>C28/C27</f>
        <v>1.0135388432949202</v>
      </c>
      <c r="F28" s="506"/>
      <c r="H28" s="494" t="s">
        <v>107</v>
      </c>
      <c r="I28" s="422" t="s">
        <v>174</v>
      </c>
      <c r="J28" s="424">
        <f>'SHIP DATA'!D21</f>
        <v>61717.779740126432</v>
      </c>
      <c r="K28" s="473">
        <f>J28/J27</f>
        <v>1.0282260983062981</v>
      </c>
      <c r="O28" s="494" t="s">
        <v>107</v>
      </c>
      <c r="P28" s="422" t="s">
        <v>174</v>
      </c>
      <c r="Q28" s="424">
        <f>'SHIP DATA'!E21</f>
        <v>61717.779740126432</v>
      </c>
      <c r="R28" s="473">
        <f>Q28/Q27</f>
        <v>1.0200034889879011</v>
      </c>
    </row>
    <row r="29" spans="1:21" ht="15" customHeight="1" x14ac:dyDescent="0.2">
      <c r="F29" s="17"/>
      <c r="H29" s="494" t="s">
        <v>147</v>
      </c>
      <c r="I29" s="422" t="s">
        <v>174</v>
      </c>
      <c r="J29" s="424">
        <f>J8-'SHIP DATA'!D15</f>
        <v>61717.779740126454</v>
      </c>
      <c r="K29" s="473">
        <f>J29/J27</f>
        <v>1.0282260983062985</v>
      </c>
      <c r="O29" s="494" t="s">
        <v>147</v>
      </c>
      <c r="P29" s="422" t="s">
        <v>174</v>
      </c>
      <c r="Q29" s="424">
        <f>Q8-'SHIP DATA'!E15</f>
        <v>61717.779740126454</v>
      </c>
      <c r="R29" s="473">
        <f>Q29/Q27</f>
        <v>1.0200034889879015</v>
      </c>
    </row>
    <row r="30" spans="1:21" ht="15" customHeight="1" x14ac:dyDescent="0.2">
      <c r="A30" s="421"/>
      <c r="B30" s="422"/>
      <c r="C30" s="424"/>
      <c r="H30" s="496" t="s">
        <v>108</v>
      </c>
      <c r="I30" s="438" t="s">
        <v>174</v>
      </c>
      <c r="J30" s="439">
        <f>J66-C24</f>
        <v>0</v>
      </c>
      <c r="O30" s="496" t="s">
        <v>108</v>
      </c>
      <c r="P30" s="438" t="s">
        <v>174</v>
      </c>
      <c r="Q30" s="439">
        <f>Q66-C24</f>
        <v>0</v>
      </c>
    </row>
    <row r="31" spans="1:21" ht="15" customHeight="1" x14ac:dyDescent="0.2">
      <c r="A31" s="421"/>
      <c r="B31" s="422"/>
      <c r="C31" s="424"/>
      <c r="H31" s="496" t="s">
        <v>145</v>
      </c>
      <c r="I31" s="438" t="s">
        <v>174</v>
      </c>
      <c r="J31" s="439">
        <f>J25-C25</f>
        <v>-869.80501907685448</v>
      </c>
      <c r="O31" s="496" t="s">
        <v>145</v>
      </c>
      <c r="P31" s="438" t="s">
        <v>174</v>
      </c>
      <c r="Q31" s="439">
        <f>Q25-C25</f>
        <v>-385.93393449575524</v>
      </c>
    </row>
    <row r="32" spans="1:21" ht="15" customHeight="1" x14ac:dyDescent="0.2">
      <c r="H32" s="496" t="s">
        <v>130</v>
      </c>
      <c r="I32" s="438" t="s">
        <v>174</v>
      </c>
      <c r="J32" s="439">
        <f>J26-C26</f>
        <v>0</v>
      </c>
      <c r="O32" s="496" t="s">
        <v>130</v>
      </c>
      <c r="P32" s="438" t="s">
        <v>174</v>
      </c>
      <c r="Q32" s="439">
        <f>Q26-C26</f>
        <v>0</v>
      </c>
    </row>
    <row r="33" spans="1:21" ht="24" customHeight="1" thickBot="1" x14ac:dyDescent="0.4">
      <c r="A33" s="475" t="s">
        <v>123</v>
      </c>
      <c r="B33" s="476"/>
      <c r="C33" s="476"/>
      <c r="D33" s="477"/>
      <c r="E33" s="476"/>
      <c r="F33" s="478"/>
      <c r="G33" s="479"/>
      <c r="H33" s="497"/>
      <c r="I33" s="476"/>
      <c r="J33" s="476"/>
      <c r="K33" s="477"/>
      <c r="L33" s="476"/>
      <c r="M33" s="478"/>
      <c r="N33" s="478"/>
      <c r="O33" s="497"/>
      <c r="P33" s="476"/>
      <c r="Q33" s="476"/>
      <c r="R33" s="477"/>
      <c r="S33" s="476"/>
      <c r="T33" s="478"/>
      <c r="U33" s="479"/>
    </row>
    <row r="34" spans="1:21" ht="15" customHeight="1" thickBot="1" x14ac:dyDescent="0.25">
      <c r="A34" s="403" t="s">
        <v>76</v>
      </c>
      <c r="B34" s="404"/>
      <c r="C34" s="441" t="s">
        <v>125</v>
      </c>
      <c r="E34" s="465"/>
      <c r="F34" s="421"/>
      <c r="H34" s="489" t="s">
        <v>76</v>
      </c>
      <c r="I34" s="404"/>
      <c r="J34" s="441" t="s">
        <v>126</v>
      </c>
      <c r="K34" s="441" t="s">
        <v>114</v>
      </c>
      <c r="L34" s="461"/>
      <c r="M34" s="421"/>
      <c r="N34" s="421"/>
      <c r="O34" s="489" t="s">
        <v>76</v>
      </c>
      <c r="P34" s="404"/>
      <c r="Q34" s="441" t="s">
        <v>126</v>
      </c>
      <c r="R34" s="441" t="s">
        <v>114</v>
      </c>
      <c r="S34" s="461"/>
      <c r="T34" s="421"/>
    </row>
    <row r="35" spans="1:21" ht="15" customHeight="1" x14ac:dyDescent="0.2">
      <c r="A35" s="204" t="s">
        <v>77</v>
      </c>
      <c r="B35" s="442" t="s">
        <v>173</v>
      </c>
      <c r="C35" s="466">
        <f>'SHIP DATA'!C5</f>
        <v>406.13587128771707</v>
      </c>
      <c r="E35" s="397"/>
      <c r="F35" s="204"/>
      <c r="H35" s="490" t="s">
        <v>77</v>
      </c>
      <c r="I35" s="485" t="s">
        <v>173</v>
      </c>
      <c r="J35" s="443">
        <f>'SHIP DATA'!D5</f>
        <v>406.13587128771707</v>
      </c>
      <c r="K35" s="444">
        <f>J35-C35</f>
        <v>0</v>
      </c>
      <c r="M35" s="204"/>
      <c r="N35" s="204"/>
      <c r="O35" s="490" t="s">
        <v>77</v>
      </c>
      <c r="P35" s="485" t="s">
        <v>173</v>
      </c>
      <c r="Q35" s="443">
        <f>'SHIP DATA'!E5</f>
        <v>406.13587128771707</v>
      </c>
      <c r="R35" s="444">
        <f>Q35-C35</f>
        <v>0</v>
      </c>
      <c r="T35" s="204"/>
    </row>
    <row r="36" spans="1:21" ht="15" customHeight="1" x14ac:dyDescent="0.2">
      <c r="A36" s="17" t="s">
        <v>62</v>
      </c>
      <c r="B36" s="405" t="s">
        <v>173</v>
      </c>
      <c r="C36" s="466">
        <f>'SHIP DATA'!C8</f>
        <v>55.91</v>
      </c>
      <c r="E36" s="397"/>
      <c r="F36" s="17"/>
      <c r="H36" s="490" t="s">
        <v>62</v>
      </c>
      <c r="I36" s="484" t="s">
        <v>173</v>
      </c>
      <c r="J36" s="443">
        <f>'SHIP DATA'!D8</f>
        <v>55.91</v>
      </c>
      <c r="K36" s="444">
        <f>J36-C36</f>
        <v>0</v>
      </c>
      <c r="M36" s="17"/>
      <c r="N36" s="17"/>
      <c r="O36" s="490" t="s">
        <v>62</v>
      </c>
      <c r="P36" s="484" t="s">
        <v>173</v>
      </c>
      <c r="Q36" s="443">
        <f>'SHIP DATA'!E8</f>
        <v>55.91</v>
      </c>
      <c r="R36" s="444">
        <f>Q36-C36</f>
        <v>0</v>
      </c>
      <c r="T36" s="17"/>
    </row>
    <row r="37" spans="1:21" ht="15" customHeight="1" x14ac:dyDescent="0.2">
      <c r="A37" s="17" t="s">
        <v>79</v>
      </c>
      <c r="B37" s="405" t="s">
        <v>173</v>
      </c>
      <c r="C37" s="466">
        <f>'SHIP DATA'!C9</f>
        <v>30.2</v>
      </c>
      <c r="E37" s="397"/>
      <c r="F37" s="17"/>
      <c r="H37" s="490" t="s">
        <v>79</v>
      </c>
      <c r="I37" s="484" t="s">
        <v>173</v>
      </c>
      <c r="J37" s="443">
        <f>'SHIP DATA'!D9</f>
        <v>30.2</v>
      </c>
      <c r="K37" s="444">
        <f>J37-C37</f>
        <v>0</v>
      </c>
      <c r="M37" s="17"/>
      <c r="N37" s="17"/>
      <c r="O37" s="490" t="s">
        <v>79</v>
      </c>
      <c r="P37" s="484" t="s">
        <v>173</v>
      </c>
      <c r="Q37" s="443">
        <f>'SHIP DATA'!E9</f>
        <v>30.2</v>
      </c>
      <c r="R37" s="444">
        <f>Q37-C37</f>
        <v>0</v>
      </c>
      <c r="T37" s="17"/>
    </row>
    <row r="38" spans="1:21" ht="15" customHeight="1" x14ac:dyDescent="0.2">
      <c r="A38" s="17" t="s">
        <v>81</v>
      </c>
      <c r="B38" s="405" t="s">
        <v>173</v>
      </c>
      <c r="C38" s="466">
        <f>'SHIP DATA'!C11</f>
        <v>16.330000000000002</v>
      </c>
      <c r="E38" s="462"/>
      <c r="F38" s="17"/>
      <c r="H38" s="490" t="s">
        <v>81</v>
      </c>
      <c r="I38" s="484" t="s">
        <v>173</v>
      </c>
      <c r="J38" s="443">
        <f>'SHIP DATA'!D11</f>
        <v>16.330000000000002</v>
      </c>
      <c r="K38" s="445"/>
      <c r="M38" s="17"/>
      <c r="N38" s="17"/>
      <c r="O38" s="490" t="s">
        <v>81</v>
      </c>
      <c r="P38" s="484" t="s">
        <v>173</v>
      </c>
      <c r="Q38" s="443">
        <f>'SHIP DATA'!E11</f>
        <v>16.330000000000002</v>
      </c>
      <c r="R38" s="445"/>
      <c r="T38" s="17"/>
    </row>
    <row r="39" spans="1:21" ht="15" customHeight="1" x14ac:dyDescent="0.2">
      <c r="A39" s="17" t="s">
        <v>82</v>
      </c>
      <c r="B39" s="405" t="s">
        <v>174</v>
      </c>
      <c r="C39" s="467">
        <f>C8</f>
        <v>263317.77974012645</v>
      </c>
      <c r="E39" s="399"/>
      <c r="F39" s="17"/>
      <c r="H39" s="490" t="s">
        <v>82</v>
      </c>
      <c r="I39" s="484" t="s">
        <v>174</v>
      </c>
      <c r="J39" s="449">
        <f>J8</f>
        <v>263317.77974012645</v>
      </c>
      <c r="K39" s="446"/>
      <c r="M39" s="17"/>
      <c r="N39" s="447"/>
      <c r="O39" s="490" t="s">
        <v>82</v>
      </c>
      <c r="P39" s="484" t="s">
        <v>174</v>
      </c>
      <c r="Q39" s="449">
        <f>Q8</f>
        <v>263317.77974012645</v>
      </c>
      <c r="R39" s="446"/>
      <c r="T39" s="17"/>
    </row>
    <row r="40" spans="1:21" ht="15" customHeight="1" x14ac:dyDescent="0.2">
      <c r="A40" s="204" t="s">
        <v>121</v>
      </c>
      <c r="B40" s="448" t="s">
        <v>193</v>
      </c>
      <c r="C40" s="468">
        <f>C39/1.025/C35/C36/C38</f>
        <v>0.6928022550088464</v>
      </c>
      <c r="E40" s="399"/>
      <c r="F40" s="17"/>
      <c r="H40" s="490" t="s">
        <v>121</v>
      </c>
      <c r="I40" s="486" t="s">
        <v>193</v>
      </c>
      <c r="J40" s="205">
        <f>J39/1.025/J35/J36/J38</f>
        <v>0.6928022550088464</v>
      </c>
      <c r="K40" s="446"/>
      <c r="M40" s="17"/>
      <c r="N40" s="447"/>
      <c r="O40" s="490" t="s">
        <v>121</v>
      </c>
      <c r="P40" s="486" t="s">
        <v>193</v>
      </c>
      <c r="Q40" s="205">
        <f>Q39/1.025/Q35/Q36/Q38</f>
        <v>0.6928022550088464</v>
      </c>
      <c r="R40" s="446"/>
      <c r="T40" s="17"/>
    </row>
    <row r="41" spans="1:21" ht="15" customHeight="1" x14ac:dyDescent="0.2">
      <c r="A41" s="17" t="s">
        <v>122</v>
      </c>
      <c r="B41" s="448" t="s">
        <v>193</v>
      </c>
      <c r="C41" s="468">
        <f>C40+(1-C40)*(C37-C38)/3/C38</f>
        <v>0.77977577456441494</v>
      </c>
      <c r="E41" s="399"/>
      <c r="F41" s="17"/>
      <c r="H41" s="490" t="s">
        <v>122</v>
      </c>
      <c r="I41" s="486" t="s">
        <v>193</v>
      </c>
      <c r="J41" s="205">
        <f>J40+(1-J40)*(J37-J38)/3/J38</f>
        <v>0.77977577456441494</v>
      </c>
      <c r="K41" s="446">
        <f>J41-C41</f>
        <v>0</v>
      </c>
      <c r="M41" s="17"/>
      <c r="N41" s="447"/>
      <c r="O41" s="490" t="s">
        <v>122</v>
      </c>
      <c r="P41" s="486" t="s">
        <v>193</v>
      </c>
      <c r="Q41" s="205">
        <f>Q40+(1-Q40)*(Q37-Q38)/3/Q38</f>
        <v>0.77977577456441494</v>
      </c>
      <c r="R41" s="446">
        <f>Q41-C41</f>
        <v>0</v>
      </c>
      <c r="T41" s="17"/>
    </row>
    <row r="42" spans="1:21" ht="15" customHeight="1" x14ac:dyDescent="0.2">
      <c r="A42" s="17" t="s">
        <v>95</v>
      </c>
      <c r="B42" s="405" t="s">
        <v>104</v>
      </c>
      <c r="C42" s="469">
        <f>C41*C35*C36*C37</f>
        <v>534733.66112503398</v>
      </c>
      <c r="E42" s="463"/>
      <c r="F42" s="17"/>
      <c r="H42" s="490" t="s">
        <v>95</v>
      </c>
      <c r="I42" s="484" t="s">
        <v>104</v>
      </c>
      <c r="J42" s="450">
        <f>J41*J35*J36*J37</f>
        <v>534733.66112503398</v>
      </c>
      <c r="K42" s="449">
        <f>J42-C42</f>
        <v>0</v>
      </c>
      <c r="M42" s="17"/>
      <c r="N42" s="447"/>
      <c r="O42" s="490" t="s">
        <v>95</v>
      </c>
      <c r="P42" s="484" t="s">
        <v>104</v>
      </c>
      <c r="Q42" s="450">
        <f>Q41*Q35*Q36*Q37</f>
        <v>534733.66112503398</v>
      </c>
      <c r="R42" s="449">
        <f>Q42-C42</f>
        <v>0</v>
      </c>
      <c r="T42" s="17"/>
    </row>
    <row r="43" spans="1:21" ht="15" customHeight="1" x14ac:dyDescent="0.2">
      <c r="A43" s="17" t="s">
        <v>97</v>
      </c>
      <c r="B43" s="405" t="s">
        <v>104</v>
      </c>
      <c r="C43" s="449">
        <f>F52+F57</f>
        <v>30858.88987006322</v>
      </c>
      <c r="E43" s="463"/>
      <c r="F43" s="17"/>
      <c r="H43" s="490" t="s">
        <v>97</v>
      </c>
      <c r="I43" s="484" t="s">
        <v>104</v>
      </c>
      <c r="J43" s="450">
        <f>M52+M57</f>
        <v>30858.88987006322</v>
      </c>
      <c r="K43" s="449">
        <f>J43-C43</f>
        <v>0</v>
      </c>
      <c r="M43" s="17"/>
      <c r="N43" s="447"/>
      <c r="O43" s="490" t="s">
        <v>97</v>
      </c>
      <c r="P43" s="484" t="s">
        <v>104</v>
      </c>
      <c r="Q43" s="450">
        <f>T52+T57</f>
        <v>30858.88987006322</v>
      </c>
      <c r="R43" s="449">
        <f>Q43-C43</f>
        <v>0</v>
      </c>
      <c r="T43" s="17"/>
    </row>
    <row r="44" spans="1:21" ht="15" customHeight="1" x14ac:dyDescent="0.2">
      <c r="A44" s="17" t="s">
        <v>99</v>
      </c>
      <c r="B44" s="405" t="s">
        <v>104</v>
      </c>
      <c r="C44" s="449">
        <f>C42+C43</f>
        <v>565592.55099509715</v>
      </c>
      <c r="E44" s="463"/>
      <c r="F44" s="17"/>
      <c r="H44" s="490" t="s">
        <v>99</v>
      </c>
      <c r="I44" s="484" t="s">
        <v>104</v>
      </c>
      <c r="J44" s="450">
        <f>J42+J43</f>
        <v>565592.55099509715</v>
      </c>
      <c r="K44" s="449">
        <f>J44-C44</f>
        <v>0</v>
      </c>
      <c r="M44" s="17"/>
      <c r="N44" s="447"/>
      <c r="O44" s="490" t="s">
        <v>99</v>
      </c>
      <c r="P44" s="484" t="s">
        <v>104</v>
      </c>
      <c r="Q44" s="450">
        <f>Q42+Q43</f>
        <v>565592.55099509715</v>
      </c>
      <c r="R44" s="449">
        <f>Q44-C44</f>
        <v>0</v>
      </c>
      <c r="T44" s="17"/>
    </row>
    <row r="45" spans="1:21" ht="15" customHeight="1" x14ac:dyDescent="0.2">
      <c r="A45" s="421" t="s">
        <v>110</v>
      </c>
      <c r="B45" s="448" t="s">
        <v>193</v>
      </c>
      <c r="C45" s="443">
        <f>C43/C44</f>
        <v>5.4560283397952179E-2</v>
      </c>
      <c r="E45" s="464"/>
      <c r="F45" s="17"/>
      <c r="H45" s="494" t="s">
        <v>110</v>
      </c>
      <c r="I45" s="486" t="s">
        <v>193</v>
      </c>
      <c r="J45" s="444">
        <f>J43/J42</f>
        <v>5.7708897182830704E-2</v>
      </c>
      <c r="K45" s="451"/>
      <c r="M45" s="17"/>
      <c r="N45" s="447"/>
      <c r="O45" s="494" t="s">
        <v>110</v>
      </c>
      <c r="P45" s="486" t="s">
        <v>193</v>
      </c>
      <c r="Q45" s="444">
        <f>Q43/Q42</f>
        <v>5.7708897182830704E-2</v>
      </c>
      <c r="R45" s="451"/>
      <c r="T45" s="17"/>
    </row>
    <row r="46" spans="1:21" ht="15" customHeight="1" x14ac:dyDescent="0.2">
      <c r="A46" s="17" t="s">
        <v>113</v>
      </c>
      <c r="B46" s="405" t="s">
        <v>174</v>
      </c>
      <c r="C46" s="450">
        <f>C43*0.055</f>
        <v>1697.2389428534771</v>
      </c>
      <c r="E46" s="229"/>
      <c r="F46" s="17"/>
      <c r="H46" s="490" t="s">
        <v>113</v>
      </c>
      <c r="I46" s="484" t="s">
        <v>174</v>
      </c>
      <c r="J46" s="450">
        <f>0.055*J43</f>
        <v>1697.2389428534771</v>
      </c>
      <c r="K46" s="205"/>
      <c r="M46" s="17"/>
      <c r="N46" s="447"/>
      <c r="O46" s="490" t="s">
        <v>113</v>
      </c>
      <c r="P46" s="484" t="s">
        <v>174</v>
      </c>
      <c r="Q46" s="450">
        <f>0.055*Q43</f>
        <v>1697.2389428534771</v>
      </c>
      <c r="R46" s="205"/>
      <c r="T46" s="17"/>
    </row>
    <row r="47" spans="1:21" ht="15" customHeight="1" x14ac:dyDescent="0.2">
      <c r="A47" s="17" t="s">
        <v>128</v>
      </c>
      <c r="B47" s="405" t="s">
        <v>174</v>
      </c>
      <c r="C47" s="450">
        <f>C48-C46</f>
        <v>53033.917946208428</v>
      </c>
      <c r="E47" s="229"/>
      <c r="F47" s="17"/>
      <c r="H47" s="490" t="s">
        <v>128</v>
      </c>
      <c r="I47" s="484" t="s">
        <v>174</v>
      </c>
      <c r="J47" s="450">
        <f>C47+J64</f>
        <v>53033.917946208428</v>
      </c>
      <c r="K47" s="205"/>
      <c r="M47" s="17"/>
      <c r="N47" s="447"/>
      <c r="O47" s="490" t="s">
        <v>128</v>
      </c>
      <c r="P47" s="484" t="s">
        <v>174</v>
      </c>
      <c r="Q47" s="450">
        <f>C47+Q64</f>
        <v>53033.917946208428</v>
      </c>
      <c r="R47" s="205"/>
      <c r="T47" s="17"/>
    </row>
    <row r="48" spans="1:21" ht="15" customHeight="1" thickBot="1" x14ac:dyDescent="0.25">
      <c r="A48" s="434" t="s">
        <v>111</v>
      </c>
      <c r="B48" s="448" t="s">
        <v>174</v>
      </c>
      <c r="C48" s="469">
        <f>C24</f>
        <v>54731.156889061909</v>
      </c>
      <c r="E48" s="399"/>
      <c r="F48" s="17"/>
      <c r="H48" s="490" t="s">
        <v>111</v>
      </c>
      <c r="I48" s="484" t="s">
        <v>174</v>
      </c>
      <c r="J48" s="449">
        <f>J46+J47</f>
        <v>54731.156889061909</v>
      </c>
      <c r="K48" s="446"/>
      <c r="M48" s="17"/>
      <c r="N48" s="447"/>
      <c r="O48" s="490" t="s">
        <v>111</v>
      </c>
      <c r="P48" s="484" t="s">
        <v>174</v>
      </c>
      <c r="Q48" s="449">
        <f>Q46+Q47</f>
        <v>54731.156889061909</v>
      </c>
      <c r="R48" s="446"/>
      <c r="T48" s="17"/>
    </row>
    <row r="49" spans="1:20" ht="15" customHeight="1" x14ac:dyDescent="0.2">
      <c r="A49" s="407" t="s">
        <v>83</v>
      </c>
      <c r="B49" s="408" t="s">
        <v>84</v>
      </c>
      <c r="C49" s="408" t="s">
        <v>62</v>
      </c>
      <c r="D49" s="408" t="s">
        <v>85</v>
      </c>
      <c r="E49" s="408" t="s">
        <v>86</v>
      </c>
      <c r="F49" s="408" t="s">
        <v>87</v>
      </c>
      <c r="H49" s="491" t="s">
        <v>83</v>
      </c>
      <c r="I49" s="408" t="s">
        <v>84</v>
      </c>
      <c r="J49" s="408" t="s">
        <v>62</v>
      </c>
      <c r="K49" s="408" t="s">
        <v>85</v>
      </c>
      <c r="L49" s="408" t="s">
        <v>86</v>
      </c>
      <c r="M49" s="408" t="s">
        <v>87</v>
      </c>
      <c r="O49" s="491" t="s">
        <v>83</v>
      </c>
      <c r="P49" s="408" t="s">
        <v>84</v>
      </c>
      <c r="Q49" s="408" t="s">
        <v>62</v>
      </c>
      <c r="R49" s="408" t="s">
        <v>85</v>
      </c>
      <c r="S49" s="408" t="s">
        <v>86</v>
      </c>
      <c r="T49" s="408" t="s">
        <v>87</v>
      </c>
    </row>
    <row r="50" spans="1:20" ht="15" customHeight="1" thickBot="1" x14ac:dyDescent="0.25">
      <c r="A50" s="409"/>
      <c r="B50" s="410" t="s">
        <v>173</v>
      </c>
      <c r="C50" s="410" t="s">
        <v>173</v>
      </c>
      <c r="D50" s="410" t="s">
        <v>173</v>
      </c>
      <c r="E50" s="410" t="s">
        <v>89</v>
      </c>
      <c r="F50" s="410" t="s">
        <v>90</v>
      </c>
      <c r="H50" s="492"/>
      <c r="I50" s="410" t="s">
        <v>173</v>
      </c>
      <c r="J50" s="410" t="s">
        <v>173</v>
      </c>
      <c r="K50" s="410" t="s">
        <v>173</v>
      </c>
      <c r="L50" s="410" t="s">
        <v>89</v>
      </c>
      <c r="M50" s="410" t="s">
        <v>90</v>
      </c>
      <c r="O50" s="492"/>
      <c r="P50" s="410" t="s">
        <v>173</v>
      </c>
      <c r="Q50" s="410" t="s">
        <v>173</v>
      </c>
      <c r="R50" s="410" t="s">
        <v>173</v>
      </c>
      <c r="S50" s="410" t="s">
        <v>89</v>
      </c>
      <c r="T50" s="410" t="s">
        <v>90</v>
      </c>
    </row>
    <row r="51" spans="1:20" ht="15" customHeight="1" x14ac:dyDescent="0.2">
      <c r="A51" s="453"/>
      <c r="B51" s="412"/>
      <c r="C51" s="411"/>
      <c r="D51" s="412"/>
      <c r="E51" s="277"/>
      <c r="F51" s="277"/>
      <c r="H51" s="498"/>
      <c r="I51" s="412"/>
      <c r="J51" s="411"/>
      <c r="K51" s="412"/>
      <c r="L51" s="277"/>
      <c r="M51" s="277"/>
      <c r="O51" s="498"/>
      <c r="P51" s="412"/>
      <c r="Q51" s="411"/>
      <c r="R51" s="412"/>
      <c r="S51" s="277"/>
      <c r="T51" s="277"/>
    </row>
    <row r="52" spans="1:20" ht="15" customHeight="1" x14ac:dyDescent="0.2">
      <c r="A52" s="398" t="s">
        <v>91</v>
      </c>
      <c r="B52" s="413"/>
      <c r="C52" s="413"/>
      <c r="D52" s="413"/>
      <c r="E52" s="414">
        <f>SUM(E51:E51)</f>
        <v>0</v>
      </c>
      <c r="F52" s="414">
        <f>SUM(F51:F51)</f>
        <v>0</v>
      </c>
      <c r="H52" s="235" t="s">
        <v>91</v>
      </c>
      <c r="I52" s="413"/>
      <c r="J52" s="413"/>
      <c r="K52" s="413"/>
      <c r="L52" s="414">
        <f>SUM(L51:L51)</f>
        <v>0</v>
      </c>
      <c r="M52" s="414">
        <f>SUM(M51:M51)</f>
        <v>0</v>
      </c>
      <c r="O52" s="235" t="s">
        <v>91</v>
      </c>
      <c r="P52" s="413"/>
      <c r="Q52" s="413"/>
      <c r="R52" s="413"/>
      <c r="S52" s="414">
        <f>SUM(S51:S51)</f>
        <v>0</v>
      </c>
      <c r="T52" s="414">
        <f>SUM(T51:T51)</f>
        <v>0</v>
      </c>
    </row>
    <row r="53" spans="1:20" ht="15" customHeight="1" thickBot="1" x14ac:dyDescent="0.25">
      <c r="A53" s="415"/>
      <c r="B53" s="307"/>
      <c r="C53" s="307"/>
      <c r="D53" s="307"/>
      <c r="E53" s="273"/>
      <c r="F53" s="273"/>
      <c r="H53" s="499"/>
      <c r="I53" s="307"/>
      <c r="J53" s="307"/>
      <c r="K53" s="307"/>
      <c r="L53" s="273"/>
      <c r="M53" s="273"/>
      <c r="O53" s="499"/>
      <c r="P53" s="307"/>
      <c r="Q53" s="307"/>
      <c r="R53" s="307"/>
      <c r="S53" s="273"/>
      <c r="T53" s="273"/>
    </row>
    <row r="54" spans="1:20" ht="15" customHeight="1" x14ac:dyDescent="0.2">
      <c r="A54" s="407" t="s">
        <v>92</v>
      </c>
      <c r="B54" s="408" t="s">
        <v>84</v>
      </c>
      <c r="C54" s="408" t="s">
        <v>62</v>
      </c>
      <c r="D54" s="408" t="s">
        <v>85</v>
      </c>
      <c r="E54" s="408" t="s">
        <v>86</v>
      </c>
      <c r="F54" s="408" t="s">
        <v>87</v>
      </c>
      <c r="H54" s="491" t="s">
        <v>92</v>
      </c>
      <c r="I54" s="408" t="s">
        <v>84</v>
      </c>
      <c r="J54" s="408" t="s">
        <v>62</v>
      </c>
      <c r="K54" s="408" t="s">
        <v>85</v>
      </c>
      <c r="L54" s="408" t="s">
        <v>86</v>
      </c>
      <c r="M54" s="408" t="s">
        <v>87</v>
      </c>
      <c r="O54" s="491" t="s">
        <v>92</v>
      </c>
      <c r="P54" s="408" t="s">
        <v>84</v>
      </c>
      <c r="Q54" s="408" t="s">
        <v>62</v>
      </c>
      <c r="R54" s="408" t="s">
        <v>85</v>
      </c>
      <c r="S54" s="408" t="s">
        <v>86</v>
      </c>
      <c r="T54" s="408" t="s">
        <v>87</v>
      </c>
    </row>
    <row r="55" spans="1:20" ht="15" customHeight="1" thickBot="1" x14ac:dyDescent="0.25">
      <c r="A55" s="409"/>
      <c r="B55" s="410" t="s">
        <v>173</v>
      </c>
      <c r="C55" s="410" t="s">
        <v>173</v>
      </c>
      <c r="D55" s="410" t="s">
        <v>173</v>
      </c>
      <c r="E55" s="410" t="s">
        <v>89</v>
      </c>
      <c r="F55" s="410" t="s">
        <v>90</v>
      </c>
      <c r="H55" s="492"/>
      <c r="I55" s="410" t="s">
        <v>173</v>
      </c>
      <c r="J55" s="410" t="s">
        <v>173</v>
      </c>
      <c r="K55" s="410" t="s">
        <v>173</v>
      </c>
      <c r="L55" s="410" t="s">
        <v>89</v>
      </c>
      <c r="M55" s="410" t="s">
        <v>90</v>
      </c>
      <c r="O55" s="492"/>
      <c r="P55" s="410" t="s">
        <v>173</v>
      </c>
      <c r="Q55" s="410" t="s">
        <v>173</v>
      </c>
      <c r="R55" s="410" t="s">
        <v>173</v>
      </c>
      <c r="S55" s="410" t="s">
        <v>89</v>
      </c>
      <c r="T55" s="410" t="s">
        <v>90</v>
      </c>
    </row>
    <row r="56" spans="1:20" ht="15" customHeight="1" x14ac:dyDescent="0.2">
      <c r="A56" s="452" t="s">
        <v>124</v>
      </c>
      <c r="B56" s="411">
        <f>C35*0.05</f>
        <v>20.306793564385856</v>
      </c>
      <c r="C56" s="411">
        <f>C36*0.9</f>
        <v>50.318999999999996</v>
      </c>
      <c r="D56" s="411">
        <f>C37</f>
        <v>30.2</v>
      </c>
      <c r="E56" s="219">
        <f>B56*C56</f>
        <v>1021.8175453663318</v>
      </c>
      <c r="F56" s="219">
        <f>D56*E56</f>
        <v>30858.88987006322</v>
      </c>
      <c r="H56" s="498" t="s">
        <v>124</v>
      </c>
      <c r="I56" s="411">
        <f>0.05*J35</f>
        <v>20.306793564385856</v>
      </c>
      <c r="J56" s="411">
        <f>0.9*J36</f>
        <v>50.318999999999996</v>
      </c>
      <c r="K56" s="411">
        <f>J37</f>
        <v>30.2</v>
      </c>
      <c r="L56" s="219">
        <f>I56*J56</f>
        <v>1021.8175453663318</v>
      </c>
      <c r="M56" s="219">
        <f>K56*L56</f>
        <v>30858.88987006322</v>
      </c>
      <c r="O56" s="498" t="s">
        <v>124</v>
      </c>
      <c r="P56" s="411">
        <f>0.05*Q35</f>
        <v>20.306793564385856</v>
      </c>
      <c r="Q56" s="411">
        <f>0.9*Q36</f>
        <v>50.318999999999996</v>
      </c>
      <c r="R56" s="411">
        <f>Q37</f>
        <v>30.2</v>
      </c>
      <c r="S56" s="219">
        <f>P56*Q56</f>
        <v>1021.8175453663318</v>
      </c>
      <c r="T56" s="219">
        <f>R56*S56</f>
        <v>30858.88987006322</v>
      </c>
    </row>
    <row r="57" spans="1:20" ht="15" customHeight="1" x14ac:dyDescent="0.2">
      <c r="A57" s="454" t="s">
        <v>93</v>
      </c>
      <c r="B57" s="436"/>
      <c r="C57" s="436"/>
      <c r="D57" s="437"/>
      <c r="E57" s="455">
        <f>SUM(E56:E56)</f>
        <v>1021.8175453663318</v>
      </c>
      <c r="F57" s="455">
        <f>SUM(F56:F56)</f>
        <v>30858.88987006322</v>
      </c>
      <c r="H57" s="500" t="s">
        <v>93</v>
      </c>
      <c r="I57" s="436"/>
      <c r="J57" s="436"/>
      <c r="K57" s="437"/>
      <c r="L57" s="455">
        <f>SUM(L56:L56)</f>
        <v>1021.8175453663318</v>
      </c>
      <c r="M57" s="455">
        <f>SUM(M56:M56)</f>
        <v>30858.88987006322</v>
      </c>
      <c r="O57" s="500" t="s">
        <v>93</v>
      </c>
      <c r="P57" s="436"/>
      <c r="Q57" s="436"/>
      <c r="R57" s="437"/>
      <c r="S57" s="455">
        <f>SUM(S56:S56)</f>
        <v>1021.8175453663318</v>
      </c>
      <c r="T57" s="455">
        <f>SUM(T56:T56)</f>
        <v>30858.88987006322</v>
      </c>
    </row>
    <row r="58" spans="1:20" ht="15" customHeight="1" x14ac:dyDescent="0.2">
      <c r="A58" s="421"/>
      <c r="B58" s="422"/>
      <c r="C58" s="425"/>
      <c r="D58" s="422"/>
      <c r="E58" s="435"/>
      <c r="F58" s="421"/>
      <c r="H58" s="501" t="s">
        <v>112</v>
      </c>
      <c r="I58" s="456" t="s">
        <v>174</v>
      </c>
      <c r="J58" s="457">
        <f>0.85*C47/C35*K35</f>
        <v>0</v>
      </c>
      <c r="K58" s="422"/>
      <c r="L58" s="435"/>
      <c r="M58" s="421"/>
      <c r="N58" s="421"/>
      <c r="O58" s="501" t="s">
        <v>112</v>
      </c>
      <c r="P58" s="456" t="s">
        <v>174</v>
      </c>
      <c r="Q58" s="457">
        <f>0.85*C47/C35*R35</f>
        <v>0</v>
      </c>
      <c r="R58" s="422"/>
      <c r="S58" s="435"/>
      <c r="T58" s="421"/>
    </row>
    <row r="59" spans="1:20" ht="15" customHeight="1" x14ac:dyDescent="0.2">
      <c r="A59" s="421"/>
      <c r="B59" s="422"/>
      <c r="C59" s="425"/>
      <c r="D59" s="458"/>
      <c r="E59" s="435"/>
      <c r="F59" s="434"/>
      <c r="H59" s="494" t="s">
        <v>115</v>
      </c>
      <c r="I59" s="422" t="s">
        <v>174</v>
      </c>
      <c r="J59" s="425">
        <f>0.55*C47/C36*K36</f>
        <v>0</v>
      </c>
      <c r="K59" s="458"/>
      <c r="L59" s="435"/>
      <c r="M59" s="434"/>
      <c r="N59" s="434"/>
      <c r="O59" s="494" t="s">
        <v>115</v>
      </c>
      <c r="P59" s="422" t="s">
        <v>174</v>
      </c>
      <c r="Q59" s="425">
        <f>0.55*C47/C36*R36</f>
        <v>0</v>
      </c>
      <c r="R59" s="458"/>
      <c r="S59" s="435"/>
      <c r="T59" s="434"/>
    </row>
    <row r="60" spans="1:20" ht="15" customHeight="1" x14ac:dyDescent="0.2">
      <c r="A60" s="421"/>
      <c r="B60" s="422"/>
      <c r="C60" s="425"/>
      <c r="D60" s="306"/>
      <c r="E60" s="418"/>
      <c r="F60" s="17"/>
      <c r="H60" s="494" t="s">
        <v>116</v>
      </c>
      <c r="I60" s="422" t="s">
        <v>174</v>
      </c>
      <c r="J60" s="425">
        <f>0.3*C47/C37*K37</f>
        <v>0</v>
      </c>
      <c r="K60" s="306"/>
      <c r="L60" s="418"/>
      <c r="M60" s="17"/>
      <c r="N60" s="17"/>
      <c r="O60" s="494" t="s">
        <v>116</v>
      </c>
      <c r="P60" s="422" t="s">
        <v>174</v>
      </c>
      <c r="Q60" s="425">
        <f>0.3*C47/C37*R37</f>
        <v>0</v>
      </c>
      <c r="R60" s="306"/>
      <c r="S60" s="418"/>
      <c r="T60" s="17"/>
    </row>
    <row r="61" spans="1:20" ht="15" customHeight="1" x14ac:dyDescent="0.2">
      <c r="A61" s="421"/>
      <c r="B61" s="422"/>
      <c r="C61" s="425"/>
      <c r="D61" s="306"/>
      <c r="E61" s="418"/>
      <c r="F61" s="17"/>
      <c r="H61" s="501" t="s">
        <v>117</v>
      </c>
      <c r="I61" s="456" t="s">
        <v>174</v>
      </c>
      <c r="J61" s="457">
        <f>SUM(J58:J60)</f>
        <v>0</v>
      </c>
      <c r="K61" s="306"/>
      <c r="L61" s="418"/>
      <c r="M61" s="17"/>
      <c r="N61" s="17"/>
      <c r="O61" s="501" t="s">
        <v>117</v>
      </c>
      <c r="P61" s="456" t="s">
        <v>174</v>
      </c>
      <c r="Q61" s="457">
        <f>SUM(Q58:Q60)</f>
        <v>0</v>
      </c>
      <c r="R61" s="306"/>
      <c r="S61" s="418"/>
      <c r="T61" s="17"/>
    </row>
    <row r="62" spans="1:20" ht="15" customHeight="1" x14ac:dyDescent="0.2">
      <c r="A62" s="421"/>
      <c r="B62" s="422"/>
      <c r="C62" s="459"/>
      <c r="D62" s="306"/>
      <c r="E62" s="418"/>
      <c r="F62" s="17"/>
      <c r="H62" s="494" t="s">
        <v>118</v>
      </c>
      <c r="I62" s="422" t="s">
        <v>174</v>
      </c>
      <c r="J62" s="459">
        <f>J61/3</f>
        <v>0</v>
      </c>
      <c r="K62" s="306"/>
      <c r="L62" s="418"/>
      <c r="M62" s="17"/>
      <c r="N62" s="17"/>
      <c r="O62" s="494" t="s">
        <v>118</v>
      </c>
      <c r="P62" s="422" t="s">
        <v>174</v>
      </c>
      <c r="Q62" s="459">
        <f>Q61/3</f>
        <v>0</v>
      </c>
      <c r="R62" s="306"/>
      <c r="S62" s="418"/>
      <c r="T62" s="17"/>
    </row>
    <row r="63" spans="1:20" ht="15" customHeight="1" x14ac:dyDescent="0.2">
      <c r="A63" s="421"/>
      <c r="B63" s="422"/>
      <c r="C63" s="459"/>
      <c r="D63" s="306"/>
      <c r="E63" s="418"/>
      <c r="F63" s="17"/>
      <c r="H63" s="494" t="s">
        <v>119</v>
      </c>
      <c r="I63" s="422" t="s">
        <v>174</v>
      </c>
      <c r="J63" s="459">
        <f>0.5*K41*C47</f>
        <v>0</v>
      </c>
      <c r="K63" s="306"/>
      <c r="L63" s="418"/>
      <c r="M63" s="17"/>
      <c r="N63" s="17"/>
      <c r="O63" s="494" t="s">
        <v>119</v>
      </c>
      <c r="P63" s="422" t="s">
        <v>174</v>
      </c>
      <c r="Q63" s="459">
        <f>0.5*R41*C47</f>
        <v>0</v>
      </c>
      <c r="R63" s="306"/>
      <c r="S63" s="418"/>
      <c r="T63" s="17"/>
    </row>
    <row r="64" spans="1:20" ht="15" customHeight="1" x14ac:dyDescent="0.2">
      <c r="A64" s="421"/>
      <c r="B64" s="422"/>
      <c r="C64" s="459"/>
      <c r="D64" s="306"/>
      <c r="E64" s="401"/>
      <c r="F64" s="17"/>
      <c r="H64" s="495" t="s">
        <v>120</v>
      </c>
      <c r="I64" s="437" t="s">
        <v>174</v>
      </c>
      <c r="J64" s="460">
        <f>SUM(J61:J63)</f>
        <v>0</v>
      </c>
      <c r="K64" s="306"/>
      <c r="L64" s="401"/>
      <c r="M64" s="17"/>
      <c r="N64" s="17"/>
      <c r="O64" s="495" t="s">
        <v>120</v>
      </c>
      <c r="P64" s="437" t="s">
        <v>174</v>
      </c>
      <c r="Q64" s="460">
        <f>SUM(Q61:Q63)</f>
        <v>0</v>
      </c>
      <c r="R64" s="306"/>
      <c r="S64" s="401"/>
      <c r="T64" s="17"/>
    </row>
    <row r="65" spans="1:17" ht="15" customHeight="1" thickBot="1" x14ac:dyDescent="0.25">
      <c r="A65" s="329"/>
      <c r="B65" s="329"/>
      <c r="C65" s="329"/>
      <c r="H65" s="502"/>
      <c r="O65" s="502"/>
    </row>
    <row r="66" spans="1:17" ht="15" customHeight="1" thickBot="1" x14ac:dyDescent="0.25">
      <c r="A66" s="329"/>
      <c r="B66" s="329"/>
      <c r="C66" s="329"/>
      <c r="H66" s="503" t="s">
        <v>127</v>
      </c>
      <c r="I66" s="470" t="s">
        <v>174</v>
      </c>
      <c r="J66" s="471">
        <f>(J24+J48)/2</f>
        <v>54731.156889061909</v>
      </c>
      <c r="O66" s="503" t="s">
        <v>127</v>
      </c>
      <c r="P66" s="470" t="s">
        <v>174</v>
      </c>
      <c r="Q66" s="471">
        <f>(Q24+Q48)/2</f>
        <v>54731.156889061909</v>
      </c>
    </row>
    <row r="71" spans="1:17" x14ac:dyDescent="0.2">
      <c r="C71" s="1" t="s">
        <v>131</v>
      </c>
      <c r="D71" s="1" t="s">
        <v>132</v>
      </c>
      <c r="E71" s="1" t="s">
        <v>133</v>
      </c>
    </row>
    <row r="72" spans="1:17" x14ac:dyDescent="0.2">
      <c r="C72" s="1"/>
      <c r="D72" s="1">
        <v>37380</v>
      </c>
      <c r="E72" s="1">
        <v>1067</v>
      </c>
    </row>
    <row r="73" spans="1:17" x14ac:dyDescent="0.2">
      <c r="C73" s="1"/>
      <c r="D73" s="1">
        <v>56070</v>
      </c>
      <c r="E73" s="1">
        <v>1581</v>
      </c>
    </row>
    <row r="74" spans="1:17" x14ac:dyDescent="0.2">
      <c r="C74" s="1"/>
      <c r="D74" s="1">
        <v>87220</v>
      </c>
      <c r="E74" s="1">
        <v>2328</v>
      </c>
    </row>
    <row r="75" spans="1:17" x14ac:dyDescent="0.2">
      <c r="C75" s="1"/>
      <c r="D75" s="1">
        <v>36120</v>
      </c>
      <c r="E75" s="1">
        <v>1111</v>
      </c>
      <c r="O75">
        <v>0</v>
      </c>
      <c r="P75">
        <v>0</v>
      </c>
    </row>
    <row r="76" spans="1:17" x14ac:dyDescent="0.2">
      <c r="C76" s="1"/>
      <c r="D76" s="1">
        <v>54180</v>
      </c>
      <c r="E76" s="1">
        <v>1618</v>
      </c>
      <c r="O76">
        <v>90000</v>
      </c>
      <c r="P76">
        <v>2700</v>
      </c>
    </row>
    <row r="77" spans="1:17" x14ac:dyDescent="0.2">
      <c r="C77" s="1"/>
      <c r="D77" s="1">
        <v>84280</v>
      </c>
      <c r="E77" s="1">
        <v>2405</v>
      </c>
    </row>
    <row r="78" spans="1:17" x14ac:dyDescent="0.2">
      <c r="C78" s="1" t="s">
        <v>134</v>
      </c>
      <c r="D78" s="1">
        <v>34320</v>
      </c>
      <c r="E78" s="1">
        <v>945</v>
      </c>
    </row>
    <row r="79" spans="1:17" x14ac:dyDescent="0.2">
      <c r="C79" s="1"/>
      <c r="D79" s="1">
        <v>51480</v>
      </c>
      <c r="E79" s="1">
        <v>1400</v>
      </c>
    </row>
    <row r="80" spans="1:17" x14ac:dyDescent="0.2">
      <c r="C80" s="1"/>
      <c r="D80" s="1">
        <v>68640</v>
      </c>
      <c r="E80" s="1">
        <v>1820</v>
      </c>
    </row>
    <row r="81" spans="3:5" x14ac:dyDescent="0.2">
      <c r="C81" s="1"/>
      <c r="D81" s="1">
        <v>27420</v>
      </c>
      <c r="E81" s="1">
        <v>991</v>
      </c>
    </row>
    <row r="82" spans="3:5" x14ac:dyDescent="0.2">
      <c r="C82" s="1"/>
      <c r="D82" s="1">
        <v>41130</v>
      </c>
      <c r="E82" s="1">
        <v>1415</v>
      </c>
    </row>
    <row r="83" spans="3:5" x14ac:dyDescent="0.2">
      <c r="C83" s="1"/>
      <c r="D83" s="1">
        <v>54840</v>
      </c>
      <c r="E83" s="1">
        <v>1826</v>
      </c>
    </row>
    <row r="84" spans="3:5" x14ac:dyDescent="0.2">
      <c r="C84" s="1" t="s">
        <v>135</v>
      </c>
      <c r="D84" s="1">
        <v>27060</v>
      </c>
      <c r="E84" s="1">
        <v>800</v>
      </c>
    </row>
    <row r="85" spans="3:5" x14ac:dyDescent="0.2">
      <c r="C85" s="1"/>
      <c r="D85" s="1">
        <v>40590</v>
      </c>
      <c r="E85" s="1">
        <v>1130</v>
      </c>
    </row>
    <row r="86" spans="3:5" x14ac:dyDescent="0.2">
      <c r="C86" s="1"/>
      <c r="D86" s="1">
        <v>25080</v>
      </c>
      <c r="E86" s="1">
        <v>866</v>
      </c>
    </row>
    <row r="87" spans="3:5" x14ac:dyDescent="0.2">
      <c r="C87" s="1"/>
      <c r="D87" s="1">
        <v>33440</v>
      </c>
      <c r="E87" s="1">
        <v>1092</v>
      </c>
    </row>
    <row r="88" spans="3:5" x14ac:dyDescent="0.2">
      <c r="C88" s="1" t="s">
        <v>136</v>
      </c>
      <c r="D88" s="1">
        <v>16350</v>
      </c>
      <c r="E88" s="1">
        <v>451</v>
      </c>
    </row>
    <row r="89" spans="3:5" x14ac:dyDescent="0.2">
      <c r="C89" s="1"/>
      <c r="D89" s="1">
        <v>26160</v>
      </c>
      <c r="E89" s="1">
        <v>681</v>
      </c>
    </row>
    <row r="90" spans="3:5" x14ac:dyDescent="0.2">
      <c r="C90" s="1"/>
      <c r="D90" s="1">
        <v>16350</v>
      </c>
      <c r="E90" s="1">
        <v>495</v>
      </c>
    </row>
    <row r="91" spans="3:5" x14ac:dyDescent="0.2">
      <c r="C91" s="1"/>
      <c r="D91" s="1">
        <v>26160</v>
      </c>
      <c r="E91" s="1">
        <v>704</v>
      </c>
    </row>
    <row r="92" spans="3:5" x14ac:dyDescent="0.2">
      <c r="C92" s="1" t="s">
        <v>137</v>
      </c>
      <c r="D92" s="1">
        <v>11900</v>
      </c>
      <c r="E92" s="1">
        <v>321</v>
      </c>
    </row>
    <row r="93" spans="3:5" x14ac:dyDescent="0.2">
      <c r="C93" s="1"/>
      <c r="D93" s="1">
        <v>19040</v>
      </c>
      <c r="E93" s="1">
        <v>463</v>
      </c>
    </row>
    <row r="94" spans="3:5" x14ac:dyDescent="0.2">
      <c r="C94" s="1"/>
      <c r="D94" s="1">
        <v>11900</v>
      </c>
      <c r="E94" s="1">
        <v>324</v>
      </c>
    </row>
    <row r="95" spans="3:5" x14ac:dyDescent="0.2">
      <c r="C95" s="1"/>
      <c r="D95" s="1">
        <v>19040</v>
      </c>
      <c r="E95" s="1">
        <v>467</v>
      </c>
    </row>
    <row r="96" spans="3:5" x14ac:dyDescent="0.2">
      <c r="C96" s="1" t="s">
        <v>138</v>
      </c>
      <c r="D96" s="1">
        <v>8900</v>
      </c>
      <c r="E96" s="1">
        <v>194</v>
      </c>
    </row>
    <row r="97" spans="3:5" x14ac:dyDescent="0.2">
      <c r="C97" s="1"/>
      <c r="D97" s="1">
        <v>16020</v>
      </c>
      <c r="E97" s="1">
        <v>321</v>
      </c>
    </row>
    <row r="98" spans="3:5" x14ac:dyDescent="0.2">
      <c r="C98" s="1"/>
      <c r="D98" s="1">
        <v>8900</v>
      </c>
      <c r="E98" s="1">
        <v>186</v>
      </c>
    </row>
    <row r="99" spans="3:5" x14ac:dyDescent="0.2">
      <c r="C99" s="1"/>
      <c r="D99" s="1">
        <v>16020</v>
      </c>
      <c r="E99" s="1">
        <v>311</v>
      </c>
    </row>
    <row r="100" spans="3:5" x14ac:dyDescent="0.2">
      <c r="C100" s="1" t="s">
        <v>139</v>
      </c>
      <c r="D100" s="1">
        <v>6900</v>
      </c>
      <c r="E100" s="1">
        <v>121</v>
      </c>
    </row>
    <row r="101" spans="3:5" x14ac:dyDescent="0.2">
      <c r="C101" s="1"/>
      <c r="D101" s="1">
        <v>11040</v>
      </c>
      <c r="E101" s="1">
        <v>257</v>
      </c>
    </row>
    <row r="102" spans="3:5" x14ac:dyDescent="0.2">
      <c r="C102" s="1" t="s">
        <v>140</v>
      </c>
      <c r="D102" s="1">
        <v>5675</v>
      </c>
      <c r="E102" s="1">
        <v>112</v>
      </c>
    </row>
    <row r="103" spans="3:5" x14ac:dyDescent="0.2">
      <c r="C103" s="1"/>
      <c r="D103" s="1">
        <v>9080</v>
      </c>
      <c r="E103" s="1">
        <v>163</v>
      </c>
    </row>
    <row r="104" spans="3:5" x14ac:dyDescent="0.2">
      <c r="C104" s="1" t="s">
        <v>141</v>
      </c>
      <c r="D104" s="1">
        <v>4350</v>
      </c>
      <c r="E104" s="1">
        <v>81</v>
      </c>
    </row>
    <row r="105" spans="3:5" x14ac:dyDescent="0.2">
      <c r="C105" s="1"/>
      <c r="D105" s="1">
        <v>6960</v>
      </c>
      <c r="E105" s="1">
        <v>111</v>
      </c>
    </row>
    <row r="106" spans="3:5" x14ac:dyDescent="0.2">
      <c r="C106" s="1"/>
      <c r="D106" s="1">
        <v>3700</v>
      </c>
      <c r="E106" s="1">
        <v>67</v>
      </c>
    </row>
    <row r="107" spans="3:5" x14ac:dyDescent="0.2">
      <c r="C107" s="1"/>
      <c r="D107" s="1">
        <v>6660</v>
      </c>
      <c r="E107" s="1">
        <v>106</v>
      </c>
    </row>
    <row r="108" spans="3:5" x14ac:dyDescent="0.2">
      <c r="C108" s="1"/>
      <c r="D108" s="1">
        <v>8880</v>
      </c>
      <c r="E108" s="1">
        <v>144</v>
      </c>
    </row>
    <row r="109" spans="3:5" x14ac:dyDescent="0.2">
      <c r="C109" s="1" t="s">
        <v>142</v>
      </c>
      <c r="D109" s="1">
        <v>2000</v>
      </c>
      <c r="E109" s="1">
        <v>37</v>
      </c>
    </row>
    <row r="110" spans="3:5" x14ac:dyDescent="0.2">
      <c r="C110" s="1"/>
      <c r="D110" s="1">
        <v>4800</v>
      </c>
      <c r="E110" s="1">
        <v>79</v>
      </c>
    </row>
    <row r="111" spans="3:5" x14ac:dyDescent="0.2">
      <c r="C111" s="1"/>
      <c r="D111" s="1"/>
      <c r="E111" s="1"/>
    </row>
    <row r="112" spans="3:5" x14ac:dyDescent="0.2">
      <c r="C112" s="1"/>
      <c r="D112" s="1"/>
      <c r="E112" s="1"/>
    </row>
    <row r="113" spans="3:16" x14ac:dyDescent="0.2">
      <c r="C113" s="1" t="s">
        <v>149</v>
      </c>
      <c r="D113" s="1">
        <v>1290</v>
      </c>
      <c r="E113" s="1">
        <v>16</v>
      </c>
    </row>
    <row r="114" spans="3:16" x14ac:dyDescent="0.2">
      <c r="C114" s="1"/>
      <c r="D114" s="1">
        <v>1935</v>
      </c>
      <c r="E114" s="1">
        <v>20.5</v>
      </c>
      <c r="O114">
        <v>0</v>
      </c>
      <c r="P114">
        <v>0</v>
      </c>
    </row>
    <row r="115" spans="3:16" x14ac:dyDescent="0.2">
      <c r="C115" s="1" t="s">
        <v>150</v>
      </c>
      <c r="D115" s="1">
        <v>2040</v>
      </c>
      <c r="E115" s="1">
        <v>29</v>
      </c>
      <c r="O115">
        <v>20000</v>
      </c>
      <c r="P115">
        <v>200</v>
      </c>
    </row>
    <row r="116" spans="3:16" x14ac:dyDescent="0.2">
      <c r="C116" s="1"/>
      <c r="D116" s="1">
        <v>3060</v>
      </c>
      <c r="E116" s="1">
        <v>39.5</v>
      </c>
    </row>
    <row r="117" spans="3:16" x14ac:dyDescent="0.2">
      <c r="C117" s="1" t="s">
        <v>151</v>
      </c>
      <c r="D117" s="1">
        <v>5460</v>
      </c>
      <c r="E117" s="1">
        <v>33.9</v>
      </c>
      <c r="O117">
        <f>P115/O115</f>
        <v>0.01</v>
      </c>
    </row>
    <row r="118" spans="3:16" x14ac:dyDescent="0.2">
      <c r="C118" s="1"/>
      <c r="D118" s="1">
        <v>9100</v>
      </c>
      <c r="E118" s="1">
        <v>49.9</v>
      </c>
    </row>
    <row r="119" spans="3:16" x14ac:dyDescent="0.2">
      <c r="C119" s="1"/>
      <c r="D119" s="1">
        <v>5460</v>
      </c>
      <c r="E119" s="1">
        <v>31.9</v>
      </c>
    </row>
    <row r="120" spans="3:16" x14ac:dyDescent="0.2">
      <c r="C120" s="1"/>
      <c r="D120" s="1">
        <v>9100</v>
      </c>
      <c r="E120" s="1">
        <v>47.9</v>
      </c>
    </row>
    <row r="121" spans="3:16" x14ac:dyDescent="0.2">
      <c r="C121" s="1" t="s">
        <v>152</v>
      </c>
      <c r="D121" s="1">
        <v>6000</v>
      </c>
      <c r="E121" s="1">
        <v>61</v>
      </c>
    </row>
    <row r="122" spans="3:16" x14ac:dyDescent="0.2">
      <c r="C122" s="1"/>
      <c r="D122" s="1">
        <v>9000</v>
      </c>
      <c r="E122" s="1">
        <v>85</v>
      </c>
    </row>
    <row r="123" spans="3:16" x14ac:dyDescent="0.2">
      <c r="C123" s="1" t="s">
        <v>153</v>
      </c>
      <c r="D123" s="1">
        <v>6720</v>
      </c>
      <c r="E123" s="1">
        <v>70</v>
      </c>
    </row>
    <row r="124" spans="3:16" x14ac:dyDescent="0.2">
      <c r="C124" s="1"/>
      <c r="D124" s="1">
        <v>11200</v>
      </c>
      <c r="E124" s="1">
        <v>104</v>
      </c>
    </row>
    <row r="125" spans="3:16" x14ac:dyDescent="0.2">
      <c r="C125" s="1" t="s">
        <v>154</v>
      </c>
      <c r="D125" s="1">
        <v>14400</v>
      </c>
      <c r="E125" s="1">
        <v>189</v>
      </c>
    </row>
    <row r="126" spans="3:16" x14ac:dyDescent="0.2">
      <c r="C126" s="1"/>
      <c r="D126" s="1">
        <v>21600</v>
      </c>
      <c r="E126" s="1">
        <v>265</v>
      </c>
    </row>
    <row r="127" spans="3:16" x14ac:dyDescent="0.2">
      <c r="C127" s="1" t="s">
        <v>155</v>
      </c>
      <c r="D127" s="1">
        <v>12000</v>
      </c>
      <c r="E127" s="1">
        <v>189</v>
      </c>
    </row>
    <row r="128" spans="3:16" x14ac:dyDescent="0.2">
      <c r="C128" s="1"/>
      <c r="D128" s="1">
        <v>18000</v>
      </c>
      <c r="E128" s="1">
        <v>265</v>
      </c>
    </row>
    <row r="129" spans="3:5" x14ac:dyDescent="0.2">
      <c r="C129" s="1"/>
      <c r="D129" s="1"/>
      <c r="E129" s="1"/>
    </row>
    <row r="130" spans="3:5" x14ac:dyDescent="0.2">
      <c r="C130" s="1"/>
      <c r="D130" s="1"/>
      <c r="E130" s="1"/>
    </row>
    <row r="131" spans="3:5" x14ac:dyDescent="0.2">
      <c r="C131" s="1"/>
      <c r="D131" s="1"/>
      <c r="E131" s="1"/>
    </row>
    <row r="132" spans="3:5" x14ac:dyDescent="0.2">
      <c r="C132" s="1"/>
      <c r="D132" s="1"/>
      <c r="E132" s="1"/>
    </row>
    <row r="133" spans="3:5" x14ac:dyDescent="0.2">
      <c r="C133" s="1"/>
      <c r="D133" s="1"/>
      <c r="E133" s="1"/>
    </row>
    <row r="134" spans="3:5" x14ac:dyDescent="0.2">
      <c r="C134" s="1"/>
      <c r="D134" s="1"/>
      <c r="E134" s="1"/>
    </row>
    <row r="135" spans="3:5" x14ac:dyDescent="0.2">
      <c r="C135" s="1"/>
      <c r="D135" s="1"/>
      <c r="E135" s="1"/>
    </row>
    <row r="136" spans="3:5" x14ac:dyDescent="0.2">
      <c r="C136" s="1"/>
      <c r="D136" s="1"/>
      <c r="E136" s="1"/>
    </row>
    <row r="137" spans="3:5" x14ac:dyDescent="0.2">
      <c r="C137" s="1"/>
      <c r="D137" s="1"/>
      <c r="E137" s="1"/>
    </row>
    <row r="138" spans="3:5" x14ac:dyDescent="0.2">
      <c r="C138" s="1"/>
      <c r="D138" s="1"/>
      <c r="E138" s="1"/>
    </row>
    <row r="139" spans="3:5" x14ac:dyDescent="0.2">
      <c r="C139" s="1"/>
      <c r="D139" s="1"/>
      <c r="E139" s="1"/>
    </row>
    <row r="140" spans="3:5" x14ac:dyDescent="0.2">
      <c r="C140" s="1"/>
      <c r="D140" s="1"/>
      <c r="E140" s="1"/>
    </row>
    <row r="141" spans="3:5" x14ac:dyDescent="0.2">
      <c r="C141" s="1"/>
      <c r="D141" s="1"/>
      <c r="E141" s="1"/>
    </row>
    <row r="142" spans="3:5" x14ac:dyDescent="0.2">
      <c r="C142" s="1"/>
      <c r="D142" s="1"/>
      <c r="E142" s="1"/>
    </row>
    <row r="143" spans="3:5" x14ac:dyDescent="0.2">
      <c r="C143" s="1"/>
      <c r="D143" s="1"/>
      <c r="E143" s="1"/>
    </row>
    <row r="144" spans="3:5" x14ac:dyDescent="0.2">
      <c r="C144" s="1"/>
      <c r="D144" s="1"/>
      <c r="E144" s="1"/>
    </row>
    <row r="145" spans="3:5" x14ac:dyDescent="0.2">
      <c r="C145" s="1"/>
      <c r="D145" s="1"/>
      <c r="E145" s="1"/>
    </row>
    <row r="146" spans="3:5" x14ac:dyDescent="0.2">
      <c r="C146" s="1"/>
      <c r="D146" s="1"/>
      <c r="E146" s="1"/>
    </row>
    <row r="147" spans="3:5" x14ac:dyDescent="0.2">
      <c r="C147" s="1"/>
      <c r="D147" s="1"/>
      <c r="E147" s="1"/>
    </row>
    <row r="148" spans="3:5" x14ac:dyDescent="0.2">
      <c r="C148" s="1"/>
      <c r="D148" s="1"/>
      <c r="E148" s="1"/>
    </row>
    <row r="149" spans="3:5" x14ac:dyDescent="0.2">
      <c r="C149" s="1"/>
      <c r="D149" s="1"/>
      <c r="E149" s="1"/>
    </row>
    <row r="150" spans="3:5" x14ac:dyDescent="0.2">
      <c r="C150" s="1"/>
      <c r="D150" s="1"/>
      <c r="E150" s="1"/>
    </row>
    <row r="151" spans="3:5" x14ac:dyDescent="0.2">
      <c r="C151" s="1"/>
      <c r="D151" s="1"/>
      <c r="E151" s="1"/>
    </row>
    <row r="152" spans="3:5" x14ac:dyDescent="0.2">
      <c r="C152" s="1"/>
      <c r="D152" s="1"/>
      <c r="E152" s="1"/>
    </row>
    <row r="153" spans="3:5" x14ac:dyDescent="0.2">
      <c r="C153" s="1"/>
      <c r="D153" s="1"/>
      <c r="E153" s="1"/>
    </row>
    <row r="154" spans="3:5" x14ac:dyDescent="0.2">
      <c r="C154" s="1"/>
      <c r="D154" s="1"/>
      <c r="E154" s="1"/>
    </row>
    <row r="155" spans="3:5" x14ac:dyDescent="0.2">
      <c r="C155" s="1"/>
      <c r="D155" s="1"/>
      <c r="E155" s="1"/>
    </row>
    <row r="156" spans="3:5" x14ac:dyDescent="0.2">
      <c r="C156" s="1"/>
      <c r="D156" s="1"/>
      <c r="E156" s="1"/>
    </row>
    <row r="157" spans="3:5" x14ac:dyDescent="0.2">
      <c r="C157" s="1"/>
      <c r="D157" s="1"/>
      <c r="E157" s="1"/>
    </row>
    <row r="158" spans="3:5" x14ac:dyDescent="0.2">
      <c r="C158" s="1"/>
      <c r="D158" s="1"/>
      <c r="E158" s="1"/>
    </row>
    <row r="159" spans="3:5" x14ac:dyDescent="0.2">
      <c r="C159" s="1"/>
      <c r="D159" s="1"/>
      <c r="E159" s="1"/>
    </row>
    <row r="160" spans="3:5" x14ac:dyDescent="0.2">
      <c r="C160" s="1"/>
      <c r="D160" s="1"/>
      <c r="E160" s="1"/>
    </row>
    <row r="161" spans="3:5" x14ac:dyDescent="0.2">
      <c r="C161" s="1"/>
      <c r="D161" s="1"/>
      <c r="E161" s="1"/>
    </row>
    <row r="162" spans="3:5" x14ac:dyDescent="0.2">
      <c r="C162" s="1"/>
      <c r="D162" s="1"/>
      <c r="E162" s="1"/>
    </row>
    <row r="163" spans="3:5" x14ac:dyDescent="0.2">
      <c r="C163" s="1"/>
      <c r="D163" s="1"/>
      <c r="E163" s="1"/>
    </row>
    <row r="164" spans="3:5" x14ac:dyDescent="0.2">
      <c r="C164" s="1"/>
      <c r="D164" s="1"/>
      <c r="E164" s="1"/>
    </row>
    <row r="165" spans="3:5" x14ac:dyDescent="0.2">
      <c r="C165" s="1"/>
      <c r="D165" s="1"/>
      <c r="E165" s="1"/>
    </row>
    <row r="166" spans="3:5" x14ac:dyDescent="0.2">
      <c r="C166" s="1"/>
      <c r="D166" s="1"/>
      <c r="E166" s="1"/>
    </row>
    <row r="167" spans="3:5" x14ac:dyDescent="0.2">
      <c r="C167" s="1"/>
      <c r="D167" s="1"/>
      <c r="E167" s="1"/>
    </row>
    <row r="168" spans="3:5" x14ac:dyDescent="0.2">
      <c r="C168" s="1"/>
      <c r="D168" s="1"/>
      <c r="E168" s="1"/>
    </row>
    <row r="169" spans="3:5" x14ac:dyDescent="0.2">
      <c r="C169" s="1"/>
      <c r="D169" s="1"/>
      <c r="E169" s="1"/>
    </row>
    <row r="170" spans="3:5" x14ac:dyDescent="0.2">
      <c r="C170" s="1"/>
      <c r="D170" s="1"/>
      <c r="E170" s="1"/>
    </row>
    <row r="171" spans="3:5" x14ac:dyDescent="0.2">
      <c r="C171" s="1"/>
      <c r="D171" s="1"/>
      <c r="E171" s="1"/>
    </row>
    <row r="172" spans="3:5" x14ac:dyDescent="0.2">
      <c r="C172" s="1"/>
      <c r="D172" s="1"/>
      <c r="E172" s="1"/>
    </row>
    <row r="173" spans="3:5" x14ac:dyDescent="0.2">
      <c r="C173" s="1"/>
      <c r="D173" s="1"/>
      <c r="E173" s="1"/>
    </row>
    <row r="174" spans="3:5" x14ac:dyDescent="0.2">
      <c r="C174" s="1"/>
      <c r="D174" s="1"/>
      <c r="E174" s="1"/>
    </row>
    <row r="175" spans="3:5" x14ac:dyDescent="0.2">
      <c r="C175" s="1"/>
      <c r="D175" s="1"/>
      <c r="E175" s="1"/>
    </row>
    <row r="176" spans="3:5" x14ac:dyDescent="0.2">
      <c r="C176" s="1"/>
      <c r="D176" s="1"/>
      <c r="E176" s="1"/>
    </row>
    <row r="177" spans="3:5" x14ac:dyDescent="0.2">
      <c r="C177" s="1"/>
      <c r="D177" s="1"/>
      <c r="E177" s="1"/>
    </row>
    <row r="178" spans="3:5" x14ac:dyDescent="0.2">
      <c r="C178" s="1"/>
      <c r="D178" s="1"/>
      <c r="E178" s="1"/>
    </row>
    <row r="179" spans="3:5" x14ac:dyDescent="0.2">
      <c r="C179" s="1"/>
      <c r="D179" s="1"/>
      <c r="E179" s="1"/>
    </row>
    <row r="180" spans="3:5" x14ac:dyDescent="0.2">
      <c r="C180" s="1"/>
      <c r="D180" s="1"/>
      <c r="E180" s="1"/>
    </row>
    <row r="181" spans="3:5" x14ac:dyDescent="0.2">
      <c r="C181" s="1"/>
      <c r="D181" s="1"/>
      <c r="E181" s="1"/>
    </row>
    <row r="182" spans="3:5" x14ac:dyDescent="0.2">
      <c r="C182" s="1"/>
      <c r="D182" s="1"/>
      <c r="E182" s="1"/>
    </row>
    <row r="183" spans="3:5" x14ac:dyDescent="0.2">
      <c r="C183" s="1"/>
      <c r="D183" s="1"/>
      <c r="E183" s="1"/>
    </row>
    <row r="184" spans="3:5" x14ac:dyDescent="0.2">
      <c r="C184" s="1"/>
      <c r="D184" s="1"/>
      <c r="E184" s="1"/>
    </row>
    <row r="185" spans="3:5" x14ac:dyDescent="0.2">
      <c r="C185" s="1"/>
      <c r="D185" s="1"/>
      <c r="E185" s="1"/>
    </row>
    <row r="186" spans="3:5" x14ac:dyDescent="0.2">
      <c r="C186" s="1"/>
      <c r="D186" s="1"/>
      <c r="E186" s="1"/>
    </row>
    <row r="187" spans="3:5" x14ac:dyDescent="0.2">
      <c r="C187" s="1"/>
      <c r="D187" s="1"/>
      <c r="E187" s="1"/>
    </row>
    <row r="188" spans="3:5" x14ac:dyDescent="0.2">
      <c r="C188" s="1"/>
      <c r="D188" s="1"/>
      <c r="E188" s="1"/>
    </row>
    <row r="189" spans="3:5" x14ac:dyDescent="0.2">
      <c r="C189" s="1"/>
      <c r="D189" s="1"/>
      <c r="E189" s="1"/>
    </row>
    <row r="190" spans="3:5" x14ac:dyDescent="0.2">
      <c r="C190" s="1"/>
      <c r="D190" s="1"/>
      <c r="E190" s="1"/>
    </row>
    <row r="191" spans="3:5" x14ac:dyDescent="0.2">
      <c r="C191" s="1"/>
      <c r="D191" s="1"/>
      <c r="E191" s="1"/>
    </row>
    <row r="192" spans="3:5" x14ac:dyDescent="0.2">
      <c r="C192" s="1"/>
      <c r="D192" s="1"/>
      <c r="E192" s="1"/>
    </row>
    <row r="193" spans="3:5" x14ac:dyDescent="0.2">
      <c r="C193" s="1"/>
      <c r="D193" s="1"/>
      <c r="E193" s="1"/>
    </row>
    <row r="194" spans="3:5" x14ac:dyDescent="0.2">
      <c r="C194" s="1"/>
      <c r="D194" s="1"/>
      <c r="E194" s="1"/>
    </row>
    <row r="195" spans="3:5" x14ac:dyDescent="0.2">
      <c r="C195" s="1"/>
      <c r="D195" s="1"/>
      <c r="E195" s="1"/>
    </row>
    <row r="196" spans="3:5" x14ac:dyDescent="0.2">
      <c r="C196" s="1"/>
      <c r="D196" s="1"/>
      <c r="E196" s="1"/>
    </row>
    <row r="197" spans="3:5" x14ac:dyDescent="0.2">
      <c r="C197" s="1"/>
      <c r="D197" s="1"/>
      <c r="E197" s="1"/>
    </row>
    <row r="198" spans="3:5" x14ac:dyDescent="0.2">
      <c r="C198" s="1"/>
      <c r="D198" s="1"/>
      <c r="E198" s="1"/>
    </row>
    <row r="199" spans="3:5" x14ac:dyDescent="0.2">
      <c r="C199" s="1"/>
      <c r="D199" s="1"/>
      <c r="E199" s="1"/>
    </row>
    <row r="200" spans="3:5" x14ac:dyDescent="0.2">
      <c r="C200" s="1"/>
      <c r="D200" s="1"/>
      <c r="E200" s="1"/>
    </row>
    <row r="201" spans="3:5" x14ac:dyDescent="0.2">
      <c r="C201" s="1"/>
      <c r="D201" s="1"/>
      <c r="E201" s="1"/>
    </row>
    <row r="202" spans="3:5" x14ac:dyDescent="0.2">
      <c r="C202" s="1"/>
      <c r="D202" s="1"/>
      <c r="E202" s="1"/>
    </row>
    <row r="203" spans="3:5" x14ac:dyDescent="0.2">
      <c r="C203" s="1"/>
      <c r="D203" s="1"/>
      <c r="E203" s="1"/>
    </row>
    <row r="204" spans="3:5" x14ac:dyDescent="0.2">
      <c r="C204" s="1"/>
      <c r="D204" s="1"/>
      <c r="E204" s="1"/>
    </row>
    <row r="205" spans="3:5" x14ac:dyDescent="0.2">
      <c r="C205" s="1"/>
      <c r="D205" s="1"/>
      <c r="E205" s="1"/>
    </row>
    <row r="206" spans="3:5" x14ac:dyDescent="0.2">
      <c r="C206" s="1"/>
      <c r="D206" s="1"/>
      <c r="E206" s="1"/>
    </row>
    <row r="207" spans="3:5" x14ac:dyDescent="0.2">
      <c r="C207" s="1"/>
      <c r="D207" s="1"/>
      <c r="E207" s="1"/>
    </row>
    <row r="208" spans="3:5" x14ac:dyDescent="0.2">
      <c r="C208" s="1"/>
      <c r="D208" s="1"/>
      <c r="E208" s="1"/>
    </row>
    <row r="209" spans="3:5" x14ac:dyDescent="0.2">
      <c r="C209" s="1"/>
      <c r="D209" s="1"/>
      <c r="E209" s="1"/>
    </row>
    <row r="210" spans="3:5" x14ac:dyDescent="0.2">
      <c r="C210" s="1"/>
      <c r="D210" s="1"/>
      <c r="E210" s="1"/>
    </row>
  </sheetData>
  <sheetProtection password="CC7C" sheet="1" objects="1" scenarios="1"/>
  <phoneticPr fontId="0" type="noConversion"/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&amp;F</oddHead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2"/>
  <dimension ref="A1:AD137"/>
  <sheetViews>
    <sheetView topLeftCell="A7" workbookViewId="0">
      <selection activeCell="J7" sqref="J7"/>
    </sheetView>
  </sheetViews>
  <sheetFormatPr defaultColWidth="8.85546875" defaultRowHeight="12.75" x14ac:dyDescent="0.2"/>
  <cols>
    <col min="1" max="1" width="27.140625" style="9" customWidth="1"/>
    <col min="2" max="6" width="7.140625" style="9" customWidth="1"/>
    <col min="7" max="7" width="9" style="9" customWidth="1"/>
    <col min="8" max="8" width="6.42578125" style="9" customWidth="1"/>
    <col min="9" max="11" width="7.140625" style="9" customWidth="1"/>
    <col min="12" max="12" width="6.42578125" style="9" customWidth="1"/>
    <col min="13" max="13" width="7.140625" style="9" customWidth="1"/>
    <col min="14" max="14" width="7.42578125" style="9" customWidth="1"/>
    <col min="15" max="15" width="6.140625" style="9" customWidth="1"/>
    <col min="16" max="16" width="6.7109375" style="9" customWidth="1"/>
    <col min="17" max="17" width="9.140625" style="9" customWidth="1"/>
    <col min="18" max="18" width="9.5703125" style="9" customWidth="1"/>
    <col min="19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21">
        <v>1.0249999999999999</v>
      </c>
      <c r="D3" s="191"/>
      <c r="E3" s="192"/>
      <c r="F3" s="193"/>
      <c r="G3" s="194" t="s">
        <v>203</v>
      </c>
      <c r="H3" s="195"/>
      <c r="I3" s="195"/>
      <c r="J3" s="27">
        <v>1</v>
      </c>
      <c r="K3" s="197">
        <f>IF(J3=1,IF(C17=1,0.7*C71,IF(C16=1,C72,G71)),J3)</f>
        <v>0.25012992565232062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31">
        <f>'SHIP DATA'!C6</f>
        <v>410.19723000059423</v>
      </c>
      <c r="D4" s="200"/>
      <c r="E4" s="201"/>
      <c r="F4" s="202"/>
      <c r="G4" s="203" t="s">
        <v>206</v>
      </c>
      <c r="H4" s="204"/>
      <c r="I4" s="204"/>
      <c r="J4" s="27">
        <v>1</v>
      </c>
      <c r="K4" s="205">
        <f>IF(K15=1,0.25,IF(J4=1,IF(C17=1,E71,IF(C16=1,E72,G72)),J4))</f>
        <v>0.16397247126289588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31">
        <f>'SHIP DATA'!C8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1.11489650985789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43">
        <f>'SHIP DATA'!C10</f>
        <v>14.191460943493519</v>
      </c>
      <c r="D6" s="200"/>
      <c r="E6" s="201"/>
      <c r="F6" s="202"/>
      <c r="G6" s="203" t="s">
        <v>210</v>
      </c>
      <c r="H6" s="204"/>
      <c r="I6" s="204"/>
      <c r="J6" s="27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47">
        <f>'SHIP DATA'!C23</f>
        <v>220424.5511905785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1.01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47">
        <f>'SHIP DATA'!C33</f>
        <v>25924.103561831609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25924.103561831609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21">
        <f>'SHIP DATA'!C29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61">
        <f>'SHIP DATA'!C35</f>
        <v>25.7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0.66073418657710981</v>
      </c>
      <c r="D11" s="200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0.67421855773174466</v>
      </c>
      <c r="D12" s="200"/>
      <c r="E12" s="201"/>
      <c r="F12" s="202"/>
      <c r="G12" s="699" t="s">
        <v>222</v>
      </c>
      <c r="H12" s="700"/>
      <c r="I12" s="700"/>
      <c r="J12" s="701"/>
      <c r="K12" s="64">
        <f>'SHIP DATA'!C39</f>
        <v>15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6.846690401111422</v>
      </c>
      <c r="D13" s="200"/>
      <c r="E13" s="201"/>
      <c r="F13" s="202"/>
      <c r="G13" s="234" t="s">
        <v>224</v>
      </c>
      <c r="H13" s="235"/>
      <c r="I13" s="234"/>
      <c r="J13" s="234"/>
      <c r="K13" s="64">
        <v>15</v>
      </c>
      <c r="L13" s="201"/>
      <c r="M13" s="605" t="s">
        <v>402</v>
      </c>
      <c r="N13" s="605"/>
      <c r="O13" s="606">
        <f>IF('SHIP DATA'!C2&lt;500,2+(500-'SHIP DATA'!C2)/125,IF('SHIP DATA'!C2&lt;9000,7,IF('SHIP DATA'!C2&lt;12000,8,9)))</f>
        <v>9</v>
      </c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69">
        <v>0</v>
      </c>
      <c r="D14" s="200"/>
      <c r="E14" s="201"/>
      <c r="F14" s="202"/>
      <c r="G14" s="237" t="s">
        <v>226</v>
      </c>
      <c r="H14" s="238"/>
      <c r="I14" s="238"/>
      <c r="J14" s="238"/>
      <c r="K14" s="64">
        <v>1</v>
      </c>
      <c r="L14" s="201"/>
      <c r="M14" s="605" t="s">
        <v>403</v>
      </c>
      <c r="N14" s="605"/>
      <c r="O14" s="606">
        <f>IF('SHIP DATA'!C2&lt;2500,1.5,2)</f>
        <v>2</v>
      </c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69">
        <v>0</v>
      </c>
      <c r="D15" s="200"/>
      <c r="E15" s="201"/>
      <c r="F15" s="202"/>
      <c r="G15" s="237" t="s">
        <v>228</v>
      </c>
      <c r="H15" s="238"/>
      <c r="I15" s="238"/>
      <c r="J15" s="238"/>
      <c r="K15" s="64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DATA'!C51</f>
        <v>1</v>
      </c>
      <c r="D16" s="200"/>
      <c r="E16" s="201"/>
      <c r="F16" s="202"/>
      <c r="G16" s="237" t="s">
        <v>230</v>
      </c>
      <c r="H16" s="238"/>
      <c r="I16" s="238"/>
      <c r="J16" s="238"/>
      <c r="K16" s="391"/>
      <c r="L16" s="201"/>
      <c r="M16" s="523" t="s">
        <v>73</v>
      </c>
      <c r="N16" s="523"/>
      <c r="O16" s="529">
        <f>'SHIP DATA'!C42</f>
        <v>0.8</v>
      </c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DATA'!C50</f>
        <v>1</v>
      </c>
      <c r="D17" s="200"/>
      <c r="E17" s="201"/>
      <c r="F17" s="202"/>
      <c r="G17" s="237" t="s">
        <v>232</v>
      </c>
      <c r="H17" s="238"/>
      <c r="I17" s="238"/>
      <c r="J17" s="238"/>
      <c r="K17" s="721">
        <f>'SHIP DATA'!C53</f>
        <v>1</v>
      </c>
      <c r="L17" s="201"/>
      <c r="M17" s="227" t="s">
        <v>74</v>
      </c>
      <c r="N17" s="227"/>
      <c r="O17" s="524">
        <f>C5*(('SHIP DATA'!C9-C6)+2+O13*2.6+2*O14)</f>
        <v>2538.7914186492771</v>
      </c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31">
        <f>'SHIP DATA'!C52</f>
        <v>10.013590000000001</v>
      </c>
      <c r="D18" s="240">
        <f>C18/C6</f>
        <v>0.70560670531887815</v>
      </c>
      <c r="E18" s="241" t="s">
        <v>234</v>
      </c>
      <c r="F18" s="242"/>
      <c r="G18" s="237" t="s">
        <v>235</v>
      </c>
      <c r="H18" s="238"/>
      <c r="I18" s="238"/>
      <c r="J18" s="238"/>
      <c r="K18" s="721">
        <f>'SHIP DATA'!C46</f>
        <v>0</v>
      </c>
      <c r="L18" s="201"/>
      <c r="M18" s="227" t="s">
        <v>75</v>
      </c>
      <c r="N18" s="227"/>
      <c r="O18" s="525">
        <f>'SHIP DATA'!C43</f>
        <v>0</v>
      </c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77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598" t="s">
        <v>240</v>
      </c>
      <c r="C21" s="603">
        <f t="shared" ref="C21:J21" si="0">D21-0.5</f>
        <v>21.7</v>
      </c>
      <c r="D21" s="257">
        <f t="shared" si="0"/>
        <v>22.2</v>
      </c>
      <c r="E21" s="257">
        <f t="shared" si="0"/>
        <v>22.7</v>
      </c>
      <c r="F21" s="257">
        <f t="shared" si="0"/>
        <v>23.2</v>
      </c>
      <c r="G21" s="257">
        <f t="shared" si="0"/>
        <v>23.7</v>
      </c>
      <c r="H21" s="257">
        <f t="shared" si="0"/>
        <v>24.2</v>
      </c>
      <c r="I21" s="257">
        <f t="shared" si="0"/>
        <v>24.7</v>
      </c>
      <c r="J21" s="257">
        <f t="shared" si="0"/>
        <v>25.2</v>
      </c>
      <c r="K21" s="257">
        <f>P10</f>
        <v>25.7</v>
      </c>
      <c r="L21" s="257">
        <f>K21+0.5</f>
        <v>26.2</v>
      </c>
      <c r="M21" s="257">
        <f>L21+0.5</f>
        <v>26.7</v>
      </c>
      <c r="N21" s="257">
        <f>M21+0.5</f>
        <v>27.2</v>
      </c>
      <c r="O21" s="257">
        <f>N21+0.5</f>
        <v>27.7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517" t="s">
        <v>193</v>
      </c>
      <c r="C22" s="260">
        <f t="shared" ref="C22:O22" si="1">C21*0.5144/SQRT(9.81*$C4)</f>
        <v>0.17596643212314364</v>
      </c>
      <c r="D22" s="261">
        <f t="shared" si="1"/>
        <v>0.18002095820893038</v>
      </c>
      <c r="E22" s="261">
        <f t="shared" si="1"/>
        <v>0.18407548429471707</v>
      </c>
      <c r="F22" s="261">
        <f t="shared" si="1"/>
        <v>0.18813001038050378</v>
      </c>
      <c r="G22" s="261">
        <f t="shared" si="1"/>
        <v>0.19218453646629052</v>
      </c>
      <c r="H22" s="261">
        <f t="shared" si="1"/>
        <v>0.19623906255207724</v>
      </c>
      <c r="I22" s="261">
        <f t="shared" si="1"/>
        <v>0.20029358863786395</v>
      </c>
      <c r="J22" s="229">
        <f t="shared" si="1"/>
        <v>0.20434811472365066</v>
      </c>
      <c r="K22" s="229">
        <f t="shared" si="1"/>
        <v>0.20840264080943741</v>
      </c>
      <c r="L22" s="229">
        <f t="shared" si="1"/>
        <v>0.21245716689522412</v>
      </c>
      <c r="M22" s="229">
        <f t="shared" si="1"/>
        <v>0.21651169298101086</v>
      </c>
      <c r="N22" s="229">
        <f t="shared" si="1"/>
        <v>0.22056621906679755</v>
      </c>
      <c r="O22" s="263">
        <f t="shared" si="1"/>
        <v>0.22462074515258426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517" t="s">
        <v>193</v>
      </c>
      <c r="C23" s="260">
        <f t="shared" ref="C23:P23" si="2">75/(LOG10(C21*0.5144*$C4*1000000/((43.4233-31.38*$C3)*($K13+20)^(1.72*$C3-2.202)+4.7478-5.779*$C3))-2)^2</f>
        <v>1.3033351933391213</v>
      </c>
      <c r="D23" s="229">
        <f t="shared" si="2"/>
        <v>1.2999422768502304</v>
      </c>
      <c r="E23" s="229">
        <f t="shared" si="2"/>
        <v>1.2966377261744393</v>
      </c>
      <c r="F23" s="229">
        <f t="shared" si="2"/>
        <v>1.2934173525932318</v>
      </c>
      <c r="G23" s="229">
        <f t="shared" si="2"/>
        <v>1.2902772512861549</v>
      </c>
      <c r="H23" s="229">
        <f t="shared" si="2"/>
        <v>1.2872137765538754</v>
      </c>
      <c r="I23" s="229">
        <f t="shared" si="2"/>
        <v>1.2842235196666083</v>
      </c>
      <c r="J23" s="229">
        <f t="shared" si="2"/>
        <v>1.2813032890126694</v>
      </c>
      <c r="K23" s="229">
        <f t="shared" si="2"/>
        <v>1.2784500922677826</v>
      </c>
      <c r="L23" s="229">
        <f t="shared" si="2"/>
        <v>1.2756611203444448</v>
      </c>
      <c r="M23" s="229">
        <f t="shared" si="2"/>
        <v>1.2729337329133323</v>
      </c>
      <c r="N23" s="229">
        <f t="shared" si="2"/>
        <v>1.2702654453164399</v>
      </c>
      <c r="O23" s="263">
        <f t="shared" si="2"/>
        <v>1.2676539167152521</v>
      </c>
      <c r="P23" s="265">
        <f t="shared" si="2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517" t="s">
        <v>193</v>
      </c>
      <c r="C24" s="266">
        <f>C46</f>
        <v>0.69995845304263127</v>
      </c>
      <c r="D24" s="268">
        <f t="shared" ref="D24:P24" si="3">D46</f>
        <v>0.70915184303917456</v>
      </c>
      <c r="E24" s="268">
        <f t="shared" si="3"/>
        <v>0.71906587447657278</v>
      </c>
      <c r="F24" s="268">
        <f t="shared" si="3"/>
        <v>0.72978544675680845</v>
      </c>
      <c r="G24" s="268">
        <f t="shared" si="3"/>
        <v>0.7414088811890549</v>
      </c>
      <c r="H24" s="268">
        <f t="shared" si="3"/>
        <v>0.7540503736211005</v>
      </c>
      <c r="I24" s="268">
        <f t="shared" si="3"/>
        <v>0.76784294450777357</v>
      </c>
      <c r="J24" s="268">
        <f t="shared" si="3"/>
        <v>0.78294199590623192</v>
      </c>
      <c r="K24" s="268">
        <f t="shared" si="3"/>
        <v>0.79952960947138718</v>
      </c>
      <c r="L24" s="268">
        <f t="shared" si="3"/>
        <v>0.81781974871625396</v>
      </c>
      <c r="M24" s="268">
        <f t="shared" si="3"/>
        <v>0.83806456254655481</v>
      </c>
      <c r="N24" s="268">
        <f t="shared" si="3"/>
        <v>0.86056202440185636</v>
      </c>
      <c r="O24" s="269">
        <f t="shared" si="3"/>
        <v>0.88566517947299694</v>
      </c>
      <c r="P24" s="270">
        <f t="shared" si="3"/>
        <v>3.5507927380822282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517" t="s">
        <v>193</v>
      </c>
      <c r="C25" s="266">
        <f>$K14*(IF($C16=2,0.52-2.6*C22,MAX(-50,(250*C22-90))/100*C24))</f>
        <v>-0.32203962869750113</v>
      </c>
      <c r="D25" s="268">
        <f>$K14*(IF($C16=2,0.52-2.6*D22,MAX(-50,(250*D22-90))/100*D24))</f>
        <v>-0.31908117298640409</v>
      </c>
      <c r="E25" s="268">
        <f t="shared" ref="E25:J25" si="4">$K14*(IF($C16=2,0.52-2.6*E22,MAX(-50,(250*E22-90))/100*E24))</f>
        <v>-0.3162532893187171</v>
      </c>
      <c r="F25" s="268">
        <f t="shared" si="4"/>
        <v>-0.31357054289638014</v>
      </c>
      <c r="G25" s="268">
        <f t="shared" si="4"/>
        <v>-0.31104968766187546</v>
      </c>
      <c r="H25" s="268">
        <f t="shared" si="4"/>
        <v>-0.3087099901678696</v>
      </c>
      <c r="I25" s="268">
        <f t="shared" si="4"/>
        <v>-0.30657360289268071</v>
      </c>
      <c r="J25" s="268">
        <f t="shared" si="4"/>
        <v>-0.30466599431208191</v>
      </c>
      <c r="K25" s="268">
        <f t="shared" ref="K25:P25" si="5">$K14*(IF($C16=2,0.52-2.6*K22,MAX(-50,(250*K22-90))/100*K24))</f>
        <v>-0.30301644347631035</v>
      </c>
      <c r="L25" s="268">
        <f t="shared" si="5"/>
        <v>-0.30165860673658002</v>
      </c>
      <c r="M25" s="268">
        <f t="shared" si="5"/>
        <v>-0.30063116313103722</v>
      </c>
      <c r="N25" s="268">
        <f t="shared" si="5"/>
        <v>-0.29997854197470419</v>
      </c>
      <c r="O25" s="268">
        <f t="shared" si="5"/>
        <v>-0.29975173010339268</v>
      </c>
      <c r="P25" s="270">
        <f t="shared" si="5"/>
        <v>-0.35507927380822285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517"/>
      <c r="C26" s="266">
        <f>IF($C17=2,IF($C16=1,0.3,0),0)</f>
        <v>0</v>
      </c>
      <c r="D26" s="268">
        <f t="shared" ref="D26:P26" si="6">IF($C17=2,IF($C16=1,0.3,0),0)</f>
        <v>0</v>
      </c>
      <c r="E26" s="268">
        <f t="shared" si="6"/>
        <v>0</v>
      </c>
      <c r="F26" s="268">
        <f t="shared" si="6"/>
        <v>0</v>
      </c>
      <c r="G26" s="268">
        <f t="shared" si="6"/>
        <v>0</v>
      </c>
      <c r="H26" s="268">
        <f t="shared" si="6"/>
        <v>0</v>
      </c>
      <c r="I26" s="268">
        <f t="shared" si="6"/>
        <v>0</v>
      </c>
      <c r="J26" s="268">
        <f t="shared" si="6"/>
        <v>0</v>
      </c>
      <c r="K26" s="268">
        <f t="shared" si="6"/>
        <v>0</v>
      </c>
      <c r="L26" s="268">
        <f t="shared" si="6"/>
        <v>0</v>
      </c>
      <c r="M26" s="268">
        <f t="shared" si="6"/>
        <v>0</v>
      </c>
      <c r="N26" s="268">
        <f t="shared" si="6"/>
        <v>0</v>
      </c>
      <c r="O26" s="269">
        <f t="shared" si="6"/>
        <v>0</v>
      </c>
      <c r="P26" s="270">
        <f t="shared" si="6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517" t="s">
        <v>193</v>
      </c>
      <c r="C27" s="266">
        <f>MAX(0.28*'SHIP DATA'!C2^(-0.126),0.09)</f>
        <v>0.09</v>
      </c>
      <c r="D27" s="268">
        <f t="shared" ref="D27:P27" si="7">C27</f>
        <v>0.09</v>
      </c>
      <c r="E27" s="268">
        <f t="shared" si="7"/>
        <v>0.09</v>
      </c>
      <c r="F27" s="268">
        <f t="shared" si="7"/>
        <v>0.09</v>
      </c>
      <c r="G27" s="268">
        <f t="shared" si="7"/>
        <v>0.09</v>
      </c>
      <c r="H27" s="268">
        <f t="shared" si="7"/>
        <v>0.09</v>
      </c>
      <c r="I27" s="268">
        <f t="shared" si="7"/>
        <v>0.09</v>
      </c>
      <c r="J27" s="268">
        <f t="shared" si="7"/>
        <v>0.09</v>
      </c>
      <c r="K27" s="268">
        <f t="shared" si="7"/>
        <v>0.09</v>
      </c>
      <c r="L27" s="268">
        <f t="shared" si="7"/>
        <v>0.09</v>
      </c>
      <c r="M27" s="268">
        <f t="shared" si="7"/>
        <v>0.09</v>
      </c>
      <c r="N27" s="268">
        <f t="shared" si="7"/>
        <v>0.09</v>
      </c>
      <c r="O27" s="269">
        <f t="shared" si="7"/>
        <v>0.09</v>
      </c>
      <c r="P27" s="270">
        <f t="shared" si="7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517" t="s">
        <v>193</v>
      </c>
      <c r="C28" s="709">
        <f t="shared" ref="C28:O28" si="8">0.5*LOG10($C7)-0.1*(LOG10($C7))^2</f>
        <v>-0.1834127229665441</v>
      </c>
      <c r="D28" s="229">
        <f t="shared" si="8"/>
        <v>-0.1834127229665441</v>
      </c>
      <c r="E28" s="229">
        <f t="shared" si="8"/>
        <v>-0.1834127229665441</v>
      </c>
      <c r="F28" s="229">
        <f t="shared" si="8"/>
        <v>-0.1834127229665441</v>
      </c>
      <c r="G28" s="229">
        <f t="shared" si="8"/>
        <v>-0.1834127229665441</v>
      </c>
      <c r="H28" s="229">
        <f t="shared" si="8"/>
        <v>-0.1834127229665441</v>
      </c>
      <c r="I28" s="229">
        <f t="shared" si="8"/>
        <v>-0.1834127229665441</v>
      </c>
      <c r="J28" s="229">
        <f t="shared" si="8"/>
        <v>-0.1834127229665441</v>
      </c>
      <c r="K28" s="229">
        <f t="shared" si="8"/>
        <v>-0.1834127229665441</v>
      </c>
      <c r="L28" s="229">
        <f t="shared" si="8"/>
        <v>-0.1834127229665441</v>
      </c>
      <c r="M28" s="229">
        <f t="shared" si="8"/>
        <v>-0.1834127229665441</v>
      </c>
      <c r="N28" s="229">
        <f t="shared" si="8"/>
        <v>-0.1834127229665441</v>
      </c>
      <c r="O28" s="263">
        <f t="shared" si="8"/>
        <v>-0.1834127229665441</v>
      </c>
      <c r="P28" s="265">
        <f>0.5*LOG10($C7)-0.1*(LOG10($C7))^2</f>
        <v>-0.1834127229665441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thickBot="1" x14ac:dyDescent="0.25">
      <c r="A29" s="188" t="s">
        <v>248</v>
      </c>
      <c r="B29" s="517" t="s">
        <v>193</v>
      </c>
      <c r="C29" s="266">
        <f t="shared" ref="C29:O29" si="9">C23+C24+C25+C26+C27+C28</f>
        <v>1.5878412947177076</v>
      </c>
      <c r="D29" s="268">
        <f t="shared" si="9"/>
        <v>1.5966002239364572</v>
      </c>
      <c r="E29" s="268">
        <f t="shared" si="9"/>
        <v>1.6060375883657507</v>
      </c>
      <c r="F29" s="268">
        <f t="shared" si="9"/>
        <v>1.6162195334871161</v>
      </c>
      <c r="G29" s="268">
        <f t="shared" si="9"/>
        <v>1.6272237218467904</v>
      </c>
      <c r="H29" s="268">
        <f t="shared" si="9"/>
        <v>1.6391414370405624</v>
      </c>
      <c r="I29" s="268">
        <f t="shared" si="9"/>
        <v>1.6520801383151573</v>
      </c>
      <c r="J29" s="268">
        <f t="shared" si="9"/>
        <v>1.6661665676402755</v>
      </c>
      <c r="K29" s="268">
        <f t="shared" si="9"/>
        <v>1.6815505352963156</v>
      </c>
      <c r="L29" s="268">
        <f t="shared" si="9"/>
        <v>1.6984095393575744</v>
      </c>
      <c r="M29" s="268">
        <f t="shared" si="9"/>
        <v>1.7169544093623059</v>
      </c>
      <c r="N29" s="268">
        <f t="shared" si="9"/>
        <v>1.7374362047770482</v>
      </c>
      <c r="O29" s="269">
        <f t="shared" si="9"/>
        <v>1.7601546431183124</v>
      </c>
      <c r="P29" s="265">
        <f>P23+P24+P25+P27+P28</f>
        <v>4.3207725711312683</v>
      </c>
      <c r="Q29" s="17"/>
      <c r="R29" s="17"/>
      <c r="S29" s="712" t="s">
        <v>417</v>
      </c>
      <c r="T29" s="712">
        <v>13650</v>
      </c>
      <c r="U29" s="712">
        <v>27300</v>
      </c>
      <c r="V29" s="712">
        <v>40380</v>
      </c>
      <c r="W29" s="712">
        <v>52320</v>
      </c>
      <c r="X29" s="712">
        <v>63500</v>
      </c>
      <c r="Y29" s="712">
        <v>85619.230788337023</v>
      </c>
      <c r="Z29" s="712">
        <v>105743.25532015139</v>
      </c>
      <c r="AA29" s="712">
        <v>125158.06026049973</v>
      </c>
      <c r="AB29" s="712">
        <v>145600</v>
      </c>
      <c r="AC29" s="712">
        <v>168000</v>
      </c>
      <c r="AD29" s="716"/>
    </row>
    <row r="30" spans="1:30" s="18" customFormat="1" ht="12" customHeight="1" x14ac:dyDescent="0.2">
      <c r="A30" s="509" t="s">
        <v>69</v>
      </c>
      <c r="B30" s="518" t="s">
        <v>250</v>
      </c>
      <c r="C30" s="530">
        <f t="shared" ref="C30:O30" si="10">0.00062*$O17*$O16*((C21*0.5144+$O18)^2-(C21*0.5144)^2)</f>
        <v>0</v>
      </c>
      <c r="D30" s="511">
        <f t="shared" si="10"/>
        <v>0</v>
      </c>
      <c r="E30" s="511">
        <f t="shared" si="10"/>
        <v>0</v>
      </c>
      <c r="F30" s="511">
        <f t="shared" si="10"/>
        <v>0</v>
      </c>
      <c r="G30" s="511">
        <f t="shared" si="10"/>
        <v>0</v>
      </c>
      <c r="H30" s="511">
        <f t="shared" si="10"/>
        <v>0</v>
      </c>
      <c r="I30" s="511">
        <f t="shared" si="10"/>
        <v>0</v>
      </c>
      <c r="J30" s="511">
        <f t="shared" si="10"/>
        <v>0</v>
      </c>
      <c r="K30" s="511">
        <f t="shared" si="10"/>
        <v>0</v>
      </c>
      <c r="L30" s="511">
        <f t="shared" si="10"/>
        <v>0</v>
      </c>
      <c r="M30" s="511">
        <f t="shared" si="10"/>
        <v>0</v>
      </c>
      <c r="N30" s="511">
        <f t="shared" si="10"/>
        <v>0</v>
      </c>
      <c r="O30" s="519">
        <f t="shared" si="10"/>
        <v>0</v>
      </c>
      <c r="P30" s="515"/>
      <c r="Q30" s="710" t="s">
        <v>415</v>
      </c>
      <c r="R30" s="714" t="s">
        <v>416</v>
      </c>
      <c r="S30" s="718"/>
      <c r="T30" s="713">
        <v>0.81881490020881598</v>
      </c>
      <c r="U30" s="713">
        <v>0.58032703892418558</v>
      </c>
      <c r="V30" s="713">
        <v>0.43883870049965717</v>
      </c>
      <c r="W30" s="713">
        <v>0.32263740238411892</v>
      </c>
      <c r="X30" s="713">
        <v>0.22822671539312719</v>
      </c>
      <c r="Y30" s="713">
        <v>0.28762918504759605</v>
      </c>
      <c r="Z30" s="713">
        <v>0.24158042554185993</v>
      </c>
      <c r="AA30" s="713">
        <v>0.21220770385212698</v>
      </c>
      <c r="AB30" s="713">
        <v>0.19299836397602252</v>
      </c>
      <c r="AC30" s="713">
        <v>0.18171786936374906</v>
      </c>
      <c r="AD30" s="717"/>
    </row>
    <row r="31" spans="1:30" s="18" customFormat="1" ht="12" customHeight="1" thickBot="1" x14ac:dyDescent="0.25">
      <c r="A31" s="509" t="s">
        <v>70</v>
      </c>
      <c r="B31" s="518" t="s">
        <v>196</v>
      </c>
      <c r="C31" s="531">
        <f>C30/C32*100</f>
        <v>0</v>
      </c>
      <c r="D31" s="513">
        <f t="shared" ref="D31:O31" si="11">D30/D32*100</f>
        <v>0</v>
      </c>
      <c r="E31" s="513">
        <f t="shared" si="11"/>
        <v>0</v>
      </c>
      <c r="F31" s="513">
        <f t="shared" si="11"/>
        <v>0</v>
      </c>
      <c r="G31" s="513">
        <f t="shared" si="11"/>
        <v>0</v>
      </c>
      <c r="H31" s="513">
        <f t="shared" si="11"/>
        <v>0</v>
      </c>
      <c r="I31" s="513">
        <f t="shared" si="11"/>
        <v>0</v>
      </c>
      <c r="J31" s="513">
        <f t="shared" si="11"/>
        <v>0</v>
      </c>
      <c r="K31" s="513">
        <f t="shared" si="11"/>
        <v>0</v>
      </c>
      <c r="L31" s="513">
        <f t="shared" si="11"/>
        <v>0</v>
      </c>
      <c r="M31" s="513">
        <f t="shared" si="11"/>
        <v>0</v>
      </c>
      <c r="N31" s="513">
        <f t="shared" si="11"/>
        <v>0</v>
      </c>
      <c r="O31" s="520">
        <f t="shared" si="11"/>
        <v>0</v>
      </c>
      <c r="P31" s="516"/>
      <c r="Q31" s="711">
        <f>$C5*((0.88-0.002*$C4)*$C5+('SHIP DATA'!C9-$C6))</f>
        <v>1081.3600510472361</v>
      </c>
      <c r="R31" s="715">
        <f>Q31/(C5*(0.88-0.002*C4)*E5+1*C4*('SHIP DATA'!C9-C6))</f>
        <v>0.16467432732293991</v>
      </c>
      <c r="S31" s="234"/>
      <c r="T31" s="719">
        <v>0.32752596008352641</v>
      </c>
      <c r="U31" s="719">
        <v>0.23213081556967424</v>
      </c>
      <c r="V31" s="719">
        <v>0.23213081556967424</v>
      </c>
      <c r="W31" s="719">
        <v>0.1755354801998629</v>
      </c>
      <c r="X31" s="719">
        <v>9.1290686157250889E-2</v>
      </c>
      <c r="Y31" s="719">
        <v>0.11505167401903843</v>
      </c>
      <c r="Z31" s="719">
        <v>9.6632170216743959E-2</v>
      </c>
      <c r="AA31" s="719">
        <v>8.4883081540850794E-2</v>
      </c>
      <c r="AB31" s="719">
        <v>7.7199345590409002E-2</v>
      </c>
      <c r="AC31" s="719">
        <v>7.2687147745499614E-2</v>
      </c>
      <c r="AD31" s="17"/>
    </row>
    <row r="32" spans="1:30" s="18" customFormat="1" ht="12" customHeight="1" x14ac:dyDescent="0.2">
      <c r="A32" s="509" t="s">
        <v>71</v>
      </c>
      <c r="B32" s="518" t="s">
        <v>250</v>
      </c>
      <c r="C32" s="532">
        <f>($C9*$C3*C21^2*0.0001323*C29*$K19/100)+C30</f>
        <v>2628.5365322534535</v>
      </c>
      <c r="D32" s="514">
        <f t="shared" ref="D32:O32" si="12">($C9*$C3*D21^2*0.0001323*D29*$K19/100)+D30</f>
        <v>2766.2383125915458</v>
      </c>
      <c r="E32" s="514">
        <f t="shared" si="12"/>
        <v>2909.3426736226843</v>
      </c>
      <c r="F32" s="514">
        <f t="shared" si="12"/>
        <v>3058.1851729157829</v>
      </c>
      <c r="G32" s="514">
        <f t="shared" si="12"/>
        <v>3213.153076769554</v>
      </c>
      <c r="H32" s="514">
        <f t="shared" si="12"/>
        <v>3374.6957030806702</v>
      </c>
      <c r="I32" s="514">
        <f t="shared" si="12"/>
        <v>3543.3371194202809</v>
      </c>
      <c r="J32" s="514">
        <f t="shared" si="12"/>
        <v>3719.6917780413223</v>
      </c>
      <c r="K32" s="514">
        <f t="shared" si="12"/>
        <v>3904.4838207899402</v>
      </c>
      <c r="L32" s="514">
        <f t="shared" si="12"/>
        <v>4098.5709768654924</v>
      </c>
      <c r="M32" s="514">
        <f t="shared" si="12"/>
        <v>4302.974212846324</v>
      </c>
      <c r="N32" s="514">
        <f t="shared" si="12"/>
        <v>4518.9145845286494</v>
      </c>
      <c r="O32" s="522">
        <f t="shared" si="12"/>
        <v>4747.8590879390204</v>
      </c>
      <c r="P32" s="51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s="18" customFormat="1" ht="12" customHeight="1" x14ac:dyDescent="0.2">
      <c r="A33" s="526" t="s">
        <v>72</v>
      </c>
      <c r="B33" s="599" t="s">
        <v>250</v>
      </c>
      <c r="C33" s="604">
        <f>($C9*$C3*C21^2*0.0001323*C29*$K19/100)*(1+$K12/100)+C30</f>
        <v>3022.8170120914715</v>
      </c>
      <c r="D33" s="527">
        <f t="shared" ref="D33:O33" si="13">($C9*$C3*D21^2*0.0001323*D29*$K19/100)*(1+$K12/100)+D30</f>
        <v>3181.1740594802773</v>
      </c>
      <c r="E33" s="527">
        <f t="shared" si="13"/>
        <v>3345.7440746660868</v>
      </c>
      <c r="F33" s="527">
        <f t="shared" si="13"/>
        <v>3516.9129488531503</v>
      </c>
      <c r="G33" s="527">
        <f t="shared" si="13"/>
        <v>3695.1260382849869</v>
      </c>
      <c r="H33" s="527">
        <f t="shared" si="13"/>
        <v>3880.9000585427702</v>
      </c>
      <c r="I33" s="527">
        <f t="shared" si="13"/>
        <v>4074.8376873333227</v>
      </c>
      <c r="J33" s="527">
        <f t="shared" si="13"/>
        <v>4277.64554474752</v>
      </c>
      <c r="K33" s="527">
        <f t="shared" si="13"/>
        <v>4490.1563939084308</v>
      </c>
      <c r="L33" s="527">
        <f t="shared" si="13"/>
        <v>4713.3566233953161</v>
      </c>
      <c r="M33" s="527">
        <f t="shared" si="13"/>
        <v>4948.4203447732725</v>
      </c>
      <c r="N33" s="527">
        <f t="shared" si="13"/>
        <v>5196.7517722079465</v>
      </c>
      <c r="O33" s="528">
        <f t="shared" si="13"/>
        <v>5460.0379511298734</v>
      </c>
      <c r="P33" s="275">
        <f>($C9*$C3*P21^2*0.0001323*P29*$K19/100)*(1+$K12/100)</f>
        <v>27202.353024456897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s="17" customFormat="1" ht="12" customHeight="1" x14ac:dyDescent="0.2">
      <c r="A34" s="188" t="s">
        <v>251</v>
      </c>
      <c r="B34" s="517" t="s">
        <v>252</v>
      </c>
      <c r="C34" s="276">
        <f t="shared" ref="C34:P34" si="14">C33*C21*0.5144</f>
        <v>33742.134441130802</v>
      </c>
      <c r="D34" s="219">
        <f t="shared" si="14"/>
        <v>36327.989783565725</v>
      </c>
      <c r="E34" s="219">
        <f t="shared" si="14"/>
        <v>39067.85207058693</v>
      </c>
      <c r="F34" s="219">
        <f t="shared" si="14"/>
        <v>41971.1204846494</v>
      </c>
      <c r="G34" s="219">
        <f t="shared" si="14"/>
        <v>45048.31616802299</v>
      </c>
      <c r="H34" s="219">
        <f t="shared" si="14"/>
        <v>48311.306760768493</v>
      </c>
      <c r="I34" s="219">
        <f t="shared" si="14"/>
        <v>51773.583707197249</v>
      </c>
      <c r="J34" s="219">
        <f t="shared" si="14"/>
        <v>55450.605879096722</v>
      </c>
      <c r="K34" s="219">
        <f t="shared" si="14"/>
        <v>59360.226739980964</v>
      </c>
      <c r="L34" s="219">
        <f t="shared" si="14"/>
        <v>63523.226953353216</v>
      </c>
      <c r="M34" s="219">
        <f t="shared" si="14"/>
        <v>67963.980256881609</v>
      </c>
      <c r="N34" s="219">
        <f t="shared" si="14"/>
        <v>72711.287836166477</v>
      </c>
      <c r="O34" s="150">
        <f t="shared" si="14"/>
        <v>77799.425561095428</v>
      </c>
      <c r="P34" s="275">
        <f t="shared" si="14"/>
        <v>552188.44717100461</v>
      </c>
    </row>
    <row r="35" spans="1:30" s="17" customFormat="1" ht="12" customHeight="1" x14ac:dyDescent="0.2">
      <c r="A35" s="188" t="s">
        <v>253</v>
      </c>
      <c r="B35" s="517" t="s">
        <v>193</v>
      </c>
      <c r="C35" s="260">
        <f t="shared" ref="C35:P35" si="15">C39*$J6*IF($K17=3,1,$K5*$J7)</f>
        <v>0.6979567474515681</v>
      </c>
      <c r="D35" s="229">
        <f t="shared" si="15"/>
        <v>0.6972255884480173</v>
      </c>
      <c r="E35" s="229">
        <f t="shared" si="15"/>
        <v>0.69644041231206066</v>
      </c>
      <c r="F35" s="229">
        <f t="shared" si="15"/>
        <v>0.6955963111780874</v>
      </c>
      <c r="G35" s="229">
        <f t="shared" si="15"/>
        <v>0.69468754815089861</v>
      </c>
      <c r="H35" s="229">
        <f t="shared" si="15"/>
        <v>0.69370741731834273</v>
      </c>
      <c r="I35" s="229">
        <f t="shared" si="15"/>
        <v>0.69264807677311913</v>
      </c>
      <c r="J35" s="229">
        <f t="shared" si="15"/>
        <v>0.69150034960052975</v>
      </c>
      <c r="K35" s="229">
        <f t="shared" si="15"/>
        <v>0.6902534869767103</v>
      </c>
      <c r="L35" s="229">
        <f t="shared" si="15"/>
        <v>0.68889488672044075</v>
      </c>
      <c r="M35" s="229">
        <f t="shared" si="15"/>
        <v>0.68740975997452625</v>
      </c>
      <c r="N35" s="229">
        <f t="shared" si="15"/>
        <v>0.68578073838494913</v>
      </c>
      <c r="O35" s="263">
        <f t="shared" si="15"/>
        <v>0.68398741458867407</v>
      </c>
      <c r="P35" s="264">
        <f t="shared" si="15"/>
        <v>0.54090082146655827</v>
      </c>
    </row>
    <row r="36" spans="1:30" s="17" customFormat="1" ht="12" customHeight="1" x14ac:dyDescent="0.2">
      <c r="A36" s="279" t="s">
        <v>254</v>
      </c>
      <c r="B36" s="600" t="s">
        <v>252</v>
      </c>
      <c r="C36" s="281">
        <f t="shared" ref="C36:P36" si="16">C34/C35</f>
        <v>48344.162534902927</v>
      </c>
      <c r="D36" s="283">
        <f t="shared" si="16"/>
        <v>52103.638170293882</v>
      </c>
      <c r="E36" s="283">
        <f t="shared" si="16"/>
        <v>56096.474845404904</v>
      </c>
      <c r="F36" s="283">
        <f t="shared" si="16"/>
        <v>60338.331026462132</v>
      </c>
      <c r="G36" s="283">
        <f t="shared" si="16"/>
        <v>64846.874379613444</v>
      </c>
      <c r="H36" s="283">
        <f t="shared" si="16"/>
        <v>69642.194323833217</v>
      </c>
      <c r="I36" s="283">
        <f t="shared" si="16"/>
        <v>74747.314608015557</v>
      </c>
      <c r="J36" s="283">
        <f t="shared" si="16"/>
        <v>80188.832747705441</v>
      </c>
      <c r="K36" s="283">
        <f t="shared" si="16"/>
        <v>85997.720924202775</v>
      </c>
      <c r="L36" s="283">
        <f t="shared" si="16"/>
        <v>92210.333068027932</v>
      </c>
      <c r="M36" s="283">
        <f t="shared" si="16"/>
        <v>98869.67601303797</v>
      </c>
      <c r="N36" s="283">
        <f t="shared" si="16"/>
        <v>106027.0196672562</v>
      </c>
      <c r="O36" s="285">
        <f t="shared" si="16"/>
        <v>113743.94309269749</v>
      </c>
      <c r="P36" s="275">
        <f t="shared" si="16"/>
        <v>1020868.1984875562</v>
      </c>
    </row>
    <row r="37" spans="1:30" s="17" customFormat="1" ht="12" customHeight="1" x14ac:dyDescent="0.2">
      <c r="A37" s="17" t="s">
        <v>255</v>
      </c>
      <c r="B37" s="517" t="s">
        <v>193</v>
      </c>
      <c r="C37" s="286">
        <f t="shared" ref="C37:P37" si="17">2.54648*C33/(1-$K4)/$C17/$C3/(C40*$C18)^2/$J7</f>
        <v>1.2659404211405698</v>
      </c>
      <c r="D37" s="233">
        <f t="shared" si="17"/>
        <v>1.2729236647309783</v>
      </c>
      <c r="E37" s="233">
        <f t="shared" si="17"/>
        <v>1.2804478052983146</v>
      </c>
      <c r="F37" s="233">
        <f t="shared" si="17"/>
        <v>1.2885655787419525</v>
      </c>
      <c r="G37" s="233">
        <f t="shared" si="17"/>
        <v>1.2973389031873488</v>
      </c>
      <c r="H37" s="233">
        <f t="shared" si="17"/>
        <v>1.3068405564329393</v>
      </c>
      <c r="I37" s="233">
        <f t="shared" si="17"/>
        <v>1.3171562126607137</v>
      </c>
      <c r="J37" s="233">
        <f t="shared" si="17"/>
        <v>1.3283869196158304</v>
      </c>
      <c r="K37" s="233">
        <f t="shared" si="17"/>
        <v>1.3406521167473626</v>
      </c>
      <c r="L37" s="233">
        <f t="shared" si="17"/>
        <v>1.3540933181900514</v>
      </c>
      <c r="M37" s="233">
        <f t="shared" si="17"/>
        <v>1.3688786123009222</v>
      </c>
      <c r="N37" s="233">
        <f t="shared" si="17"/>
        <v>1.3852081616074627</v>
      </c>
      <c r="O37" s="289">
        <f t="shared" si="17"/>
        <v>1.403320922307838</v>
      </c>
      <c r="P37" s="290">
        <f t="shared" si="17"/>
        <v>3.4448283128465866</v>
      </c>
    </row>
    <row r="38" spans="1:30" x14ac:dyDescent="0.2">
      <c r="A38" s="17" t="s">
        <v>256</v>
      </c>
      <c r="B38" s="601" t="s">
        <v>193</v>
      </c>
      <c r="C38" s="286">
        <f t="shared" ref="C38:P38" si="18">(1.3+0.3*$C19)*C33/(1-$K4)/$C17/(99.6+$C3*9.81*0.65*$C18)/$C18^2+C73</f>
        <v>0.74618723736021275</v>
      </c>
      <c r="D38" s="287">
        <f t="shared" si="18"/>
        <v>0.77480048053167683</v>
      </c>
      <c r="E38" s="287">
        <f t="shared" si="18"/>
        <v>0.80453633340901454</v>
      </c>
      <c r="F38" s="287">
        <f t="shared" si="18"/>
        <v>0.83546452196304299</v>
      </c>
      <c r="G38" s="287">
        <f t="shared" si="18"/>
        <v>0.86766551679298032</v>
      </c>
      <c r="H38" s="287">
        <f t="shared" si="18"/>
        <v>0.90123268228530806</v>
      </c>
      <c r="I38" s="287">
        <f t="shared" si="18"/>
        <v>0.93627491516463568</v>
      </c>
      <c r="J38" s="233">
        <f t="shared" si="18"/>
        <v>0.97291989331346596</v>
      </c>
      <c r="K38" s="233">
        <f t="shared" si="18"/>
        <v>1.0113180871664116</v>
      </c>
      <c r="L38" s="233">
        <f t="shared" si="18"/>
        <v>1.0516477254587606</v>
      </c>
      <c r="M38" s="233">
        <f t="shared" si="18"/>
        <v>1.0941209562462919</v>
      </c>
      <c r="N38" s="233">
        <f t="shared" si="18"/>
        <v>1.1389915043997896</v>
      </c>
      <c r="O38" s="289">
        <f t="shared" si="18"/>
        <v>1.1865641990502662</v>
      </c>
      <c r="P38" s="290">
        <f t="shared" si="18"/>
        <v>5.1151430565244365</v>
      </c>
    </row>
    <row r="39" spans="1:30" s="17" customFormat="1" ht="12" customHeight="1" thickBot="1" x14ac:dyDescent="0.25">
      <c r="A39" s="17" t="s">
        <v>257</v>
      </c>
      <c r="B39" s="602" t="s">
        <v>193</v>
      </c>
      <c r="C39" s="293">
        <f t="shared" ref="C39:P39" si="19">(1+$K18/100)*IF($K17=3,1/(1+16.8/C21),IF($K17=1,0.81-0.014*C37,0.00098*C37^3-0.018542*C37^2+0.11195*C37+0.634)/(1+SQRT(1+C37))*2)</f>
        <v>0.63247957435574642</v>
      </c>
      <c r="D39" s="294">
        <f t="shared" si="19"/>
        <v>0.6318170073169711</v>
      </c>
      <c r="E39" s="294">
        <f t="shared" si="19"/>
        <v>0.63110549063620636</v>
      </c>
      <c r="F39" s="294">
        <f t="shared" si="19"/>
        <v>0.63034057686772715</v>
      </c>
      <c r="G39" s="294">
        <f t="shared" si="19"/>
        <v>0.62951706730968471</v>
      </c>
      <c r="H39" s="294">
        <f t="shared" si="19"/>
        <v>0.62862888514932691</v>
      </c>
      <c r="I39" s="294">
        <f t="shared" si="19"/>
        <v>0.62766892414946951</v>
      </c>
      <c r="J39" s="294">
        <f t="shared" si="19"/>
        <v>0.62662886830611475</v>
      </c>
      <c r="K39" s="294">
        <f t="shared" si="19"/>
        <v>0.6254989771710654</v>
      </c>
      <c r="L39" s="294">
        <f t="shared" si="19"/>
        <v>0.62426783080713599</v>
      </c>
      <c r="M39" s="294">
        <f t="shared" si="19"/>
        <v>0.62292202773903749</v>
      </c>
      <c r="N39" s="294">
        <f t="shared" si="19"/>
        <v>0.62144582898409462</v>
      </c>
      <c r="O39" s="296">
        <f t="shared" si="19"/>
        <v>0.61982074164810774</v>
      </c>
      <c r="P39" s="297">
        <f t="shared" si="19"/>
        <v>0.49015748121781944</v>
      </c>
    </row>
    <row r="40" spans="1:30" s="17" customFormat="1" ht="12" customHeight="1" thickTop="1" x14ac:dyDescent="0.2">
      <c r="A40" s="298" t="s">
        <v>258</v>
      </c>
      <c r="B40" s="299" t="s">
        <v>259</v>
      </c>
      <c r="C40" s="300">
        <f t="shared" ref="C40:P40" si="20">C21*0.5144*(1-$K3)</f>
        <v>8.3704097075044839</v>
      </c>
      <c r="D40" s="300">
        <f t="shared" si="20"/>
        <v>8.5632762906267068</v>
      </c>
      <c r="E40" s="300">
        <f t="shared" si="20"/>
        <v>8.7561428737489297</v>
      </c>
      <c r="F40" s="300">
        <f t="shared" si="20"/>
        <v>8.9490094568711527</v>
      </c>
      <c r="G40" s="300">
        <f t="shared" si="20"/>
        <v>9.1418760399933756</v>
      </c>
      <c r="H40" s="300">
        <f t="shared" si="20"/>
        <v>9.3347426231155985</v>
      </c>
      <c r="I40" s="300">
        <f t="shared" si="20"/>
        <v>9.5276092062378233</v>
      </c>
      <c r="J40" s="300">
        <f t="shared" si="20"/>
        <v>9.7204757893600444</v>
      </c>
      <c r="K40" s="300">
        <f t="shared" si="20"/>
        <v>9.9133423724822691</v>
      </c>
      <c r="L40" s="300">
        <f t="shared" si="20"/>
        <v>10.106208955604492</v>
      </c>
      <c r="M40" s="300">
        <f t="shared" si="20"/>
        <v>10.299075538726715</v>
      </c>
      <c r="N40" s="300">
        <f t="shared" si="20"/>
        <v>10.491942121848938</v>
      </c>
      <c r="O40" s="300">
        <f t="shared" si="20"/>
        <v>10.684808704971161</v>
      </c>
      <c r="P40" s="301">
        <f t="shared" si="20"/>
        <v>15.22182994837881</v>
      </c>
    </row>
    <row r="41" spans="1:30" s="17" customFormat="1" ht="12" customHeight="1" x14ac:dyDescent="0.2">
      <c r="A41" s="17" t="s">
        <v>260</v>
      </c>
      <c r="B41" s="243" t="s">
        <v>259</v>
      </c>
      <c r="C41" s="287">
        <f t="shared" ref="C41:P41" si="21">C40*SQRT(1+C37)</f>
        <v>12.600012017087787</v>
      </c>
      <c r="D41" s="287">
        <f t="shared" si="21"/>
        <v>12.910182506194955</v>
      </c>
      <c r="E41" s="287">
        <f t="shared" si="21"/>
        <v>13.222784122392657</v>
      </c>
      <c r="F41" s="287">
        <f t="shared" si="21"/>
        <v>13.538066649141307</v>
      </c>
      <c r="G41" s="287">
        <f t="shared" si="21"/>
        <v>13.85631863404028</v>
      </c>
      <c r="H41" s="287">
        <f t="shared" si="21"/>
        <v>14.177874807932268</v>
      </c>
      <c r="I41" s="287">
        <f t="shared" si="21"/>
        <v>14.503125060439087</v>
      </c>
      <c r="J41" s="287">
        <f t="shared" si="21"/>
        <v>14.832525318623459</v>
      </c>
      <c r="K41" s="287">
        <f t="shared" si="21"/>
        <v>15.166610752574707</v>
      </c>
      <c r="L41" s="287">
        <f t="shared" si="21"/>
        <v>15.506011822894168</v>
      </c>
      <c r="M41" s="287">
        <f t="shared" si="21"/>
        <v>15.851473789866661</v>
      </c>
      <c r="N41" s="287">
        <f t="shared" si="21"/>
        <v>16.203880419084932</v>
      </c>
      <c r="O41" s="287">
        <f t="shared" si="21"/>
        <v>16.564282734209531</v>
      </c>
      <c r="P41" s="290">
        <f t="shared" si="21"/>
        <v>32.091820996880394</v>
      </c>
    </row>
    <row r="42" spans="1:30" s="17" customFormat="1" ht="12" customHeight="1" x14ac:dyDescent="0.2">
      <c r="A42" s="17" t="s">
        <v>261</v>
      </c>
      <c r="B42" s="243" t="s">
        <v>259</v>
      </c>
      <c r="C42" s="287">
        <f t="shared" ref="C42:P42" si="22">C41-C40</f>
        <v>4.2296023095833029</v>
      </c>
      <c r="D42" s="287">
        <f t="shared" si="22"/>
        <v>4.3469062155682483</v>
      </c>
      <c r="E42" s="287">
        <f t="shared" si="22"/>
        <v>4.466641248643727</v>
      </c>
      <c r="F42" s="287">
        <f t="shared" si="22"/>
        <v>4.589057192270154</v>
      </c>
      <c r="G42" s="287">
        <f t="shared" si="22"/>
        <v>4.7144425940469041</v>
      </c>
      <c r="H42" s="287">
        <f t="shared" si="22"/>
        <v>4.8431321848166693</v>
      </c>
      <c r="I42" s="287">
        <f t="shared" si="22"/>
        <v>4.9755158542012641</v>
      </c>
      <c r="J42" s="287">
        <f t="shared" si="22"/>
        <v>5.1120495292634143</v>
      </c>
      <c r="K42" s="287">
        <f t="shared" si="22"/>
        <v>5.2532683800924378</v>
      </c>
      <c r="L42" s="287">
        <f t="shared" si="22"/>
        <v>5.3998028672896758</v>
      </c>
      <c r="M42" s="287">
        <f t="shared" si="22"/>
        <v>5.5523982511399463</v>
      </c>
      <c r="N42" s="287">
        <f t="shared" si="22"/>
        <v>5.711938297235994</v>
      </c>
      <c r="O42" s="287">
        <f t="shared" si="22"/>
        <v>5.87947402923837</v>
      </c>
      <c r="P42" s="290">
        <f t="shared" si="22"/>
        <v>16.869991048501582</v>
      </c>
    </row>
    <row r="43" spans="1:30" s="17" customFormat="1" ht="12" customHeight="1" x14ac:dyDescent="0.2">
      <c r="A43" s="17" t="s">
        <v>262</v>
      </c>
      <c r="B43" s="243" t="s">
        <v>193</v>
      </c>
      <c r="C43" s="287">
        <f t="shared" ref="C43:P43" si="23">C41/C40</f>
        <v>1.5053040959024093</v>
      </c>
      <c r="D43" s="287">
        <f t="shared" si="23"/>
        <v>1.5076218573405529</v>
      </c>
      <c r="E43" s="287">
        <f t="shared" si="23"/>
        <v>1.5101151629257668</v>
      </c>
      <c r="F43" s="287">
        <f t="shared" si="23"/>
        <v>1.5128005746766333</v>
      </c>
      <c r="G43" s="287">
        <f t="shared" si="23"/>
        <v>1.5156974972557515</v>
      </c>
      <c r="H43" s="287">
        <f t="shared" si="23"/>
        <v>1.5188286790921941</v>
      </c>
      <c r="I43" s="287">
        <f t="shared" si="23"/>
        <v>1.5222208159990172</v>
      </c>
      <c r="J43" s="287">
        <f t="shared" si="23"/>
        <v>1.5259052787168117</v>
      </c>
      <c r="K43" s="287">
        <f t="shared" si="23"/>
        <v>1.5299189902564654</v>
      </c>
      <c r="L43" s="287">
        <f t="shared" si="23"/>
        <v>1.5343054839861752</v>
      </c>
      <c r="M43" s="287">
        <f t="shared" si="23"/>
        <v>1.5391161789484646</v>
      </c>
      <c r="N43" s="287">
        <f t="shared" si="23"/>
        <v>1.5444119144863726</v>
      </c>
      <c r="O43" s="287">
        <f t="shared" si="23"/>
        <v>1.5502647910301768</v>
      </c>
      <c r="P43" s="290">
        <f t="shared" si="23"/>
        <v>2.1082761471986036</v>
      </c>
    </row>
    <row r="44" spans="1:30" s="17" customFormat="1" ht="12" customHeight="1" x14ac:dyDescent="0.2">
      <c r="A44" s="17" t="s">
        <v>263</v>
      </c>
      <c r="B44" s="243" t="s">
        <v>259</v>
      </c>
      <c r="C44" s="287">
        <f t="shared" ref="C44:P44" si="24">C40+0.5*C42</f>
        <v>10.485210862296135</v>
      </c>
      <c r="D44" s="287">
        <f t="shared" si="24"/>
        <v>10.73672939841083</v>
      </c>
      <c r="E44" s="287">
        <f t="shared" si="24"/>
        <v>10.989463498070794</v>
      </c>
      <c r="F44" s="287">
        <f t="shared" si="24"/>
        <v>11.24353805300623</v>
      </c>
      <c r="G44" s="287">
        <f t="shared" si="24"/>
        <v>11.499097337016828</v>
      </c>
      <c r="H44" s="287">
        <f t="shared" si="24"/>
        <v>11.756308715523932</v>
      </c>
      <c r="I44" s="287">
        <f t="shared" si="24"/>
        <v>12.015367133338454</v>
      </c>
      <c r="J44" s="287">
        <f t="shared" si="24"/>
        <v>12.276500553991752</v>
      </c>
      <c r="K44" s="287">
        <f t="shared" si="24"/>
        <v>12.539976562528487</v>
      </c>
      <c r="L44" s="287">
        <f t="shared" si="24"/>
        <v>12.80611038924933</v>
      </c>
      <c r="M44" s="287">
        <f t="shared" si="24"/>
        <v>13.075274664296689</v>
      </c>
      <c r="N44" s="287">
        <f t="shared" si="24"/>
        <v>13.347911270466934</v>
      </c>
      <c r="O44" s="287">
        <f t="shared" si="24"/>
        <v>13.624545719590346</v>
      </c>
      <c r="P44" s="290">
        <f t="shared" si="24"/>
        <v>23.656825472629599</v>
      </c>
    </row>
    <row r="45" spans="1:30" s="17" customFormat="1" ht="12" customHeight="1" x14ac:dyDescent="0.2">
      <c r="A45" s="17" t="s">
        <v>264</v>
      </c>
      <c r="B45" s="243" t="s">
        <v>265</v>
      </c>
      <c r="C45" s="302">
        <f t="shared" ref="C45:P45" si="25">0.785*$C18^2*C44</f>
        <v>825.32772888299166</v>
      </c>
      <c r="D45" s="302">
        <f t="shared" si="25"/>
        <v>845.12563518261356</v>
      </c>
      <c r="E45" s="302">
        <f t="shared" si="25"/>
        <v>865.01922275305628</v>
      </c>
      <c r="F45" s="302">
        <f t="shared" si="25"/>
        <v>885.01832226052193</v>
      </c>
      <c r="G45" s="302">
        <f t="shared" si="25"/>
        <v>905.13429000189376</v>
      </c>
      <c r="H45" s="302">
        <f t="shared" si="25"/>
        <v>925.38029989660026</v>
      </c>
      <c r="I45" s="302">
        <f t="shared" si="25"/>
        <v>945.77169673457092</v>
      </c>
      <c r="J45" s="302">
        <f t="shared" si="25"/>
        <v>966.32642432505031</v>
      </c>
      <c r="K45" s="302">
        <f t="shared" si="25"/>
        <v>987.0655452255869</v>
      </c>
      <c r="L45" s="302">
        <f t="shared" si="25"/>
        <v>1008.0138723189681</v>
      </c>
      <c r="M45" s="302">
        <f t="shared" si="25"/>
        <v>1029.2007366308819</v>
      </c>
      <c r="N45" s="302">
        <f t="shared" si="25"/>
        <v>1050.660920306347</v>
      </c>
      <c r="O45" s="302">
        <f t="shared" si="25"/>
        <v>1072.4357882250094</v>
      </c>
      <c r="P45" s="275">
        <f t="shared" si="25"/>
        <v>1862.1117206250474</v>
      </c>
    </row>
    <row r="46" spans="1:30" s="17" customFormat="1" ht="12" customHeight="1" thickBot="1" x14ac:dyDescent="0.25">
      <c r="A46" s="223" t="s">
        <v>266</v>
      </c>
      <c r="B46" s="303" t="s">
        <v>193</v>
      </c>
      <c r="C46" s="304">
        <f t="shared" ref="C46:P46" si="26">C53+C55+C57+C61+C62+C63</f>
        <v>0.69995845304263127</v>
      </c>
      <c r="D46" s="304">
        <f t="shared" si="26"/>
        <v>0.70915184303917456</v>
      </c>
      <c r="E46" s="304">
        <f t="shared" si="26"/>
        <v>0.71906587447657278</v>
      </c>
      <c r="F46" s="304">
        <f t="shared" si="26"/>
        <v>0.72978544675680845</v>
      </c>
      <c r="G46" s="304">
        <f t="shared" si="26"/>
        <v>0.7414088811890549</v>
      </c>
      <c r="H46" s="304">
        <f t="shared" si="26"/>
        <v>0.7540503736211005</v>
      </c>
      <c r="I46" s="304">
        <f t="shared" si="26"/>
        <v>0.76784294450777357</v>
      </c>
      <c r="J46" s="304">
        <f t="shared" si="26"/>
        <v>0.78294199590623192</v>
      </c>
      <c r="K46" s="304">
        <f t="shared" si="26"/>
        <v>0.79952960947138718</v>
      </c>
      <c r="L46" s="304">
        <f t="shared" si="26"/>
        <v>0.81781974871625396</v>
      </c>
      <c r="M46" s="304">
        <f t="shared" si="26"/>
        <v>0.83806456254655481</v>
      </c>
      <c r="N46" s="304">
        <f t="shared" si="26"/>
        <v>0.86056202440185636</v>
      </c>
      <c r="O46" s="304">
        <f t="shared" si="26"/>
        <v>0.88566517947299694</v>
      </c>
      <c r="P46" s="305">
        <f t="shared" si="26"/>
        <v>3.5507927380822282</v>
      </c>
    </row>
    <row r="47" spans="1:30" s="17" customFormat="1" ht="12" customHeight="1" x14ac:dyDescent="0.2">
      <c r="A47" s="298"/>
      <c r="B47" s="309" t="s">
        <v>267</v>
      </c>
      <c r="C47" s="308">
        <f t="shared" ref="C47:P47" si="27">1.35-0.23*$C13+0.012*$C13^2</f>
        <v>0.33778724112842839</v>
      </c>
      <c r="D47" s="308">
        <f t="shared" si="27"/>
        <v>0.33778724112842839</v>
      </c>
      <c r="E47" s="308">
        <f t="shared" si="27"/>
        <v>0.33778724112842839</v>
      </c>
      <c r="F47" s="308">
        <f t="shared" si="27"/>
        <v>0.33778724112842839</v>
      </c>
      <c r="G47" s="308">
        <f t="shared" si="27"/>
        <v>0.33778724112842839</v>
      </c>
      <c r="H47" s="308">
        <f t="shared" si="27"/>
        <v>0.33778724112842839</v>
      </c>
      <c r="I47" s="308">
        <f t="shared" si="27"/>
        <v>0.33778724112842839</v>
      </c>
      <c r="J47" s="308">
        <f t="shared" si="27"/>
        <v>0.33778724112842839</v>
      </c>
      <c r="K47" s="308">
        <f t="shared" si="27"/>
        <v>0.33778724112842839</v>
      </c>
      <c r="L47" s="308">
        <f t="shared" si="27"/>
        <v>0.33778724112842839</v>
      </c>
      <c r="M47" s="308">
        <f t="shared" si="27"/>
        <v>0.33778724112842839</v>
      </c>
      <c r="N47" s="308">
        <f t="shared" si="27"/>
        <v>0.33778724112842839</v>
      </c>
      <c r="O47" s="308">
        <f t="shared" si="27"/>
        <v>0.33778724112842839</v>
      </c>
      <c r="P47" s="310">
        <f t="shared" si="27"/>
        <v>0.33778724112842839</v>
      </c>
    </row>
    <row r="48" spans="1:30" s="17" customFormat="1" ht="12" customHeight="1" x14ac:dyDescent="0.2">
      <c r="B48" s="306" t="s">
        <v>268</v>
      </c>
      <c r="C48" s="277">
        <f t="shared" ref="C48:P48" si="28">0.0011*$C13^9.1</f>
        <v>44082.575969218087</v>
      </c>
      <c r="D48" s="277">
        <f t="shared" si="28"/>
        <v>44082.575969218087</v>
      </c>
      <c r="E48" s="277">
        <f t="shared" si="28"/>
        <v>44082.575969218087</v>
      </c>
      <c r="F48" s="277">
        <f t="shared" si="28"/>
        <v>44082.575969218087</v>
      </c>
      <c r="G48" s="277">
        <f t="shared" si="28"/>
        <v>44082.575969218087</v>
      </c>
      <c r="H48" s="277">
        <f t="shared" si="28"/>
        <v>44082.575969218087</v>
      </c>
      <c r="I48" s="277">
        <f t="shared" si="28"/>
        <v>44082.575969218087</v>
      </c>
      <c r="J48" s="277">
        <f t="shared" si="28"/>
        <v>44082.575969218087</v>
      </c>
      <c r="K48" s="277">
        <f t="shared" si="28"/>
        <v>44082.575969218087</v>
      </c>
      <c r="L48" s="277">
        <f t="shared" si="28"/>
        <v>44082.575969218087</v>
      </c>
      <c r="M48" s="277">
        <f t="shared" si="28"/>
        <v>44082.575969218087</v>
      </c>
      <c r="N48" s="277">
        <f t="shared" si="28"/>
        <v>44082.575969218087</v>
      </c>
      <c r="O48" s="277">
        <f t="shared" si="28"/>
        <v>44082.575969218087</v>
      </c>
      <c r="P48" s="311">
        <f t="shared" si="28"/>
        <v>44082.575969218087</v>
      </c>
    </row>
    <row r="49" spans="2:16" s="17" customFormat="1" ht="12" customHeight="1" x14ac:dyDescent="0.2">
      <c r="B49" s="306" t="s">
        <v>269</v>
      </c>
      <c r="C49" s="261">
        <f t="shared" ref="C49:P49" si="29">2*$C13-3.7</f>
        <v>9.9933808022228447</v>
      </c>
      <c r="D49" s="261">
        <f t="shared" si="29"/>
        <v>9.9933808022228447</v>
      </c>
      <c r="E49" s="261">
        <f t="shared" si="29"/>
        <v>9.9933808022228447</v>
      </c>
      <c r="F49" s="261">
        <f t="shared" si="29"/>
        <v>9.9933808022228447</v>
      </c>
      <c r="G49" s="261">
        <f t="shared" si="29"/>
        <v>9.9933808022228447</v>
      </c>
      <c r="H49" s="261">
        <f t="shared" si="29"/>
        <v>9.9933808022228447</v>
      </c>
      <c r="I49" s="261">
        <f t="shared" si="29"/>
        <v>9.9933808022228447</v>
      </c>
      <c r="J49" s="261">
        <f t="shared" si="29"/>
        <v>9.9933808022228447</v>
      </c>
      <c r="K49" s="261">
        <f t="shared" si="29"/>
        <v>9.9933808022228447</v>
      </c>
      <c r="L49" s="261">
        <f t="shared" si="29"/>
        <v>9.9933808022228447</v>
      </c>
      <c r="M49" s="261">
        <f t="shared" si="29"/>
        <v>9.9933808022228447</v>
      </c>
      <c r="N49" s="261">
        <f t="shared" si="29"/>
        <v>9.9933808022228447</v>
      </c>
      <c r="O49" s="261">
        <f t="shared" si="29"/>
        <v>9.9933808022228447</v>
      </c>
      <c r="P49" s="312">
        <f t="shared" si="29"/>
        <v>9.9933808022228447</v>
      </c>
    </row>
    <row r="50" spans="2:16" s="17" customFormat="1" ht="12" customHeight="1" x14ac:dyDescent="0.2">
      <c r="B50" s="306" t="s">
        <v>270</v>
      </c>
      <c r="C50" s="261">
        <f t="shared" ref="C50:P50" si="30">7-0.09*$C13^2</f>
        <v>2.7810547496195852</v>
      </c>
      <c r="D50" s="261">
        <f t="shared" si="30"/>
        <v>2.7810547496195852</v>
      </c>
      <c r="E50" s="261">
        <f t="shared" si="30"/>
        <v>2.7810547496195852</v>
      </c>
      <c r="F50" s="261">
        <f t="shared" si="30"/>
        <v>2.7810547496195852</v>
      </c>
      <c r="G50" s="261">
        <f t="shared" si="30"/>
        <v>2.7810547496195852</v>
      </c>
      <c r="H50" s="261">
        <f t="shared" si="30"/>
        <v>2.7810547496195852</v>
      </c>
      <c r="I50" s="261">
        <f t="shared" si="30"/>
        <v>2.7810547496195852</v>
      </c>
      <c r="J50" s="261">
        <f t="shared" si="30"/>
        <v>2.7810547496195852</v>
      </c>
      <c r="K50" s="261">
        <f t="shared" si="30"/>
        <v>2.7810547496195852</v>
      </c>
      <c r="L50" s="261">
        <f t="shared" si="30"/>
        <v>2.7810547496195852</v>
      </c>
      <c r="M50" s="261">
        <f t="shared" si="30"/>
        <v>2.7810547496195852</v>
      </c>
      <c r="N50" s="261">
        <f t="shared" si="30"/>
        <v>2.7810547496195852</v>
      </c>
      <c r="O50" s="261">
        <f t="shared" si="30"/>
        <v>2.7810547496195852</v>
      </c>
      <c r="P50" s="312">
        <f t="shared" si="30"/>
        <v>2.7810547496195852</v>
      </c>
    </row>
    <row r="51" spans="2:16" s="17" customFormat="1" ht="12" customHeight="1" x14ac:dyDescent="0.2">
      <c r="B51" s="306" t="s">
        <v>271</v>
      </c>
      <c r="C51" s="261">
        <f t="shared" ref="C51:P51" si="31">(5*$C12-2.5)^2</f>
        <v>0.75880264645323103</v>
      </c>
      <c r="D51" s="261">
        <f t="shared" si="31"/>
        <v>0.75880264645323103</v>
      </c>
      <c r="E51" s="261">
        <f t="shared" si="31"/>
        <v>0.75880264645323103</v>
      </c>
      <c r="F51" s="261">
        <f t="shared" si="31"/>
        <v>0.75880264645323103</v>
      </c>
      <c r="G51" s="261">
        <f t="shared" si="31"/>
        <v>0.75880264645323103</v>
      </c>
      <c r="H51" s="261">
        <f t="shared" si="31"/>
        <v>0.75880264645323103</v>
      </c>
      <c r="I51" s="261">
        <f t="shared" si="31"/>
        <v>0.75880264645323103</v>
      </c>
      <c r="J51" s="261">
        <f t="shared" si="31"/>
        <v>0.75880264645323103</v>
      </c>
      <c r="K51" s="261">
        <f t="shared" si="31"/>
        <v>0.75880264645323103</v>
      </c>
      <c r="L51" s="261">
        <f t="shared" si="31"/>
        <v>0.75880264645323103</v>
      </c>
      <c r="M51" s="261">
        <f t="shared" si="31"/>
        <v>0.75880264645323103</v>
      </c>
      <c r="N51" s="261">
        <f t="shared" si="31"/>
        <v>0.75880264645323103</v>
      </c>
      <c r="O51" s="261">
        <f t="shared" si="31"/>
        <v>0.75880264645323103</v>
      </c>
      <c r="P51" s="312">
        <f t="shared" si="31"/>
        <v>0.75880264645323103</v>
      </c>
    </row>
    <row r="52" spans="2:16" s="17" customFormat="1" ht="12" customHeight="1" x14ac:dyDescent="0.2">
      <c r="B52" s="306" t="s">
        <v>272</v>
      </c>
      <c r="C52" s="261">
        <f t="shared" ref="C52:P52" si="32">(600*(C22-0.315)^2+1)^1.5</f>
        <v>44.715978377499816</v>
      </c>
      <c r="D52" s="261">
        <f t="shared" si="32"/>
        <v>41.21433558832409</v>
      </c>
      <c r="E52" s="261">
        <f t="shared" si="32"/>
        <v>37.908550568741404</v>
      </c>
      <c r="F52" s="261">
        <f t="shared" si="32"/>
        <v>34.792762631818967</v>
      </c>
      <c r="G52" s="261">
        <f t="shared" si="32"/>
        <v>31.861113145475677</v>
      </c>
      <c r="H52" s="261">
        <f t="shared" si="32"/>
        <v>29.107745848725411</v>
      </c>
      <c r="I52" s="261">
        <f t="shared" si="32"/>
        <v>26.526807226935997</v>
      </c>
      <c r="J52" s="261">
        <f t="shared" si="32"/>
        <v>24.112446959056776</v>
      </c>
      <c r="K52" s="261">
        <f t="shared" si="32"/>
        <v>21.858818453033496</v>
      </c>
      <c r="L52" s="261">
        <f t="shared" si="32"/>
        <v>19.760079489820829</v>
      </c>
      <c r="M52" s="261">
        <f t="shared" si="32"/>
        <v>17.810393001809214</v>
      </c>
      <c r="N52" s="261">
        <f t="shared" si="32"/>
        <v>16.003928018494424</v>
      </c>
      <c r="O52" s="261">
        <f t="shared" si="32"/>
        <v>14.334860821352118</v>
      </c>
      <c r="P52" s="312">
        <f t="shared" si="32"/>
        <v>1.0225841652402019</v>
      </c>
    </row>
    <row r="53" spans="2:16" s="17" customFormat="1" ht="12" customHeight="1" x14ac:dyDescent="0.2">
      <c r="B53" s="306" t="s">
        <v>273</v>
      </c>
      <c r="C53" s="261">
        <f t="shared" ref="C53:P53" si="33">C50*C51/C52</f>
        <v>4.7192788361408534E-2</v>
      </c>
      <c r="D53" s="261">
        <f t="shared" si="33"/>
        <v>5.1202371063832054E-2</v>
      </c>
      <c r="E53" s="261">
        <f t="shared" si="33"/>
        <v>5.5667433132691568E-2</v>
      </c>
      <c r="F53" s="261">
        <f t="shared" si="33"/>
        <v>6.0652605436188209E-2</v>
      </c>
      <c r="G53" s="261">
        <f t="shared" si="33"/>
        <v>6.6233458144017501E-2</v>
      </c>
      <c r="H53" s="261">
        <f t="shared" si="33"/>
        <v>7.2498630258415395E-2</v>
      </c>
      <c r="I53" s="261">
        <f t="shared" si="33"/>
        <v>7.9552419780087411E-2</v>
      </c>
      <c r="J53" s="261">
        <f t="shared" si="33"/>
        <v>8.751794073517033E-2</v>
      </c>
      <c r="K53" s="261">
        <f t="shared" si="33"/>
        <v>9.6540977659742275E-2</v>
      </c>
      <c r="L53" s="261">
        <f t="shared" si="33"/>
        <v>0.10679469710786085</v>
      </c>
      <c r="M53" s="261">
        <f t="shared" si="33"/>
        <v>0.11848540926235056</v>
      </c>
      <c r="N53" s="261">
        <f t="shared" si="33"/>
        <v>0.13185960980979178</v>
      </c>
      <c r="O53" s="261">
        <f t="shared" si="33"/>
        <v>0.14721257012829653</v>
      </c>
      <c r="P53" s="312">
        <f t="shared" si="33"/>
        <v>2.0636655403782558</v>
      </c>
    </row>
    <row r="54" spans="2:16" s="17" customFormat="1" ht="12" customHeight="1" x14ac:dyDescent="0.2">
      <c r="B54" s="306"/>
      <c r="C54" s="261">
        <f t="shared" ref="C54:P54" si="34">C22-(0.04+0.59*$C12)-0.015*($C13-5)</f>
        <v>-0.28952287295525703</v>
      </c>
      <c r="D54" s="261">
        <f t="shared" si="34"/>
        <v>-0.28546834686947026</v>
      </c>
      <c r="E54" s="261">
        <f t="shared" si="34"/>
        <v>-0.2814138207836836</v>
      </c>
      <c r="F54" s="261">
        <f t="shared" si="34"/>
        <v>-0.27735929469789689</v>
      </c>
      <c r="G54" s="261">
        <f t="shared" si="34"/>
        <v>-0.27330476861211012</v>
      </c>
      <c r="H54" s="261">
        <f t="shared" si="34"/>
        <v>-0.2692502425263234</v>
      </c>
      <c r="I54" s="261">
        <f t="shared" si="34"/>
        <v>-0.26519571644053669</v>
      </c>
      <c r="J54" s="261">
        <f t="shared" si="34"/>
        <v>-0.26114119035474997</v>
      </c>
      <c r="K54" s="261">
        <f t="shared" si="34"/>
        <v>-0.25708666426896326</v>
      </c>
      <c r="L54" s="261">
        <f t="shared" si="34"/>
        <v>-0.25303213818317655</v>
      </c>
      <c r="M54" s="261">
        <f t="shared" si="34"/>
        <v>-0.24897761209738981</v>
      </c>
      <c r="N54" s="261">
        <f t="shared" si="34"/>
        <v>-0.24492308601160312</v>
      </c>
      <c r="O54" s="261">
        <f t="shared" si="34"/>
        <v>-0.24086855992581641</v>
      </c>
      <c r="P54" s="312">
        <f t="shared" si="34"/>
        <v>-0.14548930507840066</v>
      </c>
    </row>
    <row r="55" spans="2:16" s="17" customFormat="1" ht="12" customHeight="1" x14ac:dyDescent="0.2">
      <c r="B55" s="306" t="s">
        <v>274</v>
      </c>
      <c r="C55" s="261">
        <f t="shared" ref="C55:P55" si="35">EXP(80*C54)</f>
        <v>8.7286104400633378E-11</v>
      </c>
      <c r="D55" s="261">
        <f t="shared" si="35"/>
        <v>1.2072960388873494E-10</v>
      </c>
      <c r="E55" s="261">
        <f t="shared" si="35"/>
        <v>1.6698691452914666E-10</v>
      </c>
      <c r="F55" s="261">
        <f t="shared" si="35"/>
        <v>2.3096762290103475E-10</v>
      </c>
      <c r="G55" s="261">
        <f t="shared" si="35"/>
        <v>3.1946241403989488E-10</v>
      </c>
      <c r="H55" s="261">
        <f t="shared" si="35"/>
        <v>4.4186381061697988E-10</v>
      </c>
      <c r="I55" s="261">
        <f t="shared" si="35"/>
        <v>6.1116306191994159E-10</v>
      </c>
      <c r="J55" s="261">
        <f t="shared" si="35"/>
        <v>8.4532898888869708E-10</v>
      </c>
      <c r="K55" s="261">
        <f t="shared" si="35"/>
        <v>1.1692151309190091E-9</v>
      </c>
      <c r="L55" s="261">
        <f t="shared" si="35"/>
        <v>1.6171976122185895E-9</v>
      </c>
      <c r="M55" s="261">
        <f t="shared" si="35"/>
        <v>2.2368237014772938E-9</v>
      </c>
      <c r="N55" s="261">
        <f t="shared" si="35"/>
        <v>3.0938583100098356E-9</v>
      </c>
      <c r="O55" s="261">
        <f t="shared" si="35"/>
        <v>4.2792640457516695E-9</v>
      </c>
      <c r="P55" s="312">
        <f t="shared" si="35"/>
        <v>8.8142184600984531E-6</v>
      </c>
    </row>
    <row r="56" spans="2:16" s="17" customFormat="1" ht="12" customHeight="1" x14ac:dyDescent="0.2">
      <c r="B56" s="306"/>
      <c r="C56" s="261">
        <f t="shared" ref="C56:P56" si="36">20*$C12-16</f>
        <v>-2.5156288453651072</v>
      </c>
      <c r="D56" s="261">
        <f t="shared" si="36"/>
        <v>-2.5156288453651072</v>
      </c>
      <c r="E56" s="261">
        <f t="shared" si="36"/>
        <v>-2.5156288453651072</v>
      </c>
      <c r="F56" s="261">
        <f t="shared" si="36"/>
        <v>-2.5156288453651072</v>
      </c>
      <c r="G56" s="261">
        <f t="shared" si="36"/>
        <v>-2.5156288453651072</v>
      </c>
      <c r="H56" s="261">
        <f t="shared" si="36"/>
        <v>-2.5156288453651072</v>
      </c>
      <c r="I56" s="261">
        <f t="shared" si="36"/>
        <v>-2.5156288453651072</v>
      </c>
      <c r="J56" s="261">
        <f t="shared" si="36"/>
        <v>-2.5156288453651072</v>
      </c>
      <c r="K56" s="261">
        <f t="shared" si="36"/>
        <v>-2.5156288453651072</v>
      </c>
      <c r="L56" s="261">
        <f t="shared" si="36"/>
        <v>-2.5156288453651072</v>
      </c>
      <c r="M56" s="261">
        <f t="shared" si="36"/>
        <v>-2.5156288453651072</v>
      </c>
      <c r="N56" s="261">
        <f t="shared" si="36"/>
        <v>-2.5156288453651072</v>
      </c>
      <c r="O56" s="261">
        <f t="shared" si="36"/>
        <v>-2.5156288453651072</v>
      </c>
      <c r="P56" s="312">
        <f t="shared" si="36"/>
        <v>-2.5156288453651072</v>
      </c>
    </row>
    <row r="57" spans="2:16" s="17" customFormat="1" ht="12" customHeight="1" x14ac:dyDescent="0.2">
      <c r="B57" s="306" t="s">
        <v>275</v>
      </c>
      <c r="C57" s="261">
        <f t="shared" ref="C57:P57" si="37">180*C22^3.7*EXP(C56)</f>
        <v>2.3487627151083806E-2</v>
      </c>
      <c r="D57" s="261">
        <f t="shared" si="37"/>
        <v>2.5553131765150686E-2</v>
      </c>
      <c r="E57" s="261">
        <f t="shared" si="37"/>
        <v>2.7748135114978898E-2</v>
      </c>
      <c r="F57" s="261">
        <f t="shared" si="37"/>
        <v>3.0077634188930273E-2</v>
      </c>
      <c r="G57" s="261">
        <f t="shared" si="37"/>
        <v>3.2546703624486653E-2</v>
      </c>
      <c r="H57" s="261">
        <f t="shared" si="37"/>
        <v>3.5160495202270381E-2</v>
      </c>
      <c r="I57" s="261">
        <f t="shared" si="37"/>
        <v>3.7924237354051045E-2</v>
      </c>
      <c r="J57" s="261">
        <f t="shared" si="37"/>
        <v>4.0843234684068468E-2</v>
      </c>
      <c r="K57" s="261">
        <f t="shared" si="37"/>
        <v>4.3922867503047025E-2</v>
      </c>
      <c r="L57" s="261">
        <f t="shared" si="37"/>
        <v>4.7168591374317941E-2</v>
      </c>
      <c r="M57" s="261">
        <f t="shared" si="37"/>
        <v>5.0585936671503753E-2</v>
      </c>
      <c r="N57" s="261">
        <f t="shared" si="37"/>
        <v>5.4180508147253816E-2</v>
      </c>
      <c r="O57" s="261">
        <f t="shared" si="37"/>
        <v>5.7957984512551311E-2</v>
      </c>
      <c r="P57" s="312">
        <f t="shared" si="37"/>
        <v>0.21468598738024058</v>
      </c>
    </row>
    <row r="58" spans="2:16" s="17" customFormat="1" ht="12" customHeight="1" x14ac:dyDescent="0.2">
      <c r="B58" s="306"/>
      <c r="C58" s="261">
        <f t="shared" ref="C58:P58" si="38">C47+1.5*C22^1.8+C48*C22^(C49)</f>
        <v>0.4048018644681467</v>
      </c>
      <c r="D58" s="261">
        <f t="shared" si="38"/>
        <v>0.40787820980159467</v>
      </c>
      <c r="E58" s="261">
        <f t="shared" si="38"/>
        <v>0.41107742205317754</v>
      </c>
      <c r="F58" s="261">
        <f t="shared" si="38"/>
        <v>0.41441346230181442</v>
      </c>
      <c r="G58" s="261">
        <f t="shared" si="38"/>
        <v>0.4179026577529219</v>
      </c>
      <c r="H58" s="261">
        <f t="shared" si="38"/>
        <v>0.42156403042868129</v>
      </c>
      <c r="I58" s="261">
        <f t="shared" si="38"/>
        <v>0.42541966322418745</v>
      </c>
      <c r="J58" s="261">
        <f t="shared" si="38"/>
        <v>0.42949510664504836</v>
      </c>
      <c r="K58" s="261">
        <f t="shared" si="38"/>
        <v>0.43381982975830252</v>
      </c>
      <c r="L58" s="261">
        <f t="shared" si="38"/>
        <v>0.4384277191139711</v>
      </c>
      <c r="M58" s="261">
        <f t="shared" si="38"/>
        <v>0.4433576296293732</v>
      </c>
      <c r="N58" s="261">
        <f t="shared" si="38"/>
        <v>0.44865399167269021</v>
      </c>
      <c r="O58" s="261">
        <f t="shared" si="38"/>
        <v>0.45436747883636164</v>
      </c>
      <c r="P58" s="312">
        <f t="shared" si="38"/>
        <v>1.0307833110751354</v>
      </c>
    </row>
    <row r="59" spans="2:16" s="17" customFormat="1" ht="12" customHeight="1" x14ac:dyDescent="0.2">
      <c r="B59" s="306"/>
      <c r="C59" s="261">
        <f t="shared" ref="C59:P59" si="39">0.98+2.5/($C13-2)^4</f>
        <v>0.98453063310900901</v>
      </c>
      <c r="D59" s="261">
        <f t="shared" si="39"/>
        <v>0.98453063310900901</v>
      </c>
      <c r="E59" s="261">
        <f t="shared" si="39"/>
        <v>0.98453063310900901</v>
      </c>
      <c r="F59" s="261">
        <f t="shared" si="39"/>
        <v>0.98453063310900901</v>
      </c>
      <c r="G59" s="261">
        <f t="shared" si="39"/>
        <v>0.98453063310900901</v>
      </c>
      <c r="H59" s="261">
        <f t="shared" si="39"/>
        <v>0.98453063310900901</v>
      </c>
      <c r="I59" s="261">
        <f t="shared" si="39"/>
        <v>0.98453063310900901</v>
      </c>
      <c r="J59" s="261">
        <f t="shared" si="39"/>
        <v>0.98453063310900901</v>
      </c>
      <c r="K59" s="261">
        <f t="shared" si="39"/>
        <v>0.98453063310900901</v>
      </c>
      <c r="L59" s="261">
        <f t="shared" si="39"/>
        <v>0.98453063310900901</v>
      </c>
      <c r="M59" s="261">
        <f t="shared" si="39"/>
        <v>0.98453063310900901</v>
      </c>
      <c r="N59" s="261">
        <f t="shared" si="39"/>
        <v>0.98453063310900901</v>
      </c>
      <c r="O59" s="261">
        <f t="shared" si="39"/>
        <v>0.98453063310900901</v>
      </c>
      <c r="P59" s="312">
        <f t="shared" si="39"/>
        <v>0.98453063310900901</v>
      </c>
    </row>
    <row r="60" spans="2:16" s="17" customFormat="1" ht="12" customHeight="1" x14ac:dyDescent="0.2">
      <c r="B60" s="306"/>
      <c r="C60" s="261">
        <f t="shared" ref="C60:P60" si="40">($C13-5)^4*(C22-0.1)^4</f>
        <v>3.8731408031550185E-4</v>
      </c>
      <c r="D60" s="261">
        <f t="shared" si="40"/>
        <v>4.7686050812347332E-4</v>
      </c>
      <c r="E60" s="261">
        <f t="shared" si="40"/>
        <v>5.811040170756943E-4</v>
      </c>
      <c r="F60" s="261">
        <f t="shared" si="40"/>
        <v>7.015710378149981E-4</v>
      </c>
      <c r="G60" s="261">
        <f t="shared" si="40"/>
        <v>8.3986343166101958E-4</v>
      </c>
      <c r="H60" s="261">
        <f t="shared" si="40"/>
        <v>9.9765849061019419E-4</v>
      </c>
      <c r="I60" s="261">
        <f t="shared" si="40"/>
        <v>1.1767089373357631E-3</v>
      </c>
      <c r="J60" s="261">
        <f t="shared" si="40"/>
        <v>1.3788429251877696E-3</v>
      </c>
      <c r="K60" s="261">
        <f t="shared" si="40"/>
        <v>1.6059640381930614E-3</v>
      </c>
      <c r="L60" s="261">
        <f t="shared" si="40"/>
        <v>1.8600512910552851E-3</v>
      </c>
      <c r="M60" s="261">
        <f t="shared" si="40"/>
        <v>2.1431591291548959E-3</v>
      </c>
      <c r="N60" s="261">
        <f t="shared" si="40"/>
        <v>2.4574174285491427E-3</v>
      </c>
      <c r="O60" s="261">
        <f t="shared" si="40"/>
        <v>2.8050314959720897E-3</v>
      </c>
      <c r="P60" s="312">
        <f t="shared" si="40"/>
        <v>2.7243762800263058E-2</v>
      </c>
    </row>
    <row r="61" spans="2:16" s="17" customFormat="1" ht="12" customHeight="1" x14ac:dyDescent="0.2">
      <c r="B61" s="306" t="s">
        <v>276</v>
      </c>
      <c r="C61" s="261">
        <f t="shared" ref="C61:P61" si="41">C58*C59+C60</f>
        <v>0.39892714998884721</v>
      </c>
      <c r="D61" s="261">
        <f t="shared" si="41"/>
        <v>0.40204545263545666</v>
      </c>
      <c r="E61" s="261">
        <f t="shared" si="41"/>
        <v>0.40529941860790986</v>
      </c>
      <c r="F61" s="261">
        <f t="shared" si="41"/>
        <v>0.40870431944671676</v>
      </c>
      <c r="G61" s="261">
        <f t="shared" si="41"/>
        <v>0.41227783164708276</v>
      </c>
      <c r="H61" s="261">
        <f t="shared" si="41"/>
        <v>0.41604036026454533</v>
      </c>
      <c r="I61" s="261">
        <f t="shared" si="41"/>
        <v>0.42001539930846643</v>
      </c>
      <c r="J61" s="261">
        <f t="shared" si="41"/>
        <v>0.42422993218765859</v>
      </c>
      <c r="K61" s="261">
        <f t="shared" si="41"/>
        <v>0.42871487568537714</v>
      </c>
      <c r="L61" s="261">
        <f t="shared" si="41"/>
        <v>0.43350557116287203</v>
      </c>
      <c r="M61" s="261">
        <f t="shared" si="41"/>
        <v>0.43864232692187122</v>
      </c>
      <c r="N61" s="261">
        <f t="shared" si="41"/>
        <v>0.44417101589694691</v>
      </c>
      <c r="O61" s="261">
        <f t="shared" si="41"/>
        <v>0.45014373309887951</v>
      </c>
      <c r="P61" s="312">
        <f t="shared" si="41"/>
        <v>1.0420815086512667</v>
      </c>
    </row>
    <row r="62" spans="2:16" s="17" customFormat="1" ht="12" customHeight="1" x14ac:dyDescent="0.2">
      <c r="B62" s="306" t="s">
        <v>277</v>
      </c>
      <c r="C62" s="261">
        <f t="shared" ref="C62:P62" si="42">0.16*($C5/$C6-2.5)</f>
        <v>0.23035088745400559</v>
      </c>
      <c r="D62" s="261">
        <f t="shared" si="42"/>
        <v>0.23035088745400559</v>
      </c>
      <c r="E62" s="261">
        <f t="shared" si="42"/>
        <v>0.23035088745400559</v>
      </c>
      <c r="F62" s="261">
        <f t="shared" si="42"/>
        <v>0.23035088745400559</v>
      </c>
      <c r="G62" s="261">
        <f t="shared" si="42"/>
        <v>0.23035088745400559</v>
      </c>
      <c r="H62" s="261">
        <f t="shared" si="42"/>
        <v>0.23035088745400559</v>
      </c>
      <c r="I62" s="261">
        <f t="shared" si="42"/>
        <v>0.23035088745400559</v>
      </c>
      <c r="J62" s="261">
        <f t="shared" si="42"/>
        <v>0.23035088745400559</v>
      </c>
      <c r="K62" s="261">
        <f t="shared" si="42"/>
        <v>0.23035088745400559</v>
      </c>
      <c r="L62" s="261">
        <f t="shared" si="42"/>
        <v>0.23035088745400559</v>
      </c>
      <c r="M62" s="261">
        <f t="shared" si="42"/>
        <v>0.23035088745400559</v>
      </c>
      <c r="N62" s="261">
        <f t="shared" si="42"/>
        <v>0.23035088745400559</v>
      </c>
      <c r="O62" s="261">
        <f t="shared" si="42"/>
        <v>0.23035088745400559</v>
      </c>
      <c r="P62" s="312">
        <f t="shared" si="42"/>
        <v>0.23035088745400559</v>
      </c>
    </row>
    <row r="63" spans="2:16" s="17" customFormat="1" ht="12" customHeight="1" x14ac:dyDescent="0.2">
      <c r="B63" s="306" t="s">
        <v>278</v>
      </c>
      <c r="C63" s="261">
        <f t="shared" ref="C63:P63" si="43">($C15-$C14)/3*0.1</f>
        <v>0</v>
      </c>
      <c r="D63" s="261">
        <f t="shared" si="43"/>
        <v>0</v>
      </c>
      <c r="E63" s="261">
        <f t="shared" si="43"/>
        <v>0</v>
      </c>
      <c r="F63" s="261">
        <f t="shared" si="43"/>
        <v>0</v>
      </c>
      <c r="G63" s="261">
        <f t="shared" si="43"/>
        <v>0</v>
      </c>
      <c r="H63" s="261">
        <f t="shared" si="43"/>
        <v>0</v>
      </c>
      <c r="I63" s="261">
        <f t="shared" si="43"/>
        <v>0</v>
      </c>
      <c r="J63" s="261">
        <f t="shared" si="43"/>
        <v>0</v>
      </c>
      <c r="K63" s="261">
        <f t="shared" si="43"/>
        <v>0</v>
      </c>
      <c r="L63" s="261">
        <f t="shared" si="43"/>
        <v>0</v>
      </c>
      <c r="M63" s="261">
        <f t="shared" si="43"/>
        <v>0</v>
      </c>
      <c r="N63" s="261">
        <f t="shared" si="43"/>
        <v>0</v>
      </c>
      <c r="O63" s="261">
        <f t="shared" si="43"/>
        <v>0</v>
      </c>
      <c r="P63" s="312">
        <f t="shared" si="43"/>
        <v>0</v>
      </c>
    </row>
    <row r="64" spans="2:16" s="17" customFormat="1" ht="12" customHeight="1" x14ac:dyDescent="0.2">
      <c r="B64" s="306" t="s">
        <v>279</v>
      </c>
      <c r="C64" s="306">
        <f>0.1*C5/C4+0.149</f>
        <v>0.16263002865717036</v>
      </c>
      <c r="D64" s="306" t="s">
        <v>280</v>
      </c>
      <c r="E64" s="306">
        <f>0.625*C5/C4+0.08</f>
        <v>0.16518767910731474</v>
      </c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13"/>
    </row>
    <row r="65" spans="1:16" s="17" customFormat="1" ht="12" customHeight="1" x14ac:dyDescent="0.2">
      <c r="B65" s="306" t="s">
        <v>281</v>
      </c>
      <c r="C65" s="306">
        <f>0.05*C5/C4+0.449</f>
        <v>0.45581501432858518</v>
      </c>
      <c r="D65" s="306" t="s">
        <v>282</v>
      </c>
      <c r="E65" s="306">
        <f>0.165-0.25*C5/C4</f>
        <v>0.13092492835707412</v>
      </c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13"/>
    </row>
    <row r="66" spans="1:16" s="17" customFormat="1" ht="12" customHeight="1" x14ac:dyDescent="0.2">
      <c r="B66" s="306" t="s">
        <v>283</v>
      </c>
      <c r="C66" s="306">
        <f>585-5027*C5/C4+11700*(C5/C4)^2</f>
        <v>117.17834640252971</v>
      </c>
      <c r="D66" s="306" t="s">
        <v>284</v>
      </c>
      <c r="E66" s="306">
        <f>825-8060*C5/C4+20300*(C5/C4)^2</f>
        <v>103.54838305849802</v>
      </c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13"/>
    </row>
    <row r="67" spans="1:16" s="17" customFormat="1" ht="12" customHeight="1" x14ac:dyDescent="0.2">
      <c r="B67" s="306" t="s">
        <v>285</v>
      </c>
      <c r="C67" s="261">
        <f>C64+C65/(C66*(0.98-C11)^3+1)</f>
        <v>0.25732846521760089</v>
      </c>
      <c r="D67" s="261" t="s">
        <v>286</v>
      </c>
      <c r="E67" s="261">
        <f>E64+E65/(E66*(0.98-C11)^3+1)</f>
        <v>0.19514917716124874</v>
      </c>
      <c r="F67" s="261"/>
      <c r="G67" s="261"/>
      <c r="H67" s="306"/>
      <c r="I67" s="306"/>
      <c r="J67" s="306"/>
      <c r="K67" s="306"/>
      <c r="L67" s="306"/>
      <c r="M67" s="306"/>
      <c r="N67" s="306"/>
      <c r="O67" s="306"/>
      <c r="P67" s="313"/>
    </row>
    <row r="68" spans="1:16" s="17" customFormat="1" ht="12" customHeight="1" x14ac:dyDescent="0.2">
      <c r="B68" s="306" t="s">
        <v>287</v>
      </c>
      <c r="C68" s="261">
        <f>0.025*C15/(100*(C11-0.7)^2+1)</f>
        <v>0</v>
      </c>
      <c r="D68" s="261" t="s">
        <v>288</v>
      </c>
      <c r="E68" s="261">
        <f>-0.01*C15</f>
        <v>0</v>
      </c>
      <c r="F68" s="261"/>
      <c r="G68" s="261"/>
      <c r="H68" s="306"/>
      <c r="I68" s="306"/>
      <c r="J68" s="306"/>
      <c r="K68" s="306"/>
      <c r="L68" s="306"/>
      <c r="M68" s="306"/>
      <c r="N68" s="306"/>
      <c r="O68" s="306"/>
      <c r="P68" s="313"/>
    </row>
    <row r="69" spans="1:16" s="17" customFormat="1" ht="12" customHeight="1" x14ac:dyDescent="0.2">
      <c r="B69" s="306" t="s">
        <v>289</v>
      </c>
      <c r="C69" s="261">
        <f>0.00756/(C18/C4+0.002)-0.18</f>
        <v>0.10623735526422862</v>
      </c>
      <c r="D69" s="261" t="s">
        <v>290</v>
      </c>
      <c r="E69" s="261">
        <f>2*(C18/C4-0.04)</f>
        <v>-3.1176705898352877E-2</v>
      </c>
      <c r="F69" s="261"/>
      <c r="G69" s="261"/>
      <c r="H69" s="306"/>
      <c r="I69" s="306"/>
      <c r="J69" s="306"/>
      <c r="K69" s="306"/>
      <c r="L69" s="306"/>
      <c r="M69" s="306"/>
      <c r="N69" s="306"/>
      <c r="O69" s="306"/>
      <c r="P69" s="313"/>
    </row>
    <row r="70" spans="1:16" s="17" customFormat="1" ht="12" customHeight="1" x14ac:dyDescent="0.2">
      <c r="B70" s="306" t="s">
        <v>291</v>
      </c>
      <c r="C70" s="261">
        <f>MIN(0.1,C69)</f>
        <v>0.1</v>
      </c>
      <c r="D70" s="261"/>
      <c r="E70" s="261"/>
      <c r="F70" s="261"/>
      <c r="G70" s="261"/>
      <c r="H70" s="306"/>
      <c r="I70" s="306"/>
      <c r="J70" s="306"/>
      <c r="K70" s="306"/>
      <c r="L70" s="306"/>
      <c r="M70" s="306"/>
      <c r="N70" s="306"/>
      <c r="O70" s="306"/>
      <c r="P70" s="313"/>
    </row>
    <row r="71" spans="1:16" s="17" customFormat="1" ht="12" customHeight="1" x14ac:dyDescent="0.2">
      <c r="B71" s="306" t="s">
        <v>292</v>
      </c>
      <c r="C71" s="261">
        <f>C67+C68+C70</f>
        <v>0.35732846521760087</v>
      </c>
      <c r="D71" s="261" t="s">
        <v>293</v>
      </c>
      <c r="E71" s="261">
        <f>E67+E68+E69</f>
        <v>0.16397247126289588</v>
      </c>
      <c r="F71" s="261" t="s">
        <v>294</v>
      </c>
      <c r="G71" s="261">
        <f>0.7*C11-0.2</f>
        <v>0.26251393060397682</v>
      </c>
      <c r="H71" s="306"/>
      <c r="I71" s="306"/>
      <c r="J71" s="306"/>
      <c r="K71" s="306"/>
      <c r="L71" s="306"/>
      <c r="M71" s="306"/>
      <c r="N71" s="306"/>
      <c r="O71" s="306"/>
      <c r="P71" s="313"/>
    </row>
    <row r="72" spans="1:16" s="17" customFormat="1" ht="12" customHeight="1" x14ac:dyDescent="0.2">
      <c r="B72" s="306" t="s">
        <v>295</v>
      </c>
      <c r="C72" s="261">
        <f>1.133*C11^2-0.797*C11+0.215</f>
        <v>0.18302828409621644</v>
      </c>
      <c r="D72" s="261" t="s">
        <v>296</v>
      </c>
      <c r="E72" s="261">
        <f>0.0665+0.62833*C72</f>
        <v>0.18150216174617567</v>
      </c>
      <c r="F72" s="261" t="s">
        <v>297</v>
      </c>
      <c r="G72" s="261">
        <f>0.19</f>
        <v>0.19</v>
      </c>
      <c r="H72" s="306"/>
      <c r="I72" s="306"/>
      <c r="J72" s="306"/>
      <c r="K72" s="306"/>
      <c r="L72" s="306"/>
      <c r="M72" s="306"/>
      <c r="N72" s="306"/>
      <c r="O72" s="306"/>
      <c r="P72" s="313"/>
    </row>
    <row r="73" spans="1:16" x14ac:dyDescent="0.2">
      <c r="A73" s="9" t="s">
        <v>298</v>
      </c>
      <c r="B73" s="306" t="s">
        <v>299</v>
      </c>
      <c r="C73" s="306">
        <f t="shared" ref="C73:P73" si="44">IF(C22&gt;$J9,0,IF($C17=1,0.2,0.1))</f>
        <v>0.2</v>
      </c>
      <c r="D73" s="306">
        <f t="shared" si="44"/>
        <v>0.2</v>
      </c>
      <c r="E73" s="306">
        <f t="shared" si="44"/>
        <v>0.2</v>
      </c>
      <c r="F73" s="306">
        <f t="shared" si="44"/>
        <v>0.2</v>
      </c>
      <c r="G73" s="306">
        <f t="shared" si="44"/>
        <v>0.2</v>
      </c>
      <c r="H73" s="306">
        <f t="shared" si="44"/>
        <v>0.2</v>
      </c>
      <c r="I73" s="306">
        <f t="shared" si="44"/>
        <v>0.2</v>
      </c>
      <c r="J73" s="306">
        <f t="shared" si="44"/>
        <v>0.2</v>
      </c>
      <c r="K73" s="306">
        <f t="shared" si="44"/>
        <v>0.2</v>
      </c>
      <c r="L73" s="306">
        <f t="shared" si="44"/>
        <v>0.2</v>
      </c>
      <c r="M73" s="306">
        <f t="shared" si="44"/>
        <v>0.2</v>
      </c>
      <c r="N73" s="306">
        <f t="shared" si="44"/>
        <v>0.2</v>
      </c>
      <c r="O73" s="306">
        <f t="shared" si="44"/>
        <v>0.2</v>
      </c>
      <c r="P73" s="306">
        <f t="shared" si="44"/>
        <v>0.2</v>
      </c>
    </row>
    <row r="76" spans="1:16" x14ac:dyDescent="0.2">
      <c r="B76" s="9" t="s">
        <v>594</v>
      </c>
      <c r="C76" s="9">
        <v>0.12</v>
      </c>
      <c r="D76" s="9">
        <v>0.10915756199421967</v>
      </c>
      <c r="E76" s="9">
        <v>0.11369068333949457</v>
      </c>
      <c r="F76" s="9">
        <v>0.11822380468476948</v>
      </c>
      <c r="G76" s="9">
        <v>0.12275692603004439</v>
      </c>
      <c r="H76" s="9">
        <v>0.12729004737531929</v>
      </c>
      <c r="I76" s="9">
        <v>0.13182316872059419</v>
      </c>
      <c r="J76" s="9">
        <v>0.13635629006586911</v>
      </c>
      <c r="K76" s="9">
        <v>0.140889411411144</v>
      </c>
      <c r="L76" s="9">
        <v>0.14542253275641892</v>
      </c>
      <c r="M76" s="9">
        <v>0.14995565410169379</v>
      </c>
      <c r="N76" s="9">
        <v>0.32</v>
      </c>
    </row>
    <row r="77" spans="1:16" x14ac:dyDescent="0.2">
      <c r="B77" s="9" t="s">
        <v>595</v>
      </c>
      <c r="C77" s="9">
        <v>1.44E-2</v>
      </c>
      <c r="D77" s="9">
        <v>1.1915373340521909E-2</v>
      </c>
      <c r="E77" s="9">
        <v>1.2925571478201229E-2</v>
      </c>
      <c r="F77" s="9">
        <v>1.3976867994142522E-2</v>
      </c>
      <c r="G77" s="9">
        <v>1.5069262888345789E-2</v>
      </c>
      <c r="H77" s="9">
        <v>1.620275616081103E-2</v>
      </c>
      <c r="I77" s="9">
        <v>1.7377347811538241E-2</v>
      </c>
      <c r="J77" s="9">
        <v>1.8593037840527436E-2</v>
      </c>
      <c r="K77" s="9">
        <v>1.9849826247778594E-2</v>
      </c>
      <c r="L77" s="9">
        <v>2.1147713033291732E-2</v>
      </c>
      <c r="M77" s="9">
        <v>2.2486698197066831E-2</v>
      </c>
      <c r="N77" s="9">
        <v>0.1024</v>
      </c>
    </row>
    <row r="78" spans="1:16" x14ac:dyDescent="0.2">
      <c r="B78" s="9" t="s">
        <v>596</v>
      </c>
      <c r="C78" s="9">
        <v>1.7279999999999999E-3</v>
      </c>
      <c r="D78" s="9">
        <v>1.3006531041022925E-3</v>
      </c>
      <c r="E78" s="9">
        <v>1.4695170539101787E-3</v>
      </c>
      <c r="F78" s="9">
        <v>1.6523985118443113E-3</v>
      </c>
      <c r="G78" s="9">
        <v>1.8498563897119571E-3</v>
      </c>
      <c r="H78" s="9">
        <v>2.0624495993203824E-3</v>
      </c>
      <c r="I78" s="9">
        <v>2.2907370524768537E-3</v>
      </c>
      <c r="J78" s="9">
        <v>2.5352776609886395E-3</v>
      </c>
      <c r="K78" s="9">
        <v>2.7966303366630031E-3</v>
      </c>
      <c r="L78" s="9">
        <v>3.0753539913072141E-3</v>
      </c>
      <c r="M78" s="9">
        <v>3.3720075367285351E-3</v>
      </c>
      <c r="N78" s="9">
        <v>3.2768000000000005E-2</v>
      </c>
    </row>
    <row r="79" spans="1:16" x14ac:dyDescent="0.2">
      <c r="B79" s="9" t="s">
        <v>597</v>
      </c>
      <c r="C79" s="9">
        <v>2.0735999999999999E-4</v>
      </c>
      <c r="D79" s="9">
        <v>1.4197612184402024E-4</v>
      </c>
      <c r="E79" s="9">
        <v>1.670703980380891E-4</v>
      </c>
      <c r="F79" s="9">
        <v>1.953528389256856E-4</v>
      </c>
      <c r="G79" s="9">
        <v>2.2708268399807569E-4</v>
      </c>
      <c r="H79" s="9">
        <v>2.6252930720669981E-4</v>
      </c>
      <c r="I79" s="9">
        <v>3.0197221696317287E-4</v>
      </c>
      <c r="J79" s="9">
        <v>3.4570105613928513E-4</v>
      </c>
      <c r="K79" s="9">
        <v>3.9401560206699999E-4</v>
      </c>
      <c r="L79" s="9">
        <v>4.4722576653845699E-4</v>
      </c>
      <c r="M79" s="9">
        <v>5.0565159580596866E-4</v>
      </c>
      <c r="N79" s="9">
        <v>1.048576E-2</v>
      </c>
    </row>
    <row r="80" spans="1:16" x14ac:dyDescent="0.2">
      <c r="B80" s="9" t="s">
        <v>598</v>
      </c>
      <c r="C80" s="9">
        <v>2.4883199999999999E-5</v>
      </c>
      <c r="D80" s="9">
        <v>1.5497767321887525E-5</v>
      </c>
      <c r="E80" s="9">
        <v>1.8994347718751702E-5</v>
      </c>
      <c r="F80" s="9">
        <v>2.3095355873765486E-5</v>
      </c>
      <c r="G80" s="9">
        <v>2.7875972242255721E-5</v>
      </c>
      <c r="H80" s="9">
        <v>3.3417367951750573E-5</v>
      </c>
      <c r="I80" s="9">
        <v>3.9806934505668213E-5</v>
      </c>
      <c r="J80" s="9">
        <v>4.7138513487005664E-5</v>
      </c>
      <c r="K80" s="9">
        <v>5.5512626262027161E-5</v>
      </c>
      <c r="L80" s="9">
        <v>6.5036703683953316E-5</v>
      </c>
      <c r="M80" s="9">
        <v>7.5825315796649315E-5</v>
      </c>
      <c r="N80" s="9">
        <v>3.3554432000000001E-3</v>
      </c>
    </row>
    <row r="81" spans="1:14" x14ac:dyDescent="0.2">
      <c r="B81" s="9" t="s">
        <v>599</v>
      </c>
      <c r="C81" s="9">
        <v>2.9859839999999999E-6</v>
      </c>
      <c r="D81" s="9">
        <v>1.691698497210929E-6</v>
      </c>
      <c r="E81" s="9">
        <v>2.1594803717328511E-6</v>
      </c>
      <c r="F81" s="9">
        <v>2.7304208419452945E-6</v>
      </c>
      <c r="G81" s="9">
        <v>3.4219686625581562E-6</v>
      </c>
      <c r="H81" s="9">
        <v>4.2536983497368071E-6</v>
      </c>
      <c r="I81" s="9">
        <v>5.2474762435903426E-6</v>
      </c>
      <c r="J81" s="9">
        <v>6.4276328183080281E-6</v>
      </c>
      <c r="K81" s="9">
        <v>7.8211412399438214E-6</v>
      </c>
      <c r="L81" s="9">
        <v>9.4578021718492122E-6</v>
      </c>
      <c r="M81" s="9">
        <v>1.1370434827754042E-5</v>
      </c>
      <c r="N81" s="9">
        <v>1.073741824E-3</v>
      </c>
    </row>
    <row r="82" spans="1:14" x14ac:dyDescent="0.2">
      <c r="A82" s="9" t="s">
        <v>600</v>
      </c>
      <c r="B82" s="9" t="s">
        <v>601</v>
      </c>
      <c r="C82" s="9">
        <v>0.55189762355814054</v>
      </c>
      <c r="D82" s="9">
        <v>0.49332410790247749</v>
      </c>
      <c r="E82" s="9">
        <v>0.52080363488125059</v>
      </c>
      <c r="F82" s="9">
        <v>0.5437955645554915</v>
      </c>
      <c r="G82" s="9">
        <v>0.56372435942159171</v>
      </c>
      <c r="H82" s="9">
        <v>0.58180245213392467</v>
      </c>
      <c r="I82" s="9">
        <v>0.5990490729288247</v>
      </c>
      <c r="J82" s="9">
        <v>0.61630907704833859</v>
      </c>
      <c r="K82" s="9">
        <v>0.63427177216419395</v>
      </c>
      <c r="L82" s="9">
        <v>0.65348974580163244</v>
      </c>
      <c r="M82" s="9">
        <v>0.67439769276331774</v>
      </c>
      <c r="N82" s="9">
        <v>10.516299561017544</v>
      </c>
    </row>
    <row r="83" spans="1:14" x14ac:dyDescent="0.2">
      <c r="A83" s="9" t="s">
        <v>602</v>
      </c>
      <c r="B83" s="9" t="s">
        <v>603</v>
      </c>
      <c r="C83" s="9">
        <v>0.64580449344308022</v>
      </c>
      <c r="D83" s="9">
        <v>0.58139265788628336</v>
      </c>
      <c r="E83" s="9">
        <v>0.61407527069039247</v>
      </c>
      <c r="F83" s="9">
        <v>0.63807268637093273</v>
      </c>
      <c r="G83" s="9">
        <v>0.65650772570047877</v>
      </c>
      <c r="H83" s="9">
        <v>0.67196374458451658</v>
      </c>
      <c r="I83" s="9">
        <v>0.68653329816557118</v>
      </c>
      <c r="J83" s="9">
        <v>0.7018668049270218</v>
      </c>
      <c r="K83" s="9">
        <v>0.71922121079755641</v>
      </c>
      <c r="L83" s="9">
        <v>0.73950865325498683</v>
      </c>
      <c r="M83" s="9">
        <v>0.76334512543039068</v>
      </c>
      <c r="N83" s="9">
        <v>20.475215799836889</v>
      </c>
    </row>
    <row r="84" spans="1:14" x14ac:dyDescent="0.2">
      <c r="A84" s="9" t="s">
        <v>604</v>
      </c>
      <c r="B84" s="9" t="s">
        <v>605</v>
      </c>
      <c r="C84" s="9">
        <v>0.72480317679617201</v>
      </c>
      <c r="D84" s="9">
        <v>0.7361219519319242</v>
      </c>
      <c r="E84" s="9">
        <v>0.7261125670950932</v>
      </c>
      <c r="F84" s="9">
        <v>0.72367509467762403</v>
      </c>
      <c r="G84" s="9">
        <v>0.72885832207750667</v>
      </c>
      <c r="H84" s="9">
        <v>0.74148736870095178</v>
      </c>
      <c r="I84" s="9">
        <v>0.76120717594397291</v>
      </c>
      <c r="J84" s="9">
        <v>0.78752599717380178</v>
      </c>
      <c r="K84" s="9">
        <v>0.81985888771063742</v>
      </c>
      <c r="L84" s="9">
        <v>0.85757119480906141</v>
      </c>
      <c r="M84" s="9">
        <v>0.90002204763957394</v>
      </c>
      <c r="N84" s="9">
        <v>34.007723669340471</v>
      </c>
    </row>
    <row r="85" spans="1:14" x14ac:dyDescent="0.2">
      <c r="A85" s="9" t="s">
        <v>606</v>
      </c>
      <c r="B85" s="9" t="s">
        <v>607</v>
      </c>
      <c r="C85" s="9">
        <v>0.83039626574954184</v>
      </c>
      <c r="D85" s="9">
        <v>0.99556667412642241</v>
      </c>
      <c r="E85" s="9">
        <v>0.89692488545286153</v>
      </c>
      <c r="F85" s="9">
        <v>0.84194531960243069</v>
      </c>
      <c r="G85" s="9">
        <v>0.82200209559893267</v>
      </c>
      <c r="H85" s="9">
        <v>0.8295766803088469</v>
      </c>
      <c r="I85" s="9">
        <v>0.85821578886294958</v>
      </c>
      <c r="J85" s="9">
        <v>0.90248928507789117</v>
      </c>
      <c r="K85" s="9">
        <v>0.95794808187703495</v>
      </c>
      <c r="L85" s="9">
        <v>1.0210820417126598</v>
      </c>
      <c r="M85" s="9">
        <v>1.0892778769868556</v>
      </c>
      <c r="N85" s="9">
        <v>35.17716960736864</v>
      </c>
    </row>
    <row r="86" spans="1:14" x14ac:dyDescent="0.2">
      <c r="A86" s="9" t="s">
        <v>608</v>
      </c>
      <c r="B86" s="9" t="s">
        <v>609</v>
      </c>
      <c r="C86" s="9">
        <v>0.50580590076415888</v>
      </c>
      <c r="D86" s="9">
        <v>0.45028273279861963</v>
      </c>
      <c r="E86" s="9">
        <v>0.47746190826667601</v>
      </c>
      <c r="F86" s="9">
        <v>0.49869571300522608</v>
      </c>
      <c r="G86" s="9">
        <v>0.5158311202976833</v>
      </c>
      <c r="H86" s="9">
        <v>0.53042469485282595</v>
      </c>
      <c r="I86" s="9">
        <v>0.54376755167783131</v>
      </c>
      <c r="J86" s="9">
        <v>0.55691031495130261</v>
      </c>
      <c r="K86" s="9">
        <v>0.57068807689643819</v>
      </c>
      <c r="L86" s="9">
        <v>0.58574535665398741</v>
      </c>
      <c r="M86" s="9">
        <v>0.60256105915534874</v>
      </c>
      <c r="N86" s="9">
        <v>11.067725053788109</v>
      </c>
    </row>
    <row r="87" spans="1:14" x14ac:dyDescent="0.2">
      <c r="A87" s="9" t="s">
        <v>610</v>
      </c>
      <c r="B87" s="9" t="s">
        <v>611</v>
      </c>
      <c r="C87" s="9">
        <v>0.54375586870779102</v>
      </c>
      <c r="D87" s="9">
        <v>0.44613297503077831</v>
      </c>
      <c r="E87" s="9">
        <v>0.49687074744794302</v>
      </c>
      <c r="F87" s="9">
        <v>0.53276988326989283</v>
      </c>
      <c r="G87" s="9">
        <v>0.55816810930528504</v>
      </c>
      <c r="H87" s="9">
        <v>0.57672765275842153</v>
      </c>
      <c r="I87" s="9">
        <v>0.59148946694534743</v>
      </c>
      <c r="J87" s="9">
        <v>0.60492745700946671</v>
      </c>
      <c r="K87" s="9">
        <v>0.61900270563796767</v>
      </c>
      <c r="L87" s="9">
        <v>0.6352176987774385</v>
      </c>
      <c r="M87" s="9">
        <v>0.65467055135022179</v>
      </c>
      <c r="N87" s="9">
        <v>18.585190406308016</v>
      </c>
    </row>
    <row r="88" spans="1:14" x14ac:dyDescent="0.2">
      <c r="A88" s="9" t="s">
        <v>612</v>
      </c>
      <c r="B88" s="9" t="s">
        <v>613</v>
      </c>
      <c r="C88" s="9">
        <v>0.64428350034379811</v>
      </c>
      <c r="D88" s="9">
        <v>0.64597637980654987</v>
      </c>
      <c r="E88" s="9">
        <v>0.64245813545570662</v>
      </c>
      <c r="F88" s="9">
        <v>0.64288643336301199</v>
      </c>
      <c r="G88" s="9">
        <v>0.64792693260885592</v>
      </c>
      <c r="H88" s="9">
        <v>0.65800240057065373</v>
      </c>
      <c r="I88" s="9">
        <v>0.67332806562816394</v>
      </c>
      <c r="J88" s="9">
        <v>0.69394696986835136</v>
      </c>
      <c r="K88" s="9">
        <v>0.71976532179083286</v>
      </c>
      <c r="L88" s="9">
        <v>0.75058784901278308</v>
      </c>
      <c r="M88" s="9">
        <v>0.7861531509741031</v>
      </c>
      <c r="N88" s="9">
        <v>24.967176863531179</v>
      </c>
    </row>
    <row r="89" spans="1:14" x14ac:dyDescent="0.2">
      <c r="A89" s="9" t="s">
        <v>614</v>
      </c>
      <c r="B89" s="9" t="s">
        <v>615</v>
      </c>
      <c r="C89" s="9">
        <v>0.75358072768784723</v>
      </c>
      <c r="D89" s="9">
        <v>0.61924545429411637</v>
      </c>
      <c r="E89" s="9">
        <v>0.69995089534080535</v>
      </c>
      <c r="F89" s="9">
        <v>0.74295676913874331</v>
      </c>
      <c r="G89" s="9">
        <v>0.76611510447190767</v>
      </c>
      <c r="H89" s="9">
        <v>0.78235195081327902</v>
      </c>
      <c r="I89" s="9">
        <v>0.80049683310988939</v>
      </c>
      <c r="J89" s="9">
        <v>0.82604985366987194</v>
      </c>
      <c r="K89" s="9">
        <v>0.86188644114434965</v>
      </c>
      <c r="L89" s="9">
        <v>0.90889974660370854</v>
      </c>
      <c r="M89" s="9">
        <v>0.96658068671030151</v>
      </c>
      <c r="N89" s="9">
        <v>-18.516942986341803</v>
      </c>
    </row>
    <row r="90" spans="1:14" x14ac:dyDescent="0.2">
      <c r="A90" s="9" t="s">
        <v>616</v>
      </c>
      <c r="B90" s="9" t="s">
        <v>617</v>
      </c>
      <c r="C90" s="9">
        <v>0.45175563711590416</v>
      </c>
      <c r="D90" s="9">
        <v>0.43112227650703905</v>
      </c>
      <c r="E90" s="9">
        <v>0.43981869074475299</v>
      </c>
      <c r="F90" s="9">
        <v>0.44839020591875323</v>
      </c>
      <c r="G90" s="9">
        <v>0.45702336071137961</v>
      </c>
      <c r="H90" s="9">
        <v>0.46589374912980941</v>
      </c>
      <c r="I90" s="9">
        <v>0.47516882410550898</v>
      </c>
      <c r="J90" s="9">
        <v>0.48501070109365441</v>
      </c>
      <c r="K90" s="9">
        <v>0.49557896167259607</v>
      </c>
      <c r="L90" s="9">
        <v>0.50703345714326908</v>
      </c>
      <c r="M90" s="9">
        <v>0.51953711212865383</v>
      </c>
      <c r="N90" s="9">
        <v>5.8350943736791239</v>
      </c>
    </row>
    <row r="91" spans="1:14" x14ac:dyDescent="0.2">
      <c r="A91" s="9" t="s">
        <v>618</v>
      </c>
      <c r="B91" s="9" t="s">
        <v>619</v>
      </c>
      <c r="C91" s="9">
        <v>0.49297273005874853</v>
      </c>
      <c r="D91" s="9">
        <v>0.48178566193587269</v>
      </c>
      <c r="E91" s="9">
        <v>0.48624907691618002</v>
      </c>
      <c r="F91" s="9">
        <v>0.4909100449086834</v>
      </c>
      <c r="G91" s="9">
        <v>0.496581823667408</v>
      </c>
      <c r="H91" s="9">
        <v>0.50391018760394157</v>
      </c>
      <c r="I91" s="9">
        <v>0.51339138905867454</v>
      </c>
      <c r="J91" s="9">
        <v>0.52539011957192283</v>
      </c>
      <c r="K91" s="9">
        <v>0.54015747115528878</v>
      </c>
      <c r="L91" s="9">
        <v>0.55784889756270584</v>
      </c>
      <c r="M91" s="9">
        <v>0.57854217556173548</v>
      </c>
      <c r="N91" s="9">
        <v>11.146425629540445</v>
      </c>
    </row>
    <row r="92" spans="1:14" x14ac:dyDescent="0.2">
      <c r="A92" s="9" t="s">
        <v>620</v>
      </c>
      <c r="B92" s="9" t="s">
        <v>621</v>
      </c>
      <c r="C92" s="9">
        <v>0.54809639383654307</v>
      </c>
      <c r="D92" s="9">
        <v>0.52548826158694162</v>
      </c>
      <c r="E92" s="9">
        <v>0.53527807303286501</v>
      </c>
      <c r="F92" s="9">
        <v>0.5444107846596733</v>
      </c>
      <c r="G92" s="9">
        <v>0.55416542171084693</v>
      </c>
      <c r="H92" s="9">
        <v>0.56557844045697259</v>
      </c>
      <c r="I92" s="9">
        <v>0.57946950763449756</v>
      </c>
      <c r="J92" s="9">
        <v>0.59646727988443438</v>
      </c>
      <c r="K92" s="9">
        <v>0.61703518319116135</v>
      </c>
      <c r="L92" s="9">
        <v>0.64149719232108815</v>
      </c>
      <c r="M92" s="9">
        <v>0.67006361026158423</v>
      </c>
      <c r="N92" s="9">
        <v>16.376263675551918</v>
      </c>
    </row>
    <row r="93" spans="1:14" x14ac:dyDescent="0.2">
      <c r="A93" s="9" t="s">
        <v>622</v>
      </c>
      <c r="B93" s="9" t="s">
        <v>623</v>
      </c>
      <c r="C93" s="9">
        <v>0.65682139961882058</v>
      </c>
      <c r="D93" s="9">
        <v>0.50110036425849103</v>
      </c>
      <c r="E93" s="9">
        <v>0.59161298036576682</v>
      </c>
      <c r="F93" s="9">
        <v>0.64355461180582552</v>
      </c>
      <c r="G93" s="9">
        <v>0.67213101339154946</v>
      </c>
      <c r="H93" s="9">
        <v>0.68890829518545615</v>
      </c>
      <c r="I93" s="9">
        <v>0.70236974241834105</v>
      </c>
      <c r="J93" s="9">
        <v>0.71843306374546501</v>
      </c>
      <c r="K93" s="9">
        <v>0.74092806784290133</v>
      </c>
      <c r="L93" s="9">
        <v>0.772034768338699</v>
      </c>
      <c r="M93" s="9">
        <v>0.81268191708238646</v>
      </c>
      <c r="N93" s="9">
        <v>-7.9770043277518425</v>
      </c>
    </row>
    <row r="94" spans="1:14" x14ac:dyDescent="0.2">
      <c r="A94" s="9" t="s">
        <v>624</v>
      </c>
      <c r="B94" s="9" t="s">
        <v>625</v>
      </c>
      <c r="C94" s="9">
        <v>0.39616149627084063</v>
      </c>
      <c r="D94" s="9">
        <v>0.34797273304249821</v>
      </c>
      <c r="E94" s="9">
        <v>0.37181969723399355</v>
      </c>
      <c r="F94" s="9">
        <v>0.39017825187824506</v>
      </c>
      <c r="G94" s="9">
        <v>0.40434094609626747</v>
      </c>
      <c r="H94" s="9">
        <v>0.41543950431950272</v>
      </c>
      <c r="I94" s="9">
        <v>0.42445720315562419</v>
      </c>
      <c r="J94" s="9">
        <v>0.43224124825429122</v>
      </c>
      <c r="K94" s="9">
        <v>0.43951515117306705</v>
      </c>
      <c r="L94" s="9">
        <v>0.44689110624318396</v>
      </c>
      <c r="M94" s="9">
        <v>0.45488236743532973</v>
      </c>
      <c r="N94" s="9">
        <v>6.4494831570452842</v>
      </c>
    </row>
    <row r="95" spans="1:14" x14ac:dyDescent="0.2">
      <c r="A95" s="9" t="s">
        <v>626</v>
      </c>
      <c r="B95" s="9" t="s">
        <v>627</v>
      </c>
      <c r="C95" s="9">
        <v>0.4439577446041616</v>
      </c>
      <c r="D95" s="9">
        <v>0.4573280998626208</v>
      </c>
      <c r="E95" s="9">
        <v>0.44810055787060232</v>
      </c>
      <c r="F95" s="9">
        <v>0.44419601253011987</v>
      </c>
      <c r="G95" s="9">
        <v>0.44489405573967122</v>
      </c>
      <c r="H95" s="9">
        <v>0.44957034022344811</v>
      </c>
      <c r="I95" s="9">
        <v>0.45769352520347351</v>
      </c>
      <c r="J95" s="9">
        <v>0.46882222207177815</v>
      </c>
      <c r="K95" s="9">
        <v>0.48260194006253432</v>
      </c>
      <c r="L95" s="9">
        <v>0.49876203192422519</v>
      </c>
      <c r="M95" s="9">
        <v>0.5171126395918213</v>
      </c>
      <c r="N95" s="9">
        <v>6.3222870526361516</v>
      </c>
    </row>
    <row r="96" spans="1:14" x14ac:dyDescent="0.2">
      <c r="A96" s="9" t="s">
        <v>628</v>
      </c>
      <c r="B96" s="9" t="s">
        <v>629</v>
      </c>
      <c r="C96" s="9">
        <v>0.46570837364019413</v>
      </c>
      <c r="D96" s="9">
        <v>0.45729281214405271</v>
      </c>
      <c r="E96" s="9">
        <v>0.45938382116934706</v>
      </c>
      <c r="F96" s="9">
        <v>0.46345064396959801</v>
      </c>
      <c r="G96" s="9">
        <v>0.47005314861928271</v>
      </c>
      <c r="H96" s="9">
        <v>0.47964140831124924</v>
      </c>
      <c r="I96" s="9">
        <v>0.49256885320127397</v>
      </c>
      <c r="J96" s="9">
        <v>0.50910542225247868</v>
      </c>
      <c r="K96" s="9">
        <v>0.5294507150800567</v>
      </c>
      <c r="L96" s="9">
        <v>0.55374714379556922</v>
      </c>
      <c r="M96" s="9">
        <v>0.58209308485164657</v>
      </c>
      <c r="N96" s="9">
        <v>11.783905482145865</v>
      </c>
    </row>
    <row r="97" spans="1:14" x14ac:dyDescent="0.2">
      <c r="A97" s="9" t="s">
        <v>630</v>
      </c>
      <c r="B97" s="9" t="s">
        <v>631</v>
      </c>
      <c r="C97" s="9">
        <v>0.56623739370087023</v>
      </c>
      <c r="D97" s="9">
        <v>0.53172969055924924</v>
      </c>
      <c r="E97" s="9">
        <v>0.54693177811631344</v>
      </c>
      <c r="F97" s="9">
        <v>0.56076053211921462</v>
      </c>
      <c r="G97" s="9">
        <v>0.57515500522351815</v>
      </c>
      <c r="H97" s="9">
        <v>0.59172224003927809</v>
      </c>
      <c r="I97" s="9">
        <v>0.61177013734561214</v>
      </c>
      <c r="J97" s="9">
        <v>0.6363403243052197</v>
      </c>
      <c r="K97" s="9">
        <v>0.66624102267907048</v>
      </c>
      <c r="L97" s="9">
        <v>0.70207991704084449</v>
      </c>
      <c r="M97" s="9">
        <v>0.74429702299165612</v>
      </c>
      <c r="N97" s="9">
        <v>21.258135193944394</v>
      </c>
    </row>
    <row r="98" spans="1:14" x14ac:dyDescent="0.2">
      <c r="A98" s="9" t="s">
        <v>632</v>
      </c>
      <c r="B98" s="9" t="s">
        <v>633</v>
      </c>
      <c r="C98" s="9">
        <v>0.33664770919116993</v>
      </c>
      <c r="D98" s="9">
        <v>0.29632309843897087</v>
      </c>
      <c r="E98" s="9">
        <v>0.31565685970654922</v>
      </c>
      <c r="F98" s="9">
        <v>0.33132701238202511</v>
      </c>
      <c r="G98" s="9">
        <v>0.34414606902102118</v>
      </c>
      <c r="H98" s="9">
        <v>0.35483607591328958</v>
      </c>
      <c r="I98" s="9">
        <v>0.36403556509755308</v>
      </c>
      <c r="J98" s="9">
        <v>0.37230650637638707</v>
      </c>
      <c r="K98" s="9">
        <v>0.38014125933108378</v>
      </c>
      <c r="L98" s="9">
        <v>0.38796952533654494</v>
      </c>
      <c r="M98" s="9">
        <v>0.39616529957611935</v>
      </c>
      <c r="N98" s="9">
        <v>4.7207755952455921</v>
      </c>
    </row>
    <row r="99" spans="1:14" x14ac:dyDescent="0.2">
      <c r="A99" s="9" t="s">
        <v>634</v>
      </c>
      <c r="B99" s="9" t="s">
        <v>635</v>
      </c>
      <c r="C99" s="9">
        <v>0.38474465697996862</v>
      </c>
      <c r="D99" s="9">
        <v>0.3542468735246409</v>
      </c>
      <c r="E99" s="9">
        <v>0.36899726882753825</v>
      </c>
      <c r="F99" s="9">
        <v>0.38073078157580298</v>
      </c>
      <c r="G99" s="9">
        <v>0.39052333892769298</v>
      </c>
      <c r="H99" s="9">
        <v>0.39930036159348958</v>
      </c>
      <c r="I99" s="9">
        <v>0.40784927746237543</v>
      </c>
      <c r="J99" s="9">
        <v>0.41683203522905998</v>
      </c>
      <c r="K99" s="9">
        <v>0.4267976180207036</v>
      </c>
      <c r="L99" s="9">
        <v>0.4381945570235537</v>
      </c>
      <c r="M99" s="9">
        <v>0.45138344510979422</v>
      </c>
      <c r="N99" s="9">
        <v>7.2079923798344474</v>
      </c>
    </row>
    <row r="100" spans="1:14" x14ac:dyDescent="0.2">
      <c r="A100" s="9" t="s">
        <v>636</v>
      </c>
      <c r="B100" s="9" t="s">
        <v>637</v>
      </c>
      <c r="C100" s="9">
        <v>0.43220584929792061</v>
      </c>
      <c r="D100" s="9">
        <v>0.42659937760243061</v>
      </c>
      <c r="E100" s="9">
        <v>0.42897429694218481</v>
      </c>
      <c r="F100" s="9">
        <v>0.43114836787785826</v>
      </c>
      <c r="G100" s="9">
        <v>0.43428847370025103</v>
      </c>
      <c r="H100" s="9">
        <v>0.43936407856562276</v>
      </c>
      <c r="I100" s="9">
        <v>0.4471647328971553</v>
      </c>
      <c r="J100" s="9">
        <v>0.45831757878622703</v>
      </c>
      <c r="K100" s="9">
        <v>0.47330485539391098</v>
      </c>
      <c r="L100" s="9">
        <v>0.49248140435225274</v>
      </c>
      <c r="M100" s="9">
        <v>0.51609217516566552</v>
      </c>
      <c r="N100" s="9">
        <v>10.349835045970101</v>
      </c>
    </row>
    <row r="101" spans="1:14" x14ac:dyDescent="0.2">
      <c r="A101" s="9" t="s">
        <v>638</v>
      </c>
      <c r="B101" s="9" t="s">
        <v>639</v>
      </c>
      <c r="C101" s="9">
        <v>0.51880531142144104</v>
      </c>
      <c r="D101" s="9">
        <v>0.49578452029422149</v>
      </c>
      <c r="E101" s="9">
        <v>0.50495017482567572</v>
      </c>
      <c r="F101" s="9">
        <v>0.51461734423056793</v>
      </c>
      <c r="G101" s="9">
        <v>0.52597033491761902</v>
      </c>
      <c r="H101" s="9">
        <v>0.54002042048949672</v>
      </c>
      <c r="I101" s="9">
        <v>0.55762280010044218</v>
      </c>
      <c r="J101" s="9">
        <v>0.57949355681369763</v>
      </c>
      <c r="K101" s="9">
        <v>0.60622661595928928</v>
      </c>
      <c r="L101" s="9">
        <v>0.63831070349150831</v>
      </c>
      <c r="M101" s="9">
        <v>0.67614630434646283</v>
      </c>
      <c r="N101" s="9">
        <v>15.123098854973495</v>
      </c>
    </row>
    <row r="102" spans="1:14" x14ac:dyDescent="0.2">
      <c r="A102" s="9" t="s">
        <v>640</v>
      </c>
      <c r="B102" s="9" t="s">
        <v>641</v>
      </c>
      <c r="C102" s="9">
        <v>0.29891195010047689</v>
      </c>
      <c r="D102" s="9">
        <v>0.26534280399488885</v>
      </c>
      <c r="E102" s="9">
        <v>0.28210226090178203</v>
      </c>
      <c r="F102" s="9">
        <v>0.29481063635483729</v>
      </c>
      <c r="G102" s="9">
        <v>0.30448970406854592</v>
      </c>
      <c r="H102" s="9">
        <v>0.31203280791454624</v>
      </c>
      <c r="I102" s="9">
        <v>0.31821421864994726</v>
      </c>
      <c r="J102" s="9">
        <v>0.32369849064541434</v>
      </c>
      <c r="K102" s="9">
        <v>0.3290498186134716</v>
      </c>
      <c r="L102" s="9">
        <v>0.33474139433667638</v>
      </c>
      <c r="M102" s="9">
        <v>0.34116476339581503</v>
      </c>
      <c r="N102" s="9">
        <v>4.4536605762765102</v>
      </c>
    </row>
    <row r="103" spans="1:14" x14ac:dyDescent="0.2">
      <c r="A103" s="9" t="s">
        <v>642</v>
      </c>
      <c r="B103" s="9" t="s">
        <v>643</v>
      </c>
      <c r="C103" s="9">
        <v>0.33775228503347066</v>
      </c>
      <c r="D103" s="9">
        <v>0.30418318923327803</v>
      </c>
      <c r="E103" s="9">
        <v>0.32106801131282836</v>
      </c>
      <c r="F103" s="9">
        <v>0.33369030716519887</v>
      </c>
      <c r="G103" s="9">
        <v>0.3433049956726606</v>
      </c>
      <c r="H103" s="9">
        <v>0.35099865255802953</v>
      </c>
      <c r="I103" s="9">
        <v>0.35770298133807543</v>
      </c>
      <c r="J103" s="9">
        <v>0.36420828427691632</v>
      </c>
      <c r="K103" s="9">
        <v>0.37117693333946633</v>
      </c>
      <c r="L103" s="9">
        <v>0.37915684114479475</v>
      </c>
      <c r="M103" s="9">
        <v>0.38859493191953831</v>
      </c>
      <c r="N103" s="9">
        <v>7.0931345839390723</v>
      </c>
    </row>
    <row r="104" spans="1:14" x14ac:dyDescent="0.2">
      <c r="A104" s="9" t="s">
        <v>644</v>
      </c>
      <c r="B104" s="9" t="s">
        <v>645</v>
      </c>
      <c r="C104" s="9">
        <v>0.40541822724710452</v>
      </c>
      <c r="D104" s="9">
        <v>0.42097954517515546</v>
      </c>
      <c r="E104" s="9">
        <v>0.41201346160600383</v>
      </c>
      <c r="F104" s="9">
        <v>0.40655259335443961</v>
      </c>
      <c r="G104" s="9">
        <v>0.40481637011697535</v>
      </c>
      <c r="H104" s="9">
        <v>0.40697043193917071</v>
      </c>
      <c r="I104" s="9">
        <v>0.41313337608904521</v>
      </c>
      <c r="J104" s="9">
        <v>0.42338350393055602</v>
      </c>
      <c r="K104" s="9">
        <v>0.43776556779702669</v>
      </c>
      <c r="L104" s="9">
        <v>0.45629751786462491</v>
      </c>
      <c r="M104" s="9">
        <v>0.47897724902576733</v>
      </c>
      <c r="N104" s="9">
        <v>7.7703451915223756</v>
      </c>
    </row>
    <row r="105" spans="1:14" x14ac:dyDescent="0.2">
      <c r="A105" s="9" t="s">
        <v>646</v>
      </c>
      <c r="B105" s="9" t="s">
        <v>647</v>
      </c>
      <c r="C105" s="9">
        <v>0.47137324824678373</v>
      </c>
      <c r="D105" s="9">
        <v>0.45983936430051509</v>
      </c>
      <c r="E105" s="9">
        <v>0.46296858771098781</v>
      </c>
      <c r="F105" s="9">
        <v>0.46847417458847385</v>
      </c>
      <c r="G105" s="9">
        <v>0.47678568510233521</v>
      </c>
      <c r="H105" s="9">
        <v>0.48831862385534419</v>
      </c>
      <c r="I105" s="9">
        <v>0.5034754883842919</v>
      </c>
      <c r="J105" s="9">
        <v>0.52264681766058441</v>
      </c>
      <c r="K105" s="9">
        <v>0.54621224059085793</v>
      </c>
      <c r="L105" s="9">
        <v>0.57454152451757057</v>
      </c>
      <c r="M105" s="9">
        <v>0.60799562371961524</v>
      </c>
      <c r="N105" s="9">
        <v>8.9880629149859868</v>
      </c>
    </row>
    <row r="106" spans="1:14" x14ac:dyDescent="0.2">
      <c r="B106" s="9" t="s">
        <v>648</v>
      </c>
      <c r="C106" s="9">
        <v>0.13982600706617343</v>
      </c>
      <c r="D106" s="9">
        <v>0.13982600706617343</v>
      </c>
      <c r="E106" s="9">
        <v>0.13982600706617343</v>
      </c>
      <c r="F106" s="9">
        <v>0.13982600706617343</v>
      </c>
      <c r="G106" s="9">
        <v>0.13982600706617343</v>
      </c>
      <c r="H106" s="9">
        <v>0.13982600706617343</v>
      </c>
      <c r="I106" s="9">
        <v>0.13982600706617343</v>
      </c>
      <c r="J106" s="9">
        <v>0.13982600706617343</v>
      </c>
      <c r="K106" s="9">
        <v>0.13982600706617343</v>
      </c>
      <c r="L106" s="9">
        <v>0.13982600706617343</v>
      </c>
      <c r="M106" s="9">
        <v>0.13982600706617343</v>
      </c>
      <c r="N106" s="9">
        <v>0.13982600706617343</v>
      </c>
    </row>
    <row r="107" spans="1:14" x14ac:dyDescent="0.2">
      <c r="B107" s="9" t="s">
        <v>649</v>
      </c>
      <c r="C107" s="9">
        <v>0.50742396614227903</v>
      </c>
      <c r="D107" s="9">
        <v>0.50742396614227903</v>
      </c>
      <c r="E107" s="9">
        <v>0.50742396614227903</v>
      </c>
      <c r="F107" s="9">
        <v>0.50742396614227903</v>
      </c>
      <c r="G107" s="9">
        <v>0.50742396614227903</v>
      </c>
      <c r="H107" s="9">
        <v>0.50742396614227903</v>
      </c>
      <c r="I107" s="9">
        <v>0.50742396614227903</v>
      </c>
      <c r="J107" s="9">
        <v>0.50742396614227903</v>
      </c>
      <c r="K107" s="9">
        <v>0.50742396614227903</v>
      </c>
      <c r="L107" s="9">
        <v>0.50742396614227903</v>
      </c>
      <c r="M107" s="9">
        <v>0.50742396614227903</v>
      </c>
      <c r="N107" s="9">
        <v>0.50742396614227903</v>
      </c>
    </row>
    <row r="108" spans="1:14" x14ac:dyDescent="0.2">
      <c r="B108" s="9" t="s">
        <v>650</v>
      </c>
      <c r="C108" s="9">
        <v>1.3675979590761074</v>
      </c>
      <c r="D108" s="9">
        <v>1.3675979590761074</v>
      </c>
      <c r="E108" s="9">
        <v>1.3675979590761074</v>
      </c>
      <c r="F108" s="9">
        <v>1.3675979590761074</v>
      </c>
      <c r="G108" s="9">
        <v>1.3675979590761074</v>
      </c>
      <c r="H108" s="9">
        <v>1.3675979590761074</v>
      </c>
      <c r="I108" s="9">
        <v>1.3675979590761074</v>
      </c>
      <c r="J108" s="9">
        <v>1.3675979590761074</v>
      </c>
      <c r="K108" s="9">
        <v>1.3675979590761074</v>
      </c>
      <c r="L108" s="9">
        <v>1.3675979590761074</v>
      </c>
      <c r="M108" s="9">
        <v>1.3675979590761074</v>
      </c>
      <c r="N108" s="9">
        <v>1.3675979590761074</v>
      </c>
    </row>
    <row r="109" spans="1:14" x14ac:dyDescent="0.2">
      <c r="B109" s="9" t="s">
        <v>651</v>
      </c>
      <c r="C109" s="9">
        <v>-8.7945944943758445E-2</v>
      </c>
      <c r="D109" s="9">
        <v>-8.7945944943758445E-2</v>
      </c>
      <c r="E109" s="9">
        <v>-8.7945944943758445E-2</v>
      </c>
      <c r="F109" s="9">
        <v>-8.7945944943758445E-2</v>
      </c>
      <c r="G109" s="9">
        <v>-8.7945944943758445E-2</v>
      </c>
      <c r="H109" s="9">
        <v>-8.7945944943758445E-2</v>
      </c>
      <c r="I109" s="9">
        <v>-8.7945944943758445E-2</v>
      </c>
      <c r="J109" s="9">
        <v>-8.7945944943758445E-2</v>
      </c>
      <c r="K109" s="9">
        <v>-8.7945944943758445E-2</v>
      </c>
      <c r="L109" s="9">
        <v>-8.7945944943758445E-2</v>
      </c>
      <c r="M109" s="9">
        <v>-8.7945944943758445E-2</v>
      </c>
      <c r="N109" s="9">
        <v>-8.7945944943758445E-2</v>
      </c>
    </row>
    <row r="110" spans="1:14" x14ac:dyDescent="0.2">
      <c r="B110" s="9" t="s">
        <v>652</v>
      </c>
      <c r="C110" s="9">
        <v>-0.94811993787758431</v>
      </c>
      <c r="D110" s="9">
        <v>-0.94811993787758431</v>
      </c>
      <c r="E110" s="9">
        <v>-0.94811993787758431</v>
      </c>
      <c r="F110" s="9">
        <v>-0.94811993787758431</v>
      </c>
      <c r="G110" s="9">
        <v>-0.94811993787758431</v>
      </c>
      <c r="H110" s="9">
        <v>-0.94811993787758431</v>
      </c>
      <c r="I110" s="9">
        <v>-0.94811993787758431</v>
      </c>
      <c r="J110" s="9">
        <v>-0.94811993787758431</v>
      </c>
      <c r="K110" s="9">
        <v>-0.94811993787758431</v>
      </c>
      <c r="L110" s="9">
        <v>-0.94811993787758431</v>
      </c>
      <c r="M110" s="9">
        <v>-0.94811993787758431</v>
      </c>
      <c r="N110" s="9">
        <v>-0.94811993787758431</v>
      </c>
    </row>
    <row r="111" spans="1:14" x14ac:dyDescent="0.2">
      <c r="A111" s="9" t="s">
        <v>653</v>
      </c>
      <c r="B111" s="9" t="s">
        <v>654</v>
      </c>
      <c r="C111" s="9">
        <v>0.74651545065510483</v>
      </c>
      <c r="D111" s="9">
        <v>0.78600688546609754</v>
      </c>
      <c r="E111" s="9">
        <v>0.75984979743003078</v>
      </c>
      <c r="F111" s="9">
        <v>0.74774073267167085</v>
      </c>
      <c r="G111" s="9">
        <v>0.74824518557770525</v>
      </c>
      <c r="H111" s="9">
        <v>0.75991886622712579</v>
      </c>
      <c r="I111" s="9">
        <v>0.78133876768329713</v>
      </c>
      <c r="J111" s="9">
        <v>0.81113423328589107</v>
      </c>
      <c r="K111" s="9">
        <v>0.84801802394297532</v>
      </c>
      <c r="L111" s="9">
        <v>0.89081738542303412</v>
      </c>
      <c r="M111" s="9">
        <v>0.9385051156468921</v>
      </c>
      <c r="N111" s="9">
        <v>35.36137181737702</v>
      </c>
    </row>
    <row r="112" spans="1:14" x14ac:dyDescent="0.2">
      <c r="A112" s="9" t="s">
        <v>655</v>
      </c>
      <c r="B112" s="9" t="s">
        <v>656</v>
      </c>
      <c r="C112" s="9">
        <v>0.66840709278390664</v>
      </c>
      <c r="D112" s="9">
        <v>0.65981411830074577</v>
      </c>
      <c r="E112" s="9">
        <v>0.66330093891589015</v>
      </c>
      <c r="F112" s="9">
        <v>0.66656317289218936</v>
      </c>
      <c r="G112" s="9">
        <v>0.67234663729538902</v>
      </c>
      <c r="H112" s="9">
        <v>0.6825374861579665</v>
      </c>
      <c r="I112" s="9">
        <v>0.69830693950269307</v>
      </c>
      <c r="J112" s="9">
        <v>0.72024729380905195</v>
      </c>
      <c r="K112" s="9">
        <v>0.74849921392237861</v>
      </c>
      <c r="L112" s="9">
        <v>0.78287030640474142</v>
      </c>
      <c r="M112" s="9">
        <v>0.82294497432846858</v>
      </c>
      <c r="N112" s="9">
        <v>19.448235843735251</v>
      </c>
    </row>
    <row r="113" spans="1:14" x14ac:dyDescent="0.2">
      <c r="A113" s="9" t="s">
        <v>657</v>
      </c>
      <c r="B113" s="9" t="s">
        <v>658</v>
      </c>
      <c r="C113" s="9">
        <v>0.56814687996302538</v>
      </c>
      <c r="D113" s="9">
        <v>0.52592166570557619</v>
      </c>
      <c r="E113" s="9">
        <v>0.54746705957679298</v>
      </c>
      <c r="F113" s="9">
        <v>0.56297884324736913</v>
      </c>
      <c r="G113" s="9">
        <v>0.57572432330994949</v>
      </c>
      <c r="H113" s="9">
        <v>0.58824663436589764</v>
      </c>
      <c r="I113" s="9">
        <v>0.60246545931007378</v>
      </c>
      <c r="J113" s="9">
        <v>0.61977221646802061</v>
      </c>
      <c r="K113" s="9">
        <v>0.6411197135860327</v>
      </c>
      <c r="L113" s="9">
        <v>0.66710626867318734</v>
      </c>
      <c r="M113" s="9">
        <v>0.69805429769616167</v>
      </c>
      <c r="N113" s="9">
        <v>13.430986500496838</v>
      </c>
    </row>
    <row r="114" spans="1:14" x14ac:dyDescent="0.2">
      <c r="A114" s="9" t="s">
        <v>659</v>
      </c>
      <c r="B114" s="9" t="s">
        <v>660</v>
      </c>
      <c r="C114" s="9">
        <v>0.48167782473324838</v>
      </c>
      <c r="D114" s="9">
        <v>0.46769792021956519</v>
      </c>
      <c r="E114" s="9">
        <v>0.47261761966889959</v>
      </c>
      <c r="F114" s="9">
        <v>0.47875046383410325</v>
      </c>
      <c r="G114" s="9">
        <v>0.48696176176071937</v>
      </c>
      <c r="H114" s="9">
        <v>0.49795785197888465</v>
      </c>
      <c r="I114" s="9">
        <v>0.51230343647632681</v>
      </c>
      <c r="J114" s="9">
        <v>0.53043891467121906</v>
      </c>
      <c r="K114" s="9">
        <v>0.55269771738535356</v>
      </c>
      <c r="L114" s="9">
        <v>0.57932364081687149</v>
      </c>
      <c r="M114" s="9">
        <v>0.6104881805134138</v>
      </c>
      <c r="N114" s="9">
        <v>13.588976386479827</v>
      </c>
    </row>
    <row r="115" spans="1:14" x14ac:dyDescent="0.2">
      <c r="A115" s="9" t="s">
        <v>661</v>
      </c>
      <c r="B115" s="9" t="s">
        <v>662</v>
      </c>
      <c r="C115" s="9">
        <v>0.4484887257072902</v>
      </c>
      <c r="D115" s="9">
        <v>0.44263636919349519</v>
      </c>
      <c r="E115" s="9">
        <v>0.44487243699244117</v>
      </c>
      <c r="F115" s="9">
        <v>0.44725352382427597</v>
      </c>
      <c r="G115" s="9">
        <v>0.4509569484078339</v>
      </c>
      <c r="H115" s="9">
        <v>0.45696189438979878</v>
      </c>
      <c r="I115" s="9">
        <v>0.46606727826154354</v>
      </c>
      <c r="J115" s="9">
        <v>0.47890961727578679</v>
      </c>
      <c r="K115" s="9">
        <v>0.49598089736348389</v>
      </c>
      <c r="L115" s="9">
        <v>0.51764644105049307</v>
      </c>
      <c r="M115" s="9">
        <v>0.54416277537434365</v>
      </c>
      <c r="N115" s="9">
        <v>11.293573787194431</v>
      </c>
    </row>
    <row r="116" spans="1:14" x14ac:dyDescent="0.2">
      <c r="A116" s="9" t="s">
        <v>663</v>
      </c>
      <c r="B116" s="9" t="s">
        <v>664</v>
      </c>
      <c r="C116" s="9">
        <v>0.42059139970794279</v>
      </c>
      <c r="D116" s="9">
        <v>0.43668492440806383</v>
      </c>
      <c r="E116" s="9">
        <v>0.42713659699318574</v>
      </c>
      <c r="F116" s="9">
        <v>0.42161878341929337</v>
      </c>
      <c r="G116" s="9">
        <v>0.42028922801296026</v>
      </c>
      <c r="H116" s="9">
        <v>0.42326751582471978</v>
      </c>
      <c r="I116" s="9">
        <v>0.43064043136619268</v>
      </c>
      <c r="J116" s="9">
        <v>0.44246731734727623</v>
      </c>
      <c r="K116" s="9">
        <v>0.45878543341328426</v>
      </c>
      <c r="L116" s="9">
        <v>0.47961531488213849</v>
      </c>
      <c r="M116" s="9">
        <v>0.50496613148148894</v>
      </c>
      <c r="N116" s="9">
        <v>8.0001717253378484</v>
      </c>
    </row>
    <row r="117" spans="1:14" x14ac:dyDescent="0.2">
      <c r="A117" s="9" t="s">
        <v>665</v>
      </c>
      <c r="B117" s="9" t="s">
        <v>666</v>
      </c>
      <c r="C117" s="9">
        <v>0.71537629380833845</v>
      </c>
      <c r="D117" s="9">
        <v>0.73224909310657249</v>
      </c>
      <c r="E117" s="9">
        <v>0.72036486634226116</v>
      </c>
      <c r="F117" s="9">
        <v>0.71530240997114436</v>
      </c>
      <c r="G117" s="9">
        <v>0.71788860522648235</v>
      </c>
      <c r="H117" s="9">
        <v>0.72845114389561316</v>
      </c>
      <c r="I117" s="9">
        <v>0.74691822683209808</v>
      </c>
      <c r="J117" s="9">
        <v>0.77291302139973839</v>
      </c>
      <c r="K117" s="9">
        <v>0.80584287784844266</v>
      </c>
      <c r="L117" s="9">
        <v>0.84498330462129445</v>
      </c>
      <c r="M117" s="9">
        <v>0.88955670259331787</v>
      </c>
      <c r="N117" s="9">
        <v>27.248098805997067</v>
      </c>
    </row>
    <row r="132" spans="1:2" x14ac:dyDescent="0.2">
      <c r="A132" s="314" t="s">
        <v>300</v>
      </c>
    </row>
    <row r="133" spans="1:2" x14ac:dyDescent="0.2">
      <c r="A133" s="315">
        <v>36967</v>
      </c>
      <c r="B133" s="9" t="s">
        <v>301</v>
      </c>
    </row>
    <row r="134" spans="1:2" x14ac:dyDescent="0.2">
      <c r="A134" s="315">
        <v>38922</v>
      </c>
      <c r="B134" s="9" t="s">
        <v>302</v>
      </c>
    </row>
    <row r="135" spans="1:2" x14ac:dyDescent="0.2">
      <c r="A135" s="315">
        <v>38959</v>
      </c>
      <c r="B135" s="9" t="s">
        <v>303</v>
      </c>
    </row>
    <row r="136" spans="1:2" x14ac:dyDescent="0.2">
      <c r="A136" s="315">
        <v>39513</v>
      </c>
      <c r="B136" s="9" t="s">
        <v>304</v>
      </c>
    </row>
    <row r="137" spans="1:2" x14ac:dyDescent="0.2">
      <c r="A137" s="315">
        <v>41078</v>
      </c>
      <c r="B137" s="9" t="s">
        <v>413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3"/>
  <dimension ref="A1:AD77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136" customWidth="1"/>
    <col min="2" max="6" width="7.140625" style="136" customWidth="1"/>
    <col min="7" max="7" width="9" style="136" customWidth="1"/>
    <col min="8" max="8" width="6.42578125" style="136" customWidth="1"/>
    <col min="9" max="11" width="7.140625" style="136" customWidth="1"/>
    <col min="12" max="12" width="6.42578125" style="136" customWidth="1"/>
    <col min="13" max="13" width="7.140625" style="136" customWidth="1"/>
    <col min="14" max="14" width="7.42578125" style="136" customWidth="1"/>
    <col min="15" max="15" width="6.140625" style="136" customWidth="1"/>
    <col min="16" max="16" width="6.7109375" style="136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190">
        <v>1.0249999999999999</v>
      </c>
      <c r="D3" s="191"/>
      <c r="E3" s="192"/>
      <c r="F3" s="193"/>
      <c r="G3" s="194" t="s">
        <v>203</v>
      </c>
      <c r="H3" s="195"/>
      <c r="I3" s="195"/>
      <c r="J3" s="196">
        <v>1</v>
      </c>
      <c r="K3" s="197">
        <f>IF(J3=1,IF(C17=1,0.7*C68,IF(C16=1,C69,G68)),J3)</f>
        <v>0.26401965803724181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199">
        <f>'SHIP DATA'!C6</f>
        <v>410.19723000059423</v>
      </c>
      <c r="D4" s="200"/>
      <c r="E4" s="201"/>
      <c r="F4" s="202"/>
      <c r="G4" s="203" t="s">
        <v>206</v>
      </c>
      <c r="H4" s="204"/>
      <c r="I4" s="204"/>
      <c r="J4" s="196">
        <v>1</v>
      </c>
      <c r="K4" s="205">
        <f>IF(K15=1,0.25,IF(J4=1,IF(C17=1,E68,IF(C16=1,E69,G69)),J4))</f>
        <v>0.17004939726713941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199">
        <f>'SHIP DATA'!C8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1.1276803949946499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210">
        <f>'SHIP DATA'!C11</f>
        <v>16.330000000000002</v>
      </c>
      <c r="D6" s="200"/>
      <c r="E6" s="201"/>
      <c r="F6" s="202"/>
      <c r="G6" s="203" t="s">
        <v>210</v>
      </c>
      <c r="H6" s="204"/>
      <c r="I6" s="204"/>
      <c r="J6" s="196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214">
        <f>'SHIP DATA'!C24</f>
        <v>263317.77974012645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1.01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214">
        <f>'SHIP DATA'!C34</f>
        <v>28316.395999934779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28316.395999934779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190">
        <f>'SHIP DATA'!C29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228">
        <f>'SHIP DATA'!C35</f>
        <v>25.7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0.68594282674143203</v>
      </c>
      <c r="D11" s="200"/>
      <c r="E11" s="201"/>
      <c r="F11" s="201"/>
      <c r="G11" s="704"/>
      <c r="H11" s="704"/>
      <c r="I11" s="704"/>
      <c r="J11" s="704"/>
      <c r="K11" s="704"/>
      <c r="L11" s="201"/>
      <c r="M11" s="192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0.69994165994023683</v>
      </c>
      <c r="D12" s="200"/>
      <c r="E12" s="201"/>
      <c r="F12" s="202"/>
      <c r="G12" s="703" t="s">
        <v>222</v>
      </c>
      <c r="H12" s="230"/>
      <c r="I12" s="230"/>
      <c r="J12" s="230"/>
      <c r="K12" s="1115"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6.4526872616790323</v>
      </c>
      <c r="D13" s="200"/>
      <c r="E13" s="201"/>
      <c r="F13" s="202"/>
      <c r="G13" s="234" t="s">
        <v>224</v>
      </c>
      <c r="H13" s="235"/>
      <c r="I13" s="234"/>
      <c r="J13" s="234"/>
      <c r="K13" s="231">
        <v>15</v>
      </c>
      <c r="L13" s="201"/>
      <c r="M13" s="201"/>
      <c r="N13" s="201"/>
      <c r="O13" s="201"/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236">
        <v>0</v>
      </c>
      <c r="D14" s="200"/>
      <c r="E14" s="201"/>
      <c r="F14" s="202"/>
      <c r="G14" s="237" t="s">
        <v>226</v>
      </c>
      <c r="H14" s="238"/>
      <c r="I14" s="238"/>
      <c r="J14" s="238"/>
      <c r="K14" s="231">
        <v>1</v>
      </c>
      <c r="L14" s="201"/>
      <c r="M14" s="201"/>
      <c r="N14" s="201"/>
      <c r="O14" s="201"/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236">
        <v>0</v>
      </c>
      <c r="D15" s="200"/>
      <c r="E15" s="201"/>
      <c r="F15" s="202"/>
      <c r="G15" s="237" t="s">
        <v>228</v>
      </c>
      <c r="H15" s="238"/>
      <c r="I15" s="238"/>
      <c r="J15" s="238"/>
      <c r="K15" s="231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DATA'!C51</f>
        <v>1</v>
      </c>
      <c r="D16" s="200"/>
      <c r="E16" s="201"/>
      <c r="F16" s="202"/>
      <c r="G16" s="237" t="s">
        <v>230</v>
      </c>
      <c r="H16" s="238"/>
      <c r="I16" s="238"/>
      <c r="J16" s="238"/>
      <c r="K16" s="239"/>
      <c r="L16" s="201"/>
      <c r="M16" s="201"/>
      <c r="N16" s="201"/>
      <c r="O16" s="201"/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DATA'!C50</f>
        <v>1</v>
      </c>
      <c r="D17" s="200"/>
      <c r="E17" s="201"/>
      <c r="F17" s="202"/>
      <c r="G17" s="237" t="s">
        <v>232</v>
      </c>
      <c r="H17" s="238"/>
      <c r="I17" s="238"/>
      <c r="J17" s="238"/>
      <c r="K17" s="722">
        <f>'SHIP DATA'!C53</f>
        <v>1</v>
      </c>
      <c r="L17" s="201"/>
      <c r="M17" s="201"/>
      <c r="N17" s="201"/>
      <c r="O17" s="201"/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199">
        <f>'SHIP DATA'!C52</f>
        <v>10.013590000000001</v>
      </c>
      <c r="D18" s="240">
        <f>C18/C6</f>
        <v>0.61320208205756277</v>
      </c>
      <c r="E18" s="241" t="s">
        <v>234</v>
      </c>
      <c r="F18" s="242"/>
      <c r="G18" s="237" t="s">
        <v>235</v>
      </c>
      <c r="H18" s="238"/>
      <c r="I18" s="238"/>
      <c r="J18" s="238"/>
      <c r="K18" s="722">
        <f>'SHIP DATA'!C46</f>
        <v>0</v>
      </c>
      <c r="L18" s="201"/>
      <c r="M18" s="201"/>
      <c r="N18" s="201"/>
      <c r="O18" s="201"/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244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>D21-0.5</f>
        <v>25.2</v>
      </c>
      <c r="D21" s="257">
        <f>E21-0.5</f>
        <v>25.7</v>
      </c>
      <c r="E21" s="257">
        <f>F21-0.5</f>
        <v>26.2</v>
      </c>
      <c r="F21" s="369">
        <f>P10+1</f>
        <v>26.7</v>
      </c>
      <c r="G21" s="369">
        <f>P10+3</f>
        <v>28.7</v>
      </c>
      <c r="H21" s="369">
        <f>P10+5</f>
        <v>30.7</v>
      </c>
      <c r="I21" s="370">
        <f>K21-2</f>
        <v>24.7</v>
      </c>
      <c r="J21" s="370">
        <f>K21-1</f>
        <v>25.7</v>
      </c>
      <c r="K21" s="370">
        <f>P10+1</f>
        <v>26.7</v>
      </c>
      <c r="L21" s="371">
        <f>M21-0.001</f>
        <v>25.012805909967827</v>
      </c>
      <c r="M21" s="371">
        <f>V33</f>
        <v>25.013805909967829</v>
      </c>
      <c r="N21" s="371">
        <f>M21+0.001</f>
        <v>25.01480590996783</v>
      </c>
      <c r="O21" s="257">
        <f>N21+0.5</f>
        <v>25.51480590996783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0">C21*0.5144/SQRT(9.81*$C4)</f>
        <v>0.20434811472365066</v>
      </c>
      <c r="D22" s="261">
        <f t="shared" si="0"/>
        <v>0.20840264080943741</v>
      </c>
      <c r="E22" s="261">
        <f t="shared" si="0"/>
        <v>0.21245716689522412</v>
      </c>
      <c r="F22" s="372">
        <f t="shared" si="0"/>
        <v>0.21651169298101086</v>
      </c>
      <c r="G22" s="372">
        <f t="shared" si="0"/>
        <v>0.23272979732415772</v>
      </c>
      <c r="H22" s="372">
        <f t="shared" si="0"/>
        <v>0.2489479016673046</v>
      </c>
      <c r="I22" s="373">
        <f t="shared" si="0"/>
        <v>0.20029358863786395</v>
      </c>
      <c r="J22" s="374">
        <f t="shared" si="0"/>
        <v>0.20840264080943741</v>
      </c>
      <c r="K22" s="374">
        <f t="shared" si="0"/>
        <v>0.21651169298101086</v>
      </c>
      <c r="L22" s="262">
        <f t="shared" si="0"/>
        <v>0.20283014808136959</v>
      </c>
      <c r="M22" s="262">
        <f t="shared" si="0"/>
        <v>0.20283825713354117</v>
      </c>
      <c r="N22" s="262">
        <f t="shared" si="0"/>
        <v>0.20284636618571275</v>
      </c>
      <c r="O22" s="263">
        <f t="shared" si="0"/>
        <v>0.20690089227149949</v>
      </c>
      <c r="P22" s="264">
        <f>J9</f>
        <v>0.32</v>
      </c>
      <c r="Q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1">75/(LOG10(C21*0.5144*$C4*1000000/((43.4233-31.38*$C3)*($K13+20)^(1.72*$C3-2.202)+4.7478-5.779*$C3))-2)^2</f>
        <v>1.2813032890126694</v>
      </c>
      <c r="D23" s="229">
        <f t="shared" si="1"/>
        <v>1.2784500922677826</v>
      </c>
      <c r="E23" s="229">
        <f t="shared" si="1"/>
        <v>1.2756611203444448</v>
      </c>
      <c r="F23" s="375">
        <f t="shared" si="1"/>
        <v>1.2729337329133323</v>
      </c>
      <c r="G23" s="375">
        <f t="shared" si="1"/>
        <v>1.2625924287021983</v>
      </c>
      <c r="H23" s="375">
        <f t="shared" si="1"/>
        <v>1.2530612020907028</v>
      </c>
      <c r="I23" s="374">
        <f t="shared" si="1"/>
        <v>1.2842235196666083</v>
      </c>
      <c r="J23" s="374">
        <f t="shared" si="1"/>
        <v>1.2784500922677826</v>
      </c>
      <c r="K23" s="374">
        <f t="shared" si="1"/>
        <v>1.2729337329133323</v>
      </c>
      <c r="L23" s="262">
        <f t="shared" si="1"/>
        <v>1.2823885820655452</v>
      </c>
      <c r="M23" s="262">
        <f t="shared" si="1"/>
        <v>1.2823827591490013</v>
      </c>
      <c r="N23" s="262">
        <f t="shared" si="1"/>
        <v>1.2823769365048991</v>
      </c>
      <c r="O23" s="263">
        <f t="shared" si="1"/>
        <v>1.2794992481633163</v>
      </c>
      <c r="P23" s="265">
        <f t="shared" si="1"/>
        <v>1.2184718298238078</v>
      </c>
      <c r="Q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C43</f>
        <v>0.80825638177844594</v>
      </c>
      <c r="D24" s="268">
        <f t="shared" ref="D24:O24" si="2">D43</f>
        <v>0.83270373791066299</v>
      </c>
      <c r="E24" s="268">
        <f t="shared" si="2"/>
        <v>0.85977304382644537</v>
      </c>
      <c r="F24" s="375">
        <f t="shared" si="2"/>
        <v>0.88985003375170191</v>
      </c>
      <c r="G24" s="375">
        <f t="shared" si="2"/>
        <v>1.0506916293692568</v>
      </c>
      <c r="H24" s="375">
        <f t="shared" si="2"/>
        <v>1.315872835828914</v>
      </c>
      <c r="I24" s="374">
        <f t="shared" si="2"/>
        <v>0.78610305679934078</v>
      </c>
      <c r="J24" s="374">
        <f t="shared" si="2"/>
        <v>0.83270373791066299</v>
      </c>
      <c r="K24" s="374">
        <f t="shared" si="2"/>
        <v>0.88985003375170191</v>
      </c>
      <c r="L24" s="262">
        <f t="shared" si="2"/>
        <v>0.7997097499844541</v>
      </c>
      <c r="M24" s="262">
        <f t="shared" si="2"/>
        <v>0.79975458107872577</v>
      </c>
      <c r="N24" s="262">
        <f t="shared" si="2"/>
        <v>0.79979942089684997</v>
      </c>
      <c r="O24" s="269">
        <f t="shared" si="2"/>
        <v>0.82336161996676926</v>
      </c>
      <c r="P24" s="264">
        <f>P50+P52+P54+P58+P59+P60</f>
        <v>4.9531108986779104</v>
      </c>
      <c r="Q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-0.31451657402613964</v>
      </c>
      <c r="D25" s="268">
        <f>$K14*(IF($C16=2,0.52-2.6*D22,MAX(-50,(250*D22-90))/100*D24))</f>
        <v>-0.3155892191384172</v>
      </c>
      <c r="E25" s="268">
        <f t="shared" ref="E25:P25" si="3">$K14*(IF($C16=2,0.52-2.6*E22,MAX(-50,(250*E22-90))/100*E24))</f>
        <v>-0.31713337678317594</v>
      </c>
      <c r="F25" s="1132">
        <f t="shared" si="3"/>
        <v>-0.3192076871095551</v>
      </c>
      <c r="G25" s="1132">
        <f t="shared" si="3"/>
        <v>-0.33430434154909067</v>
      </c>
      <c r="H25" s="1132">
        <f t="shared" si="3"/>
        <v>-0.3653260988944883</v>
      </c>
      <c r="I25" s="374">
        <f t="shared" si="3"/>
        <v>-0.31386424540557029</v>
      </c>
      <c r="J25" s="374">
        <f t="shared" si="3"/>
        <v>-0.3155892191384172</v>
      </c>
      <c r="K25" s="374">
        <f t="shared" si="3"/>
        <v>-0.3192076871095551</v>
      </c>
      <c r="L25" s="262">
        <f t="shared" si="3"/>
        <v>-0.31422565745735398</v>
      </c>
      <c r="M25" s="262">
        <f t="shared" si="3"/>
        <v>-0.31422705956941799</v>
      </c>
      <c r="N25" s="262">
        <f t="shared" si="3"/>
        <v>-0.31422846329125637</v>
      </c>
      <c r="O25" s="268">
        <f t="shared" si="3"/>
        <v>-0.31513982338701274</v>
      </c>
      <c r="P25" s="270">
        <f t="shared" si="3"/>
        <v>-0.49531108986779104</v>
      </c>
      <c r="Q25" s="268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4">IF($C17=2,IF($C16=1,0.3,0),0)</f>
        <v>0</v>
      </c>
      <c r="E26" s="268">
        <f t="shared" si="4"/>
        <v>0</v>
      </c>
      <c r="F26" s="375">
        <f t="shared" si="4"/>
        <v>0</v>
      </c>
      <c r="G26" s="375">
        <f t="shared" si="4"/>
        <v>0</v>
      </c>
      <c r="H26" s="375">
        <f t="shared" si="4"/>
        <v>0</v>
      </c>
      <c r="I26" s="374">
        <f t="shared" si="4"/>
        <v>0</v>
      </c>
      <c r="J26" s="374">
        <f t="shared" si="4"/>
        <v>0</v>
      </c>
      <c r="K26" s="374">
        <f t="shared" si="4"/>
        <v>0</v>
      </c>
      <c r="L26" s="262">
        <f t="shared" si="4"/>
        <v>0</v>
      </c>
      <c r="M26" s="262">
        <f t="shared" si="4"/>
        <v>0</v>
      </c>
      <c r="N26" s="262">
        <f t="shared" si="4"/>
        <v>0</v>
      </c>
      <c r="O26" s="269">
        <f t="shared" si="4"/>
        <v>0</v>
      </c>
      <c r="P26" s="270">
        <f t="shared" si="4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266">
        <f>MAX(0.09,0.28*'SHIP DATA'!C2^(-0.126))</f>
        <v>0.09</v>
      </c>
      <c r="D27" s="267">
        <f t="shared" ref="D27:P27" si="5">C27</f>
        <v>0.09</v>
      </c>
      <c r="E27" s="267">
        <f t="shared" si="5"/>
        <v>0.09</v>
      </c>
      <c r="F27" s="376">
        <v>0</v>
      </c>
      <c r="G27" s="376">
        <v>0</v>
      </c>
      <c r="H27" s="376">
        <f t="shared" si="5"/>
        <v>0</v>
      </c>
      <c r="I27" s="373">
        <f>C27</f>
        <v>0.09</v>
      </c>
      <c r="J27" s="373">
        <f t="shared" si="5"/>
        <v>0.09</v>
      </c>
      <c r="K27" s="373">
        <f t="shared" si="5"/>
        <v>0.09</v>
      </c>
      <c r="L27" s="271">
        <f t="shared" si="5"/>
        <v>0.09</v>
      </c>
      <c r="M27" s="271">
        <f t="shared" si="5"/>
        <v>0.09</v>
      </c>
      <c r="N27" s="271">
        <f t="shared" si="5"/>
        <v>0.09</v>
      </c>
      <c r="O27" s="267">
        <f t="shared" si="5"/>
        <v>0.09</v>
      </c>
      <c r="P27" s="270">
        <f t="shared" si="5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6">0.5*LOG10($C7)-0.1*(LOG10($C7))^2</f>
        <v>-0.2279204508192656</v>
      </c>
      <c r="D28" s="229">
        <f t="shared" si="6"/>
        <v>-0.2279204508192656</v>
      </c>
      <c r="E28" s="229">
        <f t="shared" si="6"/>
        <v>-0.2279204508192656</v>
      </c>
      <c r="F28" s="375">
        <f t="shared" si="6"/>
        <v>-0.2279204508192656</v>
      </c>
      <c r="G28" s="375">
        <f t="shared" si="6"/>
        <v>-0.2279204508192656</v>
      </c>
      <c r="H28" s="375">
        <f t="shared" si="6"/>
        <v>-0.2279204508192656</v>
      </c>
      <c r="I28" s="374">
        <f t="shared" si="6"/>
        <v>-0.2279204508192656</v>
      </c>
      <c r="J28" s="374">
        <f t="shared" si="6"/>
        <v>-0.2279204508192656</v>
      </c>
      <c r="K28" s="374">
        <f t="shared" si="6"/>
        <v>-0.2279204508192656</v>
      </c>
      <c r="L28" s="262">
        <f t="shared" si="6"/>
        <v>-0.2279204508192656</v>
      </c>
      <c r="M28" s="262">
        <f t="shared" si="6"/>
        <v>-0.2279204508192656</v>
      </c>
      <c r="N28" s="262">
        <f t="shared" si="6"/>
        <v>-0.2279204508192656</v>
      </c>
      <c r="O28" s="263">
        <f t="shared" si="6"/>
        <v>-0.2279204508192656</v>
      </c>
      <c r="P28" s="265">
        <f>0.5*LOG10($C7)-0.1*(LOG10($C7))^2</f>
        <v>-0.2279204508192656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243" t="s">
        <v>193</v>
      </c>
      <c r="C29" s="266">
        <f t="shared" ref="C29:O29" si="7">C23+C24+C25+C26+C27+C28</f>
        <v>1.6371226459457102</v>
      </c>
      <c r="D29" s="268">
        <f t="shared" si="7"/>
        <v>1.657644160220763</v>
      </c>
      <c r="E29" s="268">
        <f t="shared" si="7"/>
        <v>1.6803803365684489</v>
      </c>
      <c r="F29" s="375">
        <f t="shared" si="7"/>
        <v>1.6156556287362136</v>
      </c>
      <c r="G29" s="375">
        <f t="shared" si="7"/>
        <v>1.7510592657030988</v>
      </c>
      <c r="H29" s="375">
        <f t="shared" si="7"/>
        <v>1.975687488205863</v>
      </c>
      <c r="I29" s="374">
        <f t="shared" si="7"/>
        <v>1.6185418802411136</v>
      </c>
      <c r="J29" s="374">
        <f t="shared" si="7"/>
        <v>1.657644160220763</v>
      </c>
      <c r="K29" s="374">
        <f t="shared" si="7"/>
        <v>1.7056556287362137</v>
      </c>
      <c r="L29" s="262">
        <f t="shared" si="7"/>
        <v>1.6299522237733799</v>
      </c>
      <c r="M29" s="262">
        <f t="shared" si="7"/>
        <v>1.6299898298390436</v>
      </c>
      <c r="N29" s="262">
        <f t="shared" si="7"/>
        <v>1.6300274432912272</v>
      </c>
      <c r="O29" s="269">
        <f t="shared" si="7"/>
        <v>1.6498005939238076</v>
      </c>
      <c r="P29" s="265">
        <f>P23+P24+P25+P27+P28</f>
        <v>5.5383511878146621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7" customFormat="1" ht="12" customHeight="1" x14ac:dyDescent="0.2">
      <c r="A30" s="188" t="s">
        <v>249</v>
      </c>
      <c r="B30" s="243" t="s">
        <v>250</v>
      </c>
      <c r="C30" s="272">
        <f t="shared" ref="C30:P30" si="8">($C9*$C3*C21^2*0.0001323*C29*$K19/100)*(1+$K12/100)</f>
        <v>3992.1236497925074</v>
      </c>
      <c r="D30" s="273">
        <f t="shared" si="8"/>
        <v>4204.1600542059423</v>
      </c>
      <c r="E30" s="273">
        <f t="shared" si="8"/>
        <v>4429.2669960741541</v>
      </c>
      <c r="F30" s="378">
        <f t="shared" si="8"/>
        <v>4422.7562767309828</v>
      </c>
      <c r="G30" s="378">
        <f t="shared" si="8"/>
        <v>5538.4255943371418</v>
      </c>
      <c r="H30" s="378">
        <f t="shared" si="8"/>
        <v>7150.1752639594743</v>
      </c>
      <c r="I30" s="379">
        <f t="shared" si="8"/>
        <v>3791.74859672204</v>
      </c>
      <c r="J30" s="379">
        <f t="shared" si="8"/>
        <v>4204.1600542059423</v>
      </c>
      <c r="K30" s="379">
        <f t="shared" si="8"/>
        <v>4669.1256501457538</v>
      </c>
      <c r="L30" s="274">
        <f t="shared" si="8"/>
        <v>3915.8079874642385</v>
      </c>
      <c r="M30" s="274">
        <f t="shared" si="8"/>
        <v>3916.211450263289</v>
      </c>
      <c r="N30" s="274">
        <f t="shared" si="8"/>
        <v>3916.6149577770343</v>
      </c>
      <c r="O30" s="273">
        <f t="shared" si="8"/>
        <v>4124.1806518499125</v>
      </c>
      <c r="P30" s="275">
        <f t="shared" si="8"/>
        <v>33117.83555065393</v>
      </c>
    </row>
    <row r="31" spans="1:30" s="17" customFormat="1" ht="12" customHeight="1" x14ac:dyDescent="0.2">
      <c r="A31" s="188" t="s">
        <v>251</v>
      </c>
      <c r="B31" s="243" t="s">
        <v>252</v>
      </c>
      <c r="C31" s="276">
        <f t="shared" ref="C31:P31" si="9">C30*C21*0.5144</f>
        <v>51749.419817422298</v>
      </c>
      <c r="D31" s="277">
        <f t="shared" si="9"/>
        <v>55579.332249406893</v>
      </c>
      <c r="E31" s="277">
        <f t="shared" si="9"/>
        <v>59694.471500850268</v>
      </c>
      <c r="F31" s="376">
        <f t="shared" si="9"/>
        <v>60744.257627636143</v>
      </c>
      <c r="G31" s="376">
        <f t="shared" si="9"/>
        <v>81765.327808365633</v>
      </c>
      <c r="H31" s="376">
        <f t="shared" si="9"/>
        <v>112916.13978246912</v>
      </c>
      <c r="I31" s="380">
        <f t="shared" si="9"/>
        <v>48176.744310399285</v>
      </c>
      <c r="J31" s="381">
        <f t="shared" si="9"/>
        <v>55579.332249406893</v>
      </c>
      <c r="K31" s="381">
        <f t="shared" si="9"/>
        <v>64128.012859413844</v>
      </c>
      <c r="L31" s="278">
        <f t="shared" si="9"/>
        <v>50383.085556036844</v>
      </c>
      <c r="M31" s="278">
        <f t="shared" si="9"/>
        <v>50390.291244557389</v>
      </c>
      <c r="N31" s="278">
        <f t="shared" si="9"/>
        <v>50397.497923531992</v>
      </c>
      <c r="O31" s="150">
        <f t="shared" si="9"/>
        <v>54129.112866519732</v>
      </c>
      <c r="P31" s="275">
        <f t="shared" si="9"/>
        <v>672268.54125224706</v>
      </c>
    </row>
    <row r="32" spans="1:30" s="17" customFormat="1" ht="12" customHeight="1" thickBot="1" x14ac:dyDescent="0.25">
      <c r="A32" s="188" t="s">
        <v>253</v>
      </c>
      <c r="B32" s="243" t="s">
        <v>193</v>
      </c>
      <c r="C32" s="260">
        <f t="shared" ref="C32:P32" si="10">C36*$J6*IF($K17=3,1,$K5*$J7)</f>
        <v>0.70275360724056091</v>
      </c>
      <c r="D32" s="261">
        <f t="shared" si="10"/>
        <v>0.7010599610646947</v>
      </c>
      <c r="E32" s="261">
        <f t="shared" si="10"/>
        <v>0.69919798054797477</v>
      </c>
      <c r="F32" s="372">
        <f t="shared" si="10"/>
        <v>0.70453871688115211</v>
      </c>
      <c r="G32" s="372">
        <f t="shared" si="10"/>
        <v>0.69350424991908577</v>
      </c>
      <c r="H32" s="372">
        <f t="shared" si="10"/>
        <v>0.67629556645526745</v>
      </c>
      <c r="I32" s="373">
        <f t="shared" si="10"/>
        <v>0.70429790176551221</v>
      </c>
      <c r="J32" s="374">
        <f t="shared" si="10"/>
        <v>0.7010599610646947</v>
      </c>
      <c r="K32" s="374">
        <f t="shared" si="10"/>
        <v>0.69714560704630435</v>
      </c>
      <c r="L32" s="262">
        <f t="shared" si="10"/>
        <v>0.70334833322983215</v>
      </c>
      <c r="M32" s="262">
        <f t="shared" si="10"/>
        <v>0.70334521011524676</v>
      </c>
      <c r="N32" s="262">
        <f t="shared" si="10"/>
        <v>0.70334208642957741</v>
      </c>
      <c r="O32" s="263">
        <f t="shared" si="10"/>
        <v>0.70170582244430391</v>
      </c>
      <c r="P32" s="264">
        <f t="shared" si="10"/>
        <v>0.50325166763148643</v>
      </c>
    </row>
    <row r="33" spans="1:22" s="17" customFormat="1" ht="12" customHeight="1" thickBot="1" x14ac:dyDescent="0.25">
      <c r="A33" s="279" t="s">
        <v>254</v>
      </c>
      <c r="B33" s="280" t="s">
        <v>252</v>
      </c>
      <c r="C33" s="281">
        <f t="shared" ref="C33:P33" si="11">C31/C32</f>
        <v>73638.070703930032</v>
      </c>
      <c r="D33" s="282">
        <f t="shared" si="11"/>
        <v>79278.999423956499</v>
      </c>
      <c r="E33" s="282">
        <f t="shared" si="11"/>
        <v>85375.634886797838</v>
      </c>
      <c r="F33" s="382">
        <f t="shared" si="11"/>
        <v>86218.480506704407</v>
      </c>
      <c r="G33" s="382">
        <f t="shared" si="11"/>
        <v>117901.69680705715</v>
      </c>
      <c r="H33" s="382">
        <f t="shared" si="11"/>
        <v>166962.7088852693</v>
      </c>
      <c r="I33" s="383">
        <f t="shared" si="11"/>
        <v>68403.929913224667</v>
      </c>
      <c r="J33" s="384">
        <f t="shared" si="11"/>
        <v>79278.999423956499</v>
      </c>
      <c r="K33" s="384">
        <f t="shared" si="11"/>
        <v>91986.540847777971</v>
      </c>
      <c r="L33" s="284">
        <f t="shared" si="11"/>
        <v>71633.19108850896</v>
      </c>
      <c r="M33" s="284">
        <f t="shared" si="11"/>
        <v>71643.754048315299</v>
      </c>
      <c r="N33" s="284">
        <f t="shared" si="11"/>
        <v>71654.318568320276</v>
      </c>
      <c r="O33" s="285">
        <f t="shared" si="11"/>
        <v>77139.324108738016</v>
      </c>
      <c r="P33" s="275">
        <f t="shared" si="11"/>
        <v>1335849.6046644514</v>
      </c>
      <c r="Q33" s="324" t="s">
        <v>307</v>
      </c>
      <c r="R33" s="325">
        <f>'SHIP DATA'!$C$47*0.75</f>
        <v>71664.767436835653</v>
      </c>
      <c r="S33" s="326">
        <f>S34*S35*R36-S34*S36*R35+S35*S36*R34</f>
        <v>25.594956480604282</v>
      </c>
      <c r="T33" s="155" t="s">
        <v>307</v>
      </c>
      <c r="U33" s="156">
        <f>'SHIP DATA'!C47*0.75</f>
        <v>71664.767436835653</v>
      </c>
      <c r="V33" s="157">
        <f>V34*V35*U36-V34*V36*U35+V35*V36*U34</f>
        <v>25.013805909967829</v>
      </c>
    </row>
    <row r="34" spans="1:22" s="17" customFormat="1" ht="12" customHeight="1" x14ac:dyDescent="0.2">
      <c r="A34" s="17" t="s">
        <v>255</v>
      </c>
      <c r="B34" s="243" t="s">
        <v>193</v>
      </c>
      <c r="C34" s="286">
        <f t="shared" ref="C34:P34" si="12">2.54648*C30/(1-$K4)/$C17/$C3/(C37*$C18)^2/$J7</f>
        <v>1.2963782282597194</v>
      </c>
      <c r="D34" s="287">
        <f t="shared" si="12"/>
        <v>1.3126284733974201</v>
      </c>
      <c r="E34" s="287">
        <f t="shared" si="12"/>
        <v>1.3306324293527096</v>
      </c>
      <c r="F34" s="385">
        <f t="shared" si="12"/>
        <v>1.2793792735357177</v>
      </c>
      <c r="G34" s="385">
        <f t="shared" si="12"/>
        <v>1.3866005177264076</v>
      </c>
      <c r="H34" s="385">
        <f t="shared" si="12"/>
        <v>1.5644754850212648</v>
      </c>
      <c r="I34" s="386">
        <f t="shared" si="12"/>
        <v>1.2816647917413941</v>
      </c>
      <c r="J34" s="387">
        <f t="shared" si="12"/>
        <v>1.3126284733974201</v>
      </c>
      <c r="K34" s="387">
        <f t="shared" si="12"/>
        <v>1.350647019316594</v>
      </c>
      <c r="L34" s="288">
        <f t="shared" si="12"/>
        <v>1.2907002302095056</v>
      </c>
      <c r="M34" s="288">
        <f t="shared" si="12"/>
        <v>1.2907300090931451</v>
      </c>
      <c r="N34" s="288">
        <f t="shared" si="12"/>
        <v>1.2907597938259023</v>
      </c>
      <c r="O34" s="289">
        <f t="shared" si="12"/>
        <v>1.3064174368544548</v>
      </c>
      <c r="P34" s="290">
        <f t="shared" si="12"/>
        <v>4.3856200499821165</v>
      </c>
      <c r="Q34" s="153">
        <f>F33-G33</f>
        <v>-31683.216300352738</v>
      </c>
      <c r="R34" s="158">
        <f>F21/Q34/Q35</f>
        <v>1.0436875683179533E-8</v>
      </c>
      <c r="S34" s="154">
        <f>R33-F33</f>
        <v>-14553.713069868754</v>
      </c>
      <c r="T34" s="153">
        <f>I33-J33</f>
        <v>-10875.069510731832</v>
      </c>
      <c r="U34" s="158">
        <f>I21/T34/T35</f>
        <v>9.6310364308852449E-8</v>
      </c>
      <c r="V34" s="154">
        <f>U33-I33</f>
        <v>3260.837523610986</v>
      </c>
    </row>
    <row r="35" spans="1:22" x14ac:dyDescent="0.2">
      <c r="A35" s="17" t="s">
        <v>256</v>
      </c>
      <c r="B35" s="291" t="s">
        <v>193</v>
      </c>
      <c r="C35" s="286">
        <f t="shared" ref="C35:P35" si="13">(1.3+0.3*$C19)*C30/(1-$K4)/$C17/(99.6+$C3*9.81*0.65*$C18)/$C18^2+C70</f>
        <v>0.92661106652734304</v>
      </c>
      <c r="D35" s="287">
        <f t="shared" si="13"/>
        <v>0.96520405899677142</v>
      </c>
      <c r="E35" s="287">
        <f t="shared" si="13"/>
        <v>1.0061760351834486</v>
      </c>
      <c r="F35" s="385">
        <f t="shared" si="13"/>
        <v>1.0049910115867853</v>
      </c>
      <c r="G35" s="385">
        <f t="shared" si="13"/>
        <v>1.2080552811015279</v>
      </c>
      <c r="H35" s="385">
        <f t="shared" si="13"/>
        <v>1.5014117122031161</v>
      </c>
      <c r="I35" s="386">
        <f t="shared" si="13"/>
        <v>0.89014057017270898</v>
      </c>
      <c r="J35" s="387">
        <f t="shared" si="13"/>
        <v>0.96520405899677142</v>
      </c>
      <c r="K35" s="387">
        <f t="shared" si="13"/>
        <v>1.0498329876578132</v>
      </c>
      <c r="L35" s="288">
        <f t="shared" si="13"/>
        <v>0.9127207641064834</v>
      </c>
      <c r="M35" s="288">
        <f t="shared" si="13"/>
        <v>0.91279419883958246</v>
      </c>
      <c r="N35" s="288">
        <f t="shared" si="13"/>
        <v>0.91286764171125556</v>
      </c>
      <c r="O35" s="289">
        <f t="shared" si="13"/>
        <v>0.95064691499419141</v>
      </c>
      <c r="P35" s="290">
        <f t="shared" si="13"/>
        <v>6.2278157495919579</v>
      </c>
      <c r="Q35" s="149">
        <f>F33-H33</f>
        <v>-80744.228378564891</v>
      </c>
      <c r="R35" s="159">
        <f>G21/Q34/Q36</f>
        <v>1.8463589309488029E-8</v>
      </c>
      <c r="S35" s="150">
        <f>R33-G33</f>
        <v>-46236.929370221493</v>
      </c>
      <c r="T35" s="149">
        <f>I33-K33</f>
        <v>-23582.610934553304</v>
      </c>
      <c r="U35" s="159">
        <f>J21/T34/T36</f>
        <v>1.8596856833943007E-7</v>
      </c>
      <c r="V35" s="150">
        <f>U33-J33</f>
        <v>-7614.2319871208456</v>
      </c>
    </row>
    <row r="36" spans="1:22" s="17" customFormat="1" ht="12" customHeight="1" thickBot="1" x14ac:dyDescent="0.25">
      <c r="A36" s="17" t="s">
        <v>257</v>
      </c>
      <c r="B36" s="292" t="s">
        <v>193</v>
      </c>
      <c r="C36" s="293">
        <f>(1+$K18/100)*IF($K17=3,1/(1+16.8/C21),IF($K17=1,0.81-0.014*C34,0.00098*C34^3-0.018542*C34^2+0.11195*C34+0.634)/(1+SQRT(1+C34))*2)</f>
        <v>0.62960708115888708</v>
      </c>
      <c r="D36" s="294">
        <f t="shared" ref="D36:P36" si="14">(1+$K18/100)*IF($K17=3,1/(1+16.8/D21),IF($K17=1,0.81-0.014*D34,0.00098*D34^3-0.018542*D34^2+0.11195*D34+0.634)/(1+SQRT(1+D34))*2)</f>
        <v>0.62808971914990341</v>
      </c>
      <c r="E36" s="294">
        <f t="shared" si="14"/>
        <v>0.62642154397978933</v>
      </c>
      <c r="F36" s="388">
        <f t="shared" si="14"/>
        <v>0.63120638660361383</v>
      </c>
      <c r="G36" s="388">
        <f t="shared" si="14"/>
        <v>0.62132044868091796</v>
      </c>
      <c r="H36" s="388">
        <f t="shared" si="14"/>
        <v>0.6059029412435879</v>
      </c>
      <c r="I36" s="389">
        <f t="shared" si="14"/>
        <v>0.6309906368721363</v>
      </c>
      <c r="J36" s="389">
        <f t="shared" si="14"/>
        <v>0.62808971914990341</v>
      </c>
      <c r="K36" s="389">
        <f t="shared" si="14"/>
        <v>0.62458279299150421</v>
      </c>
      <c r="L36" s="295">
        <f t="shared" si="14"/>
        <v>0.63013990474077464</v>
      </c>
      <c r="M36" s="295">
        <f t="shared" si="14"/>
        <v>0.63013710669742362</v>
      </c>
      <c r="N36" s="295">
        <f t="shared" si="14"/>
        <v>0.6301343081424301</v>
      </c>
      <c r="O36" s="296">
        <f t="shared" si="14"/>
        <v>0.62866835566469226</v>
      </c>
      <c r="P36" s="297">
        <f t="shared" si="14"/>
        <v>0.45087041927817623</v>
      </c>
      <c r="Q36" s="151">
        <f>G33-H33</f>
        <v>-49061.012078212152</v>
      </c>
      <c r="R36" s="160">
        <f>H21/Q35/Q36</f>
        <v>7.7497980208557942E-9</v>
      </c>
      <c r="S36" s="152">
        <f>R33-H33</f>
        <v>-95297.941448433645</v>
      </c>
      <c r="T36" s="151">
        <f>J33-K33</f>
        <v>-12707.541423821473</v>
      </c>
      <c r="U36" s="160">
        <f>K21/T35/T36</f>
        <v>8.9095925028874558E-8</v>
      </c>
      <c r="V36" s="152">
        <f>U33-K33</f>
        <v>-20321.773410942318</v>
      </c>
    </row>
    <row r="37" spans="1:22" s="17" customFormat="1" ht="12" customHeight="1" thickTop="1" x14ac:dyDescent="0.2">
      <c r="A37" s="298" t="s">
        <v>258</v>
      </c>
      <c r="B37" s="299" t="s">
        <v>259</v>
      </c>
      <c r="C37" s="300">
        <f t="shared" ref="C37:P37" si="15">C21*0.5144*(1-$K3)</f>
        <v>9.5404248552221969</v>
      </c>
      <c r="D37" s="300">
        <f t="shared" si="15"/>
        <v>9.7297189991750201</v>
      </c>
      <c r="E37" s="300">
        <f t="shared" si="15"/>
        <v>9.9190131431278399</v>
      </c>
      <c r="F37" s="300">
        <f t="shared" si="15"/>
        <v>10.108307287080663</v>
      </c>
      <c r="G37" s="300">
        <f t="shared" si="15"/>
        <v>10.865483862891947</v>
      </c>
      <c r="H37" s="300">
        <f t="shared" si="15"/>
        <v>11.622660438703234</v>
      </c>
      <c r="I37" s="300">
        <f t="shared" si="15"/>
        <v>9.3511307112693771</v>
      </c>
      <c r="J37" s="300">
        <f t="shared" si="15"/>
        <v>9.7297189991750201</v>
      </c>
      <c r="K37" s="300">
        <f t="shared" si="15"/>
        <v>10.108307287080663</v>
      </c>
      <c r="L37" s="300">
        <f t="shared" si="15"/>
        <v>9.4695553651708639</v>
      </c>
      <c r="M37" s="300">
        <f t="shared" si="15"/>
        <v>9.469933953458769</v>
      </c>
      <c r="N37" s="300">
        <f t="shared" si="15"/>
        <v>9.4703125417466758</v>
      </c>
      <c r="O37" s="300">
        <f t="shared" si="15"/>
        <v>9.6596066856994973</v>
      </c>
      <c r="P37" s="301">
        <f t="shared" si="15"/>
        <v>14.939878245511238</v>
      </c>
    </row>
    <row r="38" spans="1:22" s="17" customFormat="1" ht="12" customHeight="1" x14ac:dyDescent="0.2">
      <c r="A38" s="17" t="s">
        <v>260</v>
      </c>
      <c r="B38" s="243" t="s">
        <v>259</v>
      </c>
      <c r="C38" s="287">
        <f t="shared" ref="C38:P38" si="16">C37*SQRT(1+C34)</f>
        <v>14.457374317669565</v>
      </c>
      <c r="D38" s="287">
        <f t="shared" si="16"/>
        <v>14.796303534694468</v>
      </c>
      <c r="E38" s="287">
        <f t="shared" si="16"/>
        <v>15.14277112529734</v>
      </c>
      <c r="F38" s="287">
        <f t="shared" si="16"/>
        <v>15.261131453699027</v>
      </c>
      <c r="G38" s="287">
        <f t="shared" si="16"/>
        <v>16.785679878731813</v>
      </c>
      <c r="H38" s="287">
        <f t="shared" si="16"/>
        <v>18.612504929434735</v>
      </c>
      <c r="I38" s="287">
        <f t="shared" si="16"/>
        <v>14.125051765557432</v>
      </c>
      <c r="J38" s="287">
        <f t="shared" si="16"/>
        <v>14.796303534694468</v>
      </c>
      <c r="K38" s="287">
        <f t="shared" si="16"/>
        <v>15.497874697946468</v>
      </c>
      <c r="L38" s="287">
        <f t="shared" si="16"/>
        <v>14.332228293701226</v>
      </c>
      <c r="M38" s="287">
        <f t="shared" si="16"/>
        <v>14.332894451543124</v>
      </c>
      <c r="N38" s="287">
        <f t="shared" si="16"/>
        <v>14.333560634527641</v>
      </c>
      <c r="O38" s="287">
        <f t="shared" si="16"/>
        <v>14.669942101046136</v>
      </c>
      <c r="P38" s="290">
        <f t="shared" si="16"/>
        <v>34.670883900650125</v>
      </c>
    </row>
    <row r="39" spans="1:22" s="17" customFormat="1" ht="12" customHeight="1" x14ac:dyDescent="0.2">
      <c r="A39" s="17" t="s">
        <v>261</v>
      </c>
      <c r="B39" s="243" t="s">
        <v>259</v>
      </c>
      <c r="C39" s="287">
        <f t="shared" ref="C39:P39" si="17">C38-C37</f>
        <v>4.9169494624473682</v>
      </c>
      <c r="D39" s="287">
        <f t="shared" si="17"/>
        <v>5.0665845355194481</v>
      </c>
      <c r="E39" s="287">
        <f t="shared" si="17"/>
        <v>5.2237579821695004</v>
      </c>
      <c r="F39" s="287">
        <f t="shared" si="17"/>
        <v>5.1528241666183643</v>
      </c>
      <c r="G39" s="287">
        <f t="shared" si="17"/>
        <v>5.9201960158398652</v>
      </c>
      <c r="H39" s="287">
        <f t="shared" si="17"/>
        <v>6.9898444907315014</v>
      </c>
      <c r="I39" s="287">
        <f t="shared" si="17"/>
        <v>4.7739210542880546</v>
      </c>
      <c r="J39" s="287">
        <f t="shared" si="17"/>
        <v>5.0665845355194481</v>
      </c>
      <c r="K39" s="287">
        <f t="shared" si="17"/>
        <v>5.3895674108658049</v>
      </c>
      <c r="L39" s="287">
        <f t="shared" si="17"/>
        <v>4.8626729285303618</v>
      </c>
      <c r="M39" s="287">
        <f t="shared" si="17"/>
        <v>4.8629604980843553</v>
      </c>
      <c r="N39" s="287">
        <f t="shared" si="17"/>
        <v>4.8632480927809656</v>
      </c>
      <c r="O39" s="287">
        <f t="shared" si="17"/>
        <v>5.0103354153466384</v>
      </c>
      <c r="P39" s="290">
        <f t="shared" si="17"/>
        <v>19.731005655138887</v>
      </c>
    </row>
    <row r="40" spans="1:22" s="17" customFormat="1" ht="12" customHeight="1" x14ac:dyDescent="0.2">
      <c r="A40" s="17" t="s">
        <v>262</v>
      </c>
      <c r="B40" s="243" t="s">
        <v>193</v>
      </c>
      <c r="C40" s="287">
        <f t="shared" ref="C40:P40" si="18">C38/C37</f>
        <v>1.5153805555898225</v>
      </c>
      <c r="D40" s="287">
        <f t="shared" si="18"/>
        <v>1.5207328737807373</v>
      </c>
      <c r="E40" s="287">
        <f t="shared" si="18"/>
        <v>1.5266408973143322</v>
      </c>
      <c r="F40" s="287">
        <f t="shared" si="18"/>
        <v>1.5097613299908426</v>
      </c>
      <c r="G40" s="287">
        <f t="shared" si="18"/>
        <v>1.5448626209881602</v>
      </c>
      <c r="H40" s="287">
        <f t="shared" si="18"/>
        <v>1.6013979783368233</v>
      </c>
      <c r="I40" s="287">
        <f t="shared" si="18"/>
        <v>1.5105180540931626</v>
      </c>
      <c r="J40" s="287">
        <f t="shared" si="18"/>
        <v>1.5207328737807373</v>
      </c>
      <c r="K40" s="287">
        <f t="shared" si="18"/>
        <v>1.5331819915837108</v>
      </c>
      <c r="L40" s="287">
        <f t="shared" si="18"/>
        <v>1.5135059399320194</v>
      </c>
      <c r="M40" s="287">
        <f t="shared" si="18"/>
        <v>1.5135157776161916</v>
      </c>
      <c r="N40" s="287">
        <f t="shared" si="18"/>
        <v>1.5135256171687026</v>
      </c>
      <c r="O40" s="287">
        <f t="shared" si="18"/>
        <v>1.5186893812937703</v>
      </c>
      <c r="P40" s="290">
        <f t="shared" si="18"/>
        <v>2.3206938725265158</v>
      </c>
    </row>
    <row r="41" spans="1:22" s="17" customFormat="1" ht="12" customHeight="1" x14ac:dyDescent="0.2">
      <c r="A41" s="17" t="s">
        <v>263</v>
      </c>
      <c r="B41" s="243" t="s">
        <v>259</v>
      </c>
      <c r="C41" s="287">
        <f t="shared" ref="C41:P41" si="19">C37+0.5*C39</f>
        <v>11.99889958644588</v>
      </c>
      <c r="D41" s="287">
        <f t="shared" si="19"/>
        <v>12.263011266934743</v>
      </c>
      <c r="E41" s="287">
        <f t="shared" si="19"/>
        <v>12.530892134212589</v>
      </c>
      <c r="F41" s="287">
        <f t="shared" si="19"/>
        <v>12.684719370389846</v>
      </c>
      <c r="G41" s="287">
        <f t="shared" si="19"/>
        <v>13.825581870811881</v>
      </c>
      <c r="H41" s="287">
        <f t="shared" si="19"/>
        <v>15.117582684068985</v>
      </c>
      <c r="I41" s="287">
        <f t="shared" si="19"/>
        <v>11.738091238413404</v>
      </c>
      <c r="J41" s="287">
        <f t="shared" si="19"/>
        <v>12.263011266934743</v>
      </c>
      <c r="K41" s="287">
        <f t="shared" si="19"/>
        <v>12.803090992513566</v>
      </c>
      <c r="L41" s="287">
        <f t="shared" si="19"/>
        <v>11.900891829436045</v>
      </c>
      <c r="M41" s="287">
        <f t="shared" si="19"/>
        <v>11.901414202500947</v>
      </c>
      <c r="N41" s="287">
        <f t="shared" si="19"/>
        <v>11.901936588137158</v>
      </c>
      <c r="O41" s="287">
        <f t="shared" si="19"/>
        <v>12.164774393372817</v>
      </c>
      <c r="P41" s="290">
        <f t="shared" si="19"/>
        <v>24.805381073080682</v>
      </c>
    </row>
    <row r="42" spans="1:22" s="17" customFormat="1" ht="12" customHeight="1" x14ac:dyDescent="0.2">
      <c r="A42" s="17" t="s">
        <v>264</v>
      </c>
      <c r="B42" s="243" t="s">
        <v>265</v>
      </c>
      <c r="C42" s="302">
        <f t="shared" ref="C42:P42" si="20">0.785*$C18^2*C41</f>
        <v>944.47547835082855</v>
      </c>
      <c r="D42" s="302">
        <f t="shared" si="20"/>
        <v>965.26463522064182</v>
      </c>
      <c r="E42" s="302">
        <f t="shared" si="20"/>
        <v>986.35047800484836</v>
      </c>
      <c r="F42" s="302">
        <f t="shared" si="20"/>
        <v>998.4587593872526</v>
      </c>
      <c r="G42" s="302">
        <f t="shared" si="20"/>
        <v>1088.2600489184861</v>
      </c>
      <c r="H42" s="302">
        <f t="shared" si="20"/>
        <v>1189.9579652431703</v>
      </c>
      <c r="I42" s="302">
        <f t="shared" si="20"/>
        <v>923.94633836668231</v>
      </c>
      <c r="J42" s="302">
        <f t="shared" si="20"/>
        <v>965.26463522064182</v>
      </c>
      <c r="K42" s="302">
        <f t="shared" si="20"/>
        <v>1007.7762050099122</v>
      </c>
      <c r="L42" s="302">
        <f t="shared" si="20"/>
        <v>936.76094398731755</v>
      </c>
      <c r="M42" s="302">
        <f t="shared" si="20"/>
        <v>936.80206180373023</v>
      </c>
      <c r="N42" s="302">
        <f t="shared" si="20"/>
        <v>936.84318060967485</v>
      </c>
      <c r="O42" s="302">
        <f t="shared" si="20"/>
        <v>957.53206628957923</v>
      </c>
      <c r="P42" s="275">
        <f t="shared" si="20"/>
        <v>1952.5185610468095</v>
      </c>
    </row>
    <row r="43" spans="1:22" s="17" customFormat="1" ht="12" customHeight="1" thickBot="1" x14ac:dyDescent="0.25">
      <c r="A43" s="223" t="s">
        <v>266</v>
      </c>
      <c r="B43" s="303" t="s">
        <v>193</v>
      </c>
      <c r="C43" s="304">
        <f t="shared" ref="C43:P43" si="21">C50+C52+C54+C58+C59+C60</f>
        <v>0.80825638177844594</v>
      </c>
      <c r="D43" s="304">
        <f t="shared" si="21"/>
        <v>0.83270373791066299</v>
      </c>
      <c r="E43" s="304">
        <f t="shared" si="21"/>
        <v>0.85977304382644537</v>
      </c>
      <c r="F43" s="304">
        <f t="shared" si="21"/>
        <v>0.88985003375170191</v>
      </c>
      <c r="G43" s="304">
        <f t="shared" si="21"/>
        <v>1.0506916293692568</v>
      </c>
      <c r="H43" s="304">
        <f t="shared" si="21"/>
        <v>1.315872835828914</v>
      </c>
      <c r="I43" s="304">
        <f t="shared" si="21"/>
        <v>0.78610305679934078</v>
      </c>
      <c r="J43" s="304">
        <f t="shared" si="21"/>
        <v>0.83270373791066299</v>
      </c>
      <c r="K43" s="304">
        <f t="shared" si="21"/>
        <v>0.88985003375170191</v>
      </c>
      <c r="L43" s="304">
        <f t="shared" si="21"/>
        <v>0.7997097499844541</v>
      </c>
      <c r="M43" s="304">
        <f t="shared" si="21"/>
        <v>0.79975458107872577</v>
      </c>
      <c r="N43" s="304">
        <f t="shared" si="21"/>
        <v>0.79979942089684997</v>
      </c>
      <c r="O43" s="304">
        <f t="shared" si="21"/>
        <v>0.82336161996676926</v>
      </c>
      <c r="P43" s="305">
        <f t="shared" si="21"/>
        <v>4.9531108986779104</v>
      </c>
    </row>
    <row r="44" spans="1:22" s="17" customFormat="1" ht="12" customHeight="1" x14ac:dyDescent="0.2">
      <c r="A44" s="298"/>
      <c r="B44" s="309" t="s">
        <v>267</v>
      </c>
      <c r="C44" s="308">
        <f t="shared" ref="C44:P44" si="22">1.35-0.23*$C13+0.012*$C13^2</f>
        <v>0.36552800457824075</v>
      </c>
      <c r="D44" s="308">
        <f t="shared" si="22"/>
        <v>0.36552800457824075</v>
      </c>
      <c r="E44" s="308">
        <f t="shared" si="22"/>
        <v>0.36552800457824075</v>
      </c>
      <c r="F44" s="308">
        <f t="shared" si="22"/>
        <v>0.36552800457824075</v>
      </c>
      <c r="G44" s="308">
        <f t="shared" si="22"/>
        <v>0.36552800457824075</v>
      </c>
      <c r="H44" s="308">
        <f t="shared" si="22"/>
        <v>0.36552800457824075</v>
      </c>
      <c r="I44" s="308">
        <f t="shared" si="22"/>
        <v>0.36552800457824075</v>
      </c>
      <c r="J44" s="308">
        <f t="shared" si="22"/>
        <v>0.36552800457824075</v>
      </c>
      <c r="K44" s="308">
        <f t="shared" si="22"/>
        <v>0.36552800457824075</v>
      </c>
      <c r="L44" s="308">
        <f t="shared" si="22"/>
        <v>0.36552800457824075</v>
      </c>
      <c r="M44" s="308">
        <f t="shared" si="22"/>
        <v>0.36552800457824075</v>
      </c>
      <c r="N44" s="308">
        <f t="shared" si="22"/>
        <v>0.36552800457824075</v>
      </c>
      <c r="O44" s="308">
        <f t="shared" si="22"/>
        <v>0.36552800457824075</v>
      </c>
      <c r="P44" s="310">
        <f t="shared" si="22"/>
        <v>0.36552800457824075</v>
      </c>
    </row>
    <row r="45" spans="1:22" s="17" customFormat="1" ht="12" customHeight="1" x14ac:dyDescent="0.2">
      <c r="B45" s="306" t="s">
        <v>268</v>
      </c>
      <c r="C45" s="277">
        <f t="shared" ref="C45:P45" si="23">0.0011*$C13^9.1</f>
        <v>25705.869551679498</v>
      </c>
      <c r="D45" s="277">
        <f t="shared" si="23"/>
        <v>25705.869551679498</v>
      </c>
      <c r="E45" s="277">
        <f t="shared" si="23"/>
        <v>25705.869551679498</v>
      </c>
      <c r="F45" s="277">
        <f t="shared" si="23"/>
        <v>25705.869551679498</v>
      </c>
      <c r="G45" s="277">
        <f t="shared" si="23"/>
        <v>25705.869551679498</v>
      </c>
      <c r="H45" s="277">
        <f t="shared" si="23"/>
        <v>25705.869551679498</v>
      </c>
      <c r="I45" s="277">
        <f t="shared" si="23"/>
        <v>25705.869551679498</v>
      </c>
      <c r="J45" s="277">
        <f t="shared" si="23"/>
        <v>25705.869551679498</v>
      </c>
      <c r="K45" s="277">
        <f t="shared" si="23"/>
        <v>25705.869551679498</v>
      </c>
      <c r="L45" s="277">
        <f t="shared" si="23"/>
        <v>25705.869551679498</v>
      </c>
      <c r="M45" s="277">
        <f t="shared" si="23"/>
        <v>25705.869551679498</v>
      </c>
      <c r="N45" s="277">
        <f t="shared" si="23"/>
        <v>25705.869551679498</v>
      </c>
      <c r="O45" s="277">
        <f t="shared" si="23"/>
        <v>25705.869551679498</v>
      </c>
      <c r="P45" s="311">
        <f t="shared" si="23"/>
        <v>25705.869551679498</v>
      </c>
    </row>
    <row r="46" spans="1:22" s="17" customFormat="1" ht="12" customHeight="1" x14ac:dyDescent="0.2">
      <c r="B46" s="306" t="s">
        <v>269</v>
      </c>
      <c r="C46" s="261">
        <f t="shared" ref="C46:P46" si="24">2*$C13-3.7</f>
        <v>9.2053745233580635</v>
      </c>
      <c r="D46" s="261">
        <f t="shared" si="24"/>
        <v>9.2053745233580635</v>
      </c>
      <c r="E46" s="261">
        <f t="shared" si="24"/>
        <v>9.2053745233580635</v>
      </c>
      <c r="F46" s="261">
        <f t="shared" si="24"/>
        <v>9.2053745233580635</v>
      </c>
      <c r="G46" s="261">
        <f t="shared" si="24"/>
        <v>9.2053745233580635</v>
      </c>
      <c r="H46" s="261">
        <f t="shared" si="24"/>
        <v>9.2053745233580635</v>
      </c>
      <c r="I46" s="261">
        <f t="shared" si="24"/>
        <v>9.2053745233580635</v>
      </c>
      <c r="J46" s="261">
        <f t="shared" si="24"/>
        <v>9.2053745233580635</v>
      </c>
      <c r="K46" s="261">
        <f t="shared" si="24"/>
        <v>9.2053745233580635</v>
      </c>
      <c r="L46" s="261">
        <f t="shared" si="24"/>
        <v>9.2053745233580635</v>
      </c>
      <c r="M46" s="261">
        <f t="shared" si="24"/>
        <v>9.2053745233580635</v>
      </c>
      <c r="N46" s="261">
        <f t="shared" si="24"/>
        <v>9.2053745233580635</v>
      </c>
      <c r="O46" s="261">
        <f t="shared" si="24"/>
        <v>9.2053745233580635</v>
      </c>
      <c r="P46" s="312">
        <f t="shared" si="24"/>
        <v>9.2053745233580635</v>
      </c>
    </row>
    <row r="47" spans="1:22" s="17" customFormat="1" ht="12" customHeight="1" x14ac:dyDescent="0.2">
      <c r="B47" s="306" t="s">
        <v>270</v>
      </c>
      <c r="C47" s="261">
        <f t="shared" ref="C47:P47" si="25">7-0.09*$C13^2</f>
        <v>3.2526544392668635</v>
      </c>
      <c r="D47" s="261">
        <f t="shared" si="25"/>
        <v>3.2526544392668635</v>
      </c>
      <c r="E47" s="261">
        <f t="shared" si="25"/>
        <v>3.2526544392668635</v>
      </c>
      <c r="F47" s="261">
        <f t="shared" si="25"/>
        <v>3.2526544392668635</v>
      </c>
      <c r="G47" s="261">
        <f t="shared" si="25"/>
        <v>3.2526544392668635</v>
      </c>
      <c r="H47" s="261">
        <f t="shared" si="25"/>
        <v>3.2526544392668635</v>
      </c>
      <c r="I47" s="261">
        <f t="shared" si="25"/>
        <v>3.2526544392668635</v>
      </c>
      <c r="J47" s="261">
        <f t="shared" si="25"/>
        <v>3.2526544392668635</v>
      </c>
      <c r="K47" s="261">
        <f t="shared" si="25"/>
        <v>3.2526544392668635</v>
      </c>
      <c r="L47" s="261">
        <f t="shared" si="25"/>
        <v>3.2526544392668635</v>
      </c>
      <c r="M47" s="261">
        <f t="shared" si="25"/>
        <v>3.2526544392668635</v>
      </c>
      <c r="N47" s="261">
        <f t="shared" si="25"/>
        <v>3.2526544392668635</v>
      </c>
      <c r="O47" s="261">
        <f t="shared" si="25"/>
        <v>3.2526544392668635</v>
      </c>
      <c r="P47" s="312">
        <f t="shared" si="25"/>
        <v>3.2526544392668635</v>
      </c>
    </row>
    <row r="48" spans="1:22" s="17" customFormat="1" ht="12" customHeight="1" x14ac:dyDescent="0.2">
      <c r="B48" s="306" t="s">
        <v>271</v>
      </c>
      <c r="C48" s="261">
        <f t="shared" ref="C48:P48" si="26">(5*$C12-2.5)^2</f>
        <v>0.99941668449143217</v>
      </c>
      <c r="D48" s="261">
        <f t="shared" si="26"/>
        <v>0.99941668449143217</v>
      </c>
      <c r="E48" s="261">
        <f t="shared" si="26"/>
        <v>0.99941668449143217</v>
      </c>
      <c r="F48" s="261">
        <f t="shared" si="26"/>
        <v>0.99941668449143217</v>
      </c>
      <c r="G48" s="261">
        <f t="shared" si="26"/>
        <v>0.99941668449143217</v>
      </c>
      <c r="H48" s="261">
        <f t="shared" si="26"/>
        <v>0.99941668449143217</v>
      </c>
      <c r="I48" s="261">
        <f t="shared" si="26"/>
        <v>0.99941668449143217</v>
      </c>
      <c r="J48" s="261">
        <f t="shared" si="26"/>
        <v>0.99941668449143217</v>
      </c>
      <c r="K48" s="261">
        <f t="shared" si="26"/>
        <v>0.99941668449143217</v>
      </c>
      <c r="L48" s="261">
        <f t="shared" si="26"/>
        <v>0.99941668449143217</v>
      </c>
      <c r="M48" s="261">
        <f t="shared" si="26"/>
        <v>0.99941668449143217</v>
      </c>
      <c r="N48" s="261">
        <f t="shared" si="26"/>
        <v>0.99941668449143217</v>
      </c>
      <c r="O48" s="261">
        <f t="shared" si="26"/>
        <v>0.99941668449143217</v>
      </c>
      <c r="P48" s="312">
        <f t="shared" si="26"/>
        <v>0.99941668449143217</v>
      </c>
    </row>
    <row r="49" spans="1:16" s="17" customFormat="1" ht="12" customHeight="1" x14ac:dyDescent="0.2">
      <c r="B49" s="306" t="s">
        <v>272</v>
      </c>
      <c r="C49" s="261">
        <f t="shared" ref="C49:P49" si="27">(600*(C22-0.315)^2+1)^1.5</f>
        <v>24.112446959056776</v>
      </c>
      <c r="D49" s="261">
        <f t="shared" si="27"/>
        <v>21.858818453033496</v>
      </c>
      <c r="E49" s="261">
        <f t="shared" si="27"/>
        <v>19.760079489820829</v>
      </c>
      <c r="F49" s="261">
        <f t="shared" si="27"/>
        <v>17.810393001809214</v>
      </c>
      <c r="G49" s="261">
        <f t="shared" si="27"/>
        <v>11.38567001216731</v>
      </c>
      <c r="H49" s="261">
        <f t="shared" si="27"/>
        <v>6.8810360594720636</v>
      </c>
      <c r="I49" s="261">
        <f t="shared" si="27"/>
        <v>26.526807226935997</v>
      </c>
      <c r="J49" s="261">
        <f t="shared" si="27"/>
        <v>21.858818453033496</v>
      </c>
      <c r="K49" s="261">
        <f t="shared" si="27"/>
        <v>17.810393001809214</v>
      </c>
      <c r="L49" s="261">
        <f t="shared" si="27"/>
        <v>24.997217882140049</v>
      </c>
      <c r="M49" s="261">
        <f t="shared" si="27"/>
        <v>24.992430996218793</v>
      </c>
      <c r="N49" s="261">
        <f t="shared" si="27"/>
        <v>24.987644761930117</v>
      </c>
      <c r="O49" s="261">
        <f t="shared" si="27"/>
        <v>22.675164564457781</v>
      </c>
      <c r="P49" s="312">
        <f t="shared" si="27"/>
        <v>1.0225841652402019</v>
      </c>
    </row>
    <row r="50" spans="1:16" s="17" customFormat="1" ht="12" customHeight="1" x14ac:dyDescent="0.2">
      <c r="B50" s="306" t="s">
        <v>273</v>
      </c>
      <c r="C50" s="261">
        <f t="shared" ref="C50:P50" si="28">C47*C48/C49</f>
        <v>0.13481655847738105</v>
      </c>
      <c r="D50" s="261">
        <f t="shared" si="28"/>
        <v>0.14871604897003468</v>
      </c>
      <c r="E50" s="261">
        <f t="shared" si="28"/>
        <v>0.16451133798135864</v>
      </c>
      <c r="F50" s="261">
        <f t="shared" si="28"/>
        <v>0.18252023496383313</v>
      </c>
      <c r="G50" s="261">
        <f t="shared" si="28"/>
        <v>0.2855130275174409</v>
      </c>
      <c r="H50" s="261">
        <f t="shared" si="28"/>
        <v>0.47242262464438184</v>
      </c>
      <c r="I50" s="261">
        <f t="shared" si="28"/>
        <v>0.12254611298217319</v>
      </c>
      <c r="J50" s="261">
        <f t="shared" si="28"/>
        <v>0.14871604897003468</v>
      </c>
      <c r="K50" s="261">
        <f t="shared" si="28"/>
        <v>0.18252023496383313</v>
      </c>
      <c r="L50" s="261">
        <f t="shared" si="28"/>
        <v>0.13004475661313572</v>
      </c>
      <c r="M50" s="261">
        <f t="shared" si="28"/>
        <v>0.13006966453084326</v>
      </c>
      <c r="N50" s="261">
        <f t="shared" si="28"/>
        <v>0.13009457859914483</v>
      </c>
      <c r="O50" s="261">
        <f t="shared" si="28"/>
        <v>0.14336200763825241</v>
      </c>
      <c r="P50" s="312">
        <f t="shared" si="28"/>
        <v>3.1789628922376614</v>
      </c>
    </row>
    <row r="51" spans="1:16" s="17" customFormat="1" ht="12" customHeight="1" x14ac:dyDescent="0.2">
      <c r="B51" s="306"/>
      <c r="C51" s="261">
        <f t="shared" ref="C51:P51" si="29">C22-(0.04+0.59*$C12)-0.015*($C13-5)</f>
        <v>-0.27040777356627449</v>
      </c>
      <c r="D51" s="261">
        <f t="shared" si="29"/>
        <v>-0.26635324748048778</v>
      </c>
      <c r="E51" s="261">
        <f t="shared" si="29"/>
        <v>-0.26229872139470106</v>
      </c>
      <c r="F51" s="261">
        <f t="shared" si="29"/>
        <v>-0.25824419530891429</v>
      </c>
      <c r="G51" s="261">
        <f t="shared" si="29"/>
        <v>-0.24202609096576747</v>
      </c>
      <c r="H51" s="261">
        <f t="shared" si="29"/>
        <v>-0.22580798662262058</v>
      </c>
      <c r="I51" s="261">
        <f t="shared" si="29"/>
        <v>-0.2744622996520612</v>
      </c>
      <c r="J51" s="261">
        <f t="shared" si="29"/>
        <v>-0.26635324748048778</v>
      </c>
      <c r="K51" s="261">
        <f t="shared" si="29"/>
        <v>-0.25824419530891429</v>
      </c>
      <c r="L51" s="261">
        <f t="shared" si="29"/>
        <v>-0.27192574020855559</v>
      </c>
      <c r="M51" s="261">
        <f t="shared" si="29"/>
        <v>-0.27191763115638395</v>
      </c>
      <c r="N51" s="261">
        <f t="shared" si="29"/>
        <v>-0.27190952210421243</v>
      </c>
      <c r="O51" s="261">
        <f t="shared" si="29"/>
        <v>-0.26785499601842566</v>
      </c>
      <c r="P51" s="312">
        <f t="shared" si="29"/>
        <v>-0.15475588828992518</v>
      </c>
    </row>
    <row r="52" spans="1:16" s="17" customFormat="1" ht="12" customHeight="1" x14ac:dyDescent="0.2">
      <c r="B52" s="306" t="s">
        <v>274</v>
      </c>
      <c r="C52" s="261">
        <f t="shared" ref="C52:P52" si="30">EXP(80*C51)</f>
        <v>4.0278351364566052E-10</v>
      </c>
      <c r="D52" s="261">
        <f t="shared" si="30"/>
        <v>5.5710922591019451E-10</v>
      </c>
      <c r="E52" s="261">
        <f t="shared" si="30"/>
        <v>7.7056453176307901E-10</v>
      </c>
      <c r="F52" s="261">
        <f t="shared" si="30"/>
        <v>1.0658048188686259E-9</v>
      </c>
      <c r="G52" s="261">
        <f t="shared" si="30"/>
        <v>3.9007879051210246E-9</v>
      </c>
      <c r="H52" s="261">
        <f t="shared" si="30"/>
        <v>1.4276672436976625E-8</v>
      </c>
      <c r="I52" s="261">
        <f t="shared" si="30"/>
        <v>2.9120781225564562E-10</v>
      </c>
      <c r="J52" s="261">
        <f t="shared" si="30"/>
        <v>5.5710922591019451E-10</v>
      </c>
      <c r="K52" s="261">
        <f t="shared" si="30"/>
        <v>1.0658048188686259E-9</v>
      </c>
      <c r="L52" s="261">
        <f t="shared" si="30"/>
        <v>3.5672383080985282E-10</v>
      </c>
      <c r="M52" s="261">
        <f t="shared" si="30"/>
        <v>3.5695532126085172E-10</v>
      </c>
      <c r="N52" s="261">
        <f t="shared" si="30"/>
        <v>3.5718696193402074E-10</v>
      </c>
      <c r="O52" s="261">
        <f t="shared" si="30"/>
        <v>4.9404244495303715E-10</v>
      </c>
      <c r="P52" s="312">
        <f t="shared" si="30"/>
        <v>4.1998108760781456E-6</v>
      </c>
    </row>
    <row r="53" spans="1:16" s="17" customFormat="1" ht="12" customHeight="1" x14ac:dyDescent="0.2">
      <c r="B53" s="306"/>
      <c r="C53" s="261">
        <f t="shared" ref="C53:P53" si="31">20*$C12-16</f>
        <v>-2.0011668011952644</v>
      </c>
      <c r="D53" s="261">
        <f t="shared" si="31"/>
        <v>-2.0011668011952644</v>
      </c>
      <c r="E53" s="261">
        <f t="shared" si="31"/>
        <v>-2.0011668011952644</v>
      </c>
      <c r="F53" s="261">
        <f t="shared" si="31"/>
        <v>-2.0011668011952644</v>
      </c>
      <c r="G53" s="261">
        <f t="shared" si="31"/>
        <v>-2.0011668011952644</v>
      </c>
      <c r="H53" s="261">
        <f t="shared" si="31"/>
        <v>-2.0011668011952644</v>
      </c>
      <c r="I53" s="261">
        <f t="shared" si="31"/>
        <v>-2.0011668011952644</v>
      </c>
      <c r="J53" s="261">
        <f t="shared" si="31"/>
        <v>-2.0011668011952644</v>
      </c>
      <c r="K53" s="261">
        <f t="shared" si="31"/>
        <v>-2.0011668011952644</v>
      </c>
      <c r="L53" s="261">
        <f t="shared" si="31"/>
        <v>-2.0011668011952644</v>
      </c>
      <c r="M53" s="261">
        <f t="shared" si="31"/>
        <v>-2.0011668011952644</v>
      </c>
      <c r="N53" s="261">
        <f t="shared" si="31"/>
        <v>-2.0011668011952644</v>
      </c>
      <c r="O53" s="261">
        <f t="shared" si="31"/>
        <v>-2.0011668011952644</v>
      </c>
      <c r="P53" s="312">
        <f t="shared" si="31"/>
        <v>-2.0011668011952644</v>
      </c>
    </row>
    <row r="54" spans="1:16" s="17" customFormat="1" ht="12" customHeight="1" x14ac:dyDescent="0.2">
      <c r="B54" s="306" t="s">
        <v>275</v>
      </c>
      <c r="C54" s="261">
        <f t="shared" ref="C54:P54" si="32">180*C22^3.7*EXP(C53)</f>
        <v>6.832004705001872E-2</v>
      </c>
      <c r="D54" s="261">
        <f t="shared" si="32"/>
        <v>7.3471467125262355E-2</v>
      </c>
      <c r="E54" s="261">
        <f t="shared" si="32"/>
        <v>7.8900714081627785E-2</v>
      </c>
      <c r="F54" s="261">
        <f t="shared" si="32"/>
        <v>8.4617038787441673E-2</v>
      </c>
      <c r="G54" s="261">
        <f t="shared" si="32"/>
        <v>0.11054247239452981</v>
      </c>
      <c r="H54" s="261">
        <f t="shared" si="32"/>
        <v>0.14183327959075828</v>
      </c>
      <c r="I54" s="261">
        <f t="shared" si="32"/>
        <v>6.3437328125617323E-2</v>
      </c>
      <c r="J54" s="261">
        <f t="shared" si="32"/>
        <v>7.3471467125262355E-2</v>
      </c>
      <c r="K54" s="261">
        <f t="shared" si="32"/>
        <v>8.4617038787441673E-2</v>
      </c>
      <c r="L54" s="261">
        <f t="shared" si="32"/>
        <v>6.6461032593686256E-2</v>
      </c>
      <c r="M54" s="261">
        <f t="shared" si="32"/>
        <v>6.6470864321238027E-2</v>
      </c>
      <c r="N54" s="261">
        <f t="shared" si="32"/>
        <v>6.6480697110087694E-2</v>
      </c>
      <c r="O54" s="261">
        <f t="shared" si="32"/>
        <v>7.1531536079733143E-2</v>
      </c>
      <c r="P54" s="312">
        <f t="shared" si="32"/>
        <v>0.35911349510520019</v>
      </c>
    </row>
    <row r="55" spans="1:16" s="17" customFormat="1" ht="12" customHeight="1" x14ac:dyDescent="0.2">
      <c r="B55" s="306"/>
      <c r="C55" s="261">
        <f t="shared" ref="C55:P55" si="33">C44+1.5*C22^1.8+C45*C22^(C46)</f>
        <v>0.46310701168845431</v>
      </c>
      <c r="D55" s="261">
        <f t="shared" si="33"/>
        <v>0.46848991026166137</v>
      </c>
      <c r="E55" s="261">
        <f t="shared" si="33"/>
        <v>0.47431686414045615</v>
      </c>
      <c r="F55" s="261">
        <f t="shared" si="33"/>
        <v>0.48064656101681247</v>
      </c>
      <c r="G55" s="261">
        <f t="shared" si="33"/>
        <v>0.5124421155040334</v>
      </c>
      <c r="H55" s="261">
        <f t="shared" si="33"/>
        <v>0.55925163873938666</v>
      </c>
      <c r="I55" s="261">
        <f t="shared" si="33"/>
        <v>0.45811617771197721</v>
      </c>
      <c r="J55" s="261">
        <f t="shared" si="33"/>
        <v>0.46848991026166137</v>
      </c>
      <c r="K55" s="261">
        <f t="shared" si="33"/>
        <v>0.48064656101681247</v>
      </c>
      <c r="L55" s="261">
        <f t="shared" si="33"/>
        <v>0.46119517782742764</v>
      </c>
      <c r="M55" s="261">
        <f t="shared" si="33"/>
        <v>0.46120524957188613</v>
      </c>
      <c r="N55" s="261">
        <f t="shared" si="33"/>
        <v>0.46121532281153593</v>
      </c>
      <c r="O55" s="261">
        <f t="shared" si="33"/>
        <v>0.46644727878511077</v>
      </c>
      <c r="P55" s="312">
        <f t="shared" si="33"/>
        <v>1.2741763139565354</v>
      </c>
    </row>
    <row r="56" spans="1:16" s="17" customFormat="1" ht="12" customHeight="1" x14ac:dyDescent="0.2">
      <c r="B56" s="306"/>
      <c r="C56" s="261">
        <f t="shared" ref="C56:P56" si="34">0.98+2.5/($C13-2)^4</f>
        <v>0.98635991389713451</v>
      </c>
      <c r="D56" s="261">
        <f t="shared" si="34"/>
        <v>0.98635991389713451</v>
      </c>
      <c r="E56" s="261">
        <f t="shared" si="34"/>
        <v>0.98635991389713451</v>
      </c>
      <c r="F56" s="261">
        <f t="shared" si="34"/>
        <v>0.98635991389713451</v>
      </c>
      <c r="G56" s="261">
        <f t="shared" si="34"/>
        <v>0.98635991389713451</v>
      </c>
      <c r="H56" s="261">
        <f t="shared" si="34"/>
        <v>0.98635991389713451</v>
      </c>
      <c r="I56" s="261">
        <f t="shared" si="34"/>
        <v>0.98635991389713451</v>
      </c>
      <c r="J56" s="261">
        <f t="shared" si="34"/>
        <v>0.98635991389713451</v>
      </c>
      <c r="K56" s="261">
        <f t="shared" si="34"/>
        <v>0.98635991389713451</v>
      </c>
      <c r="L56" s="261">
        <f t="shared" si="34"/>
        <v>0.98635991389713451</v>
      </c>
      <c r="M56" s="261">
        <f t="shared" si="34"/>
        <v>0.98635991389713451</v>
      </c>
      <c r="N56" s="261">
        <f t="shared" si="34"/>
        <v>0.98635991389713451</v>
      </c>
      <c r="O56" s="261">
        <f t="shared" si="34"/>
        <v>0.98635991389713451</v>
      </c>
      <c r="P56" s="312">
        <f t="shared" si="34"/>
        <v>0.98635991389713451</v>
      </c>
    </row>
    <row r="57" spans="1:16" s="17" customFormat="1" ht="12" customHeight="1" x14ac:dyDescent="0.2">
      <c r="B57" s="306"/>
      <c r="C57" s="261">
        <f t="shared" ref="C57:P57" si="35">($C13-5)^4*(C22-0.1)^4</f>
        <v>5.2799151241405781E-4</v>
      </c>
      <c r="D57" s="261">
        <f t="shared" si="35"/>
        <v>6.1496154922263614E-4</v>
      </c>
      <c r="E57" s="261">
        <f t="shared" si="35"/>
        <v>7.1225755768972773E-4</v>
      </c>
      <c r="F57" s="261">
        <f t="shared" si="35"/>
        <v>8.2066623345976287E-4</v>
      </c>
      <c r="G57" s="261">
        <f t="shared" si="35"/>
        <v>1.3821724690088195E-3</v>
      </c>
      <c r="H57" s="261">
        <f t="shared" si="35"/>
        <v>2.1919269216231943E-3</v>
      </c>
      <c r="I57" s="261">
        <f t="shared" si="35"/>
        <v>4.5058963580673359E-4</v>
      </c>
      <c r="J57" s="261">
        <f t="shared" si="35"/>
        <v>6.1496154922263614E-4</v>
      </c>
      <c r="K57" s="261">
        <f t="shared" si="35"/>
        <v>8.2066623345976287E-4</v>
      </c>
      <c r="L57" s="261">
        <f t="shared" si="35"/>
        <v>4.9793236760761316E-4</v>
      </c>
      <c r="M57" s="261">
        <f t="shared" si="35"/>
        <v>4.9808945139154356E-4</v>
      </c>
      <c r="N57" s="261">
        <f t="shared" si="35"/>
        <v>4.982465723392097E-4</v>
      </c>
      <c r="O57" s="261">
        <f t="shared" si="35"/>
        <v>5.8158585304112973E-4</v>
      </c>
      <c r="P57" s="312">
        <f t="shared" si="35"/>
        <v>1.0432280038570654E-2</v>
      </c>
    </row>
    <row r="58" spans="1:16" s="17" customFormat="1" ht="12" customHeight="1" x14ac:dyDescent="0.2">
      <c r="B58" s="306" t="s">
        <v>276</v>
      </c>
      <c r="C58" s="261">
        <f t="shared" ref="C58:P58" si="36">C55*C56+C57</f>
        <v>0.4573181836865971</v>
      </c>
      <c r="D58" s="261">
        <f t="shared" si="36"/>
        <v>0.46271462909659122</v>
      </c>
      <c r="E58" s="261">
        <f t="shared" si="36"/>
        <v>0.46855939883122888</v>
      </c>
      <c r="F58" s="261">
        <f t="shared" si="36"/>
        <v>0.47491116677295675</v>
      </c>
      <c r="G58" s="261">
        <f t="shared" si="36"/>
        <v>0.50683453339483264</v>
      </c>
      <c r="H58" s="261">
        <f t="shared" si="36"/>
        <v>0.55381532515543597</v>
      </c>
      <c r="I58" s="261">
        <f t="shared" si="36"/>
        <v>0.45231802323867698</v>
      </c>
      <c r="J58" s="261">
        <f t="shared" si="36"/>
        <v>0.46271462909659122</v>
      </c>
      <c r="K58" s="261">
        <f t="shared" si="36"/>
        <v>0.47491116677295675</v>
      </c>
      <c r="L58" s="261">
        <f t="shared" si="36"/>
        <v>0.45540236825924274</v>
      </c>
      <c r="M58" s="261">
        <f t="shared" si="36"/>
        <v>0.45541245970802363</v>
      </c>
      <c r="N58" s="261">
        <f t="shared" si="36"/>
        <v>0.45542255266876491</v>
      </c>
      <c r="O58" s="261">
        <f t="shared" si="36"/>
        <v>0.46066648359307572</v>
      </c>
      <c r="P58" s="312">
        <f t="shared" si="36"/>
        <v>1.2672287193625071</v>
      </c>
    </row>
    <row r="59" spans="1:16" s="17" customFormat="1" ht="12" customHeight="1" x14ac:dyDescent="0.2">
      <c r="B59" s="306" t="s">
        <v>277</v>
      </c>
      <c r="C59" s="261">
        <f t="shared" ref="C59:P59" si="37">0.16*($C5/$C6-2.5)</f>
        <v>0.14780159216166552</v>
      </c>
      <c r="D59" s="261">
        <f t="shared" si="37"/>
        <v>0.14780159216166552</v>
      </c>
      <c r="E59" s="261">
        <f t="shared" si="37"/>
        <v>0.14780159216166552</v>
      </c>
      <c r="F59" s="261">
        <f t="shared" si="37"/>
        <v>0.14780159216166552</v>
      </c>
      <c r="G59" s="261">
        <f t="shared" si="37"/>
        <v>0.14780159216166552</v>
      </c>
      <c r="H59" s="261">
        <f t="shared" si="37"/>
        <v>0.14780159216166552</v>
      </c>
      <c r="I59" s="261">
        <f t="shared" si="37"/>
        <v>0.14780159216166552</v>
      </c>
      <c r="J59" s="261">
        <f t="shared" si="37"/>
        <v>0.14780159216166552</v>
      </c>
      <c r="K59" s="261">
        <f t="shared" si="37"/>
        <v>0.14780159216166552</v>
      </c>
      <c r="L59" s="261">
        <f t="shared" si="37"/>
        <v>0.14780159216166552</v>
      </c>
      <c r="M59" s="261">
        <f t="shared" si="37"/>
        <v>0.14780159216166552</v>
      </c>
      <c r="N59" s="261">
        <f t="shared" si="37"/>
        <v>0.14780159216166552</v>
      </c>
      <c r="O59" s="261">
        <f t="shared" si="37"/>
        <v>0.14780159216166552</v>
      </c>
      <c r="P59" s="312">
        <f t="shared" si="37"/>
        <v>0.14780159216166552</v>
      </c>
    </row>
    <row r="60" spans="1:16" s="17" customFormat="1" ht="12" customHeight="1" x14ac:dyDescent="0.2">
      <c r="B60" s="306" t="s">
        <v>278</v>
      </c>
      <c r="C60" s="261">
        <f t="shared" ref="C60:P60" si="38">($C15-$C14)/3*0.1</f>
        <v>0</v>
      </c>
      <c r="D60" s="261">
        <f t="shared" si="38"/>
        <v>0</v>
      </c>
      <c r="E60" s="261">
        <f t="shared" si="38"/>
        <v>0</v>
      </c>
      <c r="F60" s="261">
        <f t="shared" si="38"/>
        <v>0</v>
      </c>
      <c r="G60" s="261">
        <f t="shared" si="38"/>
        <v>0</v>
      </c>
      <c r="H60" s="261">
        <f t="shared" si="38"/>
        <v>0</v>
      </c>
      <c r="I60" s="261">
        <f t="shared" si="38"/>
        <v>0</v>
      </c>
      <c r="J60" s="261">
        <f t="shared" si="38"/>
        <v>0</v>
      </c>
      <c r="K60" s="261">
        <f t="shared" si="38"/>
        <v>0</v>
      </c>
      <c r="L60" s="261">
        <f t="shared" si="38"/>
        <v>0</v>
      </c>
      <c r="M60" s="261">
        <f t="shared" si="38"/>
        <v>0</v>
      </c>
      <c r="N60" s="261">
        <f t="shared" si="38"/>
        <v>0</v>
      </c>
      <c r="O60" s="261">
        <f t="shared" si="38"/>
        <v>0</v>
      </c>
      <c r="P60" s="312">
        <f t="shared" si="38"/>
        <v>0</v>
      </c>
    </row>
    <row r="61" spans="1:16" s="17" customFormat="1" ht="12" customHeight="1" x14ac:dyDescent="0.2">
      <c r="A61" s="113"/>
      <c r="B61" s="129" t="s">
        <v>279</v>
      </c>
      <c r="C61" s="129">
        <f>0.1*C5/C4+0.149</f>
        <v>0.16263002865717036</v>
      </c>
      <c r="D61" s="129" t="s">
        <v>280</v>
      </c>
      <c r="E61" s="129">
        <f>0.625*C5/C4+0.08</f>
        <v>0.16518767910731474</v>
      </c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35"/>
    </row>
    <row r="62" spans="1:16" s="17" customFormat="1" ht="12" customHeight="1" x14ac:dyDescent="0.2">
      <c r="A62" s="113"/>
      <c r="B62" s="129" t="s">
        <v>281</v>
      </c>
      <c r="C62" s="129">
        <f>0.05*C5/C4+0.449</f>
        <v>0.45581501432858518</v>
      </c>
      <c r="D62" s="129" t="s">
        <v>282</v>
      </c>
      <c r="E62" s="129">
        <f>0.165-0.25*C5/C4</f>
        <v>0.13092492835707412</v>
      </c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35"/>
    </row>
    <row r="63" spans="1:16" s="17" customFormat="1" ht="12" customHeight="1" x14ac:dyDescent="0.2">
      <c r="A63" s="113"/>
      <c r="B63" s="129" t="s">
        <v>283</v>
      </c>
      <c r="C63" s="129">
        <f>585-5027*C5/C4+11700*(C5/C4)^2</f>
        <v>117.17834640252971</v>
      </c>
      <c r="D63" s="129" t="s">
        <v>284</v>
      </c>
      <c r="E63" s="129">
        <f>825-8060*C5/C4+20300*(C5/C4)^2</f>
        <v>103.54838305849802</v>
      </c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35"/>
    </row>
    <row r="64" spans="1:16" s="17" customFormat="1" ht="12" customHeight="1" x14ac:dyDescent="0.2">
      <c r="A64" s="113"/>
      <c r="B64" s="129" t="s">
        <v>285</v>
      </c>
      <c r="C64" s="93">
        <f>C61+C62/(C63*(0.98-C11)^3+1)</f>
        <v>0.27717094005320264</v>
      </c>
      <c r="D64" s="93" t="s">
        <v>286</v>
      </c>
      <c r="E64" s="93">
        <f>E61+E62/(E63*(0.98-C11)^3+1)</f>
        <v>0.20122610316549228</v>
      </c>
      <c r="F64" s="93"/>
      <c r="G64" s="93"/>
      <c r="H64" s="129"/>
      <c r="I64" s="129"/>
      <c r="J64" s="129"/>
      <c r="K64" s="129"/>
      <c r="L64" s="129"/>
      <c r="M64" s="129"/>
      <c r="N64" s="129"/>
      <c r="O64" s="129"/>
      <c r="P64" s="135"/>
    </row>
    <row r="65" spans="1:16" s="17" customFormat="1" ht="12" customHeight="1" x14ac:dyDescent="0.2">
      <c r="A65" s="113"/>
      <c r="B65" s="129" t="s">
        <v>287</v>
      </c>
      <c r="C65" s="93">
        <f>0.025*C15/(100*(C11-0.7)^2+1)</f>
        <v>0</v>
      </c>
      <c r="D65" s="93" t="s">
        <v>288</v>
      </c>
      <c r="E65" s="93">
        <f>-0.01*C15</f>
        <v>0</v>
      </c>
      <c r="F65" s="93"/>
      <c r="G65" s="93"/>
      <c r="H65" s="129"/>
      <c r="I65" s="129"/>
      <c r="J65" s="129"/>
      <c r="K65" s="129"/>
      <c r="L65" s="129"/>
      <c r="M65" s="129"/>
      <c r="N65" s="129"/>
      <c r="O65" s="129"/>
      <c r="P65" s="135"/>
    </row>
    <row r="66" spans="1:16" s="17" customFormat="1" ht="12" customHeight="1" x14ac:dyDescent="0.2">
      <c r="A66" s="113"/>
      <c r="B66" s="129" t="s">
        <v>289</v>
      </c>
      <c r="C66" s="93">
        <f>0.00756/(C18/C4+0.002)-0.18</f>
        <v>0.10623735526422862</v>
      </c>
      <c r="D66" s="93" t="s">
        <v>290</v>
      </c>
      <c r="E66" s="93">
        <f>2*(C18/C4-0.04)</f>
        <v>-3.1176705898352877E-2</v>
      </c>
      <c r="F66" s="93"/>
      <c r="G66" s="93"/>
      <c r="H66" s="129"/>
      <c r="I66" s="129"/>
      <c r="J66" s="129"/>
      <c r="K66" s="129"/>
      <c r="L66" s="129"/>
      <c r="M66" s="129"/>
      <c r="N66" s="129"/>
      <c r="O66" s="129"/>
      <c r="P66" s="135"/>
    </row>
    <row r="67" spans="1:16" s="17" customFormat="1" ht="12" customHeight="1" x14ac:dyDescent="0.2">
      <c r="A67" s="113"/>
      <c r="B67" s="129" t="s">
        <v>291</v>
      </c>
      <c r="C67" s="93">
        <f>MIN(0.1,C66)</f>
        <v>0.1</v>
      </c>
      <c r="D67" s="93"/>
      <c r="E67" s="93"/>
      <c r="F67" s="93"/>
      <c r="G67" s="93"/>
      <c r="H67" s="129"/>
      <c r="I67" s="129"/>
      <c r="J67" s="129"/>
      <c r="K67" s="129"/>
      <c r="L67" s="129"/>
      <c r="M67" s="129"/>
      <c r="N67" s="129"/>
      <c r="O67" s="129"/>
      <c r="P67" s="135"/>
    </row>
    <row r="68" spans="1:16" s="17" customFormat="1" ht="12" customHeight="1" x14ac:dyDescent="0.2">
      <c r="A68" s="113"/>
      <c r="B68" s="129" t="s">
        <v>292</v>
      </c>
      <c r="C68" s="93">
        <f>C64+C65+C67</f>
        <v>0.37717094005320262</v>
      </c>
      <c r="D68" s="93" t="s">
        <v>293</v>
      </c>
      <c r="E68" s="93">
        <f>E64+E65+E66</f>
        <v>0.17004939726713941</v>
      </c>
      <c r="F68" s="93" t="s">
        <v>294</v>
      </c>
      <c r="G68" s="93">
        <f>0.7*C11-0.2</f>
        <v>0.28015997871900239</v>
      </c>
      <c r="H68" s="129"/>
      <c r="I68" s="129"/>
      <c r="J68" s="129"/>
      <c r="K68" s="129"/>
      <c r="L68" s="129"/>
      <c r="M68" s="129"/>
      <c r="N68" s="129"/>
      <c r="O68" s="129"/>
      <c r="P68" s="135"/>
    </row>
    <row r="69" spans="1:16" s="17" customFormat="1" ht="12" customHeight="1" x14ac:dyDescent="0.2">
      <c r="A69" s="113"/>
      <c r="B69" s="129" t="s">
        <v>295</v>
      </c>
      <c r="C69" s="93">
        <f>1.133*C11^2-0.797*C11+0.215</f>
        <v>0.20139996433232235</v>
      </c>
      <c r="D69" s="93" t="s">
        <v>296</v>
      </c>
      <c r="E69" s="93">
        <f>0.0665+0.62833*C69</f>
        <v>0.19304563958892812</v>
      </c>
      <c r="F69" s="93" t="s">
        <v>297</v>
      </c>
      <c r="G69" s="93">
        <f>0.19</f>
        <v>0.19</v>
      </c>
      <c r="H69" s="129"/>
      <c r="I69" s="129"/>
      <c r="J69" s="129"/>
      <c r="K69" s="129"/>
      <c r="L69" s="129"/>
      <c r="M69" s="129"/>
      <c r="N69" s="129"/>
      <c r="O69" s="129"/>
      <c r="P69" s="135"/>
    </row>
    <row r="70" spans="1:16" x14ac:dyDescent="0.2">
      <c r="A70" s="136" t="s">
        <v>298</v>
      </c>
      <c r="B70" s="129" t="s">
        <v>299</v>
      </c>
      <c r="C70" s="129">
        <f t="shared" ref="C70:P70" si="39">IF(C22&gt;$J9,0,IF($C17=1,0.2,0.1))</f>
        <v>0.2</v>
      </c>
      <c r="D70" s="129">
        <f t="shared" si="39"/>
        <v>0.2</v>
      </c>
      <c r="E70" s="129">
        <f t="shared" si="39"/>
        <v>0.2</v>
      </c>
      <c r="F70" s="129">
        <f t="shared" si="39"/>
        <v>0.2</v>
      </c>
      <c r="G70" s="129">
        <f t="shared" si="39"/>
        <v>0.2</v>
      </c>
      <c r="H70" s="129">
        <f t="shared" si="39"/>
        <v>0.2</v>
      </c>
      <c r="I70" s="129">
        <f t="shared" si="39"/>
        <v>0.2</v>
      </c>
      <c r="J70" s="129">
        <f t="shared" si="39"/>
        <v>0.2</v>
      </c>
      <c r="K70" s="129">
        <f t="shared" si="39"/>
        <v>0.2</v>
      </c>
      <c r="L70" s="129">
        <f t="shared" si="39"/>
        <v>0.2</v>
      </c>
      <c r="M70" s="129">
        <f t="shared" si="39"/>
        <v>0.2</v>
      </c>
      <c r="N70" s="129">
        <f t="shared" si="39"/>
        <v>0.2</v>
      </c>
      <c r="O70" s="129">
        <f t="shared" si="39"/>
        <v>0.2</v>
      </c>
      <c r="P70" s="129">
        <f t="shared" si="39"/>
        <v>0.2</v>
      </c>
    </row>
    <row r="72" spans="1:16" x14ac:dyDescent="0.2">
      <c r="A72" s="137" t="s">
        <v>300</v>
      </c>
    </row>
    <row r="73" spans="1:16" x14ac:dyDescent="0.2">
      <c r="A73" s="138">
        <v>36967</v>
      </c>
      <c r="B73" s="136" t="s">
        <v>301</v>
      </c>
    </row>
    <row r="74" spans="1:16" x14ac:dyDescent="0.2">
      <c r="A74" s="138">
        <v>38922</v>
      </c>
      <c r="B74" s="136" t="s">
        <v>302</v>
      </c>
    </row>
    <row r="75" spans="1:16" x14ac:dyDescent="0.2">
      <c r="A75" s="138">
        <v>38959</v>
      </c>
      <c r="B75" s="136" t="s">
        <v>303</v>
      </c>
    </row>
    <row r="76" spans="1:16" x14ac:dyDescent="0.2">
      <c r="A76" s="138">
        <v>39513</v>
      </c>
      <c r="B76" s="136" t="s">
        <v>304</v>
      </c>
    </row>
    <row r="77" spans="1:16" x14ac:dyDescent="0.2">
      <c r="A77" s="138">
        <v>41078</v>
      </c>
      <c r="B77" s="136" t="s">
        <v>412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Q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4"/>
  <dimension ref="A1:AD116"/>
  <sheetViews>
    <sheetView topLeftCell="A4" workbookViewId="0">
      <selection activeCell="J7" sqref="J7"/>
    </sheetView>
  </sheetViews>
  <sheetFormatPr defaultColWidth="8.85546875" defaultRowHeight="12.75" x14ac:dyDescent="0.2"/>
  <cols>
    <col min="1" max="1" width="26.42578125" style="9" customWidth="1"/>
    <col min="2" max="6" width="7.140625" style="9" customWidth="1"/>
    <col min="7" max="7" width="9" style="9" customWidth="1"/>
    <col min="8" max="8" width="6.42578125" style="9" customWidth="1"/>
    <col min="9" max="11" width="7.140625" style="9" customWidth="1"/>
    <col min="12" max="12" width="6.42578125" style="9" customWidth="1"/>
    <col min="13" max="13" width="7.140625" style="9" customWidth="1"/>
    <col min="14" max="14" width="7.42578125" style="9" customWidth="1"/>
    <col min="15" max="15" width="6.140625" style="9" customWidth="1"/>
    <col min="16" max="16" width="6.7109375" style="9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21">
        <v>1.0249999999999999</v>
      </c>
      <c r="D3" s="191"/>
      <c r="E3" s="192"/>
      <c r="F3" s="193"/>
      <c r="G3" s="194" t="s">
        <v>203</v>
      </c>
      <c r="H3" s="195"/>
      <c r="I3" s="195"/>
      <c r="J3" s="27">
        <v>1</v>
      </c>
      <c r="K3" s="197">
        <f>IF(J3=1,IF(C17=1,0.7*C68,IF(C16=1,C69,G68)),J3)</f>
        <v>0.24494316177162115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31">
        <f>'SHIP DATA'!C6</f>
        <v>410.19723000059423</v>
      </c>
      <c r="D4" s="200"/>
      <c r="E4" s="201"/>
      <c r="F4" s="202"/>
      <c r="G4" s="203" t="s">
        <v>206</v>
      </c>
      <c r="H4" s="204"/>
      <c r="I4" s="204"/>
      <c r="J4" s="27">
        <v>1</v>
      </c>
      <c r="K4" s="205">
        <f>IF(K15=1,0.25,IF(J4=1,IF(C17=1,E68,IF(C16=1,E69,G69)),J4))</f>
        <v>0.16168577969297548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31">
        <f>'SHIP DATA'!C8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1.1102663771299601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43">
        <f>'SHIP DATA'!C95</f>
        <v>13.280646410828696</v>
      </c>
      <c r="D6" s="200"/>
      <c r="E6" s="201"/>
      <c r="F6" s="202"/>
      <c r="G6" s="203" t="s">
        <v>210</v>
      </c>
      <c r="H6" s="204"/>
      <c r="I6" s="204"/>
      <c r="J6" s="27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47">
        <f>'SHIP DATA'!C92</f>
        <v>202837.77974012643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1.01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47">
        <f>'SHIP DATA'!C96</f>
        <v>24905.214188556361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24905.214188556361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21">
        <f>'SHIP DATA'!C29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61">
        <f>'SHIP DATA'!C35</f>
        <v>25.7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0.64971598688149257</v>
      </c>
      <c r="D11" s="200"/>
      <c r="E11" s="201"/>
      <c r="F11" s="201"/>
      <c r="G11" s="704"/>
      <c r="H11" s="704"/>
      <c r="I11" s="704"/>
      <c r="J11" s="704"/>
      <c r="K11" s="704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0.66297549681784962</v>
      </c>
      <c r="D12" s="200"/>
      <c r="E12" s="201"/>
      <c r="F12" s="202"/>
      <c r="G12" s="703" t="s">
        <v>222</v>
      </c>
      <c r="H12" s="230"/>
      <c r="I12" s="230"/>
      <c r="J12" s="230"/>
      <c r="K12" s="702"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7.0391096289887463</v>
      </c>
      <c r="D13" s="200"/>
      <c r="E13" s="201"/>
      <c r="F13" s="202"/>
      <c r="G13" s="234" t="s">
        <v>224</v>
      </c>
      <c r="H13" s="235"/>
      <c r="I13" s="234"/>
      <c r="J13" s="234"/>
      <c r="K13" s="64">
        <v>15</v>
      </c>
      <c r="L13" s="201"/>
      <c r="M13" s="201"/>
      <c r="N13" s="201"/>
      <c r="O13" s="201"/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69">
        <v>0</v>
      </c>
      <c r="D14" s="200"/>
      <c r="E14" s="201"/>
      <c r="F14" s="202"/>
      <c r="G14" s="237" t="s">
        <v>226</v>
      </c>
      <c r="H14" s="238"/>
      <c r="I14" s="238"/>
      <c r="J14" s="238"/>
      <c r="K14" s="64">
        <v>1</v>
      </c>
      <c r="L14" s="201"/>
      <c r="M14" s="201"/>
      <c r="N14" s="201"/>
      <c r="O14" s="201"/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69">
        <v>0</v>
      </c>
      <c r="D15" s="200"/>
      <c r="E15" s="201"/>
      <c r="F15" s="202"/>
      <c r="G15" s="237" t="s">
        <v>228</v>
      </c>
      <c r="H15" s="238"/>
      <c r="I15" s="238"/>
      <c r="J15" s="238"/>
      <c r="K15" s="64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DATA'!C51</f>
        <v>1</v>
      </c>
      <c r="D16" s="200"/>
      <c r="E16" s="201"/>
      <c r="F16" s="202"/>
      <c r="G16" s="237" t="s">
        <v>230</v>
      </c>
      <c r="H16" s="238"/>
      <c r="I16" s="238"/>
      <c r="J16" s="238"/>
      <c r="K16" s="391"/>
      <c r="L16" s="201"/>
      <c r="M16" s="201"/>
      <c r="N16" s="201"/>
      <c r="O16" s="201"/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DATA'!C50</f>
        <v>1</v>
      </c>
      <c r="D17" s="200"/>
      <c r="E17" s="201"/>
      <c r="F17" s="202"/>
      <c r="G17" s="237" t="s">
        <v>232</v>
      </c>
      <c r="H17" s="238"/>
      <c r="I17" s="238"/>
      <c r="J17" s="238"/>
      <c r="K17" s="721">
        <f>'SHIP DATA'!C53</f>
        <v>1</v>
      </c>
      <c r="L17" s="201"/>
      <c r="M17" s="201"/>
      <c r="N17" s="201"/>
      <c r="O17" s="201"/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31">
        <f>'SHIP DATA'!C52</f>
        <v>10.013590000000001</v>
      </c>
      <c r="D18" s="240">
        <f>C18/C6</f>
        <v>0.75399869029230215</v>
      </c>
      <c r="E18" s="241" t="s">
        <v>234</v>
      </c>
      <c r="F18" s="242"/>
      <c r="G18" s="237" t="s">
        <v>235</v>
      </c>
      <c r="H18" s="238"/>
      <c r="I18" s="238"/>
      <c r="J18" s="238"/>
      <c r="K18" s="64">
        <f>'SHIP DATA'!C46</f>
        <v>0</v>
      </c>
      <c r="L18" s="201"/>
      <c r="M18" s="201"/>
      <c r="N18" s="201"/>
      <c r="O18" s="201"/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77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>D21-0.5</f>
        <v>25.2</v>
      </c>
      <c r="D21" s="257">
        <f>E21-0.5</f>
        <v>25.7</v>
      </c>
      <c r="E21" s="257">
        <f>F21-0.5</f>
        <v>26.2</v>
      </c>
      <c r="F21" s="369">
        <f>P10+1</f>
        <v>26.7</v>
      </c>
      <c r="G21" s="369">
        <f>P10+3</f>
        <v>28.7</v>
      </c>
      <c r="H21" s="369">
        <f>P10+5</f>
        <v>30.7</v>
      </c>
      <c r="I21" s="370">
        <f>J21-1</f>
        <v>24.7</v>
      </c>
      <c r="J21" s="370">
        <f>P10</f>
        <v>25.7</v>
      </c>
      <c r="K21" s="370">
        <f>J21+1</f>
        <v>26.7</v>
      </c>
      <c r="L21" s="371">
        <f>M21-0.001</f>
        <v>25.809319305270044</v>
      </c>
      <c r="M21" s="371">
        <f>V33</f>
        <v>25.810319305270045</v>
      </c>
      <c r="N21" s="371">
        <f>M21+0.001</f>
        <v>25.811319305270047</v>
      </c>
      <c r="O21" s="257">
        <f>N21+0.5</f>
        <v>26.311319305270047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0">C21*0.5144/SQRT(9.81*$C4)</f>
        <v>0.20434811472365066</v>
      </c>
      <c r="D22" s="261">
        <f t="shared" si="0"/>
        <v>0.20840264080943741</v>
      </c>
      <c r="E22" s="261">
        <f t="shared" si="0"/>
        <v>0.21245716689522412</v>
      </c>
      <c r="F22" s="372">
        <f t="shared" si="0"/>
        <v>0.21651169298101086</v>
      </c>
      <c r="G22" s="372">
        <f t="shared" si="0"/>
        <v>0.23272979732415772</v>
      </c>
      <c r="H22" s="372">
        <f t="shared" si="0"/>
        <v>0.2489479016673046</v>
      </c>
      <c r="I22" s="373">
        <f t="shared" si="0"/>
        <v>0.20029358863786395</v>
      </c>
      <c r="J22" s="374">
        <f t="shared" si="0"/>
        <v>0.20840264080943741</v>
      </c>
      <c r="K22" s="374">
        <f t="shared" si="0"/>
        <v>0.21651169298101086</v>
      </c>
      <c r="L22" s="262">
        <f t="shared" si="0"/>
        <v>0.20928911675923234</v>
      </c>
      <c r="M22" s="262">
        <f t="shared" si="0"/>
        <v>0.20929722581140392</v>
      </c>
      <c r="N22" s="262">
        <f t="shared" si="0"/>
        <v>0.20930533486357553</v>
      </c>
      <c r="O22" s="263">
        <f t="shared" si="0"/>
        <v>0.21335986094936224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1">75/(LOG10(C21*0.5144*$C4*1000000/((43.4233-31.38*$C3)*($K13+20)^(1.72*$C3-2.202)+4.7478-5.779*$C3))-2)^2</f>
        <v>1.2813032890126694</v>
      </c>
      <c r="D23" s="229">
        <f t="shared" si="1"/>
        <v>1.2784500922677826</v>
      </c>
      <c r="E23" s="229">
        <f t="shared" si="1"/>
        <v>1.2756611203444448</v>
      </c>
      <c r="F23" s="375">
        <f t="shared" si="1"/>
        <v>1.2729337329133323</v>
      </c>
      <c r="G23" s="375">
        <f t="shared" si="1"/>
        <v>1.2625924287021983</v>
      </c>
      <c r="H23" s="375">
        <f t="shared" si="1"/>
        <v>1.2530612020907028</v>
      </c>
      <c r="I23" s="374">
        <f t="shared" si="1"/>
        <v>1.2842235196666083</v>
      </c>
      <c r="J23" s="374">
        <f t="shared" si="1"/>
        <v>1.2784500922677826</v>
      </c>
      <c r="K23" s="374">
        <f t="shared" si="1"/>
        <v>1.2729337329133323</v>
      </c>
      <c r="L23" s="262">
        <f t="shared" si="1"/>
        <v>1.2778349235007886</v>
      </c>
      <c r="M23" s="262">
        <f t="shared" si="1"/>
        <v>1.2778293103150851</v>
      </c>
      <c r="N23" s="262">
        <f t="shared" si="1"/>
        <v>1.2778236973838388</v>
      </c>
      <c r="O23" s="263">
        <f t="shared" si="1"/>
        <v>1.2750486593419645</v>
      </c>
      <c r="P23" s="265">
        <f t="shared" si="1"/>
        <v>1.2184718298238078</v>
      </c>
      <c r="Q23" s="17"/>
      <c r="R23" s="17"/>
      <c r="S23" s="17"/>
      <c r="T23" s="17"/>
      <c r="U23" s="17"/>
      <c r="V23" s="17"/>
      <c r="W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C43</f>
        <v>0.78710955910329516</v>
      </c>
      <c r="D24" s="268">
        <f t="shared" ref="D24:O24" si="2">D43</f>
        <v>0.80104679014653524</v>
      </c>
      <c r="E24" s="268">
        <f t="shared" si="2"/>
        <v>0.81636433276539677</v>
      </c>
      <c r="F24" s="375">
        <f t="shared" si="2"/>
        <v>0.83326521103203333</v>
      </c>
      <c r="G24" s="375">
        <f t="shared" si="2"/>
        <v>0.9222238054250228</v>
      </c>
      <c r="H24" s="375">
        <f t="shared" si="2"/>
        <v>1.0662686714193628</v>
      </c>
      <c r="I24" s="374">
        <f t="shared" si="2"/>
        <v>0.77438040502237537</v>
      </c>
      <c r="J24" s="374">
        <f t="shared" si="2"/>
        <v>0.80104679014653524</v>
      </c>
      <c r="K24" s="374">
        <f t="shared" si="2"/>
        <v>0.83326521103203333</v>
      </c>
      <c r="L24" s="262">
        <f t="shared" si="2"/>
        <v>0.80427136292170642</v>
      </c>
      <c r="M24" s="262">
        <f t="shared" si="2"/>
        <v>0.80430116983555633</v>
      </c>
      <c r="N24" s="262">
        <f t="shared" si="2"/>
        <v>0.80433098242781953</v>
      </c>
      <c r="O24" s="269">
        <f t="shared" si="2"/>
        <v>0.81998226950923037</v>
      </c>
      <c r="P24" s="264">
        <f>P50+P52+P54+P58+P59+P60</f>
        <v>3.0538453690383784</v>
      </c>
      <c r="Q24" s="17"/>
      <c r="R24" s="17"/>
      <c r="S24" s="17"/>
      <c r="T24" s="17"/>
      <c r="U24" s="17"/>
      <c r="V24" s="17"/>
      <c r="W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-0.30628771698365997</v>
      </c>
      <c r="D25" s="268">
        <f>$K14*(IF($C16=2,0.52-2.6*D22,MAX(-50,(250*D22-90))/100*D24))</f>
        <v>-0.30359144493572882</v>
      </c>
      <c r="E25" s="268">
        <f t="shared" ref="E25:P25" si="3">$K14*(IF($C16=2,0.52-2.6*E22,MAX(-50,(250*E22-90))/100*E24))</f>
        <v>-0.30112176625474163</v>
      </c>
      <c r="F25" s="1132">
        <f t="shared" si="3"/>
        <v>-0.29890953607201792</v>
      </c>
      <c r="G25" s="1132">
        <f t="shared" si="3"/>
        <v>-0.29342902657232295</v>
      </c>
      <c r="H25" s="1132">
        <f t="shared" si="3"/>
        <v>-0.29602843336883888</v>
      </c>
      <c r="I25" s="374">
        <f t="shared" si="3"/>
        <v>-0.30918378878820246</v>
      </c>
      <c r="J25" s="374">
        <f t="shared" si="3"/>
        <v>-0.30359144493572882</v>
      </c>
      <c r="K25" s="374">
        <f t="shared" si="3"/>
        <v>-0.29890953607201792</v>
      </c>
      <c r="L25" s="262">
        <f t="shared" si="3"/>
        <v>-0.30303111867796595</v>
      </c>
      <c r="M25" s="262">
        <f t="shared" si="3"/>
        <v>-0.30302604394337873</v>
      </c>
      <c r="N25" s="262">
        <f t="shared" si="3"/>
        <v>-0.30302097013952894</v>
      </c>
      <c r="O25" s="268">
        <f t="shared" si="3"/>
        <v>-0.30060578504972768</v>
      </c>
      <c r="P25" s="270">
        <f t="shared" si="3"/>
        <v>-0.30538453690383788</v>
      </c>
      <c r="Q25" s="268"/>
      <c r="R25" s="17"/>
      <c r="S25" s="17"/>
      <c r="T25" s="17"/>
      <c r="U25" s="17"/>
      <c r="V25" s="17"/>
      <c r="W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4">IF($C17=2,IF($C16=1,0.3,0),0)</f>
        <v>0</v>
      </c>
      <c r="E26" s="268">
        <f t="shared" si="4"/>
        <v>0</v>
      </c>
      <c r="F26" s="375">
        <f t="shared" si="4"/>
        <v>0</v>
      </c>
      <c r="G26" s="375">
        <f t="shared" si="4"/>
        <v>0</v>
      </c>
      <c r="H26" s="375">
        <f t="shared" si="4"/>
        <v>0</v>
      </c>
      <c r="I26" s="374">
        <f t="shared" si="4"/>
        <v>0</v>
      </c>
      <c r="J26" s="374">
        <f t="shared" si="4"/>
        <v>0</v>
      </c>
      <c r="K26" s="374">
        <f t="shared" si="4"/>
        <v>0</v>
      </c>
      <c r="L26" s="262">
        <f t="shared" si="4"/>
        <v>0</v>
      </c>
      <c r="M26" s="262">
        <f t="shared" si="4"/>
        <v>0</v>
      </c>
      <c r="N26" s="262">
        <f t="shared" si="4"/>
        <v>0</v>
      </c>
      <c r="O26" s="269">
        <f t="shared" si="4"/>
        <v>0</v>
      </c>
      <c r="P26" s="270">
        <f t="shared" si="4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266">
        <f>MAX(0.09,0.28*'SHIP DATA'!C2^(-0.126))</f>
        <v>0.09</v>
      </c>
      <c r="D27" s="267">
        <f>C27</f>
        <v>0.09</v>
      </c>
      <c r="E27" s="267">
        <f>D27</f>
        <v>0.09</v>
      </c>
      <c r="F27" s="376">
        <v>0</v>
      </c>
      <c r="G27" s="376">
        <v>0</v>
      </c>
      <c r="H27" s="376">
        <f>G27</f>
        <v>0</v>
      </c>
      <c r="I27" s="373">
        <f>C27</f>
        <v>0.09</v>
      </c>
      <c r="J27" s="373">
        <f t="shared" ref="J27:P27" si="5">I27</f>
        <v>0.09</v>
      </c>
      <c r="K27" s="373">
        <f t="shared" si="5"/>
        <v>0.09</v>
      </c>
      <c r="L27" s="271">
        <f t="shared" si="5"/>
        <v>0.09</v>
      </c>
      <c r="M27" s="271">
        <f t="shared" si="5"/>
        <v>0.09</v>
      </c>
      <c r="N27" s="271">
        <f t="shared" si="5"/>
        <v>0.09</v>
      </c>
      <c r="O27" s="267">
        <f t="shared" si="5"/>
        <v>0.09</v>
      </c>
      <c r="P27" s="270">
        <f t="shared" si="5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6">0.5*LOG10($C7)-0.1*(LOG10($C7))^2</f>
        <v>-0.16300846554999193</v>
      </c>
      <c r="D28" s="229">
        <f t="shared" si="6"/>
        <v>-0.16300846554999193</v>
      </c>
      <c r="E28" s="229">
        <f t="shared" si="6"/>
        <v>-0.16300846554999193</v>
      </c>
      <c r="F28" s="375">
        <f t="shared" si="6"/>
        <v>-0.16300846554999193</v>
      </c>
      <c r="G28" s="375">
        <f t="shared" si="6"/>
        <v>-0.16300846554999193</v>
      </c>
      <c r="H28" s="375">
        <f t="shared" si="6"/>
        <v>-0.16300846554999193</v>
      </c>
      <c r="I28" s="374">
        <f t="shared" si="6"/>
        <v>-0.16300846554999193</v>
      </c>
      <c r="J28" s="374">
        <f t="shared" si="6"/>
        <v>-0.16300846554999193</v>
      </c>
      <c r="K28" s="374">
        <f t="shared" si="6"/>
        <v>-0.16300846554999193</v>
      </c>
      <c r="L28" s="262">
        <f t="shared" si="6"/>
        <v>-0.16300846554999193</v>
      </c>
      <c r="M28" s="262">
        <f t="shared" si="6"/>
        <v>-0.16300846554999193</v>
      </c>
      <c r="N28" s="262">
        <f t="shared" si="6"/>
        <v>-0.16300846554999193</v>
      </c>
      <c r="O28" s="263">
        <f t="shared" si="6"/>
        <v>-0.16300846554999193</v>
      </c>
      <c r="P28" s="265">
        <f>0.5*LOG10($C7)-0.1*(LOG10($C7))^2</f>
        <v>-0.16300846554999193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243" t="s">
        <v>193</v>
      </c>
      <c r="C29" s="266">
        <f t="shared" ref="C29:O29" si="7">C23+C24+C25+C26+C27+C28</f>
        <v>1.6891166655823127</v>
      </c>
      <c r="D29" s="268">
        <f t="shared" si="7"/>
        <v>1.7028969719285971</v>
      </c>
      <c r="E29" s="268">
        <f t="shared" si="7"/>
        <v>1.7178952213051082</v>
      </c>
      <c r="F29" s="375">
        <f t="shared" si="7"/>
        <v>1.6442809423233555</v>
      </c>
      <c r="G29" s="375">
        <f t="shared" si="7"/>
        <v>1.7283787420049064</v>
      </c>
      <c r="H29" s="375">
        <f t="shared" si="7"/>
        <v>1.8602929745912351</v>
      </c>
      <c r="I29" s="374">
        <f t="shared" si="7"/>
        <v>1.6764116703507894</v>
      </c>
      <c r="J29" s="374">
        <f t="shared" si="7"/>
        <v>1.7028969719285971</v>
      </c>
      <c r="K29" s="374">
        <f t="shared" si="7"/>
        <v>1.7342809423233556</v>
      </c>
      <c r="L29" s="262">
        <f t="shared" si="7"/>
        <v>1.7060667021945373</v>
      </c>
      <c r="M29" s="262">
        <f t="shared" si="7"/>
        <v>1.7060959706572707</v>
      </c>
      <c r="N29" s="262">
        <f t="shared" si="7"/>
        <v>1.7061252441221377</v>
      </c>
      <c r="O29" s="269">
        <f t="shared" si="7"/>
        <v>1.7214166782514755</v>
      </c>
      <c r="P29" s="265">
        <f>P23+P24+P25+P27+P28</f>
        <v>3.8939241964083564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7" customFormat="1" ht="12" customHeight="1" x14ac:dyDescent="0.2">
      <c r="A30" s="188" t="s">
        <v>249</v>
      </c>
      <c r="B30" s="243" t="s">
        <v>250</v>
      </c>
      <c r="C30" s="272">
        <f t="shared" ref="C30:P30" si="8">($C9*$C3*C21^2*0.0001323*C29*$K19/100)*(1+$K12/100)</f>
        <v>3622.7195862371927</v>
      </c>
      <c r="D30" s="273">
        <f t="shared" si="8"/>
        <v>3798.6441412361828</v>
      </c>
      <c r="E30" s="273">
        <f t="shared" si="8"/>
        <v>3982.6601161645772</v>
      </c>
      <c r="F30" s="378">
        <f t="shared" si="8"/>
        <v>3958.8818124382983</v>
      </c>
      <c r="G30" s="378">
        <f t="shared" si="8"/>
        <v>4808.1355227133708</v>
      </c>
      <c r="H30" s="378">
        <f t="shared" si="8"/>
        <v>5921.5048260692556</v>
      </c>
      <c r="I30" s="379">
        <f t="shared" si="8"/>
        <v>3454.2086921532386</v>
      </c>
      <c r="J30" s="379">
        <f t="shared" si="8"/>
        <v>3798.6441412361828</v>
      </c>
      <c r="K30" s="379">
        <f t="shared" si="8"/>
        <v>4175.5718889017517</v>
      </c>
      <c r="L30" s="274">
        <f t="shared" si="8"/>
        <v>3838.1602089270241</v>
      </c>
      <c r="M30" s="274">
        <f t="shared" si="8"/>
        <v>3838.5234897941887</v>
      </c>
      <c r="N30" s="274">
        <f t="shared" si="8"/>
        <v>3838.886803645908</v>
      </c>
      <c r="O30" s="273">
        <f t="shared" si="8"/>
        <v>4024.8087381541309</v>
      </c>
      <c r="P30" s="275">
        <f t="shared" si="8"/>
        <v>20479.589675263574</v>
      </c>
    </row>
    <row r="31" spans="1:30" s="17" customFormat="1" ht="12" customHeight="1" x14ac:dyDescent="0.2">
      <c r="A31" s="188" t="s">
        <v>251</v>
      </c>
      <c r="B31" s="243" t="s">
        <v>252</v>
      </c>
      <c r="C31" s="276">
        <f t="shared" ref="C31:P31" si="9">C30*C21*0.5144</f>
        <v>46960.879270042373</v>
      </c>
      <c r="D31" s="277">
        <f t="shared" si="9"/>
        <v>50218.379438673634</v>
      </c>
      <c r="E31" s="277">
        <f t="shared" si="9"/>
        <v>53675.425530382527</v>
      </c>
      <c r="F31" s="376">
        <f t="shared" si="9"/>
        <v>54373.183075297558</v>
      </c>
      <c r="G31" s="376">
        <f t="shared" si="9"/>
        <v>70983.850999763847</v>
      </c>
      <c r="H31" s="376">
        <f t="shared" si="9"/>
        <v>93512.877933671756</v>
      </c>
      <c r="I31" s="380">
        <f t="shared" si="9"/>
        <v>43888.07029571756</v>
      </c>
      <c r="J31" s="381">
        <f t="shared" si="9"/>
        <v>50218.379438673634</v>
      </c>
      <c r="K31" s="381">
        <f t="shared" si="9"/>
        <v>57349.308596683324</v>
      </c>
      <c r="L31" s="278">
        <f t="shared" si="9"/>
        <v>50956.619542718283</v>
      </c>
      <c r="M31" s="278">
        <f t="shared" si="9"/>
        <v>50963.417110009832</v>
      </c>
      <c r="N31" s="278">
        <f t="shared" si="9"/>
        <v>50970.215488991991</v>
      </c>
      <c r="O31" s="150">
        <f t="shared" si="9"/>
        <v>54473.945527179065</v>
      </c>
      <c r="P31" s="275">
        <f t="shared" si="9"/>
        <v>415721.12571717176</v>
      </c>
    </row>
    <row r="32" spans="1:30" s="17" customFormat="1" ht="12" customHeight="1" thickBot="1" x14ac:dyDescent="0.25">
      <c r="A32" s="188" t="s">
        <v>253</v>
      </c>
      <c r="B32" s="243" t="s">
        <v>193</v>
      </c>
      <c r="C32" s="260">
        <f t="shared" ref="C32:P32" si="10">C36*$J6*IF($K17=3,1,$K5*$J7)</f>
        <v>0.71234089048182414</v>
      </c>
      <c r="D32" s="261">
        <f t="shared" si="10"/>
        <v>0.71132610345553604</v>
      </c>
      <c r="E32" s="261">
        <f t="shared" si="10"/>
        <v>0.71022671609013166</v>
      </c>
      <c r="F32" s="372">
        <f t="shared" si="10"/>
        <v>0.71567406657465915</v>
      </c>
      <c r="G32" s="372">
        <f t="shared" si="10"/>
        <v>0.7094613880885503</v>
      </c>
      <c r="H32" s="372">
        <f t="shared" si="10"/>
        <v>0.70004424667008458</v>
      </c>
      <c r="I32" s="373">
        <f t="shared" si="10"/>
        <v>0.71328049240543812</v>
      </c>
      <c r="J32" s="374">
        <f t="shared" si="10"/>
        <v>0.71132610345553604</v>
      </c>
      <c r="K32" s="374">
        <f t="shared" si="10"/>
        <v>0.7090316342400691</v>
      </c>
      <c r="L32" s="262">
        <f t="shared" si="10"/>
        <v>0.71109331833355116</v>
      </c>
      <c r="M32" s="262">
        <f t="shared" si="10"/>
        <v>0.71109116995929245</v>
      </c>
      <c r="N32" s="262">
        <f t="shared" si="10"/>
        <v>0.71108902123803785</v>
      </c>
      <c r="O32" s="263">
        <f t="shared" si="10"/>
        <v>0.7099693535933681</v>
      </c>
      <c r="P32" s="264">
        <f t="shared" si="10"/>
        <v>0.58999663983599326</v>
      </c>
    </row>
    <row r="33" spans="1:22" s="17" customFormat="1" ht="12" customHeight="1" thickBot="1" x14ac:dyDescent="0.25">
      <c r="A33" s="279" t="s">
        <v>254</v>
      </c>
      <c r="B33" s="280" t="s">
        <v>252</v>
      </c>
      <c r="C33" s="281">
        <f t="shared" ref="C33:P33" si="11">C31/C32</f>
        <v>65924.727749769139</v>
      </c>
      <c r="D33" s="282">
        <f t="shared" si="11"/>
        <v>70598.251905446508</v>
      </c>
      <c r="E33" s="282">
        <f t="shared" si="11"/>
        <v>75575.05837835987</v>
      </c>
      <c r="F33" s="382">
        <f t="shared" si="11"/>
        <v>75974.784632810697</v>
      </c>
      <c r="G33" s="382">
        <f t="shared" si="11"/>
        <v>100053.1560864932</v>
      </c>
      <c r="H33" s="382">
        <f t="shared" si="11"/>
        <v>133581.38200333258</v>
      </c>
      <c r="I33" s="383">
        <f t="shared" si="11"/>
        <v>61529.890082527309</v>
      </c>
      <c r="J33" s="384">
        <f t="shared" si="11"/>
        <v>70598.251905446508</v>
      </c>
      <c r="K33" s="384">
        <f t="shared" si="11"/>
        <v>80883.991386575537</v>
      </c>
      <c r="L33" s="284">
        <f t="shared" si="11"/>
        <v>71659.539231974835</v>
      </c>
      <c r="M33" s="284">
        <f t="shared" si="11"/>
        <v>71669.315079425491</v>
      </c>
      <c r="N33" s="284">
        <f t="shared" si="11"/>
        <v>71679.092162399815</v>
      </c>
      <c r="O33" s="285">
        <f t="shared" si="11"/>
        <v>76727.178788028061</v>
      </c>
      <c r="P33" s="275">
        <f t="shared" si="11"/>
        <v>704616.09041152091</v>
      </c>
      <c r="Q33" s="507" t="s">
        <v>307</v>
      </c>
      <c r="R33" s="325">
        <f>'SHIP DATA'!$C$47*0.75</f>
        <v>71664.767436835653</v>
      </c>
      <c r="S33" s="326">
        <f>S34*S35*R36-S34*S36*R35+S35*S36*R34</f>
        <v>26.292277064605685</v>
      </c>
      <c r="T33" s="508" t="s">
        <v>307</v>
      </c>
      <c r="U33" s="156">
        <f>'SHIP DATA'!C47*0.75</f>
        <v>71664.767436835653</v>
      </c>
      <c r="V33" s="157">
        <f>V34*V35*U36-V34*V36*U35+V35*V36*U34</f>
        <v>25.810319305270045</v>
      </c>
    </row>
    <row r="34" spans="1:22" s="17" customFormat="1" ht="12" customHeight="1" x14ac:dyDescent="0.2">
      <c r="A34" s="17" t="s">
        <v>255</v>
      </c>
      <c r="B34" s="243" t="s">
        <v>193</v>
      </c>
      <c r="C34" s="286">
        <f t="shared" ref="C34:P34" si="12">2.54648*C30/(1-$K4)/$C17/$C3/(C37*$C18)^2/$J7</f>
        <v>1.1065754060378876</v>
      </c>
      <c r="D34" s="287">
        <f t="shared" si="12"/>
        <v>1.1156031709052767</v>
      </c>
      <c r="E34" s="287">
        <f t="shared" si="12"/>
        <v>1.1254288355451723</v>
      </c>
      <c r="F34" s="385">
        <f t="shared" si="12"/>
        <v>1.0772025926134345</v>
      </c>
      <c r="G34" s="385">
        <f t="shared" si="12"/>
        <v>1.1322968076701687</v>
      </c>
      <c r="H34" s="385">
        <f t="shared" si="12"/>
        <v>1.2187165609416633</v>
      </c>
      <c r="I34" s="386">
        <f t="shared" si="12"/>
        <v>1.0982520998131005</v>
      </c>
      <c r="J34" s="387">
        <f t="shared" si="12"/>
        <v>1.1156031709052767</v>
      </c>
      <c r="K34" s="387">
        <f t="shared" si="12"/>
        <v>1.1361634616716274</v>
      </c>
      <c r="L34" s="288">
        <f t="shared" si="12"/>
        <v>1.1176797270292762</v>
      </c>
      <c r="M34" s="288">
        <f t="shared" si="12"/>
        <v>1.1176989014070398</v>
      </c>
      <c r="N34" s="288">
        <f t="shared" si="12"/>
        <v>1.1177180790618058</v>
      </c>
      <c r="O34" s="289">
        <f t="shared" si="12"/>
        <v>1.1277358151219374</v>
      </c>
      <c r="P34" s="290">
        <f t="shared" si="12"/>
        <v>2.5509906074106841</v>
      </c>
      <c r="Q34" s="153">
        <f>F33-G33</f>
        <v>-24078.371453682499</v>
      </c>
      <c r="R34" s="158">
        <f>F21/Q34/Q35</f>
        <v>1.9249166441774089E-8</v>
      </c>
      <c r="S34" s="154">
        <f>R33-F33</f>
        <v>-4310.0171959750442</v>
      </c>
      <c r="T34" s="153">
        <f>I33-J33</f>
        <v>-9068.3618229191998</v>
      </c>
      <c r="U34" s="158">
        <f>I21/T34/T35</f>
        <v>1.4073272708844489E-7</v>
      </c>
      <c r="V34" s="154">
        <f>U33-I33</f>
        <v>10134.877354308344</v>
      </c>
    </row>
    <row r="35" spans="1:22" x14ac:dyDescent="0.2">
      <c r="A35" s="17" t="s">
        <v>256</v>
      </c>
      <c r="B35" s="291" t="s">
        <v>193</v>
      </c>
      <c r="C35" s="286">
        <f t="shared" ref="C35:P35" si="13">(1.3+0.3*$C19)*C30/(1-$K4)/$C17/(99.6+$C3*9.81*0.65*$C18)/$C18^2+C70</f>
        <v>0.85279700651741575</v>
      </c>
      <c r="D35" s="287">
        <f t="shared" si="13"/>
        <v>0.88449778272779112</v>
      </c>
      <c r="E35" s="287">
        <f t="shared" si="13"/>
        <v>0.91765659469905092</v>
      </c>
      <c r="F35" s="385">
        <f t="shared" si="13"/>
        <v>0.91337185636281681</v>
      </c>
      <c r="G35" s="385">
        <f t="shared" si="13"/>
        <v>1.0664033749897401</v>
      </c>
      <c r="H35" s="385">
        <f t="shared" si="13"/>
        <v>1.2670272795117046</v>
      </c>
      <c r="I35" s="386">
        <f t="shared" si="13"/>
        <v>0.82243213708576435</v>
      </c>
      <c r="J35" s="387">
        <f t="shared" si="13"/>
        <v>0.88449778272779112</v>
      </c>
      <c r="K35" s="387">
        <f t="shared" si="13"/>
        <v>0.95241838753645847</v>
      </c>
      <c r="L35" s="288">
        <f t="shared" si="13"/>
        <v>0.89161839200594795</v>
      </c>
      <c r="M35" s="288">
        <f t="shared" si="13"/>
        <v>0.89168385350716695</v>
      </c>
      <c r="N35" s="288">
        <f t="shared" si="13"/>
        <v>0.89174932095204729</v>
      </c>
      <c r="O35" s="289">
        <f t="shared" si="13"/>
        <v>0.92525157786256806</v>
      </c>
      <c r="P35" s="290">
        <f t="shared" si="13"/>
        <v>3.8903256011053897</v>
      </c>
      <c r="Q35" s="149">
        <f>F33-H33</f>
        <v>-57606.597370521878</v>
      </c>
      <c r="R35" s="159">
        <f>G21/Q34/Q36</f>
        <v>3.5550377160891349E-8</v>
      </c>
      <c r="S35" s="150">
        <f>R33-G33</f>
        <v>-28388.388649657543</v>
      </c>
      <c r="T35" s="149">
        <f>I33-K33</f>
        <v>-19354.101304048228</v>
      </c>
      <c r="U35" s="159">
        <f>J21/T34/T36</f>
        <v>2.7552991813006503E-7</v>
      </c>
      <c r="V35" s="150">
        <f>U33-J33</f>
        <v>1066.5155313891446</v>
      </c>
    </row>
    <row r="36" spans="1:22" s="17" customFormat="1" ht="12" customHeight="1" thickBot="1" x14ac:dyDescent="0.25">
      <c r="A36" s="17" t="s">
        <v>257</v>
      </c>
      <c r="B36" s="292" t="s">
        <v>193</v>
      </c>
      <c r="C36" s="293">
        <f t="shared" ref="C36:P36" si="14">(1+$K18/100)*IF($K17=3,1/(1+16.8/C21),IF($K17=1,0.81-0.014*C34,0.00098*C34^3-0.018542*C34^2+0.11195*C34+0.634)/(1+SQRT(1+C34))*2)</f>
        <v>0.648206284606474</v>
      </c>
      <c r="D36" s="294">
        <f t="shared" si="14"/>
        <v>0.64728286249668587</v>
      </c>
      <c r="E36" s="294">
        <f t="shared" si="14"/>
        <v>0.64628245691981379</v>
      </c>
      <c r="F36" s="388">
        <f t="shared" si="14"/>
        <v>0.65123936289798456</v>
      </c>
      <c r="G36" s="388">
        <f t="shared" si="14"/>
        <v>0.64558603414380999</v>
      </c>
      <c r="H36" s="388">
        <f t="shared" si="14"/>
        <v>0.63701675175101002</v>
      </c>
      <c r="I36" s="389">
        <f t="shared" si="14"/>
        <v>0.64906129079810648</v>
      </c>
      <c r="J36" s="389">
        <f t="shared" si="14"/>
        <v>0.64728286249668587</v>
      </c>
      <c r="K36" s="389">
        <f t="shared" si="14"/>
        <v>0.64519497257603886</v>
      </c>
      <c r="L36" s="295">
        <f t="shared" si="14"/>
        <v>0.64707103585434422</v>
      </c>
      <c r="M36" s="295">
        <f t="shared" si="14"/>
        <v>0.64706908090592719</v>
      </c>
      <c r="N36" s="295">
        <f t="shared" si="14"/>
        <v>0.64706712564175561</v>
      </c>
      <c r="O36" s="296">
        <f t="shared" si="14"/>
        <v>0.64604826569191542</v>
      </c>
      <c r="P36" s="297">
        <f t="shared" si="14"/>
        <v>0.53687712575325108</v>
      </c>
      <c r="Q36" s="151">
        <f>G33-H33</f>
        <v>-33528.225916839379</v>
      </c>
      <c r="R36" s="160">
        <f>H21/Q35/Q36</f>
        <v>1.5894818665033211E-8</v>
      </c>
      <c r="S36" s="152">
        <f>R33-H33</f>
        <v>-61916.614566496923</v>
      </c>
      <c r="T36" s="151">
        <f>J33-K33</f>
        <v>-10285.739481129029</v>
      </c>
      <c r="U36" s="160">
        <f>K21/T35/T36</f>
        <v>1.3412283701188833E-7</v>
      </c>
      <c r="V36" s="152">
        <f>U33-K33</f>
        <v>-9219.2239497398841</v>
      </c>
    </row>
    <row r="37" spans="1:22" s="17" customFormat="1" ht="12" customHeight="1" thickTop="1" x14ac:dyDescent="0.2">
      <c r="A37" s="298" t="s">
        <v>258</v>
      </c>
      <c r="B37" s="299" t="s">
        <v>259</v>
      </c>
      <c r="C37" s="300">
        <f t="shared" ref="C37:P37" si="15">C21*0.5144*(1-$K3)</f>
        <v>9.7877111871338869</v>
      </c>
      <c r="D37" s="300">
        <f t="shared" si="15"/>
        <v>9.9819118059262273</v>
      </c>
      <c r="E37" s="300">
        <f t="shared" si="15"/>
        <v>10.176112424718566</v>
      </c>
      <c r="F37" s="300">
        <f t="shared" si="15"/>
        <v>10.370313043510905</v>
      </c>
      <c r="G37" s="300">
        <f t="shared" si="15"/>
        <v>11.147115518680261</v>
      </c>
      <c r="H37" s="300">
        <f t="shared" si="15"/>
        <v>11.923917993849617</v>
      </c>
      <c r="I37" s="300">
        <f t="shared" si="15"/>
        <v>9.5935105683415483</v>
      </c>
      <c r="J37" s="300">
        <f t="shared" si="15"/>
        <v>9.9819118059262273</v>
      </c>
      <c r="K37" s="300">
        <f t="shared" si="15"/>
        <v>10.370313043510905</v>
      </c>
      <c r="L37" s="300">
        <f t="shared" si="15"/>
        <v>10.024371559385008</v>
      </c>
      <c r="M37" s="300">
        <f t="shared" si="15"/>
        <v>10.024759960622594</v>
      </c>
      <c r="N37" s="300">
        <f t="shared" si="15"/>
        <v>10.025148361860179</v>
      </c>
      <c r="O37" s="300">
        <f t="shared" si="15"/>
        <v>10.219348980652518</v>
      </c>
      <c r="P37" s="301">
        <f t="shared" si="15"/>
        <v>15.327117571495497</v>
      </c>
    </row>
    <row r="38" spans="1:22" s="17" customFormat="1" ht="12" customHeight="1" x14ac:dyDescent="0.2">
      <c r="A38" s="17" t="s">
        <v>260</v>
      </c>
      <c r="B38" s="243" t="s">
        <v>259</v>
      </c>
      <c r="C38" s="287">
        <f t="shared" ref="C38:P38" si="16">C37*SQRT(1+C34)</f>
        <v>14.205929354516613</v>
      </c>
      <c r="D38" s="287">
        <f t="shared" si="16"/>
        <v>14.518803685726107</v>
      </c>
      <c r="E38" s="287">
        <f t="shared" si="16"/>
        <v>14.835602228812398</v>
      </c>
      <c r="F38" s="287">
        <f t="shared" si="16"/>
        <v>14.946217379978291</v>
      </c>
      <c r="G38" s="287">
        <f t="shared" si="16"/>
        <v>16.277448506902726</v>
      </c>
      <c r="H38" s="287">
        <f t="shared" si="16"/>
        <v>17.761101373075977</v>
      </c>
      <c r="I38" s="287">
        <f t="shared" si="16"/>
        <v>13.896530710241663</v>
      </c>
      <c r="J38" s="287">
        <f t="shared" si="16"/>
        <v>14.518803685726107</v>
      </c>
      <c r="K38" s="287">
        <f t="shared" si="16"/>
        <v>15.156855408030093</v>
      </c>
      <c r="L38" s="287">
        <f t="shared" si="16"/>
        <v>14.587715849022604</v>
      </c>
      <c r="M38" s="287">
        <f t="shared" si="16"/>
        <v>14.588347104321569</v>
      </c>
      <c r="N38" s="287">
        <f t="shared" si="16"/>
        <v>14.58897837572683</v>
      </c>
      <c r="O38" s="287">
        <f t="shared" si="16"/>
        <v>14.906719591632921</v>
      </c>
      <c r="P38" s="290">
        <f t="shared" si="16"/>
        <v>28.882531162452594</v>
      </c>
    </row>
    <row r="39" spans="1:22" s="17" customFormat="1" ht="12" customHeight="1" x14ac:dyDescent="0.2">
      <c r="A39" s="17" t="s">
        <v>261</v>
      </c>
      <c r="B39" s="243" t="s">
        <v>259</v>
      </c>
      <c r="C39" s="287">
        <f t="shared" ref="C39:P39" si="17">C38-C37</f>
        <v>4.4182181673827259</v>
      </c>
      <c r="D39" s="287">
        <f t="shared" si="17"/>
        <v>4.5368918797998798</v>
      </c>
      <c r="E39" s="287">
        <f t="shared" si="17"/>
        <v>4.6594898040938322</v>
      </c>
      <c r="F39" s="287">
        <f t="shared" si="17"/>
        <v>4.5759043364673868</v>
      </c>
      <c r="G39" s="287">
        <f t="shared" si="17"/>
        <v>5.1303329882224649</v>
      </c>
      <c r="H39" s="287">
        <f t="shared" si="17"/>
        <v>5.8371833792263601</v>
      </c>
      <c r="I39" s="287">
        <f t="shared" si="17"/>
        <v>4.3030201419001148</v>
      </c>
      <c r="J39" s="287">
        <f t="shared" si="17"/>
        <v>4.5368918797998798</v>
      </c>
      <c r="K39" s="287">
        <f t="shared" si="17"/>
        <v>4.7865423645191889</v>
      </c>
      <c r="L39" s="287">
        <f t="shared" si="17"/>
        <v>4.5633442896375964</v>
      </c>
      <c r="M39" s="287">
        <f t="shared" si="17"/>
        <v>4.5635871436989746</v>
      </c>
      <c r="N39" s="287">
        <f t="shared" si="17"/>
        <v>4.5638300138666512</v>
      </c>
      <c r="O39" s="287">
        <f t="shared" si="17"/>
        <v>4.6873706109804036</v>
      </c>
      <c r="P39" s="290">
        <f t="shared" si="17"/>
        <v>13.555413590957096</v>
      </c>
    </row>
    <row r="40" spans="1:22" s="17" customFormat="1" ht="12" customHeight="1" x14ac:dyDescent="0.2">
      <c r="A40" s="17" t="s">
        <v>262</v>
      </c>
      <c r="B40" s="243" t="s">
        <v>193</v>
      </c>
      <c r="C40" s="287">
        <f t="shared" ref="C40:P40" si="18">C38/C37</f>
        <v>1.4514046320850322</v>
      </c>
      <c r="D40" s="287">
        <f t="shared" si="18"/>
        <v>1.4545113168708166</v>
      </c>
      <c r="E40" s="287">
        <f t="shared" si="18"/>
        <v>1.4578850556697438</v>
      </c>
      <c r="F40" s="287">
        <f t="shared" si="18"/>
        <v>1.4412503573680162</v>
      </c>
      <c r="G40" s="287">
        <f t="shared" si="18"/>
        <v>1.4602386132650269</v>
      </c>
      <c r="H40" s="287">
        <f t="shared" si="18"/>
        <v>1.4895356863605731</v>
      </c>
      <c r="I40" s="287">
        <f t="shared" si="18"/>
        <v>1.4485344662151123</v>
      </c>
      <c r="J40" s="287">
        <f t="shared" si="18"/>
        <v>1.4545113168708166</v>
      </c>
      <c r="K40" s="287">
        <f t="shared" si="18"/>
        <v>1.4615619937832358</v>
      </c>
      <c r="L40" s="287">
        <f t="shared" si="18"/>
        <v>1.4552249747132833</v>
      </c>
      <c r="M40" s="287">
        <f t="shared" si="18"/>
        <v>1.4552315628129564</v>
      </c>
      <c r="N40" s="287">
        <f t="shared" si="18"/>
        <v>1.4552381520087376</v>
      </c>
      <c r="O40" s="287">
        <f t="shared" si="18"/>
        <v>1.4586760487243005</v>
      </c>
      <c r="P40" s="290">
        <f t="shared" si="18"/>
        <v>1.8844072297172616</v>
      </c>
    </row>
    <row r="41" spans="1:22" s="17" customFormat="1" ht="12" customHeight="1" x14ac:dyDescent="0.2">
      <c r="A41" s="17" t="s">
        <v>263</v>
      </c>
      <c r="B41" s="243" t="s">
        <v>259</v>
      </c>
      <c r="C41" s="287">
        <f t="shared" ref="C41:P41" si="19">C37+0.5*C39</f>
        <v>11.99682027082525</v>
      </c>
      <c r="D41" s="287">
        <f t="shared" si="19"/>
        <v>12.250357745826168</v>
      </c>
      <c r="E41" s="287">
        <f t="shared" si="19"/>
        <v>12.505857326765483</v>
      </c>
      <c r="F41" s="287">
        <f t="shared" si="19"/>
        <v>12.658265211744599</v>
      </c>
      <c r="G41" s="287">
        <f t="shared" si="19"/>
        <v>13.712282012791494</v>
      </c>
      <c r="H41" s="287">
        <f t="shared" si="19"/>
        <v>14.842509683462797</v>
      </c>
      <c r="I41" s="287">
        <f t="shared" si="19"/>
        <v>11.745020639291607</v>
      </c>
      <c r="J41" s="287">
        <f t="shared" si="19"/>
        <v>12.250357745826168</v>
      </c>
      <c r="K41" s="287">
        <f t="shared" si="19"/>
        <v>12.763584225770499</v>
      </c>
      <c r="L41" s="287">
        <f t="shared" si="19"/>
        <v>12.306043704203805</v>
      </c>
      <c r="M41" s="287">
        <f t="shared" si="19"/>
        <v>12.306553532472082</v>
      </c>
      <c r="N41" s="287">
        <f t="shared" si="19"/>
        <v>12.307063368793504</v>
      </c>
      <c r="O41" s="287">
        <f t="shared" si="19"/>
        <v>12.56303428614272</v>
      </c>
      <c r="P41" s="290">
        <f t="shared" si="19"/>
        <v>22.104824366974047</v>
      </c>
    </row>
    <row r="42" spans="1:22" s="17" customFormat="1" ht="12" customHeight="1" x14ac:dyDescent="0.2">
      <c r="A42" s="17" t="s">
        <v>264</v>
      </c>
      <c r="B42" s="243" t="s">
        <v>265</v>
      </c>
      <c r="C42" s="302">
        <f t="shared" ref="C42:P42" si="20">0.785*$C18^2*C41</f>
        <v>944.31180812413083</v>
      </c>
      <c r="D42" s="302">
        <f t="shared" si="20"/>
        <v>964.26863218588483</v>
      </c>
      <c r="E42" s="302">
        <f t="shared" si="20"/>
        <v>984.37990048907875</v>
      </c>
      <c r="F42" s="302">
        <f t="shared" si="20"/>
        <v>996.37645975962153</v>
      </c>
      <c r="G42" s="302">
        <f t="shared" si="20"/>
        <v>1079.3418196400476</v>
      </c>
      <c r="H42" s="302">
        <f t="shared" si="20"/>
        <v>1168.306004414829</v>
      </c>
      <c r="I42" s="302">
        <f t="shared" si="20"/>
        <v>924.49177581800643</v>
      </c>
      <c r="J42" s="302">
        <f t="shared" si="20"/>
        <v>964.26863218588483</v>
      </c>
      <c r="K42" s="302">
        <f t="shared" si="20"/>
        <v>1004.6664888106117</v>
      </c>
      <c r="L42" s="302">
        <f t="shared" si="20"/>
        <v>968.65186931502581</v>
      </c>
      <c r="M42" s="302">
        <f t="shared" si="20"/>
        <v>968.69199968648923</v>
      </c>
      <c r="N42" s="302">
        <f t="shared" si="20"/>
        <v>968.73213069184408</v>
      </c>
      <c r="O42" s="302">
        <f t="shared" si="20"/>
        <v>988.88049953730012</v>
      </c>
      <c r="P42" s="275">
        <f t="shared" si="20"/>
        <v>1739.9482692098143</v>
      </c>
    </row>
    <row r="43" spans="1:22" s="17" customFormat="1" ht="12" customHeight="1" thickBot="1" x14ac:dyDescent="0.25">
      <c r="A43" s="223" t="s">
        <v>266</v>
      </c>
      <c r="B43" s="303" t="s">
        <v>193</v>
      </c>
      <c r="C43" s="304">
        <f t="shared" ref="C43:P43" si="21">C50+C52+C54+C58+C59+C60</f>
        <v>0.78710955910329516</v>
      </c>
      <c r="D43" s="304">
        <f t="shared" si="21"/>
        <v>0.80104679014653524</v>
      </c>
      <c r="E43" s="304">
        <f t="shared" si="21"/>
        <v>0.81636433276539677</v>
      </c>
      <c r="F43" s="304">
        <f t="shared" si="21"/>
        <v>0.83326521103203333</v>
      </c>
      <c r="G43" s="304">
        <f t="shared" si="21"/>
        <v>0.9222238054250228</v>
      </c>
      <c r="H43" s="304">
        <f t="shared" si="21"/>
        <v>1.0662686714193628</v>
      </c>
      <c r="I43" s="304">
        <f t="shared" si="21"/>
        <v>0.77438040502237537</v>
      </c>
      <c r="J43" s="304">
        <f t="shared" si="21"/>
        <v>0.80104679014653524</v>
      </c>
      <c r="K43" s="304">
        <f t="shared" si="21"/>
        <v>0.83326521103203333</v>
      </c>
      <c r="L43" s="304">
        <f t="shared" si="21"/>
        <v>0.80427136292170642</v>
      </c>
      <c r="M43" s="304">
        <f t="shared" si="21"/>
        <v>0.80430116983555633</v>
      </c>
      <c r="N43" s="304">
        <f t="shared" si="21"/>
        <v>0.80433098242781953</v>
      </c>
      <c r="O43" s="304">
        <f t="shared" si="21"/>
        <v>0.81998226950923037</v>
      </c>
      <c r="P43" s="305">
        <f t="shared" si="21"/>
        <v>3.0538453690383784</v>
      </c>
    </row>
    <row r="44" spans="1:22" s="17" customFormat="1" ht="12" customHeight="1" x14ac:dyDescent="0.2">
      <c r="A44" s="298"/>
      <c r="B44" s="309" t="s">
        <v>267</v>
      </c>
      <c r="C44" s="308">
        <f t="shared" ref="C44:P44" si="22">1.35-0.23*$C13+0.012*$C13^2</f>
        <v>0.32559355775965326</v>
      </c>
      <c r="D44" s="308">
        <f t="shared" si="22"/>
        <v>0.32559355775965326</v>
      </c>
      <c r="E44" s="308">
        <f t="shared" si="22"/>
        <v>0.32559355775965326</v>
      </c>
      <c r="F44" s="308">
        <f t="shared" si="22"/>
        <v>0.32559355775965326</v>
      </c>
      <c r="G44" s="308">
        <f t="shared" si="22"/>
        <v>0.32559355775965326</v>
      </c>
      <c r="H44" s="308">
        <f t="shared" si="22"/>
        <v>0.32559355775965326</v>
      </c>
      <c r="I44" s="308">
        <f t="shared" si="22"/>
        <v>0.32559355775965326</v>
      </c>
      <c r="J44" s="308">
        <f t="shared" si="22"/>
        <v>0.32559355775965326</v>
      </c>
      <c r="K44" s="308">
        <f t="shared" si="22"/>
        <v>0.32559355775965326</v>
      </c>
      <c r="L44" s="308">
        <f t="shared" si="22"/>
        <v>0.32559355775965326</v>
      </c>
      <c r="M44" s="308">
        <f t="shared" si="22"/>
        <v>0.32559355775965326</v>
      </c>
      <c r="N44" s="308">
        <f t="shared" si="22"/>
        <v>0.32559355775965326</v>
      </c>
      <c r="O44" s="308">
        <f t="shared" si="22"/>
        <v>0.32559355775965326</v>
      </c>
      <c r="P44" s="310">
        <f t="shared" si="22"/>
        <v>0.32559355775965326</v>
      </c>
    </row>
    <row r="45" spans="1:22" s="17" customFormat="1" ht="12" customHeight="1" x14ac:dyDescent="0.2">
      <c r="B45" s="306" t="s">
        <v>268</v>
      </c>
      <c r="C45" s="277">
        <f t="shared" ref="C45:P45" si="23">0.0011*$C13^9.1</f>
        <v>56728.855231470181</v>
      </c>
      <c r="D45" s="277">
        <f t="shared" si="23"/>
        <v>56728.855231470181</v>
      </c>
      <c r="E45" s="277">
        <f t="shared" si="23"/>
        <v>56728.855231470181</v>
      </c>
      <c r="F45" s="277">
        <f t="shared" si="23"/>
        <v>56728.855231470181</v>
      </c>
      <c r="G45" s="277">
        <f t="shared" si="23"/>
        <v>56728.855231470181</v>
      </c>
      <c r="H45" s="277">
        <f t="shared" si="23"/>
        <v>56728.855231470181</v>
      </c>
      <c r="I45" s="277">
        <f t="shared" si="23"/>
        <v>56728.855231470181</v>
      </c>
      <c r="J45" s="277">
        <f t="shared" si="23"/>
        <v>56728.855231470181</v>
      </c>
      <c r="K45" s="277">
        <f t="shared" si="23"/>
        <v>56728.855231470181</v>
      </c>
      <c r="L45" s="277">
        <f t="shared" si="23"/>
        <v>56728.855231470181</v>
      </c>
      <c r="M45" s="277">
        <f t="shared" si="23"/>
        <v>56728.855231470181</v>
      </c>
      <c r="N45" s="277">
        <f t="shared" si="23"/>
        <v>56728.855231470181</v>
      </c>
      <c r="O45" s="277">
        <f t="shared" si="23"/>
        <v>56728.855231470181</v>
      </c>
      <c r="P45" s="311">
        <f t="shared" si="23"/>
        <v>56728.855231470181</v>
      </c>
    </row>
    <row r="46" spans="1:22" s="17" customFormat="1" ht="12" customHeight="1" x14ac:dyDescent="0.2">
      <c r="B46" s="306" t="s">
        <v>269</v>
      </c>
      <c r="C46" s="261">
        <f t="shared" ref="C46:P46" si="24">2*$C13-3.7</f>
        <v>10.378219257977491</v>
      </c>
      <c r="D46" s="261">
        <f t="shared" si="24"/>
        <v>10.378219257977491</v>
      </c>
      <c r="E46" s="261">
        <f t="shared" si="24"/>
        <v>10.378219257977491</v>
      </c>
      <c r="F46" s="261">
        <f t="shared" si="24"/>
        <v>10.378219257977491</v>
      </c>
      <c r="G46" s="261">
        <f t="shared" si="24"/>
        <v>10.378219257977491</v>
      </c>
      <c r="H46" s="261">
        <f t="shared" si="24"/>
        <v>10.378219257977491</v>
      </c>
      <c r="I46" s="261">
        <f t="shared" si="24"/>
        <v>10.378219257977491</v>
      </c>
      <c r="J46" s="261">
        <f t="shared" si="24"/>
        <v>10.378219257977491</v>
      </c>
      <c r="K46" s="261">
        <f t="shared" si="24"/>
        <v>10.378219257977491</v>
      </c>
      <c r="L46" s="261">
        <f t="shared" si="24"/>
        <v>10.378219257977491</v>
      </c>
      <c r="M46" s="261">
        <f t="shared" si="24"/>
        <v>10.378219257977491</v>
      </c>
      <c r="N46" s="261">
        <f t="shared" si="24"/>
        <v>10.378219257977491</v>
      </c>
      <c r="O46" s="261">
        <f t="shared" si="24"/>
        <v>10.378219257977491</v>
      </c>
      <c r="P46" s="312">
        <f t="shared" si="24"/>
        <v>10.378219257977491</v>
      </c>
    </row>
    <row r="47" spans="1:22" s="17" customFormat="1" ht="12" customHeight="1" x14ac:dyDescent="0.2">
      <c r="B47" s="306" t="s">
        <v>270</v>
      </c>
      <c r="C47" s="261">
        <f t="shared" ref="C47:P47" si="25">7-0.09*$C13^2</f>
        <v>2.5405842067970132</v>
      </c>
      <c r="D47" s="261">
        <f t="shared" si="25"/>
        <v>2.5405842067970132</v>
      </c>
      <c r="E47" s="261">
        <f t="shared" si="25"/>
        <v>2.5405842067970132</v>
      </c>
      <c r="F47" s="261">
        <f t="shared" si="25"/>
        <v>2.5405842067970132</v>
      </c>
      <c r="G47" s="261">
        <f t="shared" si="25"/>
        <v>2.5405842067970132</v>
      </c>
      <c r="H47" s="261">
        <f t="shared" si="25"/>
        <v>2.5405842067970132</v>
      </c>
      <c r="I47" s="261">
        <f t="shared" si="25"/>
        <v>2.5405842067970132</v>
      </c>
      <c r="J47" s="261">
        <f t="shared" si="25"/>
        <v>2.5405842067970132</v>
      </c>
      <c r="K47" s="261">
        <f t="shared" si="25"/>
        <v>2.5405842067970132</v>
      </c>
      <c r="L47" s="261">
        <f t="shared" si="25"/>
        <v>2.5405842067970132</v>
      </c>
      <c r="M47" s="261">
        <f t="shared" si="25"/>
        <v>2.5405842067970132</v>
      </c>
      <c r="N47" s="261">
        <f t="shared" si="25"/>
        <v>2.5405842067970132</v>
      </c>
      <c r="O47" s="261">
        <f t="shared" si="25"/>
        <v>2.5405842067970132</v>
      </c>
      <c r="P47" s="312">
        <f t="shared" si="25"/>
        <v>2.5405842067970132</v>
      </c>
    </row>
    <row r="48" spans="1:22" s="17" customFormat="1" ht="12" customHeight="1" x14ac:dyDescent="0.2">
      <c r="B48" s="306" t="s">
        <v>271</v>
      </c>
      <c r="C48" s="261">
        <f t="shared" ref="C48:P48" si="26">(5*$C12-2.5)^2</f>
        <v>0.66402531407562237</v>
      </c>
      <c r="D48" s="261">
        <f t="shared" si="26"/>
        <v>0.66402531407562237</v>
      </c>
      <c r="E48" s="261">
        <f t="shared" si="26"/>
        <v>0.66402531407562237</v>
      </c>
      <c r="F48" s="261">
        <f t="shared" si="26"/>
        <v>0.66402531407562237</v>
      </c>
      <c r="G48" s="261">
        <f t="shared" si="26"/>
        <v>0.66402531407562237</v>
      </c>
      <c r="H48" s="261">
        <f t="shared" si="26"/>
        <v>0.66402531407562237</v>
      </c>
      <c r="I48" s="261">
        <f t="shared" si="26"/>
        <v>0.66402531407562237</v>
      </c>
      <c r="J48" s="261">
        <f t="shared" si="26"/>
        <v>0.66402531407562237</v>
      </c>
      <c r="K48" s="261">
        <f t="shared" si="26"/>
        <v>0.66402531407562237</v>
      </c>
      <c r="L48" s="261">
        <f t="shared" si="26"/>
        <v>0.66402531407562237</v>
      </c>
      <c r="M48" s="261">
        <f t="shared" si="26"/>
        <v>0.66402531407562237</v>
      </c>
      <c r="N48" s="261">
        <f t="shared" si="26"/>
        <v>0.66402531407562237</v>
      </c>
      <c r="O48" s="261">
        <f t="shared" si="26"/>
        <v>0.66402531407562237</v>
      </c>
      <c r="P48" s="312">
        <f t="shared" si="26"/>
        <v>0.66402531407562237</v>
      </c>
    </row>
    <row r="49" spans="2:16" s="17" customFormat="1" ht="12" customHeight="1" x14ac:dyDescent="0.2">
      <c r="B49" s="306" t="s">
        <v>272</v>
      </c>
      <c r="C49" s="261">
        <f t="shared" ref="C49:P49" si="27">(600*(C22-0.315)^2+1)^1.5</f>
        <v>24.112446959056776</v>
      </c>
      <c r="D49" s="261">
        <f t="shared" si="27"/>
        <v>21.858818453033496</v>
      </c>
      <c r="E49" s="261">
        <f t="shared" si="27"/>
        <v>19.760079489820829</v>
      </c>
      <c r="F49" s="261">
        <f t="shared" si="27"/>
        <v>17.810393001809214</v>
      </c>
      <c r="G49" s="261">
        <f t="shared" si="27"/>
        <v>11.38567001216731</v>
      </c>
      <c r="H49" s="261">
        <f t="shared" si="27"/>
        <v>6.8810360594720636</v>
      </c>
      <c r="I49" s="261">
        <f t="shared" si="27"/>
        <v>26.526807226935997</v>
      </c>
      <c r="J49" s="261">
        <f t="shared" si="27"/>
        <v>21.858818453033496</v>
      </c>
      <c r="K49" s="261">
        <f t="shared" si="27"/>
        <v>17.810393001809214</v>
      </c>
      <c r="L49" s="261">
        <f t="shared" si="27"/>
        <v>21.386925364350386</v>
      </c>
      <c r="M49" s="261">
        <f t="shared" si="27"/>
        <v>21.382642701041128</v>
      </c>
      <c r="N49" s="261">
        <f t="shared" si="27"/>
        <v>21.378360652134841</v>
      </c>
      <c r="O49" s="261">
        <f t="shared" si="27"/>
        <v>19.313311438567521</v>
      </c>
      <c r="P49" s="312">
        <f t="shared" si="27"/>
        <v>1.0225841652402019</v>
      </c>
    </row>
    <row r="50" spans="2:16" s="17" customFormat="1" ht="12" customHeight="1" x14ac:dyDescent="0.2">
      <c r="B50" s="306" t="s">
        <v>273</v>
      </c>
      <c r="C50" s="261">
        <f t="shared" ref="C50:P50" si="28">C47*C48/C49</f>
        <v>6.9964372704210381E-2</v>
      </c>
      <c r="D50" s="261">
        <f t="shared" si="28"/>
        <v>7.717764935367924E-2</v>
      </c>
      <c r="E50" s="261">
        <f t="shared" si="28"/>
        <v>8.5374769201864653E-2</v>
      </c>
      <c r="F50" s="261">
        <f t="shared" si="28"/>
        <v>9.4720662575080897E-2</v>
      </c>
      <c r="G50" s="261">
        <f t="shared" si="28"/>
        <v>0.14816978043901896</v>
      </c>
      <c r="H50" s="261">
        <f t="shared" si="28"/>
        <v>0.2451683454749089</v>
      </c>
      <c r="I50" s="261">
        <f t="shared" si="28"/>
        <v>6.3596504902441384E-2</v>
      </c>
      <c r="J50" s="261">
        <f t="shared" si="28"/>
        <v>7.717764935367924E-2</v>
      </c>
      <c r="K50" s="261">
        <f t="shared" si="28"/>
        <v>9.4720662575080897E-2</v>
      </c>
      <c r="L50" s="261">
        <f t="shared" si="28"/>
        <v>7.8880540195179871E-2</v>
      </c>
      <c r="M50" s="261">
        <f t="shared" si="28"/>
        <v>7.8896338934373686E-2</v>
      </c>
      <c r="N50" s="261">
        <f t="shared" si="28"/>
        <v>7.8912141735502428E-2</v>
      </c>
      <c r="O50" s="261">
        <f t="shared" si="28"/>
        <v>8.7349713756755903E-2</v>
      </c>
      <c r="P50" s="312">
        <f t="shared" si="28"/>
        <v>1.6497539109239763</v>
      </c>
    </row>
    <row r="51" spans="2:16" s="17" customFormat="1" ht="12" customHeight="1" x14ac:dyDescent="0.2">
      <c r="B51" s="306"/>
      <c r="C51" s="261">
        <f t="shared" ref="C51:P51" si="29">C22-(0.04+0.59*$C12)-0.015*($C13-5)</f>
        <v>-0.25739407283371174</v>
      </c>
      <c r="D51" s="261">
        <f t="shared" si="29"/>
        <v>-0.25333954674792503</v>
      </c>
      <c r="E51" s="261">
        <f t="shared" si="29"/>
        <v>-0.24928502066213831</v>
      </c>
      <c r="F51" s="261">
        <f t="shared" si="29"/>
        <v>-0.24523049457635157</v>
      </c>
      <c r="G51" s="261">
        <f t="shared" si="29"/>
        <v>-0.22901239023320472</v>
      </c>
      <c r="H51" s="261">
        <f t="shared" si="29"/>
        <v>-0.21279428589005783</v>
      </c>
      <c r="I51" s="261">
        <f t="shared" si="29"/>
        <v>-0.26144859891949845</v>
      </c>
      <c r="J51" s="261">
        <f t="shared" si="29"/>
        <v>-0.25333954674792503</v>
      </c>
      <c r="K51" s="261">
        <f t="shared" si="29"/>
        <v>-0.24523049457635157</v>
      </c>
      <c r="L51" s="261">
        <f t="shared" si="29"/>
        <v>-0.25245307079813006</v>
      </c>
      <c r="M51" s="261">
        <f t="shared" si="29"/>
        <v>-0.25244496174595848</v>
      </c>
      <c r="N51" s="261">
        <f t="shared" si="29"/>
        <v>-0.25243685269378691</v>
      </c>
      <c r="O51" s="261">
        <f t="shared" si="29"/>
        <v>-0.24838232660800019</v>
      </c>
      <c r="P51" s="312">
        <f t="shared" si="29"/>
        <v>-0.14174218755736243</v>
      </c>
    </row>
    <row r="52" spans="2:16" s="17" customFormat="1" ht="12" customHeight="1" x14ac:dyDescent="0.2">
      <c r="B52" s="306" t="s">
        <v>274</v>
      </c>
      <c r="C52" s="261">
        <f t="shared" ref="C52:P52" si="30">EXP(80*C51)</f>
        <v>1.1408116813630635E-9</v>
      </c>
      <c r="D52" s="261">
        <f t="shared" si="30"/>
        <v>1.5779114367441511E-9</v>
      </c>
      <c r="E52" s="261">
        <f t="shared" si="30"/>
        <v>2.182485105020263E-9</v>
      </c>
      <c r="F52" s="261">
        <f t="shared" si="30"/>
        <v>3.0186999870307823E-9</v>
      </c>
      <c r="G52" s="261">
        <f t="shared" si="30"/>
        <v>1.1048278437226852E-8</v>
      </c>
      <c r="H52" s="261">
        <f t="shared" si="30"/>
        <v>4.0436100623088359E-8</v>
      </c>
      <c r="I52" s="261">
        <f t="shared" si="30"/>
        <v>8.2479362404509497E-10</v>
      </c>
      <c r="J52" s="261">
        <f t="shared" si="30"/>
        <v>1.5779114367441511E-9</v>
      </c>
      <c r="K52" s="261">
        <f t="shared" si="30"/>
        <v>3.0186999870307823E-9</v>
      </c>
      <c r="L52" s="261">
        <f t="shared" si="30"/>
        <v>1.6938773196537482E-9</v>
      </c>
      <c r="M52" s="261">
        <f t="shared" si="30"/>
        <v>1.6949765353236715E-9</v>
      </c>
      <c r="N52" s="261">
        <f t="shared" si="30"/>
        <v>1.6960764643127209E-9</v>
      </c>
      <c r="O52" s="261">
        <f t="shared" si="30"/>
        <v>2.3459248308485056E-9</v>
      </c>
      <c r="P52" s="312">
        <f t="shared" si="30"/>
        <v>1.1895207089236834E-5</v>
      </c>
    </row>
    <row r="53" spans="2:16" s="17" customFormat="1" ht="12" customHeight="1" x14ac:dyDescent="0.2">
      <c r="B53" s="306"/>
      <c r="C53" s="261">
        <f t="shared" ref="C53:P53" si="31">20*$C12-16</f>
        <v>-2.7404900636430085</v>
      </c>
      <c r="D53" s="261">
        <f t="shared" si="31"/>
        <v>-2.7404900636430085</v>
      </c>
      <c r="E53" s="261">
        <f t="shared" si="31"/>
        <v>-2.7404900636430085</v>
      </c>
      <c r="F53" s="261">
        <f t="shared" si="31"/>
        <v>-2.7404900636430085</v>
      </c>
      <c r="G53" s="261">
        <f t="shared" si="31"/>
        <v>-2.7404900636430085</v>
      </c>
      <c r="H53" s="261">
        <f t="shared" si="31"/>
        <v>-2.7404900636430085</v>
      </c>
      <c r="I53" s="261">
        <f t="shared" si="31"/>
        <v>-2.7404900636430085</v>
      </c>
      <c r="J53" s="261">
        <f t="shared" si="31"/>
        <v>-2.7404900636430085</v>
      </c>
      <c r="K53" s="261">
        <f t="shared" si="31"/>
        <v>-2.7404900636430085</v>
      </c>
      <c r="L53" s="261">
        <f t="shared" si="31"/>
        <v>-2.7404900636430085</v>
      </c>
      <c r="M53" s="261">
        <f t="shared" si="31"/>
        <v>-2.7404900636430085</v>
      </c>
      <c r="N53" s="261">
        <f t="shared" si="31"/>
        <v>-2.7404900636430085</v>
      </c>
      <c r="O53" s="261">
        <f t="shared" si="31"/>
        <v>-2.7404900636430085</v>
      </c>
      <c r="P53" s="312">
        <f t="shared" si="31"/>
        <v>-2.7404900636430085</v>
      </c>
    </row>
    <row r="54" spans="2:16" s="17" customFormat="1" ht="12" customHeight="1" x14ac:dyDescent="0.2">
      <c r="B54" s="306" t="s">
        <v>275</v>
      </c>
      <c r="C54" s="261">
        <f t="shared" ref="C54:P54" si="32">180*C22^3.7*EXP(C53)</f>
        <v>3.2618511860964837E-2</v>
      </c>
      <c r="D54" s="261">
        <f t="shared" si="32"/>
        <v>3.5077989921659475E-2</v>
      </c>
      <c r="E54" s="261">
        <f t="shared" si="32"/>
        <v>3.7670112788797699E-2</v>
      </c>
      <c r="F54" s="261">
        <f t="shared" si="32"/>
        <v>4.0399297168328449E-2</v>
      </c>
      <c r="G54" s="261">
        <f t="shared" si="32"/>
        <v>5.2777055968675018E-2</v>
      </c>
      <c r="H54" s="261">
        <f t="shared" si="32"/>
        <v>6.7716442133355106E-2</v>
      </c>
      <c r="I54" s="261">
        <f t="shared" si="32"/>
        <v>3.0287321646286829E-2</v>
      </c>
      <c r="J54" s="261">
        <f t="shared" si="32"/>
        <v>3.5077989921659475E-2</v>
      </c>
      <c r="K54" s="261">
        <f t="shared" si="32"/>
        <v>4.0399297168328449E-2</v>
      </c>
      <c r="L54" s="261">
        <f t="shared" si="32"/>
        <v>3.5633245495601179E-2</v>
      </c>
      <c r="M54" s="261">
        <f t="shared" si="32"/>
        <v>3.5638354111725341E-2</v>
      </c>
      <c r="N54" s="261">
        <f t="shared" si="32"/>
        <v>3.5643463262286325E-2</v>
      </c>
      <c r="O54" s="261">
        <f t="shared" si="32"/>
        <v>3.8265717012751589E-2</v>
      </c>
      <c r="P54" s="312">
        <f t="shared" si="32"/>
        <v>0.17145403589879846</v>
      </c>
    </row>
    <row r="55" spans="2:16" s="17" customFormat="1" ht="12" customHeight="1" x14ac:dyDescent="0.2">
      <c r="B55" s="306"/>
      <c r="C55" s="261">
        <f t="shared" ref="C55:P55" si="33">C44+1.5*C22^1.8+C45*C22^(C46)</f>
        <v>0.41559579678878894</v>
      </c>
      <c r="D55" s="261">
        <f t="shared" si="33"/>
        <v>0.41958698978029058</v>
      </c>
      <c r="E55" s="261">
        <f t="shared" si="33"/>
        <v>0.42380558542168451</v>
      </c>
      <c r="F55" s="261">
        <f t="shared" si="33"/>
        <v>0.42828270842346755</v>
      </c>
      <c r="G55" s="261">
        <f t="shared" si="33"/>
        <v>0.44957789607897308</v>
      </c>
      <c r="H55" s="261">
        <f t="shared" si="33"/>
        <v>0.47901580229296598</v>
      </c>
      <c r="I55" s="261">
        <f t="shared" si="33"/>
        <v>0.41180507086402857</v>
      </c>
      <c r="J55" s="261">
        <f t="shared" si="33"/>
        <v>0.41958698978029058</v>
      </c>
      <c r="K55" s="261">
        <f t="shared" si="33"/>
        <v>0.42828270842346755</v>
      </c>
      <c r="L55" s="261">
        <f t="shared" si="33"/>
        <v>0.42048890175693127</v>
      </c>
      <c r="M55" s="261">
        <f t="shared" si="33"/>
        <v>0.42049720305220517</v>
      </c>
      <c r="N55" s="261">
        <f t="shared" si="33"/>
        <v>0.42050550528161268</v>
      </c>
      <c r="O55" s="261">
        <f t="shared" si="33"/>
        <v>0.42477880765267834</v>
      </c>
      <c r="P55" s="312">
        <f t="shared" si="33"/>
        <v>0.93359617198525069</v>
      </c>
    </row>
    <row r="56" spans="2:16" s="17" customFormat="1" ht="12" customHeight="1" x14ac:dyDescent="0.2">
      <c r="B56" s="306"/>
      <c r="C56" s="261">
        <f t="shared" ref="C56:P56" si="34">0.98+2.5/($C13-2)^4</f>
        <v>0.98387725872053045</v>
      </c>
      <c r="D56" s="261">
        <f t="shared" si="34"/>
        <v>0.98387725872053045</v>
      </c>
      <c r="E56" s="261">
        <f t="shared" si="34"/>
        <v>0.98387725872053045</v>
      </c>
      <c r="F56" s="261">
        <f t="shared" si="34"/>
        <v>0.98387725872053045</v>
      </c>
      <c r="G56" s="261">
        <f t="shared" si="34"/>
        <v>0.98387725872053045</v>
      </c>
      <c r="H56" s="261">
        <f t="shared" si="34"/>
        <v>0.98387725872053045</v>
      </c>
      <c r="I56" s="261">
        <f t="shared" si="34"/>
        <v>0.98387725872053045</v>
      </c>
      <c r="J56" s="261">
        <f t="shared" si="34"/>
        <v>0.98387725872053045</v>
      </c>
      <c r="K56" s="261">
        <f t="shared" si="34"/>
        <v>0.98387725872053045</v>
      </c>
      <c r="L56" s="261">
        <f t="shared" si="34"/>
        <v>0.98387725872053045</v>
      </c>
      <c r="M56" s="261">
        <f t="shared" si="34"/>
        <v>0.98387725872053045</v>
      </c>
      <c r="N56" s="261">
        <f t="shared" si="34"/>
        <v>0.98387725872053045</v>
      </c>
      <c r="O56" s="261">
        <f t="shared" si="34"/>
        <v>0.98387725872053045</v>
      </c>
      <c r="P56" s="312">
        <f t="shared" si="34"/>
        <v>0.98387725872053045</v>
      </c>
    </row>
    <row r="57" spans="2:16" s="17" customFormat="1" ht="12" customHeight="1" x14ac:dyDescent="0.2">
      <c r="B57" s="306"/>
      <c r="C57" s="261">
        <f t="shared" ref="C57:P57" si="35">($C13-5)^4*(C22-0.1)^4</f>
        <v>2.0497492198474645E-3</v>
      </c>
      <c r="D57" s="261">
        <f t="shared" si="35"/>
        <v>2.3873810963210575E-3</v>
      </c>
      <c r="E57" s="261">
        <f t="shared" si="35"/>
        <v>2.7651000799802034E-3</v>
      </c>
      <c r="F57" s="261">
        <f t="shared" si="35"/>
        <v>3.1859602517059675E-3</v>
      </c>
      <c r="G57" s="261">
        <f t="shared" si="35"/>
        <v>5.365819096394323E-3</v>
      </c>
      <c r="H57" s="261">
        <f t="shared" si="35"/>
        <v>8.5094180340467389E-3</v>
      </c>
      <c r="I57" s="261">
        <f t="shared" si="35"/>
        <v>1.7492625028068813E-3</v>
      </c>
      <c r="J57" s="261">
        <f t="shared" si="35"/>
        <v>2.3873810963210575E-3</v>
      </c>
      <c r="K57" s="261">
        <f t="shared" si="35"/>
        <v>3.1859602517059675E-3</v>
      </c>
      <c r="L57" s="261">
        <f t="shared" si="35"/>
        <v>2.4664366568995602E-3</v>
      </c>
      <c r="M57" s="261">
        <f t="shared" si="35"/>
        <v>2.4671687586944528E-3</v>
      </c>
      <c r="N57" s="261">
        <f t="shared" si="35"/>
        <v>2.4679010234572281E-3</v>
      </c>
      <c r="O57" s="261">
        <f t="shared" si="35"/>
        <v>2.8549566607729213E-3</v>
      </c>
      <c r="P57" s="312">
        <f t="shared" si="35"/>
        <v>4.0499813666552295E-2</v>
      </c>
    </row>
    <row r="58" spans="2:16" s="17" customFormat="1" ht="12" customHeight="1" x14ac:dyDescent="0.2">
      <c r="B58" s="306" t="s">
        <v>276</v>
      </c>
      <c r="C58" s="261">
        <f t="shared" ref="C58:P58" si="36">C55*C56+C57</f>
        <v>0.41094500250017574</v>
      </c>
      <c r="D58" s="261">
        <f t="shared" si="36"/>
        <v>0.41520947839615258</v>
      </c>
      <c r="E58" s="261">
        <f t="shared" si="36"/>
        <v>0.41973777769511678</v>
      </c>
      <c r="F58" s="261">
        <f t="shared" si="36"/>
        <v>0.42456357737279149</v>
      </c>
      <c r="G58" s="261">
        <f t="shared" si="36"/>
        <v>0.44769528707191786</v>
      </c>
      <c r="H58" s="261">
        <f t="shared" si="36"/>
        <v>0.47980217247786572</v>
      </c>
      <c r="I58" s="261">
        <f t="shared" si="36"/>
        <v>0.40691490675172109</v>
      </c>
      <c r="J58" s="261">
        <f t="shared" si="36"/>
        <v>0.41520947839615258</v>
      </c>
      <c r="K58" s="261">
        <f t="shared" si="36"/>
        <v>0.42456357737279149</v>
      </c>
      <c r="L58" s="261">
        <f t="shared" si="36"/>
        <v>0.41617590463991555</v>
      </c>
      <c r="M58" s="261">
        <f t="shared" si="36"/>
        <v>0.41618480419734832</v>
      </c>
      <c r="N58" s="261">
        <f t="shared" si="36"/>
        <v>0.41619370483682183</v>
      </c>
      <c r="O58" s="261">
        <f t="shared" si="36"/>
        <v>0.42078516549666556</v>
      </c>
      <c r="P58" s="312">
        <f t="shared" si="36"/>
        <v>0.95904385611138165</v>
      </c>
    </row>
    <row r="59" spans="2:16" s="17" customFormat="1" ht="12" customHeight="1" x14ac:dyDescent="0.2">
      <c r="B59" s="306" t="s">
        <v>277</v>
      </c>
      <c r="C59" s="261">
        <f t="shared" ref="C59:P59" si="37">0.16*($C5/$C6-2.5)</f>
        <v>0.27358167089713248</v>
      </c>
      <c r="D59" s="261">
        <f t="shared" si="37"/>
        <v>0.27358167089713248</v>
      </c>
      <c r="E59" s="261">
        <f t="shared" si="37"/>
        <v>0.27358167089713248</v>
      </c>
      <c r="F59" s="261">
        <f t="shared" si="37"/>
        <v>0.27358167089713248</v>
      </c>
      <c r="G59" s="261">
        <f t="shared" si="37"/>
        <v>0.27358167089713248</v>
      </c>
      <c r="H59" s="261">
        <f t="shared" si="37"/>
        <v>0.27358167089713248</v>
      </c>
      <c r="I59" s="261">
        <f t="shared" si="37"/>
        <v>0.27358167089713248</v>
      </c>
      <c r="J59" s="261">
        <f t="shared" si="37"/>
        <v>0.27358167089713248</v>
      </c>
      <c r="K59" s="261">
        <f t="shared" si="37"/>
        <v>0.27358167089713248</v>
      </c>
      <c r="L59" s="261">
        <f t="shared" si="37"/>
        <v>0.27358167089713248</v>
      </c>
      <c r="M59" s="261">
        <f t="shared" si="37"/>
        <v>0.27358167089713248</v>
      </c>
      <c r="N59" s="261">
        <f t="shared" si="37"/>
        <v>0.27358167089713248</v>
      </c>
      <c r="O59" s="261">
        <f t="shared" si="37"/>
        <v>0.27358167089713248</v>
      </c>
      <c r="P59" s="312">
        <f t="shared" si="37"/>
        <v>0.27358167089713248</v>
      </c>
    </row>
    <row r="60" spans="2:16" s="17" customFormat="1" ht="12" customHeight="1" x14ac:dyDescent="0.2">
      <c r="B60" s="306" t="s">
        <v>278</v>
      </c>
      <c r="C60" s="261">
        <f t="shared" ref="C60:P60" si="38">($C15-$C14)/3*0.1</f>
        <v>0</v>
      </c>
      <c r="D60" s="261">
        <f t="shared" si="38"/>
        <v>0</v>
      </c>
      <c r="E60" s="261">
        <f t="shared" si="38"/>
        <v>0</v>
      </c>
      <c r="F60" s="261">
        <f t="shared" si="38"/>
        <v>0</v>
      </c>
      <c r="G60" s="261">
        <f t="shared" si="38"/>
        <v>0</v>
      </c>
      <c r="H60" s="261">
        <f t="shared" si="38"/>
        <v>0</v>
      </c>
      <c r="I60" s="261">
        <f t="shared" si="38"/>
        <v>0</v>
      </c>
      <c r="J60" s="261">
        <f t="shared" si="38"/>
        <v>0</v>
      </c>
      <c r="K60" s="261">
        <f t="shared" si="38"/>
        <v>0</v>
      </c>
      <c r="L60" s="261">
        <f t="shared" si="38"/>
        <v>0</v>
      </c>
      <c r="M60" s="261">
        <f t="shared" si="38"/>
        <v>0</v>
      </c>
      <c r="N60" s="261">
        <f t="shared" si="38"/>
        <v>0</v>
      </c>
      <c r="O60" s="261">
        <f t="shared" si="38"/>
        <v>0</v>
      </c>
      <c r="P60" s="312">
        <f t="shared" si="38"/>
        <v>0</v>
      </c>
    </row>
    <row r="61" spans="2:16" s="17" customFormat="1" ht="12" customHeight="1" x14ac:dyDescent="0.2">
      <c r="B61" s="306" t="s">
        <v>279</v>
      </c>
      <c r="C61" s="306">
        <f>0.1*C5/C4+0.149</f>
        <v>0.16263002865717036</v>
      </c>
      <c r="D61" s="306" t="s">
        <v>280</v>
      </c>
      <c r="E61" s="306">
        <f>0.625*C5/C4+0.08</f>
        <v>0.16518767910731474</v>
      </c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13"/>
    </row>
    <row r="62" spans="2:16" s="17" customFormat="1" ht="12" customHeight="1" x14ac:dyDescent="0.2">
      <c r="B62" s="306" t="s">
        <v>281</v>
      </c>
      <c r="C62" s="306">
        <f>0.05*C5/C4+0.449</f>
        <v>0.45581501432858518</v>
      </c>
      <c r="D62" s="306" t="s">
        <v>282</v>
      </c>
      <c r="E62" s="306">
        <f>0.165-0.25*C5/C4</f>
        <v>0.13092492835707412</v>
      </c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13"/>
    </row>
    <row r="63" spans="2:16" s="17" customFormat="1" ht="12" customHeight="1" x14ac:dyDescent="0.2">
      <c r="B63" s="306" t="s">
        <v>283</v>
      </c>
      <c r="C63" s="306">
        <f>585-5027*C5/C4+11700*(C5/C4)^2</f>
        <v>117.17834640252971</v>
      </c>
      <c r="D63" s="306" t="s">
        <v>284</v>
      </c>
      <c r="E63" s="306">
        <f>825-8060*C5/C4+20300*(C5/C4)^2</f>
        <v>103.54838305849802</v>
      </c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13"/>
    </row>
    <row r="64" spans="2:16" s="17" customFormat="1" ht="12" customHeight="1" x14ac:dyDescent="0.2">
      <c r="B64" s="306" t="s">
        <v>285</v>
      </c>
      <c r="C64" s="261">
        <f>C61+C62/(C63*(0.98-C11)^3+1)</f>
        <v>0.24991880253088733</v>
      </c>
      <c r="D64" s="261" t="s">
        <v>286</v>
      </c>
      <c r="E64" s="261">
        <f>E61+E62/(E63*(0.98-C11)^3+1)</f>
        <v>0.19286248559132835</v>
      </c>
      <c r="F64" s="261"/>
      <c r="G64" s="261"/>
      <c r="H64" s="306"/>
      <c r="I64" s="306"/>
      <c r="J64" s="306"/>
      <c r="K64" s="306"/>
      <c r="L64" s="306"/>
      <c r="M64" s="306"/>
      <c r="N64" s="306"/>
      <c r="O64" s="306"/>
      <c r="P64" s="313"/>
    </row>
    <row r="65" spans="1:16" s="17" customFormat="1" ht="12" customHeight="1" x14ac:dyDescent="0.2">
      <c r="B65" s="306" t="s">
        <v>287</v>
      </c>
      <c r="C65" s="261">
        <f>0.025*C15/(100*(C11-0.7)^2+1)</f>
        <v>0</v>
      </c>
      <c r="D65" s="261" t="s">
        <v>288</v>
      </c>
      <c r="E65" s="261">
        <f>-0.01*C15</f>
        <v>0</v>
      </c>
      <c r="F65" s="261"/>
      <c r="G65" s="261"/>
      <c r="H65" s="306"/>
      <c r="I65" s="306"/>
      <c r="J65" s="306"/>
      <c r="K65" s="306"/>
      <c r="L65" s="306"/>
      <c r="M65" s="306"/>
      <c r="N65" s="306"/>
      <c r="O65" s="306"/>
      <c r="P65" s="313"/>
    </row>
    <row r="66" spans="1:16" s="17" customFormat="1" ht="12" customHeight="1" x14ac:dyDescent="0.2">
      <c r="B66" s="306" t="s">
        <v>289</v>
      </c>
      <c r="C66" s="261">
        <f>0.00756/(C18/C4+0.002)-0.18</f>
        <v>0.10623735526422862</v>
      </c>
      <c r="D66" s="261" t="s">
        <v>290</v>
      </c>
      <c r="E66" s="261">
        <f>2*(C18/C4-0.04)</f>
        <v>-3.1176705898352877E-2</v>
      </c>
      <c r="F66" s="261"/>
      <c r="G66" s="261"/>
      <c r="H66" s="306"/>
      <c r="I66" s="306"/>
      <c r="J66" s="306"/>
      <c r="K66" s="306"/>
      <c r="L66" s="306"/>
      <c r="M66" s="306"/>
      <c r="N66" s="306"/>
      <c r="O66" s="306"/>
      <c r="P66" s="313"/>
    </row>
    <row r="67" spans="1:16" s="17" customFormat="1" ht="12" customHeight="1" x14ac:dyDescent="0.2">
      <c r="B67" s="306" t="s">
        <v>291</v>
      </c>
      <c r="C67" s="261">
        <f>MIN(0.1,C66)</f>
        <v>0.1</v>
      </c>
      <c r="D67" s="261"/>
      <c r="E67" s="261"/>
      <c r="F67" s="261"/>
      <c r="G67" s="261"/>
      <c r="H67" s="306"/>
      <c r="I67" s="306"/>
      <c r="J67" s="306"/>
      <c r="K67" s="306"/>
      <c r="L67" s="306"/>
      <c r="M67" s="306"/>
      <c r="N67" s="306"/>
      <c r="O67" s="306"/>
      <c r="P67" s="313"/>
    </row>
    <row r="68" spans="1:16" s="17" customFormat="1" ht="12" customHeight="1" x14ac:dyDescent="0.2">
      <c r="B68" s="306" t="s">
        <v>292</v>
      </c>
      <c r="C68" s="261">
        <f>C64+C65+C67</f>
        <v>0.34991880253088736</v>
      </c>
      <c r="D68" s="261" t="s">
        <v>293</v>
      </c>
      <c r="E68" s="261">
        <f>E64+E65+E66</f>
        <v>0.16168577969297548</v>
      </c>
      <c r="F68" s="261" t="s">
        <v>294</v>
      </c>
      <c r="G68" s="261">
        <f>0.7*C11-0.2</f>
        <v>0.25480119081704478</v>
      </c>
      <c r="H68" s="306"/>
      <c r="I68" s="306"/>
      <c r="J68" s="306"/>
      <c r="K68" s="306"/>
      <c r="L68" s="306"/>
      <c r="M68" s="306"/>
      <c r="N68" s="306"/>
      <c r="O68" s="306"/>
      <c r="P68" s="313"/>
    </row>
    <row r="69" spans="1:16" s="17" customFormat="1" ht="12" customHeight="1" x14ac:dyDescent="0.2">
      <c r="B69" s="306" t="s">
        <v>295</v>
      </c>
      <c r="C69" s="261">
        <f>1.133*C11^2-0.797*C11+0.215</f>
        <v>0.1754506269248913</v>
      </c>
      <c r="D69" s="261" t="s">
        <v>296</v>
      </c>
      <c r="E69" s="261">
        <f>0.0665+0.62833*C69</f>
        <v>0.17674089241571694</v>
      </c>
      <c r="F69" s="261" t="s">
        <v>297</v>
      </c>
      <c r="G69" s="261">
        <f>0.19</f>
        <v>0.19</v>
      </c>
      <c r="H69" s="306"/>
      <c r="I69" s="306"/>
      <c r="J69" s="306"/>
      <c r="K69" s="306"/>
      <c r="L69" s="306"/>
      <c r="M69" s="306"/>
      <c r="N69" s="306"/>
      <c r="O69" s="306"/>
      <c r="P69" s="313"/>
    </row>
    <row r="70" spans="1:16" x14ac:dyDescent="0.2">
      <c r="A70" s="9" t="s">
        <v>298</v>
      </c>
      <c r="B70" s="306" t="s">
        <v>299</v>
      </c>
      <c r="C70" s="306">
        <f t="shared" ref="C70:P70" si="39">IF(C22&gt;$J9,0,IF($C17=1,0.2,0.1))</f>
        <v>0.2</v>
      </c>
      <c r="D70" s="306">
        <f t="shared" si="39"/>
        <v>0.2</v>
      </c>
      <c r="E70" s="306">
        <f t="shared" si="39"/>
        <v>0.2</v>
      </c>
      <c r="F70" s="306">
        <f t="shared" si="39"/>
        <v>0.2</v>
      </c>
      <c r="G70" s="306">
        <f t="shared" si="39"/>
        <v>0.2</v>
      </c>
      <c r="H70" s="306">
        <f t="shared" si="39"/>
        <v>0.2</v>
      </c>
      <c r="I70" s="306">
        <f t="shared" si="39"/>
        <v>0.2</v>
      </c>
      <c r="J70" s="306">
        <f t="shared" si="39"/>
        <v>0.2</v>
      </c>
      <c r="K70" s="306">
        <f t="shared" si="39"/>
        <v>0.2</v>
      </c>
      <c r="L70" s="306">
        <f t="shared" si="39"/>
        <v>0.2</v>
      </c>
      <c r="M70" s="306">
        <f t="shared" si="39"/>
        <v>0.2</v>
      </c>
      <c r="N70" s="306">
        <f t="shared" si="39"/>
        <v>0.2</v>
      </c>
      <c r="O70" s="306">
        <f t="shared" si="39"/>
        <v>0.2</v>
      </c>
      <c r="P70" s="306">
        <f t="shared" si="39"/>
        <v>0.2</v>
      </c>
    </row>
    <row r="72" spans="1:16" x14ac:dyDescent="0.2">
      <c r="A72" s="314" t="s">
        <v>300</v>
      </c>
    </row>
    <row r="73" spans="1:16" x14ac:dyDescent="0.2">
      <c r="A73" s="315">
        <v>36967</v>
      </c>
      <c r="B73" s="9" t="s">
        <v>301</v>
      </c>
    </row>
    <row r="74" spans="1:16" x14ac:dyDescent="0.2">
      <c r="A74" s="315">
        <v>38922</v>
      </c>
      <c r="B74" s="9" t="s">
        <v>302</v>
      </c>
    </row>
    <row r="75" spans="1:16" x14ac:dyDescent="0.2">
      <c r="A75" s="315">
        <v>38959</v>
      </c>
      <c r="B75" s="9" t="s">
        <v>303</v>
      </c>
    </row>
    <row r="76" spans="1:16" x14ac:dyDescent="0.2">
      <c r="A76" s="315">
        <v>39513</v>
      </c>
      <c r="B76" s="9" t="s">
        <v>304</v>
      </c>
    </row>
    <row r="103" spans="30:30" x14ac:dyDescent="0.2">
      <c r="AD103"/>
    </row>
    <row r="104" spans="30:30" x14ac:dyDescent="0.2">
      <c r="AD104"/>
    </row>
    <row r="105" spans="30:30" x14ac:dyDescent="0.2">
      <c r="AD105"/>
    </row>
    <row r="106" spans="30:30" x14ac:dyDescent="0.2">
      <c r="AD106"/>
    </row>
    <row r="107" spans="30:30" x14ac:dyDescent="0.2">
      <c r="AD107"/>
    </row>
    <row r="108" spans="30:30" x14ac:dyDescent="0.2">
      <c r="AD108"/>
    </row>
    <row r="109" spans="30:30" x14ac:dyDescent="0.2">
      <c r="AD109"/>
    </row>
    <row r="110" spans="30:30" x14ac:dyDescent="0.2">
      <c r="AD110"/>
    </row>
    <row r="111" spans="30:30" x14ac:dyDescent="0.2">
      <c r="AD111"/>
    </row>
    <row r="112" spans="30:30" x14ac:dyDescent="0.2">
      <c r="AD112"/>
    </row>
    <row r="113" spans="30:30" x14ac:dyDescent="0.2">
      <c r="AD113"/>
    </row>
    <row r="114" spans="30:30" x14ac:dyDescent="0.2">
      <c r="AD114"/>
    </row>
    <row r="115" spans="30:30" x14ac:dyDescent="0.2">
      <c r="AD115"/>
    </row>
    <row r="116" spans="30:30" x14ac:dyDescent="0.2">
      <c r="AD116"/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Q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5"/>
  <dimension ref="A1:AD79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136" customWidth="1"/>
    <col min="2" max="6" width="7.140625" style="136" customWidth="1"/>
    <col min="7" max="7" width="9" style="136" customWidth="1"/>
    <col min="8" max="8" width="6.42578125" style="136" customWidth="1"/>
    <col min="9" max="10" width="7.140625" style="136" customWidth="1"/>
    <col min="11" max="11" width="6.5703125" style="136" customWidth="1"/>
    <col min="12" max="13" width="6.42578125" style="136" customWidth="1"/>
    <col min="14" max="14" width="8.140625" style="136" customWidth="1"/>
    <col min="15" max="15" width="6.140625" style="136" customWidth="1"/>
    <col min="16" max="16" width="6.7109375" style="136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190">
        <v>1.0249999999999999</v>
      </c>
      <c r="D3" s="191"/>
      <c r="E3" s="192"/>
      <c r="F3" s="193"/>
      <c r="G3" s="194" t="s">
        <v>203</v>
      </c>
      <c r="H3" s="195"/>
      <c r="I3" s="195"/>
      <c r="J3" s="196">
        <v>1</v>
      </c>
      <c r="K3" s="197">
        <f>IF(J3=1,IF(C17=1,0.7*C71,IF(C16=1,C72,G71)),J3)</f>
        <v>0.24494316177162115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199">
        <f>'SHIP DATA'!C6</f>
        <v>410.19723000059423</v>
      </c>
      <c r="D4" s="200"/>
      <c r="E4" s="201"/>
      <c r="F4" s="202"/>
      <c r="G4" s="203" t="s">
        <v>206</v>
      </c>
      <c r="H4" s="204"/>
      <c r="I4" s="204"/>
      <c r="J4" s="196">
        <v>1</v>
      </c>
      <c r="K4" s="205">
        <f>IF(K15=1,0.25,IF(J4=1,IF(C17=1,E71,IF(C16=1,E72,G72)),J4))</f>
        <v>0.16168577969297548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199">
        <f>'SHIP DATA'!C8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1.1102663771299601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210">
        <f>'SHIP DATA'!C77</f>
        <v>13.280646410828696</v>
      </c>
      <c r="D6" s="200"/>
      <c r="E6" s="201"/>
      <c r="F6" s="202"/>
      <c r="G6" s="203" t="s">
        <v>210</v>
      </c>
      <c r="H6" s="204"/>
      <c r="I6" s="204"/>
      <c r="J6" s="196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214">
        <f>'SHIP DATA'!C75</f>
        <v>202837.77974012643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1.01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214">
        <f>'SHIP DATA'!C78</f>
        <v>24905.214188556361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24905.214188556361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190">
        <f>'SHIP DATA'!C29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228">
        <f>'SHIP DATA'!C79</f>
        <v>25.7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0.64971598688149257</v>
      </c>
      <c r="D11" s="200"/>
      <c r="E11" s="201"/>
      <c r="F11" s="201"/>
      <c r="G11" s="704"/>
      <c r="H11" s="704"/>
      <c r="I11" s="704"/>
      <c r="J11" s="704"/>
      <c r="K11" s="704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0.66297549681784962</v>
      </c>
      <c r="D12" s="200"/>
      <c r="E12" s="201"/>
      <c r="F12" s="202"/>
      <c r="G12" s="703" t="s">
        <v>222</v>
      </c>
      <c r="H12" s="230"/>
      <c r="I12" s="230"/>
      <c r="J12" s="230"/>
      <c r="K12" s="1113">
        <f>'SHIP DATA'!C80</f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7.0391096289887463</v>
      </c>
      <c r="D13" s="200"/>
      <c r="E13" s="201"/>
      <c r="F13" s="202"/>
      <c r="G13" s="234" t="s">
        <v>224</v>
      </c>
      <c r="H13" s="235"/>
      <c r="I13" s="234"/>
      <c r="J13" s="234"/>
      <c r="K13" s="231">
        <v>15</v>
      </c>
      <c r="L13" s="201"/>
      <c r="M13" s="227" t="s">
        <v>402</v>
      </c>
      <c r="N13" s="227"/>
      <c r="O13" s="1111">
        <f>IF('SHIP DATA'!C2&lt;500,2+(500-'SHIP DATA'!C2)/125,IF('SHIP DATA'!C2&lt;9000,7,IF('SHIP DATA'!C2&lt;12000,8,9)))</f>
        <v>9</v>
      </c>
      <c r="P13" s="206"/>
      <c r="Q13" s="17"/>
      <c r="R13" s="17"/>
      <c r="S13" s="17"/>
      <c r="T13" s="17"/>
      <c r="U13" s="174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236">
        <v>0</v>
      </c>
      <c r="D14" s="200"/>
      <c r="E14" s="201"/>
      <c r="F14" s="202"/>
      <c r="G14" s="237" t="s">
        <v>226</v>
      </c>
      <c r="H14" s="238"/>
      <c r="I14" s="238"/>
      <c r="J14" s="238"/>
      <c r="K14" s="231">
        <v>1</v>
      </c>
      <c r="L14" s="201"/>
      <c r="M14" s="227" t="s">
        <v>403</v>
      </c>
      <c r="N14" s="227"/>
      <c r="O14" s="1111">
        <f>IF('SHIP DATA'!C2&lt;2500,1.5,2)</f>
        <v>2</v>
      </c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236">
        <v>0</v>
      </c>
      <c r="D15" s="200"/>
      <c r="E15" s="201"/>
      <c r="F15" s="202"/>
      <c r="G15" s="237" t="s">
        <v>228</v>
      </c>
      <c r="H15" s="238"/>
      <c r="I15" s="238"/>
      <c r="J15" s="238"/>
      <c r="K15" s="231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DATA'!C51</f>
        <v>1</v>
      </c>
      <c r="D16" s="200"/>
      <c r="E16" s="201"/>
      <c r="F16" s="202"/>
      <c r="G16" s="237" t="s">
        <v>230</v>
      </c>
      <c r="H16" s="238"/>
      <c r="I16" s="238"/>
      <c r="J16" s="238"/>
      <c r="K16" s="239"/>
      <c r="L16" s="201"/>
      <c r="M16" s="523" t="s">
        <v>73</v>
      </c>
      <c r="N16" s="523"/>
      <c r="O16" s="529">
        <f>'SHIP DATA'!C42</f>
        <v>0.8</v>
      </c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DATA'!C50</f>
        <v>1</v>
      </c>
      <c r="D17" s="200"/>
      <c r="E17" s="201"/>
      <c r="F17" s="202"/>
      <c r="G17" s="237" t="s">
        <v>232</v>
      </c>
      <c r="H17" s="238"/>
      <c r="I17" s="238"/>
      <c r="J17" s="238"/>
      <c r="K17" s="722">
        <f>'SHIP DATA'!C53</f>
        <v>1</v>
      </c>
      <c r="L17" s="201"/>
      <c r="M17" s="227" t="s">
        <v>74</v>
      </c>
      <c r="N17" s="227"/>
      <c r="O17" s="524">
        <f>C5*(('SHIP DATA'!C9-C6)+2+O13*2.6+2*O14)</f>
        <v>2589.7150591705672</v>
      </c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199">
        <f>'SHIP DATA'!C52</f>
        <v>10.013590000000001</v>
      </c>
      <c r="D18" s="240">
        <f>C18/C6</f>
        <v>0.75399869029230215</v>
      </c>
      <c r="E18" s="241" t="s">
        <v>234</v>
      </c>
      <c r="F18" s="242"/>
      <c r="G18" s="237" t="s">
        <v>235</v>
      </c>
      <c r="H18" s="238"/>
      <c r="I18" s="238"/>
      <c r="J18" s="238"/>
      <c r="K18" s="231">
        <f>'SHIP DATA'!C46</f>
        <v>0</v>
      </c>
      <c r="L18" s="201"/>
      <c r="M18" s="227" t="s">
        <v>75</v>
      </c>
      <c r="N18" s="227"/>
      <c r="O18" s="525">
        <f>'SHIP DATA'!C43</f>
        <v>0</v>
      </c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244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598" t="s">
        <v>240</v>
      </c>
      <c r="C21" s="603">
        <f t="shared" ref="C21:J21" si="0">D21-0.5</f>
        <v>21.7</v>
      </c>
      <c r="D21" s="257">
        <f t="shared" si="0"/>
        <v>22.2</v>
      </c>
      <c r="E21" s="257">
        <f t="shared" si="0"/>
        <v>22.7</v>
      </c>
      <c r="F21" s="257">
        <f t="shared" si="0"/>
        <v>23.2</v>
      </c>
      <c r="G21" s="257">
        <f t="shared" si="0"/>
        <v>23.7</v>
      </c>
      <c r="H21" s="257">
        <f t="shared" si="0"/>
        <v>24.2</v>
      </c>
      <c r="I21" s="257">
        <f t="shared" si="0"/>
        <v>24.7</v>
      </c>
      <c r="J21" s="257">
        <f t="shared" si="0"/>
        <v>25.2</v>
      </c>
      <c r="K21" s="257">
        <f>P10</f>
        <v>25.7</v>
      </c>
      <c r="L21" s="258">
        <f>M21-0.01</f>
        <v>25.689999999999998</v>
      </c>
      <c r="M21" s="258">
        <f>P10</f>
        <v>25.7</v>
      </c>
      <c r="N21" s="258">
        <f>M21+0.01</f>
        <v>25.71</v>
      </c>
      <c r="O21" s="257">
        <f>N21+0.5</f>
        <v>26.21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517" t="s">
        <v>193</v>
      </c>
      <c r="C22" s="260">
        <f t="shared" ref="C22:O22" si="1">C21*0.5144/SQRT(9.81*$C4)</f>
        <v>0.17596643212314364</v>
      </c>
      <c r="D22" s="261">
        <f t="shared" si="1"/>
        <v>0.18002095820893038</v>
      </c>
      <c r="E22" s="261">
        <f t="shared" si="1"/>
        <v>0.18407548429471707</v>
      </c>
      <c r="F22" s="261">
        <f t="shared" si="1"/>
        <v>0.18813001038050378</v>
      </c>
      <c r="G22" s="261">
        <f t="shared" si="1"/>
        <v>0.19218453646629052</v>
      </c>
      <c r="H22" s="261">
        <f t="shared" si="1"/>
        <v>0.19623906255207724</v>
      </c>
      <c r="I22" s="261">
        <f t="shared" si="1"/>
        <v>0.20029358863786395</v>
      </c>
      <c r="J22" s="229">
        <f t="shared" si="1"/>
        <v>0.20434811472365066</v>
      </c>
      <c r="K22" s="229">
        <f t="shared" si="1"/>
        <v>0.20840264080943741</v>
      </c>
      <c r="L22" s="262">
        <f t="shared" si="1"/>
        <v>0.20832155028772165</v>
      </c>
      <c r="M22" s="262">
        <f t="shared" si="1"/>
        <v>0.20840264080943741</v>
      </c>
      <c r="N22" s="262">
        <f t="shared" si="1"/>
        <v>0.20848373133115314</v>
      </c>
      <c r="O22" s="263">
        <f t="shared" si="1"/>
        <v>0.21253825741693988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517" t="s">
        <v>193</v>
      </c>
      <c r="C23" s="260">
        <f t="shared" ref="C23:P23" si="2">75/(LOG10(C21*0.5144*$C4*1000000/((43.4233-31.38*$C3)*($K13+20)^(1.72*$C3-2.202)+4.7478-5.779*$C3))-2)^2</f>
        <v>1.3033351933391213</v>
      </c>
      <c r="D23" s="229">
        <f t="shared" si="2"/>
        <v>1.2999422768502304</v>
      </c>
      <c r="E23" s="229">
        <f t="shared" si="2"/>
        <v>1.2966377261744393</v>
      </c>
      <c r="F23" s="229">
        <f t="shared" si="2"/>
        <v>1.2934173525932318</v>
      </c>
      <c r="G23" s="229">
        <f t="shared" si="2"/>
        <v>1.2902772512861549</v>
      </c>
      <c r="H23" s="229">
        <f t="shared" si="2"/>
        <v>1.2872137765538754</v>
      </c>
      <c r="I23" s="229">
        <f t="shared" si="2"/>
        <v>1.2842235196666083</v>
      </c>
      <c r="J23" s="229">
        <f t="shared" si="2"/>
        <v>1.2813032890126694</v>
      </c>
      <c r="K23" s="229">
        <f t="shared" si="2"/>
        <v>1.2784500922677826</v>
      </c>
      <c r="L23" s="262">
        <f t="shared" si="2"/>
        <v>1.2785065177270525</v>
      </c>
      <c r="M23" s="262">
        <f t="shared" si="2"/>
        <v>1.2784500922677826</v>
      </c>
      <c r="N23" s="262">
        <f t="shared" si="2"/>
        <v>1.2783936924928245</v>
      </c>
      <c r="O23" s="263">
        <f t="shared" si="2"/>
        <v>1.2756059775951494</v>
      </c>
      <c r="P23" s="265">
        <f t="shared" si="2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517" t="s">
        <v>193</v>
      </c>
      <c r="C24" s="266">
        <f>C46</f>
        <v>0.716495488166216</v>
      </c>
      <c r="D24" s="268">
        <f t="shared" ref="D24:O24" si="3">D46</f>
        <v>0.7244106621413493</v>
      </c>
      <c r="E24" s="268">
        <f t="shared" si="3"/>
        <v>0.73291609125514956</v>
      </c>
      <c r="F24" s="268">
        <f t="shared" si="3"/>
        <v>0.74208007005863086</v>
      </c>
      <c r="G24" s="268">
        <f t="shared" si="3"/>
        <v>0.75198168470005256</v>
      </c>
      <c r="H24" s="268">
        <f t="shared" si="3"/>
        <v>0.76271279268067138</v>
      </c>
      <c r="I24" s="268">
        <f t="shared" si="3"/>
        <v>0.77438040502237537</v>
      </c>
      <c r="J24" s="268">
        <f t="shared" si="3"/>
        <v>0.78710955910329516</v>
      </c>
      <c r="K24" s="268">
        <f t="shared" si="3"/>
        <v>0.80104679014653524</v>
      </c>
      <c r="L24" s="262">
        <f t="shared" si="3"/>
        <v>0.80075513942126519</v>
      </c>
      <c r="M24" s="262">
        <f t="shared" si="3"/>
        <v>0.80104679014653524</v>
      </c>
      <c r="N24" s="262">
        <f t="shared" si="3"/>
        <v>0.80133899197529213</v>
      </c>
      <c r="O24" s="269">
        <f t="shared" si="3"/>
        <v>0.81668609949053561</v>
      </c>
      <c r="P24" s="264">
        <f>P53+P55+P57+P61+P62+P63</f>
        <v>3.0538453690383784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517" t="s">
        <v>193</v>
      </c>
      <c r="C25" s="266">
        <f>$K14*(IF($C16=2,0.52-2.6*C22,MAX(-50,(250*C22-90))/100*C24))</f>
        <v>-0.32964805263724661</v>
      </c>
      <c r="D25" s="268">
        <f>$K14*(IF($C16=2,0.52-2.6*D22,MAX(-50,(250*D22-90))/100*D24))</f>
        <v>-0.32594684208858582</v>
      </c>
      <c r="E25" s="268">
        <f t="shared" ref="E25:P25" si="4">$K14*(IF($C16=2,0.52-2.6*E22,MAX(-50,(250*E22-90))/100*E24))</f>
        <v>-0.32234477101667786</v>
      </c>
      <c r="F25" s="268">
        <f t="shared" si="4"/>
        <v>-0.31885323484452976</v>
      </c>
      <c r="G25" s="268">
        <f t="shared" si="4"/>
        <v>-0.31548538746699772</v>
      </c>
      <c r="H25" s="268">
        <f t="shared" si="4"/>
        <v>-0.31225640483227479</v>
      </c>
      <c r="I25" s="268">
        <f t="shared" si="4"/>
        <v>-0.30918378878820246</v>
      </c>
      <c r="J25" s="268">
        <f t="shared" si="4"/>
        <v>-0.30628771698365997</v>
      </c>
      <c r="K25" s="268">
        <f t="shared" si="4"/>
        <v>-0.30359144493572882</v>
      </c>
      <c r="L25" s="262">
        <f t="shared" si="4"/>
        <v>-0.30364324536639209</v>
      </c>
      <c r="M25" s="262">
        <f t="shared" si="4"/>
        <v>-0.30359144493572882</v>
      </c>
      <c r="N25" s="262">
        <f t="shared" si="4"/>
        <v>-0.30353973500737819</v>
      </c>
      <c r="O25" s="268">
        <f t="shared" si="4"/>
        <v>-0.30107488843559199</v>
      </c>
      <c r="P25" s="270">
        <f t="shared" si="4"/>
        <v>-0.30538453690383788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517"/>
      <c r="C26" s="266">
        <f>IF($C17=2,IF($C16=1,0.3,0),0)</f>
        <v>0</v>
      </c>
      <c r="D26" s="268">
        <f t="shared" ref="D26:P26" si="5">IF($C17=2,IF($C16=1,0.3,0),0)</f>
        <v>0</v>
      </c>
      <c r="E26" s="268">
        <f t="shared" si="5"/>
        <v>0</v>
      </c>
      <c r="F26" s="268">
        <f t="shared" si="5"/>
        <v>0</v>
      </c>
      <c r="G26" s="268">
        <f t="shared" si="5"/>
        <v>0</v>
      </c>
      <c r="H26" s="268">
        <f t="shared" si="5"/>
        <v>0</v>
      </c>
      <c r="I26" s="268">
        <f t="shared" si="5"/>
        <v>0</v>
      </c>
      <c r="J26" s="268">
        <f t="shared" si="5"/>
        <v>0</v>
      </c>
      <c r="K26" s="268">
        <f t="shared" si="5"/>
        <v>0</v>
      </c>
      <c r="L26" s="262">
        <f t="shared" si="5"/>
        <v>0</v>
      </c>
      <c r="M26" s="262">
        <f t="shared" si="5"/>
        <v>0</v>
      </c>
      <c r="N26" s="262">
        <f t="shared" si="5"/>
        <v>0</v>
      </c>
      <c r="O26" s="269">
        <f t="shared" si="5"/>
        <v>0</v>
      </c>
      <c r="P26" s="270">
        <f t="shared" si="5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517" t="s">
        <v>193</v>
      </c>
      <c r="C27" s="266">
        <f>MAX(0.09,0.28*'SHIP DATA'!C2^(-0.126))</f>
        <v>0.09</v>
      </c>
      <c r="D27" s="268">
        <f t="shared" ref="D27:P27" si="6">C27</f>
        <v>0.09</v>
      </c>
      <c r="E27" s="268">
        <f t="shared" si="6"/>
        <v>0.09</v>
      </c>
      <c r="F27" s="268">
        <f t="shared" si="6"/>
        <v>0.09</v>
      </c>
      <c r="G27" s="268">
        <f t="shared" si="6"/>
        <v>0.09</v>
      </c>
      <c r="H27" s="268">
        <f t="shared" si="6"/>
        <v>0.09</v>
      </c>
      <c r="I27" s="268">
        <f t="shared" si="6"/>
        <v>0.09</v>
      </c>
      <c r="J27" s="268">
        <f t="shared" si="6"/>
        <v>0.09</v>
      </c>
      <c r="K27" s="268">
        <f t="shared" si="6"/>
        <v>0.09</v>
      </c>
      <c r="L27" s="262">
        <f t="shared" si="6"/>
        <v>0.09</v>
      </c>
      <c r="M27" s="262">
        <f t="shared" si="6"/>
        <v>0.09</v>
      </c>
      <c r="N27" s="262">
        <f t="shared" si="6"/>
        <v>0.09</v>
      </c>
      <c r="O27" s="269">
        <f t="shared" si="6"/>
        <v>0.09</v>
      </c>
      <c r="P27" s="270">
        <f t="shared" si="6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517" t="s">
        <v>193</v>
      </c>
      <c r="C28" s="260">
        <f t="shared" ref="C28:O28" si="7">0.5*LOG10($C7)-0.1*(LOG10($C7))^2</f>
        <v>-0.16300846554999193</v>
      </c>
      <c r="D28" s="229">
        <f t="shared" si="7"/>
        <v>-0.16300846554999193</v>
      </c>
      <c r="E28" s="229">
        <f t="shared" si="7"/>
        <v>-0.16300846554999193</v>
      </c>
      <c r="F28" s="229">
        <f t="shared" si="7"/>
        <v>-0.16300846554999193</v>
      </c>
      <c r="G28" s="229">
        <f t="shared" si="7"/>
        <v>-0.16300846554999193</v>
      </c>
      <c r="H28" s="229">
        <f t="shared" si="7"/>
        <v>-0.16300846554999193</v>
      </c>
      <c r="I28" s="229">
        <f t="shared" si="7"/>
        <v>-0.16300846554999193</v>
      </c>
      <c r="J28" s="229">
        <f t="shared" si="7"/>
        <v>-0.16300846554999193</v>
      </c>
      <c r="K28" s="229">
        <f t="shared" si="7"/>
        <v>-0.16300846554999193</v>
      </c>
      <c r="L28" s="262">
        <f t="shared" si="7"/>
        <v>-0.16300846554999193</v>
      </c>
      <c r="M28" s="262">
        <f t="shared" si="7"/>
        <v>-0.16300846554999193</v>
      </c>
      <c r="N28" s="262">
        <f t="shared" si="7"/>
        <v>-0.16300846554999193</v>
      </c>
      <c r="O28" s="263">
        <f t="shared" si="7"/>
        <v>-0.16300846554999193</v>
      </c>
      <c r="P28" s="265">
        <f>0.5*LOG10($C7)-0.1*(LOG10($C7))^2</f>
        <v>-0.16300846554999193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517" t="s">
        <v>193</v>
      </c>
      <c r="C29" s="266">
        <f t="shared" ref="C29:O29" si="8">C23+C24+C25+C26+C27+C28</f>
        <v>1.6171741633180987</v>
      </c>
      <c r="D29" s="268">
        <f t="shared" si="8"/>
        <v>1.6253976313530023</v>
      </c>
      <c r="E29" s="268">
        <f t="shared" si="8"/>
        <v>1.6342005808629192</v>
      </c>
      <c r="F29" s="268">
        <f t="shared" si="8"/>
        <v>1.643635722257341</v>
      </c>
      <c r="G29" s="268">
        <f t="shared" si="8"/>
        <v>1.6537650829692179</v>
      </c>
      <c r="H29" s="268">
        <f t="shared" si="8"/>
        <v>1.66466169885228</v>
      </c>
      <c r="I29" s="268">
        <f t="shared" si="8"/>
        <v>1.6764116703507894</v>
      </c>
      <c r="J29" s="268">
        <f t="shared" si="8"/>
        <v>1.6891166655823127</v>
      </c>
      <c r="K29" s="268">
        <f t="shared" si="8"/>
        <v>1.7028969719285971</v>
      </c>
      <c r="L29" s="262">
        <f t="shared" si="8"/>
        <v>1.7026099462319337</v>
      </c>
      <c r="M29" s="262">
        <f t="shared" si="8"/>
        <v>1.7028969719285971</v>
      </c>
      <c r="N29" s="262">
        <f t="shared" si="8"/>
        <v>1.7031844839107466</v>
      </c>
      <c r="O29" s="269">
        <f t="shared" si="8"/>
        <v>1.7182087231001011</v>
      </c>
      <c r="P29" s="265">
        <f>P23+P24+P25+P27+P28</f>
        <v>3.8939241964083564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8" customFormat="1" ht="12" customHeight="1" x14ac:dyDescent="0.2">
      <c r="A30" s="509" t="s">
        <v>69</v>
      </c>
      <c r="B30" s="518" t="s">
        <v>250</v>
      </c>
      <c r="C30" s="530">
        <f>0.00062*$O17*$O16*((C21*0.5144+$O18)^2-(C21*0.5144)^2)</f>
        <v>0</v>
      </c>
      <c r="D30" s="511">
        <f t="shared" ref="D30:O30" si="9">0.00062*$O17*$O16*((D21*0.5144+$O18)^2-(D21*0.5144)^2)</f>
        <v>0</v>
      </c>
      <c r="E30" s="511">
        <f t="shared" si="9"/>
        <v>0</v>
      </c>
      <c r="F30" s="511">
        <f t="shared" si="9"/>
        <v>0</v>
      </c>
      <c r="G30" s="511">
        <f t="shared" si="9"/>
        <v>0</v>
      </c>
      <c r="H30" s="511">
        <f t="shared" si="9"/>
        <v>0</v>
      </c>
      <c r="I30" s="511">
        <f t="shared" si="9"/>
        <v>0</v>
      </c>
      <c r="J30" s="511">
        <f t="shared" si="9"/>
        <v>0</v>
      </c>
      <c r="K30" s="511">
        <f t="shared" si="9"/>
        <v>0</v>
      </c>
      <c r="L30" s="511">
        <f t="shared" si="9"/>
        <v>0</v>
      </c>
      <c r="M30" s="511">
        <f t="shared" si="9"/>
        <v>0</v>
      </c>
      <c r="N30" s="511">
        <f t="shared" si="9"/>
        <v>0</v>
      </c>
      <c r="O30" s="519">
        <f t="shared" si="9"/>
        <v>0</v>
      </c>
      <c r="P30" s="26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s="18" customFormat="1" ht="12" customHeight="1" x14ac:dyDescent="0.2">
      <c r="A31" s="509" t="s">
        <v>70</v>
      </c>
      <c r="B31" s="518" t="s">
        <v>196</v>
      </c>
      <c r="C31" s="531">
        <f>C30/C32*100</f>
        <v>0</v>
      </c>
      <c r="D31" s="513">
        <f t="shared" ref="D31:O31" si="10">D30/D32*100</f>
        <v>0</v>
      </c>
      <c r="E31" s="513">
        <f t="shared" si="10"/>
        <v>0</v>
      </c>
      <c r="F31" s="513">
        <f t="shared" si="10"/>
        <v>0</v>
      </c>
      <c r="G31" s="513">
        <f t="shared" si="10"/>
        <v>0</v>
      </c>
      <c r="H31" s="513">
        <f t="shared" si="10"/>
        <v>0</v>
      </c>
      <c r="I31" s="513">
        <f t="shared" si="10"/>
        <v>0</v>
      </c>
      <c r="J31" s="513">
        <f t="shared" si="10"/>
        <v>0</v>
      </c>
      <c r="K31" s="513">
        <f t="shared" si="10"/>
        <v>0</v>
      </c>
      <c r="L31" s="513">
        <f t="shared" si="10"/>
        <v>0</v>
      </c>
      <c r="M31" s="513">
        <f t="shared" si="10"/>
        <v>0</v>
      </c>
      <c r="N31" s="513">
        <f t="shared" si="10"/>
        <v>0</v>
      </c>
      <c r="O31" s="520">
        <f t="shared" si="10"/>
        <v>0</v>
      </c>
      <c r="P31" s="265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s="18" customFormat="1" ht="12" customHeight="1" x14ac:dyDescent="0.2">
      <c r="A32" s="509" t="s">
        <v>71</v>
      </c>
      <c r="B32" s="518" t="s">
        <v>250</v>
      </c>
      <c r="C32" s="532">
        <f>($C9*$C3*C21^2*0.0001323*C29*$K19/100)+C30</f>
        <v>2571.8773433457704</v>
      </c>
      <c r="D32" s="514">
        <f t="shared" ref="D32:O32" si="11">($C9*$C3*D21^2*0.0001323*D29*$K19/100)+D30</f>
        <v>2705.4503117299646</v>
      </c>
      <c r="E32" s="514">
        <f t="shared" si="11"/>
        <v>2844.0096494303907</v>
      </c>
      <c r="F32" s="514">
        <f t="shared" si="11"/>
        <v>2987.8275808762091</v>
      </c>
      <c r="G32" s="514">
        <f t="shared" si="11"/>
        <v>3137.2165746705659</v>
      </c>
      <c r="H32" s="514">
        <f t="shared" si="11"/>
        <v>3292.5373472487845</v>
      </c>
      <c r="I32" s="514">
        <f t="shared" si="11"/>
        <v>3454.2086921532386</v>
      </c>
      <c r="J32" s="514">
        <f t="shared" si="11"/>
        <v>3622.7195862371927</v>
      </c>
      <c r="K32" s="514">
        <f t="shared" si="11"/>
        <v>3798.6441412361828</v>
      </c>
      <c r="L32" s="514">
        <f t="shared" si="11"/>
        <v>3795.0488043754249</v>
      </c>
      <c r="M32" s="514">
        <f t="shared" si="11"/>
        <v>3798.6441412361828</v>
      </c>
      <c r="N32" s="514">
        <f t="shared" si="11"/>
        <v>3802.2427104705739</v>
      </c>
      <c r="O32" s="522">
        <f t="shared" si="11"/>
        <v>3986.4282526565967</v>
      </c>
      <c r="P32" s="26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16" s="17" customFormat="1" ht="12" customHeight="1" x14ac:dyDescent="0.2">
      <c r="A33" s="188" t="s">
        <v>249</v>
      </c>
      <c r="B33" s="517" t="s">
        <v>250</v>
      </c>
      <c r="C33" s="272">
        <f>($C9*$C3*C21^2*0.0001323*C29*$K19/100)*(1+$K12/100)+C30</f>
        <v>2571.8773433457704</v>
      </c>
      <c r="D33" s="273">
        <f t="shared" ref="D33:P33" si="12">($C9*$C3*D21^2*0.0001323*D29*$K19/100)*(1+$K12/100)+D30</f>
        <v>2705.4503117299646</v>
      </c>
      <c r="E33" s="273">
        <f t="shared" si="12"/>
        <v>2844.0096494303907</v>
      </c>
      <c r="F33" s="273">
        <f t="shared" si="12"/>
        <v>2987.8275808762091</v>
      </c>
      <c r="G33" s="273">
        <f t="shared" si="12"/>
        <v>3137.2165746705659</v>
      </c>
      <c r="H33" s="273">
        <f t="shared" si="12"/>
        <v>3292.5373472487845</v>
      </c>
      <c r="I33" s="273">
        <f t="shared" si="12"/>
        <v>3454.2086921532386</v>
      </c>
      <c r="J33" s="273">
        <f t="shared" si="12"/>
        <v>3622.7195862371927</v>
      </c>
      <c r="K33" s="273">
        <f t="shared" si="12"/>
        <v>3798.6441412361828</v>
      </c>
      <c r="L33" s="274">
        <f t="shared" si="12"/>
        <v>3795.0488043754249</v>
      </c>
      <c r="M33" s="274">
        <f t="shared" si="12"/>
        <v>3798.6441412361828</v>
      </c>
      <c r="N33" s="274">
        <f t="shared" si="12"/>
        <v>3802.2427104705739</v>
      </c>
      <c r="O33" s="393">
        <f t="shared" si="12"/>
        <v>3986.4282526565967</v>
      </c>
      <c r="P33" s="275">
        <f t="shared" si="12"/>
        <v>20479.589675263574</v>
      </c>
    </row>
    <row r="34" spans="1:16" s="17" customFormat="1" ht="12" customHeight="1" x14ac:dyDescent="0.2">
      <c r="A34" s="188" t="s">
        <v>251</v>
      </c>
      <c r="B34" s="517" t="s">
        <v>252</v>
      </c>
      <c r="C34" s="276">
        <f t="shared" ref="C34:P34" si="13">C33*C21*0.5144</f>
        <v>28708.529407550293</v>
      </c>
      <c r="D34" s="277">
        <f t="shared" si="13"/>
        <v>30895.376815856438</v>
      </c>
      <c r="E34" s="277">
        <f t="shared" si="13"/>
        <v>33209.159395240735</v>
      </c>
      <c r="F34" s="277">
        <f t="shared" si="13"/>
        <v>35656.973376383146</v>
      </c>
      <c r="G34" s="277">
        <f t="shared" si="13"/>
        <v>38246.685682449774</v>
      </c>
      <c r="H34" s="277">
        <f t="shared" si="13"/>
        <v>40987.085316479548</v>
      </c>
      <c r="I34" s="277">
        <f t="shared" si="13"/>
        <v>43888.07029571756</v>
      </c>
      <c r="J34" s="219">
        <f t="shared" si="13"/>
        <v>46960.879270042373</v>
      </c>
      <c r="K34" s="219">
        <f t="shared" si="13"/>
        <v>50218.379438673634</v>
      </c>
      <c r="L34" s="278">
        <f t="shared" si="13"/>
        <v>50151.327066697755</v>
      </c>
      <c r="M34" s="278">
        <f t="shared" si="13"/>
        <v>50218.379438673634</v>
      </c>
      <c r="N34" s="278">
        <f t="shared" si="13"/>
        <v>50285.511548340488</v>
      </c>
      <c r="O34" s="150">
        <f t="shared" si="13"/>
        <v>53746.715947895362</v>
      </c>
      <c r="P34" s="275">
        <f t="shared" si="13"/>
        <v>415721.12571717176</v>
      </c>
    </row>
    <row r="35" spans="1:16" s="17" customFormat="1" ht="12" customHeight="1" x14ac:dyDescent="0.2">
      <c r="A35" s="188" t="s">
        <v>253</v>
      </c>
      <c r="B35" s="517" t="s">
        <v>193</v>
      </c>
      <c r="C35" s="260">
        <f t="shared" ref="C35:P35" si="14">C39*$J6*IF($K17=3,1,$K5*$J7)</f>
        <v>0.71771299302880731</v>
      </c>
      <c r="D35" s="261">
        <f t="shared" si="14"/>
        <v>0.71709252106588206</v>
      </c>
      <c r="E35" s="261">
        <f t="shared" si="14"/>
        <v>0.71643018008020221</v>
      </c>
      <c r="F35" s="261">
        <f t="shared" si="14"/>
        <v>0.71572238902226792</v>
      </c>
      <c r="G35" s="261">
        <f t="shared" si="14"/>
        <v>0.71496494340855776</v>
      </c>
      <c r="H35" s="261">
        <f t="shared" si="14"/>
        <v>0.71415290871109482</v>
      </c>
      <c r="I35" s="261">
        <f t="shared" si="14"/>
        <v>0.71328049240543812</v>
      </c>
      <c r="J35" s="229">
        <f t="shared" si="14"/>
        <v>0.71234089048182414</v>
      </c>
      <c r="K35" s="229">
        <f t="shared" si="14"/>
        <v>0.71132610345553604</v>
      </c>
      <c r="L35" s="262">
        <f t="shared" si="14"/>
        <v>0.71134719432959503</v>
      </c>
      <c r="M35" s="262">
        <f t="shared" si="14"/>
        <v>0.71132610345553604</v>
      </c>
      <c r="N35" s="262">
        <f t="shared" si="14"/>
        <v>0.71130497879706034</v>
      </c>
      <c r="O35" s="263">
        <f t="shared" si="14"/>
        <v>0.71020379234994335</v>
      </c>
      <c r="P35" s="264">
        <f t="shared" si="14"/>
        <v>0.58999663983599326</v>
      </c>
    </row>
    <row r="36" spans="1:16" s="17" customFormat="1" ht="12" customHeight="1" x14ac:dyDescent="0.2">
      <c r="A36" s="279" t="s">
        <v>254</v>
      </c>
      <c r="B36" s="600" t="s">
        <v>252</v>
      </c>
      <c r="C36" s="281">
        <f t="shared" ref="C36:P36" si="15">C34/C35</f>
        <v>40000.01349619987</v>
      </c>
      <c r="D36" s="282">
        <f t="shared" si="15"/>
        <v>43084.226802329125</v>
      </c>
      <c r="E36" s="282">
        <f t="shared" si="15"/>
        <v>46353.657786335956</v>
      </c>
      <c r="F36" s="282">
        <f t="shared" si="15"/>
        <v>49819.558425569623</v>
      </c>
      <c r="G36" s="282">
        <f t="shared" si="15"/>
        <v>53494.490932815126</v>
      </c>
      <c r="H36" s="282">
        <f t="shared" si="15"/>
        <v>57392.590321382508</v>
      </c>
      <c r="I36" s="282">
        <f t="shared" si="15"/>
        <v>61529.890082527309</v>
      </c>
      <c r="J36" s="283">
        <f t="shared" si="15"/>
        <v>65924.727749769139</v>
      </c>
      <c r="K36" s="283">
        <f t="shared" si="15"/>
        <v>70598.251905446508</v>
      </c>
      <c r="L36" s="284">
        <f t="shared" si="15"/>
        <v>70501.89761971659</v>
      </c>
      <c r="M36" s="284">
        <f t="shared" si="15"/>
        <v>70598.251905446508</v>
      </c>
      <c r="N36" s="284">
        <f t="shared" si="15"/>
        <v>70694.727363474914</v>
      </c>
      <c r="O36" s="285">
        <f t="shared" si="15"/>
        <v>75677.877993380796</v>
      </c>
      <c r="P36" s="275">
        <f t="shared" si="15"/>
        <v>704616.09041152091</v>
      </c>
    </row>
    <row r="37" spans="1:16" s="17" customFormat="1" ht="12" customHeight="1" x14ac:dyDescent="0.2">
      <c r="A37" s="17" t="s">
        <v>255</v>
      </c>
      <c r="B37" s="517" t="s">
        <v>193</v>
      </c>
      <c r="C37" s="286">
        <f t="shared" ref="C37:P37" si="16">2.54648*C33/(1-$K4)/$C17/$C3/(C40*$C18)^2/$J7</f>
        <v>1.0594443787521206</v>
      </c>
      <c r="D37" s="287">
        <f t="shared" si="16"/>
        <v>1.0648317434411223</v>
      </c>
      <c r="E37" s="287">
        <f t="shared" si="16"/>
        <v>1.0705987384786788</v>
      </c>
      <c r="F37" s="287">
        <f t="shared" si="16"/>
        <v>1.0767798955487018</v>
      </c>
      <c r="G37" s="287">
        <f t="shared" si="16"/>
        <v>1.0834158501106588</v>
      </c>
      <c r="H37" s="287">
        <f t="shared" si="16"/>
        <v>1.0905544494690889</v>
      </c>
      <c r="I37" s="287">
        <f t="shared" si="16"/>
        <v>1.0982520998131005</v>
      </c>
      <c r="J37" s="233">
        <f t="shared" si="16"/>
        <v>1.1065754060378876</v>
      </c>
      <c r="K37" s="233">
        <f t="shared" si="16"/>
        <v>1.1156031709052767</v>
      </c>
      <c r="L37" s="288">
        <f t="shared" si="16"/>
        <v>1.11541513441064</v>
      </c>
      <c r="M37" s="288">
        <f t="shared" si="16"/>
        <v>1.1156031709052767</v>
      </c>
      <c r="N37" s="288">
        <f t="shared" si="16"/>
        <v>1.1157915259756346</v>
      </c>
      <c r="O37" s="289">
        <f t="shared" si="16"/>
        <v>1.125634217081662</v>
      </c>
      <c r="P37" s="290">
        <f t="shared" si="16"/>
        <v>2.5509906074106841</v>
      </c>
    </row>
    <row r="38" spans="1:16" x14ac:dyDescent="0.2">
      <c r="A38" s="17" t="s">
        <v>256</v>
      </c>
      <c r="B38" s="601" t="s">
        <v>193</v>
      </c>
      <c r="C38" s="286">
        <f t="shared" ref="C38:P38" si="17">(1.3+0.3*$C19)*C33/(1-$K4)/$C17/(99.6+$C3*9.81*0.65*$C18)/$C18^2+C73</f>
        <v>0.6634401837901891</v>
      </c>
      <c r="D38" s="287">
        <f t="shared" si="17"/>
        <v>0.68750940356753754</v>
      </c>
      <c r="E38" s="287">
        <f t="shared" si="17"/>
        <v>0.71247714360999082</v>
      </c>
      <c r="F38" s="287">
        <f t="shared" si="17"/>
        <v>0.73839245747751292</v>
      </c>
      <c r="G38" s="287">
        <f t="shared" si="17"/>
        <v>0.76531165054067141</v>
      </c>
      <c r="H38" s="287">
        <f t="shared" si="17"/>
        <v>0.79329972220214584</v>
      </c>
      <c r="I38" s="287">
        <f t="shared" si="17"/>
        <v>0.82243213708576435</v>
      </c>
      <c r="J38" s="233">
        <f t="shared" si="17"/>
        <v>0.85279700651741575</v>
      </c>
      <c r="K38" s="233">
        <f t="shared" si="17"/>
        <v>0.88449778272779112</v>
      </c>
      <c r="L38" s="288">
        <f t="shared" si="17"/>
        <v>0.88384991995943296</v>
      </c>
      <c r="M38" s="288">
        <f t="shared" si="17"/>
        <v>0.88449778272779112</v>
      </c>
      <c r="N38" s="288">
        <f t="shared" si="17"/>
        <v>0.88514622795465359</v>
      </c>
      <c r="O38" s="289">
        <f t="shared" si="17"/>
        <v>0.91833559514708041</v>
      </c>
      <c r="P38" s="290">
        <f t="shared" si="17"/>
        <v>3.8903256011053897</v>
      </c>
    </row>
    <row r="39" spans="1:16" s="17" customFormat="1" ht="12" customHeight="1" thickBot="1" x14ac:dyDescent="0.25">
      <c r="A39" s="17" t="s">
        <v>257</v>
      </c>
      <c r="B39" s="602" t="s">
        <v>193</v>
      </c>
      <c r="C39" s="293">
        <f>(1+$K18/100)*IF($K17=3,1/(1+16.8/C21),IF($K17=1,0.81-0.014*C37,0.00098*C37^3-0.018542*C37^2+0.11195*C37+0.634)/(1+SQRT(1+C37))*2)</f>
        <v>0.6530947174888676</v>
      </c>
      <c r="D39" s="294">
        <f t="shared" ref="D39:P39" si="18">(1+$K18/100)*IF($K17=3,1/(1+16.8/D21),IF($K17=1,0.81-0.014*D37,0.00098*D37^3-0.018542*D37^2+0.11195*D37+0.634)/(1+SQRT(1+D37))*2)</f>
        <v>0.65253010884269236</v>
      </c>
      <c r="E39" s="294">
        <f t="shared" si="18"/>
        <v>0.65192740079208511</v>
      </c>
      <c r="F39" s="294">
        <f t="shared" si="18"/>
        <v>0.6512833347022795</v>
      </c>
      <c r="G39" s="294">
        <f t="shared" si="18"/>
        <v>0.65059408463448898</v>
      </c>
      <c r="H39" s="294">
        <f t="shared" si="18"/>
        <v>0.64985516033399304</v>
      </c>
      <c r="I39" s="294">
        <f t="shared" si="18"/>
        <v>0.64906129079810648</v>
      </c>
      <c r="J39" s="294">
        <f t="shared" si="18"/>
        <v>0.648206284606474</v>
      </c>
      <c r="K39" s="294">
        <f t="shared" si="18"/>
        <v>0.64728286249668587</v>
      </c>
      <c r="L39" s="1114">
        <f t="shared" si="18"/>
        <v>0.64730205448369038</v>
      </c>
      <c r="M39" s="1114">
        <f t="shared" si="18"/>
        <v>0.64728286249668587</v>
      </c>
      <c r="N39" s="1114">
        <f t="shared" si="18"/>
        <v>0.64726363976699697</v>
      </c>
      <c r="O39" s="296">
        <f t="shared" si="18"/>
        <v>0.64626159708619302</v>
      </c>
      <c r="P39" s="297">
        <f t="shared" si="18"/>
        <v>0.53687712575325108</v>
      </c>
    </row>
    <row r="40" spans="1:16" s="17" customFormat="1" ht="12" customHeight="1" thickTop="1" x14ac:dyDescent="0.2">
      <c r="A40" s="298" t="s">
        <v>258</v>
      </c>
      <c r="B40" s="299" t="s">
        <v>259</v>
      </c>
      <c r="C40" s="300">
        <f t="shared" ref="C40:P40" si="19">C21*0.5144*(1-$K3)</f>
        <v>8.4283068555875129</v>
      </c>
      <c r="D40" s="300">
        <f t="shared" si="19"/>
        <v>8.6225074743798533</v>
      </c>
      <c r="E40" s="300">
        <f t="shared" si="19"/>
        <v>8.816708093172192</v>
      </c>
      <c r="F40" s="300">
        <f t="shared" si="19"/>
        <v>9.0109087119645306</v>
      </c>
      <c r="G40" s="300">
        <f t="shared" si="19"/>
        <v>9.205109330756871</v>
      </c>
      <c r="H40" s="300">
        <f t="shared" si="19"/>
        <v>9.3993099495492078</v>
      </c>
      <c r="I40" s="300">
        <f t="shared" si="19"/>
        <v>9.5935105683415483</v>
      </c>
      <c r="J40" s="300">
        <f t="shared" si="19"/>
        <v>9.7877111871338869</v>
      </c>
      <c r="K40" s="300">
        <f t="shared" si="19"/>
        <v>9.9819118059262273</v>
      </c>
      <c r="L40" s="300">
        <f t="shared" si="19"/>
        <v>9.9780277935503783</v>
      </c>
      <c r="M40" s="300">
        <f t="shared" si="19"/>
        <v>9.9819118059262273</v>
      </c>
      <c r="N40" s="300">
        <f t="shared" si="19"/>
        <v>9.9857958183020727</v>
      </c>
      <c r="O40" s="300">
        <f t="shared" si="19"/>
        <v>10.179996437094413</v>
      </c>
      <c r="P40" s="301">
        <f t="shared" si="19"/>
        <v>15.327117571495497</v>
      </c>
    </row>
    <row r="41" spans="1:16" s="17" customFormat="1" ht="12" customHeight="1" x14ac:dyDescent="0.2">
      <c r="A41" s="17" t="s">
        <v>260</v>
      </c>
      <c r="B41" s="243" t="s">
        <v>259</v>
      </c>
      <c r="C41" s="287">
        <f t="shared" ref="C41:P41" si="20">C40*SQRT(1+C37)</f>
        <v>12.095264568498983</v>
      </c>
      <c r="D41" s="287">
        <f t="shared" si="20"/>
        <v>12.390131439928126</v>
      </c>
      <c r="E41" s="287">
        <f t="shared" si="20"/>
        <v>12.686868394283177</v>
      </c>
      <c r="F41" s="287">
        <f t="shared" si="20"/>
        <v>12.985653952063503</v>
      </c>
      <c r="G41" s="287">
        <f t="shared" si="20"/>
        <v>13.286693997305537</v>
      </c>
      <c r="H41" s="287">
        <f t="shared" si="20"/>
        <v>13.590227058272069</v>
      </c>
      <c r="I41" s="287">
        <f t="shared" si="20"/>
        <v>13.896530710241663</v>
      </c>
      <c r="J41" s="287">
        <f t="shared" si="20"/>
        <v>14.205929354516613</v>
      </c>
      <c r="K41" s="287">
        <f t="shared" si="20"/>
        <v>14.518803685726107</v>
      </c>
      <c r="L41" s="287">
        <f t="shared" si="20"/>
        <v>14.512509361080502</v>
      </c>
      <c r="M41" s="287">
        <f t="shared" si="20"/>
        <v>14.518803685726107</v>
      </c>
      <c r="N41" s="287">
        <f t="shared" si="20"/>
        <v>14.525099577341209</v>
      </c>
      <c r="O41" s="287">
        <f t="shared" si="20"/>
        <v>14.841981715498903</v>
      </c>
      <c r="P41" s="290">
        <f t="shared" si="20"/>
        <v>28.882531162452594</v>
      </c>
    </row>
    <row r="42" spans="1:16" s="17" customFormat="1" ht="12" customHeight="1" x14ac:dyDescent="0.2">
      <c r="A42" s="17" t="s">
        <v>261</v>
      </c>
      <c r="B42" s="243" t="s">
        <v>259</v>
      </c>
      <c r="C42" s="287">
        <f t="shared" ref="C42:P42" si="21">C41-C40</f>
        <v>3.6669577129114703</v>
      </c>
      <c r="D42" s="287">
        <f t="shared" si="21"/>
        <v>3.7676239655482728</v>
      </c>
      <c r="E42" s="287">
        <f t="shared" si="21"/>
        <v>3.8701603011109853</v>
      </c>
      <c r="F42" s="287">
        <f t="shared" si="21"/>
        <v>3.9747452400989722</v>
      </c>
      <c r="G42" s="287">
        <f t="shared" si="21"/>
        <v>4.0815846665486664</v>
      </c>
      <c r="H42" s="287">
        <f t="shared" si="21"/>
        <v>4.1909171087228607</v>
      </c>
      <c r="I42" s="287">
        <f t="shared" si="21"/>
        <v>4.3030201419001148</v>
      </c>
      <c r="J42" s="287">
        <f t="shared" si="21"/>
        <v>4.4182181673827259</v>
      </c>
      <c r="K42" s="287">
        <f t="shared" si="21"/>
        <v>4.5368918797998798</v>
      </c>
      <c r="L42" s="287">
        <f t="shared" si="21"/>
        <v>4.5344815675301238</v>
      </c>
      <c r="M42" s="287">
        <f t="shared" si="21"/>
        <v>4.5368918797998798</v>
      </c>
      <c r="N42" s="287">
        <f t="shared" si="21"/>
        <v>4.5393037590391359</v>
      </c>
      <c r="O42" s="287">
        <f t="shared" si="21"/>
        <v>4.6619852784044902</v>
      </c>
      <c r="P42" s="290">
        <f t="shared" si="21"/>
        <v>13.555413590957096</v>
      </c>
    </row>
    <row r="43" spans="1:16" s="17" customFormat="1" ht="12" customHeight="1" x14ac:dyDescent="0.2">
      <c r="A43" s="17" t="s">
        <v>262</v>
      </c>
      <c r="B43" s="243" t="s">
        <v>193</v>
      </c>
      <c r="C43" s="287">
        <f t="shared" ref="C43:P43" si="22">C41/C40</f>
        <v>1.4350764365538584</v>
      </c>
      <c r="D43" s="287">
        <f t="shared" si="22"/>
        <v>1.4369522411830959</v>
      </c>
      <c r="E43" s="287">
        <f t="shared" si="22"/>
        <v>1.438957517954814</v>
      </c>
      <c r="F43" s="287">
        <f t="shared" si="22"/>
        <v>1.4411037074231341</v>
      </c>
      <c r="G43" s="287">
        <f t="shared" si="22"/>
        <v>1.4434042573411854</v>
      </c>
      <c r="H43" s="287">
        <f t="shared" si="22"/>
        <v>1.4458749771225341</v>
      </c>
      <c r="I43" s="287">
        <f t="shared" si="22"/>
        <v>1.4485344662151123</v>
      </c>
      <c r="J43" s="287">
        <f t="shared" si="22"/>
        <v>1.4514046320850322</v>
      </c>
      <c r="K43" s="287">
        <f t="shared" si="22"/>
        <v>1.4545113168708166</v>
      </c>
      <c r="L43" s="287">
        <f t="shared" si="22"/>
        <v>1.4544466763723722</v>
      </c>
      <c r="M43" s="287">
        <f t="shared" si="22"/>
        <v>1.4545113168708166</v>
      </c>
      <c r="N43" s="287">
        <f t="shared" si="22"/>
        <v>1.4545760640047789</v>
      </c>
      <c r="O43" s="287">
        <f t="shared" si="22"/>
        <v>1.4579554921470208</v>
      </c>
      <c r="P43" s="290">
        <f t="shared" si="22"/>
        <v>1.8844072297172616</v>
      </c>
    </row>
    <row r="44" spans="1:16" s="17" customFormat="1" ht="12" customHeight="1" x14ac:dyDescent="0.2">
      <c r="A44" s="17" t="s">
        <v>263</v>
      </c>
      <c r="B44" s="243" t="s">
        <v>259</v>
      </c>
      <c r="C44" s="287">
        <f t="shared" ref="C44:P44" si="23">C40+0.5*C42</f>
        <v>10.261785712043249</v>
      </c>
      <c r="D44" s="287">
        <f t="shared" si="23"/>
        <v>10.506319457153989</v>
      </c>
      <c r="E44" s="287">
        <f t="shared" si="23"/>
        <v>10.751788243727685</v>
      </c>
      <c r="F44" s="287">
        <f t="shared" si="23"/>
        <v>10.998281332014017</v>
      </c>
      <c r="G44" s="287">
        <f t="shared" si="23"/>
        <v>11.245901664031205</v>
      </c>
      <c r="H44" s="287">
        <f t="shared" si="23"/>
        <v>11.494768503910638</v>
      </c>
      <c r="I44" s="287">
        <f t="shared" si="23"/>
        <v>11.745020639291607</v>
      </c>
      <c r="J44" s="287">
        <f t="shared" si="23"/>
        <v>11.99682027082525</v>
      </c>
      <c r="K44" s="287">
        <f t="shared" si="23"/>
        <v>12.250357745826168</v>
      </c>
      <c r="L44" s="287">
        <f t="shared" si="23"/>
        <v>12.245268577315439</v>
      </c>
      <c r="M44" s="287">
        <f t="shared" si="23"/>
        <v>12.250357745826168</v>
      </c>
      <c r="N44" s="287">
        <f t="shared" si="23"/>
        <v>12.255447697821641</v>
      </c>
      <c r="O44" s="287">
        <f t="shared" si="23"/>
        <v>12.510989076296658</v>
      </c>
      <c r="P44" s="290">
        <f t="shared" si="23"/>
        <v>22.104824366974047</v>
      </c>
    </row>
    <row r="45" spans="1:16" s="17" customFormat="1" ht="12" customHeight="1" x14ac:dyDescent="0.2">
      <c r="A45" s="17" t="s">
        <v>264</v>
      </c>
      <c r="B45" s="243" t="s">
        <v>265</v>
      </c>
      <c r="C45" s="302">
        <f t="shared" ref="C45:P45" si="24">0.785*$C18^2*C44</f>
        <v>807.74115153559296</v>
      </c>
      <c r="D45" s="302">
        <f t="shared" si="24"/>
        <v>826.98926043278527</v>
      </c>
      <c r="E45" s="302">
        <f t="shared" si="24"/>
        <v>846.31096972363366</v>
      </c>
      <c r="F45" s="302">
        <f t="shared" si="24"/>
        <v>865.71330539551388</v>
      </c>
      <c r="G45" s="302">
        <f t="shared" si="24"/>
        <v>885.20437037579825</v>
      </c>
      <c r="H45" s="302">
        <f t="shared" si="24"/>
        <v>904.79355236264485</v>
      </c>
      <c r="I45" s="302">
        <f t="shared" si="24"/>
        <v>924.49177581800643</v>
      </c>
      <c r="J45" s="302">
        <f t="shared" si="24"/>
        <v>944.31180812413083</v>
      </c>
      <c r="K45" s="302">
        <f t="shared" si="24"/>
        <v>964.26863218588483</v>
      </c>
      <c r="L45" s="302">
        <f t="shared" si="24"/>
        <v>963.86804587970323</v>
      </c>
      <c r="M45" s="302">
        <f t="shared" si="24"/>
        <v>964.26863218588483</v>
      </c>
      <c r="N45" s="302">
        <f t="shared" si="24"/>
        <v>964.6692801628991</v>
      </c>
      <c r="O45" s="302">
        <f t="shared" si="24"/>
        <v>984.78383849675311</v>
      </c>
      <c r="P45" s="275">
        <f t="shared" si="24"/>
        <v>1739.9482692098143</v>
      </c>
    </row>
    <row r="46" spans="1:16" s="17" customFormat="1" ht="12" customHeight="1" thickBot="1" x14ac:dyDescent="0.25">
      <c r="A46" s="223" t="s">
        <v>266</v>
      </c>
      <c r="B46" s="303" t="s">
        <v>193</v>
      </c>
      <c r="C46" s="304">
        <f t="shared" ref="C46:P46" si="25">C53+C55+C57+C61+C62+C63</f>
        <v>0.716495488166216</v>
      </c>
      <c r="D46" s="304">
        <f t="shared" si="25"/>
        <v>0.7244106621413493</v>
      </c>
      <c r="E46" s="304">
        <f t="shared" si="25"/>
        <v>0.73291609125514956</v>
      </c>
      <c r="F46" s="304">
        <f t="shared" si="25"/>
        <v>0.74208007005863086</v>
      </c>
      <c r="G46" s="304">
        <f t="shared" si="25"/>
        <v>0.75198168470005256</v>
      </c>
      <c r="H46" s="304">
        <f t="shared" si="25"/>
        <v>0.76271279268067138</v>
      </c>
      <c r="I46" s="304">
        <f t="shared" si="25"/>
        <v>0.77438040502237537</v>
      </c>
      <c r="J46" s="304">
        <f t="shared" si="25"/>
        <v>0.78710955910329516</v>
      </c>
      <c r="K46" s="304">
        <f t="shared" si="25"/>
        <v>0.80104679014653524</v>
      </c>
      <c r="L46" s="304">
        <f t="shared" si="25"/>
        <v>0.80075513942126519</v>
      </c>
      <c r="M46" s="304">
        <f t="shared" si="25"/>
        <v>0.80104679014653524</v>
      </c>
      <c r="N46" s="304">
        <f t="shared" si="25"/>
        <v>0.80133899197529213</v>
      </c>
      <c r="O46" s="304">
        <f t="shared" si="25"/>
        <v>0.81668609949053561</v>
      </c>
      <c r="P46" s="305">
        <f t="shared" si="25"/>
        <v>3.0538453690383784</v>
      </c>
    </row>
    <row r="47" spans="1:16" s="17" customFormat="1" ht="12" customHeight="1" x14ac:dyDescent="0.2">
      <c r="A47" s="298"/>
      <c r="B47" s="309" t="s">
        <v>267</v>
      </c>
      <c r="C47" s="308">
        <f t="shared" ref="C47:P47" si="26">1.35-0.23*$C13+0.012*$C13^2</f>
        <v>0.32559355775965326</v>
      </c>
      <c r="D47" s="308">
        <f t="shared" si="26"/>
        <v>0.32559355775965326</v>
      </c>
      <c r="E47" s="308">
        <f t="shared" si="26"/>
        <v>0.32559355775965326</v>
      </c>
      <c r="F47" s="308">
        <f t="shared" si="26"/>
        <v>0.32559355775965326</v>
      </c>
      <c r="G47" s="308">
        <f t="shared" si="26"/>
        <v>0.32559355775965326</v>
      </c>
      <c r="H47" s="308">
        <f t="shared" si="26"/>
        <v>0.32559355775965326</v>
      </c>
      <c r="I47" s="308">
        <f t="shared" si="26"/>
        <v>0.32559355775965326</v>
      </c>
      <c r="J47" s="308">
        <f t="shared" si="26"/>
        <v>0.32559355775965326</v>
      </c>
      <c r="K47" s="308">
        <f t="shared" si="26"/>
        <v>0.32559355775965326</v>
      </c>
      <c r="L47" s="308">
        <f t="shared" si="26"/>
        <v>0.32559355775965326</v>
      </c>
      <c r="M47" s="308">
        <f t="shared" si="26"/>
        <v>0.32559355775965326</v>
      </c>
      <c r="N47" s="308">
        <f t="shared" si="26"/>
        <v>0.32559355775965326</v>
      </c>
      <c r="O47" s="308">
        <f t="shared" si="26"/>
        <v>0.32559355775965326</v>
      </c>
      <c r="P47" s="310">
        <f t="shared" si="26"/>
        <v>0.32559355775965326</v>
      </c>
    </row>
    <row r="48" spans="1:16" s="17" customFormat="1" ht="12" customHeight="1" x14ac:dyDescent="0.2">
      <c r="B48" s="306" t="s">
        <v>268</v>
      </c>
      <c r="C48" s="277">
        <f t="shared" ref="C48:P48" si="27">0.0011*$C13^9.1</f>
        <v>56728.855231470181</v>
      </c>
      <c r="D48" s="277">
        <f t="shared" si="27"/>
        <v>56728.855231470181</v>
      </c>
      <c r="E48" s="277">
        <f t="shared" si="27"/>
        <v>56728.855231470181</v>
      </c>
      <c r="F48" s="277">
        <f t="shared" si="27"/>
        <v>56728.855231470181</v>
      </c>
      <c r="G48" s="277">
        <f t="shared" si="27"/>
        <v>56728.855231470181</v>
      </c>
      <c r="H48" s="277">
        <f t="shared" si="27"/>
        <v>56728.855231470181</v>
      </c>
      <c r="I48" s="277">
        <f t="shared" si="27"/>
        <v>56728.855231470181</v>
      </c>
      <c r="J48" s="277">
        <f t="shared" si="27"/>
        <v>56728.855231470181</v>
      </c>
      <c r="K48" s="277">
        <f t="shared" si="27"/>
        <v>56728.855231470181</v>
      </c>
      <c r="L48" s="277">
        <f t="shared" si="27"/>
        <v>56728.855231470181</v>
      </c>
      <c r="M48" s="277">
        <f t="shared" si="27"/>
        <v>56728.855231470181</v>
      </c>
      <c r="N48" s="277">
        <f t="shared" si="27"/>
        <v>56728.855231470181</v>
      </c>
      <c r="O48" s="277">
        <f t="shared" si="27"/>
        <v>56728.855231470181</v>
      </c>
      <c r="P48" s="311">
        <f t="shared" si="27"/>
        <v>56728.855231470181</v>
      </c>
    </row>
    <row r="49" spans="1:16" s="17" customFormat="1" ht="12" customHeight="1" x14ac:dyDescent="0.2">
      <c r="B49" s="306" t="s">
        <v>269</v>
      </c>
      <c r="C49" s="261">
        <f t="shared" ref="C49:P49" si="28">2*$C13-3.7</f>
        <v>10.378219257977491</v>
      </c>
      <c r="D49" s="261">
        <f t="shared" si="28"/>
        <v>10.378219257977491</v>
      </c>
      <c r="E49" s="261">
        <f t="shared" si="28"/>
        <v>10.378219257977491</v>
      </c>
      <c r="F49" s="261">
        <f t="shared" si="28"/>
        <v>10.378219257977491</v>
      </c>
      <c r="G49" s="261">
        <f t="shared" si="28"/>
        <v>10.378219257977491</v>
      </c>
      <c r="H49" s="261">
        <f t="shared" si="28"/>
        <v>10.378219257977491</v>
      </c>
      <c r="I49" s="261">
        <f t="shared" si="28"/>
        <v>10.378219257977491</v>
      </c>
      <c r="J49" s="261">
        <f t="shared" si="28"/>
        <v>10.378219257977491</v>
      </c>
      <c r="K49" s="261">
        <f t="shared" si="28"/>
        <v>10.378219257977491</v>
      </c>
      <c r="L49" s="261">
        <f t="shared" si="28"/>
        <v>10.378219257977491</v>
      </c>
      <c r="M49" s="261">
        <f t="shared" si="28"/>
        <v>10.378219257977491</v>
      </c>
      <c r="N49" s="261">
        <f t="shared" si="28"/>
        <v>10.378219257977491</v>
      </c>
      <c r="O49" s="261">
        <f t="shared" si="28"/>
        <v>10.378219257977491</v>
      </c>
      <c r="P49" s="312">
        <f t="shared" si="28"/>
        <v>10.378219257977491</v>
      </c>
    </row>
    <row r="50" spans="1:16" s="17" customFormat="1" ht="12" customHeight="1" x14ac:dyDescent="0.2">
      <c r="B50" s="306" t="s">
        <v>270</v>
      </c>
      <c r="C50" s="261">
        <f t="shared" ref="C50:P50" si="29">7-0.09*$C13^2</f>
        <v>2.5405842067970132</v>
      </c>
      <c r="D50" s="261">
        <f t="shared" si="29"/>
        <v>2.5405842067970132</v>
      </c>
      <c r="E50" s="261">
        <f t="shared" si="29"/>
        <v>2.5405842067970132</v>
      </c>
      <c r="F50" s="261">
        <f t="shared" si="29"/>
        <v>2.5405842067970132</v>
      </c>
      <c r="G50" s="261">
        <f t="shared" si="29"/>
        <v>2.5405842067970132</v>
      </c>
      <c r="H50" s="261">
        <f t="shared" si="29"/>
        <v>2.5405842067970132</v>
      </c>
      <c r="I50" s="261">
        <f t="shared" si="29"/>
        <v>2.5405842067970132</v>
      </c>
      <c r="J50" s="261">
        <f t="shared" si="29"/>
        <v>2.5405842067970132</v>
      </c>
      <c r="K50" s="261">
        <f t="shared" si="29"/>
        <v>2.5405842067970132</v>
      </c>
      <c r="L50" s="261">
        <f t="shared" si="29"/>
        <v>2.5405842067970132</v>
      </c>
      <c r="M50" s="261">
        <f t="shared" si="29"/>
        <v>2.5405842067970132</v>
      </c>
      <c r="N50" s="261">
        <f t="shared" si="29"/>
        <v>2.5405842067970132</v>
      </c>
      <c r="O50" s="261">
        <f t="shared" si="29"/>
        <v>2.5405842067970132</v>
      </c>
      <c r="P50" s="312">
        <f t="shared" si="29"/>
        <v>2.5405842067970132</v>
      </c>
    </row>
    <row r="51" spans="1:16" s="17" customFormat="1" ht="12" customHeight="1" x14ac:dyDescent="0.2">
      <c r="B51" s="306" t="s">
        <v>271</v>
      </c>
      <c r="C51" s="261">
        <f t="shared" ref="C51:P51" si="30">(5*$C12-2.5)^2</f>
        <v>0.66402531407562237</v>
      </c>
      <c r="D51" s="261">
        <f t="shared" si="30"/>
        <v>0.66402531407562237</v>
      </c>
      <c r="E51" s="261">
        <f t="shared" si="30"/>
        <v>0.66402531407562237</v>
      </c>
      <c r="F51" s="261">
        <f t="shared" si="30"/>
        <v>0.66402531407562237</v>
      </c>
      <c r="G51" s="261">
        <f t="shared" si="30"/>
        <v>0.66402531407562237</v>
      </c>
      <c r="H51" s="261">
        <f t="shared" si="30"/>
        <v>0.66402531407562237</v>
      </c>
      <c r="I51" s="261">
        <f t="shared" si="30"/>
        <v>0.66402531407562237</v>
      </c>
      <c r="J51" s="261">
        <f t="shared" si="30"/>
        <v>0.66402531407562237</v>
      </c>
      <c r="K51" s="261">
        <f t="shared" si="30"/>
        <v>0.66402531407562237</v>
      </c>
      <c r="L51" s="261">
        <f t="shared" si="30"/>
        <v>0.66402531407562237</v>
      </c>
      <c r="M51" s="261">
        <f t="shared" si="30"/>
        <v>0.66402531407562237</v>
      </c>
      <c r="N51" s="261">
        <f t="shared" si="30"/>
        <v>0.66402531407562237</v>
      </c>
      <c r="O51" s="261">
        <f t="shared" si="30"/>
        <v>0.66402531407562237</v>
      </c>
      <c r="P51" s="312">
        <f t="shared" si="30"/>
        <v>0.66402531407562237</v>
      </c>
    </row>
    <row r="52" spans="1:16" s="17" customFormat="1" ht="12" customHeight="1" x14ac:dyDescent="0.2">
      <c r="B52" s="306" t="s">
        <v>272</v>
      </c>
      <c r="C52" s="261">
        <f t="shared" ref="C52:P52" si="31">(600*(C22-0.315)^2+1)^1.5</f>
        <v>44.715978377499816</v>
      </c>
      <c r="D52" s="261">
        <f t="shared" si="31"/>
        <v>41.21433558832409</v>
      </c>
      <c r="E52" s="261">
        <f t="shared" si="31"/>
        <v>37.908550568741404</v>
      </c>
      <c r="F52" s="261">
        <f t="shared" si="31"/>
        <v>34.792762631818967</v>
      </c>
      <c r="G52" s="261">
        <f t="shared" si="31"/>
        <v>31.861113145475677</v>
      </c>
      <c r="H52" s="261">
        <f t="shared" si="31"/>
        <v>29.107745848725411</v>
      </c>
      <c r="I52" s="261">
        <f t="shared" si="31"/>
        <v>26.526807226935997</v>
      </c>
      <c r="J52" s="261">
        <f t="shared" si="31"/>
        <v>24.112446959056776</v>
      </c>
      <c r="K52" s="261">
        <f t="shared" si="31"/>
        <v>21.858818453033496</v>
      </c>
      <c r="L52" s="261">
        <f t="shared" si="31"/>
        <v>21.902353647288244</v>
      </c>
      <c r="M52" s="261">
        <f t="shared" si="31"/>
        <v>21.858818453033496</v>
      </c>
      <c r="N52" s="261">
        <f t="shared" si="31"/>
        <v>21.815345214424944</v>
      </c>
      <c r="O52" s="261">
        <f t="shared" si="31"/>
        <v>19.719644485347079</v>
      </c>
      <c r="P52" s="312">
        <f t="shared" si="31"/>
        <v>1.0225841652402019</v>
      </c>
    </row>
    <row r="53" spans="1:16" s="17" customFormat="1" ht="12" customHeight="1" x14ac:dyDescent="0.2">
      <c r="B53" s="306" t="s">
        <v>273</v>
      </c>
      <c r="C53" s="261">
        <f t="shared" ref="C53:P53" si="32">C50*C51/C52</f>
        <v>3.7727279756956486E-2</v>
      </c>
      <c r="D53" s="261">
        <f t="shared" si="32"/>
        <v>4.0932656120068051E-2</v>
      </c>
      <c r="E53" s="261">
        <f t="shared" si="32"/>
        <v>4.4502155860451906E-2</v>
      </c>
      <c r="F53" s="261">
        <f t="shared" si="32"/>
        <v>4.8487446763170572E-2</v>
      </c>
      <c r="G53" s="261">
        <f t="shared" si="32"/>
        <v>5.2948941807248524E-2</v>
      </c>
      <c r="H53" s="261">
        <f t="shared" si="32"/>
        <v>5.7957501574373016E-2</v>
      </c>
      <c r="I53" s="261">
        <f t="shared" si="32"/>
        <v>6.3596504902441384E-2</v>
      </c>
      <c r="J53" s="261">
        <f t="shared" si="32"/>
        <v>6.9964372704210381E-2</v>
      </c>
      <c r="K53" s="261">
        <f t="shared" si="32"/>
        <v>7.717764935367924E-2</v>
      </c>
      <c r="L53" s="261">
        <f t="shared" si="32"/>
        <v>7.7024243742079446E-2</v>
      </c>
      <c r="M53" s="261">
        <f t="shared" si="32"/>
        <v>7.717764935367924E-2</v>
      </c>
      <c r="N53" s="261">
        <f t="shared" si="32"/>
        <v>7.7331447624237035E-2</v>
      </c>
      <c r="O53" s="261">
        <f t="shared" si="32"/>
        <v>8.5549829618252374E-2</v>
      </c>
      <c r="P53" s="312">
        <f t="shared" si="32"/>
        <v>1.6497539109239763</v>
      </c>
    </row>
    <row r="54" spans="1:16" s="17" customFormat="1" ht="12" customHeight="1" x14ac:dyDescent="0.2">
      <c r="B54" s="306"/>
      <c r="C54" s="261">
        <f t="shared" ref="C54:P54" si="33">C22-(0.04+0.59*$C12)-0.015*($C13-5)</f>
        <v>-0.28577575543421874</v>
      </c>
      <c r="D54" s="261">
        <f t="shared" si="33"/>
        <v>-0.28172122934843202</v>
      </c>
      <c r="E54" s="261">
        <f t="shared" si="33"/>
        <v>-0.27766670326264536</v>
      </c>
      <c r="F54" s="261">
        <f t="shared" si="33"/>
        <v>-0.27361217717685865</v>
      </c>
      <c r="G54" s="261">
        <f t="shared" si="33"/>
        <v>-0.26955765109107188</v>
      </c>
      <c r="H54" s="261">
        <f t="shared" si="33"/>
        <v>-0.26550312500528517</v>
      </c>
      <c r="I54" s="261">
        <f t="shared" si="33"/>
        <v>-0.26144859891949845</v>
      </c>
      <c r="J54" s="261">
        <f t="shared" si="33"/>
        <v>-0.25739407283371174</v>
      </c>
      <c r="K54" s="261">
        <f t="shared" si="33"/>
        <v>-0.25333954674792503</v>
      </c>
      <c r="L54" s="261">
        <f t="shared" si="33"/>
        <v>-0.25342063726964076</v>
      </c>
      <c r="M54" s="261">
        <f t="shared" si="33"/>
        <v>-0.25333954674792503</v>
      </c>
      <c r="N54" s="261">
        <f t="shared" si="33"/>
        <v>-0.25325845622620929</v>
      </c>
      <c r="O54" s="261">
        <f t="shared" si="33"/>
        <v>-0.24920393014042255</v>
      </c>
      <c r="P54" s="312">
        <f t="shared" si="33"/>
        <v>-0.14174218755736243</v>
      </c>
    </row>
    <row r="55" spans="1:16" s="17" customFormat="1" ht="12" customHeight="1" x14ac:dyDescent="0.2">
      <c r="B55" s="306" t="s">
        <v>274</v>
      </c>
      <c r="C55" s="261">
        <f t="shared" ref="C55:P55" si="34">EXP(80*C54)</f>
        <v>1.1779674993972034E-10</v>
      </c>
      <c r="D55" s="261">
        <f t="shared" si="34"/>
        <v>1.6293034334912533E-10</v>
      </c>
      <c r="E55" s="261">
        <f t="shared" si="34"/>
        <v>2.2535678443970669E-10</v>
      </c>
      <c r="F55" s="261">
        <f t="shared" si="34"/>
        <v>3.1170179384070772E-10</v>
      </c>
      <c r="G55" s="261">
        <f t="shared" si="34"/>
        <v>4.3112972402883056E-10</v>
      </c>
      <c r="H55" s="261">
        <f t="shared" si="34"/>
        <v>5.9631623113521184E-10</v>
      </c>
      <c r="I55" s="261">
        <f t="shared" si="34"/>
        <v>8.2479362404509497E-10</v>
      </c>
      <c r="J55" s="261">
        <f t="shared" si="34"/>
        <v>1.1408116813630635E-9</v>
      </c>
      <c r="K55" s="261">
        <f t="shared" si="34"/>
        <v>1.5779114367441511E-9</v>
      </c>
      <c r="L55" s="261">
        <f t="shared" si="34"/>
        <v>1.5677082747857859E-9</v>
      </c>
      <c r="M55" s="261">
        <f t="shared" si="34"/>
        <v>1.5779114367441511E-9</v>
      </c>
      <c r="N55" s="261">
        <f t="shared" si="34"/>
        <v>1.5881810042421386E-9</v>
      </c>
      <c r="O55" s="261">
        <f t="shared" si="34"/>
        <v>2.1966894371376554E-9</v>
      </c>
      <c r="P55" s="312">
        <f t="shared" si="34"/>
        <v>1.1895207089236834E-5</v>
      </c>
    </row>
    <row r="56" spans="1:16" s="17" customFormat="1" ht="12" customHeight="1" x14ac:dyDescent="0.2">
      <c r="B56" s="306"/>
      <c r="C56" s="261">
        <f t="shared" ref="C56:P56" si="35">20*$C12-16</f>
        <v>-2.7404900636430085</v>
      </c>
      <c r="D56" s="261">
        <f t="shared" si="35"/>
        <v>-2.7404900636430085</v>
      </c>
      <c r="E56" s="261">
        <f t="shared" si="35"/>
        <v>-2.7404900636430085</v>
      </c>
      <c r="F56" s="261">
        <f t="shared" si="35"/>
        <v>-2.7404900636430085</v>
      </c>
      <c r="G56" s="261">
        <f t="shared" si="35"/>
        <v>-2.7404900636430085</v>
      </c>
      <c r="H56" s="261">
        <f t="shared" si="35"/>
        <v>-2.7404900636430085</v>
      </c>
      <c r="I56" s="261">
        <f t="shared" si="35"/>
        <v>-2.7404900636430085</v>
      </c>
      <c r="J56" s="261">
        <f t="shared" si="35"/>
        <v>-2.7404900636430085</v>
      </c>
      <c r="K56" s="261">
        <f t="shared" si="35"/>
        <v>-2.7404900636430085</v>
      </c>
      <c r="L56" s="261">
        <f t="shared" si="35"/>
        <v>-2.7404900636430085</v>
      </c>
      <c r="M56" s="261">
        <f t="shared" si="35"/>
        <v>-2.7404900636430085</v>
      </c>
      <c r="N56" s="261">
        <f t="shared" si="35"/>
        <v>-2.7404900636430085</v>
      </c>
      <c r="O56" s="261">
        <f t="shared" si="35"/>
        <v>-2.7404900636430085</v>
      </c>
      <c r="P56" s="312">
        <f t="shared" si="35"/>
        <v>-2.7404900636430085</v>
      </c>
    </row>
    <row r="57" spans="1:16" s="17" customFormat="1" ht="12" customHeight="1" x14ac:dyDescent="0.2">
      <c r="B57" s="306" t="s">
        <v>275</v>
      </c>
      <c r="C57" s="261">
        <f t="shared" ref="C57:P57" si="36">180*C22^3.7*EXP(C56)</f>
        <v>1.8757854287001129E-2</v>
      </c>
      <c r="D57" s="261">
        <f t="shared" si="36"/>
        <v>2.0407422135237649E-2</v>
      </c>
      <c r="E57" s="261">
        <f t="shared" si="36"/>
        <v>2.2160411176263748E-2</v>
      </c>
      <c r="F57" s="261">
        <f t="shared" si="36"/>
        <v>2.4020812140133258E-2</v>
      </c>
      <c r="G57" s="261">
        <f t="shared" si="36"/>
        <v>2.5992677769587344E-2</v>
      </c>
      <c r="H57" s="261">
        <f t="shared" si="36"/>
        <v>2.8080122415965574E-2</v>
      </c>
      <c r="I57" s="261">
        <f t="shared" si="36"/>
        <v>3.0287321646286829E-2</v>
      </c>
      <c r="J57" s="261">
        <f t="shared" si="36"/>
        <v>3.2618511860964837E-2</v>
      </c>
      <c r="K57" s="261">
        <f t="shared" si="36"/>
        <v>3.5077989921659475E-2</v>
      </c>
      <c r="L57" s="261">
        <f t="shared" si="36"/>
        <v>3.5027515057507654E-2</v>
      </c>
      <c r="M57" s="261">
        <f t="shared" si="36"/>
        <v>3.5077989921659475E-2</v>
      </c>
      <c r="N57" s="261">
        <f t="shared" si="36"/>
        <v>3.5128517841743187E-2</v>
      </c>
      <c r="O57" s="261">
        <f t="shared" si="36"/>
        <v>3.7723338456924202E-2</v>
      </c>
      <c r="P57" s="312">
        <f t="shared" si="36"/>
        <v>0.17145403589879846</v>
      </c>
    </row>
    <row r="58" spans="1:16" s="17" customFormat="1" ht="12" customHeight="1" x14ac:dyDescent="0.2">
      <c r="B58" s="306"/>
      <c r="C58" s="261">
        <f t="shared" ref="C58:P58" si="37">C47+1.5*C22^1.8+C48*C22^(C49)</f>
        <v>0.39217586283110112</v>
      </c>
      <c r="D58" s="261">
        <f t="shared" si="37"/>
        <v>0.39515094176971677</v>
      </c>
      <c r="E58" s="261">
        <f t="shared" si="37"/>
        <v>0.39822853581557965</v>
      </c>
      <c r="F58" s="261">
        <f t="shared" si="37"/>
        <v>0.40141918173046398</v>
      </c>
      <c r="G58" s="261">
        <f t="shared" si="37"/>
        <v>0.40473531921160971</v>
      </c>
      <c r="H58" s="261">
        <f t="shared" si="37"/>
        <v>0.40819157319336519</v>
      </c>
      <c r="I58" s="261">
        <f t="shared" si="37"/>
        <v>0.41180507086402857</v>
      </c>
      <c r="J58" s="261">
        <f t="shared" si="37"/>
        <v>0.41559579678878894</v>
      </c>
      <c r="K58" s="261">
        <f t="shared" si="37"/>
        <v>0.41958698978029058</v>
      </c>
      <c r="L58" s="261">
        <f t="shared" si="37"/>
        <v>0.41950503368776371</v>
      </c>
      <c r="M58" s="261">
        <f t="shared" si="37"/>
        <v>0.41958698978029058</v>
      </c>
      <c r="N58" s="261">
        <f t="shared" si="37"/>
        <v>0.4196690366945367</v>
      </c>
      <c r="O58" s="261">
        <f t="shared" si="37"/>
        <v>0.42389248302069954</v>
      </c>
      <c r="P58" s="312">
        <f t="shared" si="37"/>
        <v>0.93359617198525069</v>
      </c>
    </row>
    <row r="59" spans="1:16" s="17" customFormat="1" ht="12" customHeight="1" x14ac:dyDescent="0.2">
      <c r="B59" s="306"/>
      <c r="C59" s="261">
        <f t="shared" ref="C59:P59" si="38">0.98+2.5/($C13-2)^4</f>
        <v>0.98387725872053045</v>
      </c>
      <c r="D59" s="261">
        <f t="shared" si="38"/>
        <v>0.98387725872053045</v>
      </c>
      <c r="E59" s="261">
        <f t="shared" si="38"/>
        <v>0.98387725872053045</v>
      </c>
      <c r="F59" s="261">
        <f t="shared" si="38"/>
        <v>0.98387725872053045</v>
      </c>
      <c r="G59" s="261">
        <f t="shared" si="38"/>
        <v>0.98387725872053045</v>
      </c>
      <c r="H59" s="261">
        <f t="shared" si="38"/>
        <v>0.98387725872053045</v>
      </c>
      <c r="I59" s="261">
        <f t="shared" si="38"/>
        <v>0.98387725872053045</v>
      </c>
      <c r="J59" s="261">
        <f t="shared" si="38"/>
        <v>0.98387725872053045</v>
      </c>
      <c r="K59" s="261">
        <f t="shared" si="38"/>
        <v>0.98387725872053045</v>
      </c>
      <c r="L59" s="261">
        <f t="shared" si="38"/>
        <v>0.98387725872053045</v>
      </c>
      <c r="M59" s="261">
        <f t="shared" si="38"/>
        <v>0.98387725872053045</v>
      </c>
      <c r="N59" s="261">
        <f t="shared" si="38"/>
        <v>0.98387725872053045</v>
      </c>
      <c r="O59" s="261">
        <f t="shared" si="38"/>
        <v>0.98387725872053045</v>
      </c>
      <c r="P59" s="312">
        <f t="shared" si="38"/>
        <v>0.98387725872053045</v>
      </c>
    </row>
    <row r="60" spans="1:16" s="17" customFormat="1" ht="12" customHeight="1" x14ac:dyDescent="0.2">
      <c r="B60" s="306"/>
      <c r="C60" s="261">
        <f t="shared" ref="C60:P60" si="39">($C13-5)^4*(C22-0.1)^4</f>
        <v>5.7577024870655662E-4</v>
      </c>
      <c r="D60" s="261">
        <f t="shared" si="39"/>
        <v>7.0888745675585011E-4</v>
      </c>
      <c r="E60" s="261">
        <f t="shared" si="39"/>
        <v>8.6385293342164176E-4</v>
      </c>
      <c r="F60" s="261">
        <f t="shared" si="39"/>
        <v>1.0429358276854027E-3</v>
      </c>
      <c r="G60" s="261">
        <f t="shared" si="39"/>
        <v>1.2485174216571155E-3</v>
      </c>
      <c r="H60" s="261">
        <f t="shared" si="39"/>
        <v>1.4830911305752721E-3</v>
      </c>
      <c r="I60" s="261">
        <f t="shared" si="39"/>
        <v>1.7492625028068813E-3</v>
      </c>
      <c r="J60" s="261">
        <f t="shared" si="39"/>
        <v>2.0497492198474645E-3</v>
      </c>
      <c r="K60" s="261">
        <f t="shared" si="39"/>
        <v>2.3873810963210575E-3</v>
      </c>
      <c r="L60" s="261">
        <f t="shared" si="39"/>
        <v>2.3802455926567306E-3</v>
      </c>
      <c r="M60" s="261">
        <f t="shared" si="39"/>
        <v>2.3873810963210575E-3</v>
      </c>
      <c r="N60" s="261">
        <f t="shared" si="39"/>
        <v>2.3945326310919803E-3</v>
      </c>
      <c r="O60" s="261">
        <f t="shared" si="39"/>
        <v>2.7730841348922427E-3</v>
      </c>
      <c r="P60" s="312">
        <f t="shared" si="39"/>
        <v>4.0499813666552295E-2</v>
      </c>
    </row>
    <row r="61" spans="1:16" s="17" customFormat="1" ht="12" customHeight="1" x14ac:dyDescent="0.2">
      <c r="B61" s="306" t="s">
        <v>276</v>
      </c>
      <c r="C61" s="261">
        <f t="shared" ref="C61:P61" si="40">C58*C59+C60</f>
        <v>0.38642868310732909</v>
      </c>
      <c r="D61" s="261">
        <f t="shared" si="40"/>
        <v>0.38948891282598075</v>
      </c>
      <c r="E61" s="261">
        <f t="shared" si="40"/>
        <v>0.39267185309594471</v>
      </c>
      <c r="F61" s="261">
        <f t="shared" si="40"/>
        <v>0.39599013994649274</v>
      </c>
      <c r="G61" s="261">
        <f t="shared" si="40"/>
        <v>0.39945839379495451</v>
      </c>
      <c r="H61" s="261">
        <f t="shared" si="40"/>
        <v>0.40309349719688414</v>
      </c>
      <c r="I61" s="261">
        <f t="shared" si="40"/>
        <v>0.40691490675172109</v>
      </c>
      <c r="J61" s="261">
        <f t="shared" si="40"/>
        <v>0.41094500250017574</v>
      </c>
      <c r="K61" s="261">
        <f t="shared" si="40"/>
        <v>0.41520947839615258</v>
      </c>
      <c r="L61" s="261">
        <f t="shared" si="40"/>
        <v>0.41512170815683741</v>
      </c>
      <c r="M61" s="261">
        <f t="shared" si="40"/>
        <v>0.41520947839615258</v>
      </c>
      <c r="N61" s="261">
        <f t="shared" si="40"/>
        <v>0.41529735402399842</v>
      </c>
      <c r="O61" s="261">
        <f t="shared" si="40"/>
        <v>0.41983125832153712</v>
      </c>
      <c r="P61" s="312">
        <f t="shared" si="40"/>
        <v>0.95904385611138165</v>
      </c>
    </row>
    <row r="62" spans="1:16" s="17" customFormat="1" ht="12" customHeight="1" x14ac:dyDescent="0.2">
      <c r="B62" s="306" t="s">
        <v>277</v>
      </c>
      <c r="C62" s="261">
        <f t="shared" ref="C62:P62" si="41">0.16*($C5/$C6-2.5)</f>
        <v>0.27358167089713248</v>
      </c>
      <c r="D62" s="261">
        <f t="shared" si="41"/>
        <v>0.27358167089713248</v>
      </c>
      <c r="E62" s="261">
        <f t="shared" si="41"/>
        <v>0.27358167089713248</v>
      </c>
      <c r="F62" s="261">
        <f t="shared" si="41"/>
        <v>0.27358167089713248</v>
      </c>
      <c r="G62" s="261">
        <f t="shared" si="41"/>
        <v>0.27358167089713248</v>
      </c>
      <c r="H62" s="261">
        <f t="shared" si="41"/>
        <v>0.27358167089713248</v>
      </c>
      <c r="I62" s="261">
        <f t="shared" si="41"/>
        <v>0.27358167089713248</v>
      </c>
      <c r="J62" s="261">
        <f t="shared" si="41"/>
        <v>0.27358167089713248</v>
      </c>
      <c r="K62" s="261">
        <f t="shared" si="41"/>
        <v>0.27358167089713248</v>
      </c>
      <c r="L62" s="261">
        <f t="shared" si="41"/>
        <v>0.27358167089713248</v>
      </c>
      <c r="M62" s="261">
        <f t="shared" si="41"/>
        <v>0.27358167089713248</v>
      </c>
      <c r="N62" s="261">
        <f t="shared" si="41"/>
        <v>0.27358167089713248</v>
      </c>
      <c r="O62" s="261">
        <f t="shared" si="41"/>
        <v>0.27358167089713248</v>
      </c>
      <c r="P62" s="312">
        <f t="shared" si="41"/>
        <v>0.27358167089713248</v>
      </c>
    </row>
    <row r="63" spans="1:16" s="17" customFormat="1" ht="12" customHeight="1" x14ac:dyDescent="0.2">
      <c r="B63" s="306" t="s">
        <v>278</v>
      </c>
      <c r="C63" s="261">
        <f t="shared" ref="C63:P63" si="42">($C15-$C14)/3*0.1</f>
        <v>0</v>
      </c>
      <c r="D63" s="261">
        <f t="shared" si="42"/>
        <v>0</v>
      </c>
      <c r="E63" s="261">
        <f t="shared" si="42"/>
        <v>0</v>
      </c>
      <c r="F63" s="261">
        <f t="shared" si="42"/>
        <v>0</v>
      </c>
      <c r="G63" s="261">
        <f t="shared" si="42"/>
        <v>0</v>
      </c>
      <c r="H63" s="261">
        <f t="shared" si="42"/>
        <v>0</v>
      </c>
      <c r="I63" s="261">
        <f t="shared" si="42"/>
        <v>0</v>
      </c>
      <c r="J63" s="261">
        <f t="shared" si="42"/>
        <v>0</v>
      </c>
      <c r="K63" s="261">
        <f t="shared" si="42"/>
        <v>0</v>
      </c>
      <c r="L63" s="261">
        <f t="shared" si="42"/>
        <v>0</v>
      </c>
      <c r="M63" s="261">
        <f t="shared" si="42"/>
        <v>0</v>
      </c>
      <c r="N63" s="261">
        <f t="shared" si="42"/>
        <v>0</v>
      </c>
      <c r="O63" s="261">
        <f t="shared" si="42"/>
        <v>0</v>
      </c>
      <c r="P63" s="312">
        <f t="shared" si="42"/>
        <v>0</v>
      </c>
    </row>
    <row r="64" spans="1:16" s="17" customFormat="1" ht="12" customHeight="1" x14ac:dyDescent="0.2">
      <c r="A64" s="113"/>
      <c r="B64" s="129" t="s">
        <v>279</v>
      </c>
      <c r="C64" s="129">
        <f>0.1*C5/C4+0.149</f>
        <v>0.16263002865717036</v>
      </c>
      <c r="D64" s="129" t="s">
        <v>280</v>
      </c>
      <c r="E64" s="129">
        <f>0.625*C5/C4+0.08</f>
        <v>0.16518767910731474</v>
      </c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35"/>
    </row>
    <row r="65" spans="1:16" s="17" customFormat="1" ht="12" customHeight="1" x14ac:dyDescent="0.2">
      <c r="A65" s="113"/>
      <c r="B65" s="129" t="s">
        <v>281</v>
      </c>
      <c r="C65" s="129">
        <f>0.05*C5/C4+0.449</f>
        <v>0.45581501432858518</v>
      </c>
      <c r="D65" s="129" t="s">
        <v>282</v>
      </c>
      <c r="E65" s="129">
        <f>0.165-0.25*C5/C4</f>
        <v>0.13092492835707412</v>
      </c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5"/>
    </row>
    <row r="66" spans="1:16" s="17" customFormat="1" ht="12" customHeight="1" x14ac:dyDescent="0.2">
      <c r="A66" s="113"/>
      <c r="B66" s="129" t="s">
        <v>283</v>
      </c>
      <c r="C66" s="129">
        <f>585-5027*C5/C4+11700*(C5/C4)^2</f>
        <v>117.17834640252971</v>
      </c>
      <c r="D66" s="129" t="s">
        <v>284</v>
      </c>
      <c r="E66" s="129">
        <f>825-8060*C5/C4+20300*(C5/C4)^2</f>
        <v>103.54838305849802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5"/>
    </row>
    <row r="67" spans="1:16" s="17" customFormat="1" ht="12" customHeight="1" x14ac:dyDescent="0.2">
      <c r="A67" s="113"/>
      <c r="B67" s="129" t="s">
        <v>285</v>
      </c>
      <c r="C67" s="93">
        <f>C64+C65/(C66*(0.98-C11)^3+1)</f>
        <v>0.24991880253088733</v>
      </c>
      <c r="D67" s="93" t="s">
        <v>286</v>
      </c>
      <c r="E67" s="93">
        <f>E64+E65/(E66*(0.98-C11)^3+1)</f>
        <v>0.19286248559132835</v>
      </c>
      <c r="F67" s="93"/>
      <c r="G67" s="93"/>
      <c r="H67" s="129"/>
      <c r="I67" s="129"/>
      <c r="J67" s="129"/>
      <c r="K67" s="129"/>
      <c r="L67" s="129"/>
      <c r="M67" s="129"/>
      <c r="N67" s="129"/>
      <c r="O67" s="129"/>
      <c r="P67" s="135"/>
    </row>
    <row r="68" spans="1:16" s="17" customFormat="1" ht="12" customHeight="1" x14ac:dyDescent="0.2">
      <c r="A68" s="113"/>
      <c r="B68" s="129" t="s">
        <v>287</v>
      </c>
      <c r="C68" s="93">
        <f>0.025*C15/(100*(C11-0.7)^2+1)</f>
        <v>0</v>
      </c>
      <c r="D68" s="93" t="s">
        <v>288</v>
      </c>
      <c r="E68" s="93">
        <f>-0.01*C15</f>
        <v>0</v>
      </c>
      <c r="F68" s="93"/>
      <c r="G68" s="93"/>
      <c r="H68" s="129"/>
      <c r="I68" s="129"/>
      <c r="J68" s="129"/>
      <c r="K68" s="129"/>
      <c r="L68" s="129"/>
      <c r="M68" s="129"/>
      <c r="N68" s="129"/>
      <c r="O68" s="129"/>
      <c r="P68" s="135"/>
    </row>
    <row r="69" spans="1:16" s="17" customFormat="1" ht="12" customHeight="1" x14ac:dyDescent="0.2">
      <c r="A69" s="113"/>
      <c r="B69" s="129" t="s">
        <v>289</v>
      </c>
      <c r="C69" s="93">
        <f>0.00756/(C18/C4+0.002)-0.18</f>
        <v>0.10623735526422862</v>
      </c>
      <c r="D69" s="93" t="s">
        <v>290</v>
      </c>
      <c r="E69" s="93">
        <f>2*(C18/C4-0.04)</f>
        <v>-3.1176705898352877E-2</v>
      </c>
      <c r="F69" s="93"/>
      <c r="G69" s="93"/>
      <c r="H69" s="129"/>
      <c r="I69" s="129"/>
      <c r="J69" s="129"/>
      <c r="K69" s="129"/>
      <c r="L69" s="129"/>
      <c r="M69" s="129"/>
      <c r="N69" s="129"/>
      <c r="O69" s="129"/>
      <c r="P69" s="135"/>
    </row>
    <row r="70" spans="1:16" s="17" customFormat="1" ht="12" customHeight="1" x14ac:dyDescent="0.2">
      <c r="A70" s="113"/>
      <c r="B70" s="129" t="s">
        <v>291</v>
      </c>
      <c r="C70" s="93">
        <f>MIN(0.1,C69)</f>
        <v>0.1</v>
      </c>
      <c r="D70" s="93"/>
      <c r="E70" s="93"/>
      <c r="F70" s="93"/>
      <c r="G70" s="93"/>
      <c r="H70" s="129"/>
      <c r="I70" s="129"/>
      <c r="J70" s="129"/>
      <c r="K70" s="129"/>
      <c r="L70" s="129"/>
      <c r="M70" s="129"/>
      <c r="N70" s="129"/>
      <c r="O70" s="129"/>
      <c r="P70" s="135"/>
    </row>
    <row r="71" spans="1:16" s="17" customFormat="1" ht="12" customHeight="1" x14ac:dyDescent="0.2">
      <c r="A71" s="113"/>
      <c r="B71" s="129" t="s">
        <v>292</v>
      </c>
      <c r="C71" s="93">
        <f>C67+C68+C70</f>
        <v>0.34991880253088736</v>
      </c>
      <c r="D71" s="93" t="s">
        <v>293</v>
      </c>
      <c r="E71" s="93">
        <f>E67+E68+E69</f>
        <v>0.16168577969297548</v>
      </c>
      <c r="F71" s="93" t="s">
        <v>294</v>
      </c>
      <c r="G71" s="93">
        <f>0.7*C11-0.2</f>
        <v>0.25480119081704478</v>
      </c>
      <c r="H71" s="129"/>
      <c r="I71" s="129"/>
      <c r="J71" s="129"/>
      <c r="K71" s="129"/>
      <c r="L71" s="129"/>
      <c r="M71" s="129"/>
      <c r="N71" s="129"/>
      <c r="O71" s="129"/>
      <c r="P71" s="135"/>
    </row>
    <row r="72" spans="1:16" s="17" customFormat="1" ht="12" customHeight="1" x14ac:dyDescent="0.2">
      <c r="A72" s="113"/>
      <c r="B72" s="129" t="s">
        <v>295</v>
      </c>
      <c r="C72" s="93">
        <f>1.133*C11^2-0.797*C11+0.215</f>
        <v>0.1754506269248913</v>
      </c>
      <c r="D72" s="93" t="s">
        <v>296</v>
      </c>
      <c r="E72" s="93">
        <f>0.0665+0.62833*C72</f>
        <v>0.17674089241571694</v>
      </c>
      <c r="F72" s="93" t="s">
        <v>297</v>
      </c>
      <c r="G72" s="93">
        <f>0.19</f>
        <v>0.19</v>
      </c>
      <c r="H72" s="129"/>
      <c r="I72" s="129"/>
      <c r="J72" s="129"/>
      <c r="K72" s="129"/>
      <c r="L72" s="129"/>
      <c r="M72" s="129"/>
      <c r="N72" s="129"/>
      <c r="O72" s="129"/>
      <c r="P72" s="135"/>
    </row>
    <row r="73" spans="1:16" x14ac:dyDescent="0.2">
      <c r="A73" s="136" t="s">
        <v>298</v>
      </c>
      <c r="B73" s="129" t="s">
        <v>299</v>
      </c>
      <c r="C73" s="129">
        <f t="shared" ref="C73:P73" si="43">IF(C22&gt;$J9,0,IF($C17=1,0.2,0.1))</f>
        <v>0.2</v>
      </c>
      <c r="D73" s="129">
        <f t="shared" si="43"/>
        <v>0.2</v>
      </c>
      <c r="E73" s="129">
        <f t="shared" si="43"/>
        <v>0.2</v>
      </c>
      <c r="F73" s="129">
        <f t="shared" si="43"/>
        <v>0.2</v>
      </c>
      <c r="G73" s="129">
        <f t="shared" si="43"/>
        <v>0.2</v>
      </c>
      <c r="H73" s="129">
        <f t="shared" si="43"/>
        <v>0.2</v>
      </c>
      <c r="I73" s="129">
        <f t="shared" si="43"/>
        <v>0.2</v>
      </c>
      <c r="J73" s="129">
        <f t="shared" si="43"/>
        <v>0.2</v>
      </c>
      <c r="K73" s="129">
        <f t="shared" si="43"/>
        <v>0.2</v>
      </c>
      <c r="L73" s="129">
        <f t="shared" si="43"/>
        <v>0.2</v>
      </c>
      <c r="M73" s="129">
        <f t="shared" si="43"/>
        <v>0.2</v>
      </c>
      <c r="N73" s="129">
        <f t="shared" si="43"/>
        <v>0.2</v>
      </c>
      <c r="O73" s="129">
        <f t="shared" si="43"/>
        <v>0.2</v>
      </c>
      <c r="P73" s="129">
        <f t="shared" si="43"/>
        <v>0.2</v>
      </c>
    </row>
    <row r="75" spans="1:16" x14ac:dyDescent="0.2">
      <c r="A75" s="137" t="s">
        <v>300</v>
      </c>
    </row>
    <row r="76" spans="1:16" x14ac:dyDescent="0.2">
      <c r="A76" s="138">
        <v>36967</v>
      </c>
      <c r="B76" s="136" t="s">
        <v>301</v>
      </c>
    </row>
    <row r="77" spans="1:16" x14ac:dyDescent="0.2">
      <c r="A77" s="138">
        <v>38922</v>
      </c>
      <c r="B77" s="136" t="s">
        <v>302</v>
      </c>
    </row>
    <row r="78" spans="1:16" x14ac:dyDescent="0.2">
      <c r="A78" s="138">
        <v>38959</v>
      </c>
      <c r="B78" s="136" t="s">
        <v>303</v>
      </c>
    </row>
    <row r="79" spans="1:16" x14ac:dyDescent="0.2">
      <c r="A79" s="138">
        <v>39513</v>
      </c>
      <c r="B79" s="136" t="s">
        <v>304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6"/>
  <dimension ref="A1:AD79"/>
  <sheetViews>
    <sheetView workbookViewId="0">
      <selection activeCell="K35" sqref="K35"/>
    </sheetView>
  </sheetViews>
  <sheetFormatPr defaultColWidth="8.85546875" defaultRowHeight="12.75" x14ac:dyDescent="0.2"/>
  <cols>
    <col min="1" max="1" width="26.42578125" style="136" customWidth="1"/>
    <col min="2" max="6" width="7.140625" style="136" customWidth="1"/>
    <col min="7" max="7" width="9" style="136" customWidth="1"/>
    <col min="8" max="8" width="6.42578125" style="136" customWidth="1"/>
    <col min="9" max="11" width="7.140625" style="136" customWidth="1"/>
    <col min="12" max="12" width="6.42578125" style="136" customWidth="1"/>
    <col min="13" max="13" width="7.140625" style="136" customWidth="1"/>
    <col min="14" max="14" width="7.42578125" style="136" customWidth="1"/>
    <col min="15" max="15" width="6.140625" style="136" customWidth="1"/>
    <col min="16" max="16" width="6.7109375" style="136" customWidth="1"/>
    <col min="17" max="30" width="9.140625" style="9" customWidth="1"/>
  </cols>
  <sheetData>
    <row r="1" spans="1:30" ht="21" thickBot="1" x14ac:dyDescent="0.35">
      <c r="A1" s="2" t="s">
        <v>411</v>
      </c>
      <c r="B1" s="3"/>
      <c r="C1" s="3"/>
      <c r="D1" s="3"/>
      <c r="E1" s="4"/>
      <c r="F1" s="3"/>
      <c r="G1" s="5"/>
      <c r="H1" s="6"/>
      <c r="I1" s="7"/>
      <c r="J1" s="6"/>
      <c r="K1" s="6"/>
      <c r="L1" s="6"/>
      <c r="M1" s="6"/>
      <c r="N1" s="6"/>
      <c r="O1" s="6"/>
      <c r="P1" s="8"/>
    </row>
    <row r="2" spans="1:30" s="18" customFormat="1" ht="13.5" thickTop="1" x14ac:dyDescent="0.2">
      <c r="A2" s="10" t="s">
        <v>199</v>
      </c>
      <c r="B2" s="11"/>
      <c r="C2" s="11"/>
      <c r="D2" s="11"/>
      <c r="E2" s="12"/>
      <c r="F2" s="12"/>
      <c r="G2" s="11"/>
      <c r="H2" s="13"/>
      <c r="I2" s="14"/>
      <c r="J2" s="15" t="s">
        <v>200</v>
      </c>
      <c r="K2" s="11"/>
      <c r="L2" s="11"/>
      <c r="M2" s="11"/>
      <c r="N2" s="11"/>
      <c r="O2" s="1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9" t="s">
        <v>201</v>
      </c>
      <c r="B3" s="20" t="s">
        <v>202</v>
      </c>
      <c r="C3" s="21">
        <v>1.0249999999999999</v>
      </c>
      <c r="D3" s="22"/>
      <c r="E3" s="23"/>
      <c r="F3" s="24"/>
      <c r="G3" s="25" t="s">
        <v>203</v>
      </c>
      <c r="H3" s="26"/>
      <c r="I3" s="26"/>
      <c r="J3" s="27">
        <v>1</v>
      </c>
      <c r="K3" s="28">
        <f>IF(J3=1,IF(C17=1,0.7*C71,IF(C16=1,C72,G71)),J3)</f>
        <v>0.25012992565232062</v>
      </c>
      <c r="L3" s="29"/>
      <c r="M3" s="29"/>
      <c r="N3" s="29"/>
      <c r="O3" s="29"/>
      <c r="P3" s="30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9" t="s">
        <v>204</v>
      </c>
      <c r="B4" s="20" t="s">
        <v>205</v>
      </c>
      <c r="C4" s="31">
        <f>'SHIP DATA'!D6</f>
        <v>410.19723000059423</v>
      </c>
      <c r="D4" s="32"/>
      <c r="E4" s="33"/>
      <c r="F4" s="34"/>
      <c r="G4" s="35" t="s">
        <v>206</v>
      </c>
      <c r="H4" s="36"/>
      <c r="I4" s="36"/>
      <c r="J4" s="27">
        <v>1</v>
      </c>
      <c r="K4" s="37">
        <f>IF(K15=1,0.25,IF(J4=1,IF(C17=1,E71,IF(C16=1,E72,G72)),J4))</f>
        <v>0.16397247126289588</v>
      </c>
      <c r="L4" s="38"/>
      <c r="M4" s="38"/>
      <c r="N4" s="38"/>
      <c r="O4" s="38"/>
      <c r="P4" s="39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9" t="s">
        <v>207</v>
      </c>
      <c r="B5" s="20" t="s">
        <v>205</v>
      </c>
      <c r="C5" s="31">
        <f>'SHIP DATA'!D8</f>
        <v>55.91</v>
      </c>
      <c r="D5" s="32"/>
      <c r="E5" s="33"/>
      <c r="F5" s="34"/>
      <c r="G5" s="35" t="s">
        <v>208</v>
      </c>
      <c r="H5" s="36"/>
      <c r="I5" s="36"/>
      <c r="J5" s="40"/>
      <c r="K5" s="37">
        <f>(1-K4)/(1-K3)</f>
        <v>1.11489650985789</v>
      </c>
      <c r="L5" s="38"/>
      <c r="M5" s="38"/>
      <c r="N5" s="38"/>
      <c r="O5" s="38"/>
      <c r="P5" s="39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41" t="s">
        <v>209</v>
      </c>
      <c r="B6" s="42" t="s">
        <v>205</v>
      </c>
      <c r="C6" s="43">
        <f>'SHIP DATA'!D10</f>
        <v>14.191460943493519</v>
      </c>
      <c r="D6" s="32"/>
      <c r="E6" s="33"/>
      <c r="F6" s="34"/>
      <c r="G6" s="35" t="s">
        <v>210</v>
      </c>
      <c r="H6" s="36"/>
      <c r="I6" s="36"/>
      <c r="J6" s="27">
        <f>'SHIP DATA'!D45/100</f>
        <v>0.98</v>
      </c>
      <c r="K6" s="44"/>
      <c r="L6" s="45"/>
      <c r="M6" s="46"/>
      <c r="N6" s="38"/>
      <c r="O6" s="38"/>
      <c r="P6" s="39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9" t="s">
        <v>211</v>
      </c>
      <c r="B7" s="20" t="s">
        <v>212</v>
      </c>
      <c r="C7" s="47">
        <f>'SHIP DATA'!D23</f>
        <v>220424.5511905785</v>
      </c>
      <c r="D7" s="32"/>
      <c r="E7" s="33"/>
      <c r="F7" s="34"/>
      <c r="G7" s="35" t="s">
        <v>213</v>
      </c>
      <c r="H7" s="36"/>
      <c r="I7" s="36"/>
      <c r="J7" s="27">
        <f>IF(C16=2,1.03,1.01)</f>
        <v>1.01</v>
      </c>
      <c r="K7" s="48"/>
      <c r="L7" s="38"/>
      <c r="M7" s="38"/>
      <c r="N7" s="38"/>
      <c r="O7" s="38"/>
      <c r="P7" s="39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9" t="s">
        <v>214</v>
      </c>
      <c r="B8" s="20" t="s">
        <v>215</v>
      </c>
      <c r="C8" s="47">
        <f>'SHIP DATA'!D33</f>
        <v>25924.103561831609</v>
      </c>
      <c r="D8" s="32"/>
      <c r="E8" s="33"/>
      <c r="F8" s="34"/>
      <c r="G8" s="49" t="s">
        <v>216</v>
      </c>
      <c r="H8" s="50"/>
      <c r="I8" s="50"/>
      <c r="J8" s="50"/>
      <c r="K8" s="51"/>
      <c r="L8" s="38"/>
      <c r="M8" s="38"/>
      <c r="N8" s="38"/>
      <c r="O8" s="38"/>
      <c r="P8" s="3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9" t="s">
        <v>217</v>
      </c>
      <c r="B9" s="20" t="s">
        <v>215</v>
      </c>
      <c r="C9" s="52">
        <f>IF(C8=0,0.995*(C7/C3/C6+1.9*C4*C6),C8)</f>
        <v>25924.103561831609</v>
      </c>
      <c r="D9" s="32"/>
      <c r="E9" s="33"/>
      <c r="F9" s="34"/>
      <c r="G9" s="25" t="s">
        <v>218</v>
      </c>
      <c r="H9" s="26"/>
      <c r="I9" s="26"/>
      <c r="J9" s="53">
        <v>0.32</v>
      </c>
      <c r="K9" s="54" t="str">
        <f>IF(J9&gt;0.32,"Too high"," ")</f>
        <v xml:space="preserve"> </v>
      </c>
      <c r="L9" s="38"/>
      <c r="M9" s="38"/>
      <c r="N9" s="38"/>
      <c r="O9" s="38"/>
      <c r="P9" s="39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9" t="s">
        <v>186</v>
      </c>
      <c r="B10" s="20" t="s">
        <v>193</v>
      </c>
      <c r="C10" s="21">
        <f>'SHIP DATA'!D29</f>
        <v>0.98</v>
      </c>
      <c r="D10" s="32"/>
      <c r="E10" s="33"/>
      <c r="F10" s="34"/>
      <c r="G10" s="55"/>
      <c r="H10" s="56"/>
      <c r="I10" s="56"/>
      <c r="J10" s="57">
        <v>0.95</v>
      </c>
      <c r="K10" s="58" t="str">
        <f>IF(J10&lt;0.9,"Too low"," ")</f>
        <v xml:space="preserve"> </v>
      </c>
      <c r="L10" s="38"/>
      <c r="M10" s="59" t="s">
        <v>219</v>
      </c>
      <c r="N10" s="60"/>
      <c r="O10" s="60"/>
      <c r="P10" s="61">
        <f>'SHIP DATA'!D35</f>
        <v>23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9" t="s">
        <v>220</v>
      </c>
      <c r="B11" s="20" t="s">
        <v>193</v>
      </c>
      <c r="C11" s="62">
        <f>C7/C3/C4/C5/C6</f>
        <v>0.66073418657710981</v>
      </c>
      <c r="D11" s="32"/>
      <c r="E11" s="33"/>
      <c r="F11" s="33"/>
      <c r="G11" s="33"/>
      <c r="H11" s="33"/>
      <c r="I11" s="33"/>
      <c r="J11" s="33"/>
      <c r="K11" s="33"/>
      <c r="L11" s="38"/>
      <c r="M11" s="38"/>
      <c r="N11" s="38"/>
      <c r="O11" s="38"/>
      <c r="P11" s="39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9" t="s">
        <v>221</v>
      </c>
      <c r="B12" s="20" t="s">
        <v>193</v>
      </c>
      <c r="C12" s="62">
        <f>C11/C10</f>
        <v>0.67421855773174466</v>
      </c>
      <c r="D12" s="32"/>
      <c r="E12" s="33"/>
      <c r="F12" s="34"/>
      <c r="G12" s="705" t="s">
        <v>222</v>
      </c>
      <c r="H12" s="706"/>
      <c r="I12" s="706"/>
      <c r="J12" s="706"/>
      <c r="K12" s="64">
        <f>'SHIP DATA'!D39</f>
        <v>15</v>
      </c>
      <c r="L12" s="65"/>
      <c r="M12" s="65"/>
      <c r="N12" s="65"/>
      <c r="O12" s="38"/>
      <c r="P12" s="39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9" t="s">
        <v>223</v>
      </c>
      <c r="B13" s="20" t="s">
        <v>193</v>
      </c>
      <c r="C13" s="66">
        <f>C4/(C7/C3)^(1/3)</f>
        <v>6.846690401111422</v>
      </c>
      <c r="D13" s="32"/>
      <c r="E13" s="33"/>
      <c r="F13" s="34"/>
      <c r="G13" s="67" t="s">
        <v>224</v>
      </c>
      <c r="H13" s="68"/>
      <c r="I13" s="67"/>
      <c r="J13" s="67"/>
      <c r="K13" s="64">
        <v>15</v>
      </c>
      <c r="L13" s="38"/>
      <c r="M13" s="605" t="s">
        <v>402</v>
      </c>
      <c r="N13" s="605"/>
      <c r="O13" s="606">
        <f>IF('SHIP DATA'!D2&lt;500,2+(500-'SHIP DATA'!D2)/125,IF('SHIP DATA'!D2&lt;9000,7,IF('SHIP DATA'!D2&lt;12000,8,9)))</f>
        <v>9</v>
      </c>
      <c r="P13" s="39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9" t="s">
        <v>225</v>
      </c>
      <c r="B14" s="20" t="s">
        <v>193</v>
      </c>
      <c r="C14" s="69">
        <v>0</v>
      </c>
      <c r="D14" s="32"/>
      <c r="E14" s="33"/>
      <c r="F14" s="34"/>
      <c r="G14" s="70" t="s">
        <v>226</v>
      </c>
      <c r="H14" s="71"/>
      <c r="I14" s="71"/>
      <c r="J14" s="71"/>
      <c r="K14" s="64">
        <v>1</v>
      </c>
      <c r="L14" s="38"/>
      <c r="M14" s="605" t="s">
        <v>403</v>
      </c>
      <c r="N14" s="605"/>
      <c r="O14" s="606">
        <f>IF('SHIP DATA'!D2&lt;2500,1.5,2)</f>
        <v>2</v>
      </c>
      <c r="P14" s="39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9" t="s">
        <v>227</v>
      </c>
      <c r="B15" s="20" t="s">
        <v>193</v>
      </c>
      <c r="C15" s="69">
        <v>0</v>
      </c>
      <c r="D15" s="32"/>
      <c r="E15" s="33"/>
      <c r="F15" s="34"/>
      <c r="G15" s="70" t="s">
        <v>228</v>
      </c>
      <c r="H15" s="71"/>
      <c r="I15" s="71"/>
      <c r="J15" s="71"/>
      <c r="K15" s="64">
        <v>2</v>
      </c>
      <c r="L15" s="38"/>
      <c r="M15" s="201"/>
      <c r="N15" s="201"/>
      <c r="O15" s="201"/>
      <c r="P15" s="39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9" t="s">
        <v>229</v>
      </c>
      <c r="B16" s="20" t="s">
        <v>193</v>
      </c>
      <c r="C16" s="1129">
        <f>'SHIP DATA'!D51</f>
        <v>1</v>
      </c>
      <c r="D16" s="32"/>
      <c r="E16" s="33"/>
      <c r="F16" s="34"/>
      <c r="G16" s="70" t="s">
        <v>230</v>
      </c>
      <c r="H16" s="71"/>
      <c r="I16" s="71"/>
      <c r="J16" s="71"/>
      <c r="K16" s="72"/>
      <c r="L16" s="38"/>
      <c r="M16" s="523" t="s">
        <v>73</v>
      </c>
      <c r="N16" s="523"/>
      <c r="O16" s="529">
        <f>'SHIP DATA'!D42</f>
        <v>0.8</v>
      </c>
      <c r="P16" s="39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9" t="s">
        <v>231</v>
      </c>
      <c r="B17" s="20" t="s">
        <v>193</v>
      </c>
      <c r="C17" s="1129">
        <f>'SHIP DATA'!D50</f>
        <v>1</v>
      </c>
      <c r="D17" s="32"/>
      <c r="E17" s="33"/>
      <c r="F17" s="34"/>
      <c r="G17" s="70" t="s">
        <v>232</v>
      </c>
      <c r="H17" s="71"/>
      <c r="I17" s="71"/>
      <c r="J17" s="71"/>
      <c r="K17" s="721">
        <f>'SHIP DATA'!D53</f>
        <v>1</v>
      </c>
      <c r="L17" s="38"/>
      <c r="M17" s="227" t="s">
        <v>74</v>
      </c>
      <c r="N17" s="227"/>
      <c r="O17" s="524">
        <f>C5*(('SHIP DATA'!D9-C6)+2+O13*2.6+2*O14)</f>
        <v>2538.7914186492771</v>
      </c>
      <c r="P17" s="39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9" t="s">
        <v>233</v>
      </c>
      <c r="B18" s="20" t="s">
        <v>205</v>
      </c>
      <c r="C18" s="31">
        <f>'SHIP DATA'!D52</f>
        <v>10.013590000000001</v>
      </c>
      <c r="D18" s="73">
        <f>C18/C6</f>
        <v>0.70560670531887815</v>
      </c>
      <c r="E18" s="74" t="s">
        <v>234</v>
      </c>
      <c r="F18" s="75"/>
      <c r="G18" s="70" t="s">
        <v>235</v>
      </c>
      <c r="H18" s="71"/>
      <c r="I18" s="71"/>
      <c r="J18" s="71"/>
      <c r="K18" s="231">
        <f>'SHIP DATA'!D46</f>
        <v>0</v>
      </c>
      <c r="L18" s="38"/>
      <c r="M18" s="227" t="s">
        <v>75</v>
      </c>
      <c r="N18" s="227"/>
      <c r="O18" s="525">
        <f>'SHIP DATA'!D43</f>
        <v>0</v>
      </c>
      <c r="P18" s="39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36" t="s">
        <v>236</v>
      </c>
      <c r="B19" s="76" t="s">
        <v>193</v>
      </c>
      <c r="C19" s="77">
        <v>4</v>
      </c>
      <c r="D19" s="78"/>
      <c r="E19" s="79"/>
      <c r="F19" s="65"/>
      <c r="G19" s="80" t="s">
        <v>237</v>
      </c>
      <c r="H19" s="81"/>
      <c r="I19" s="82"/>
      <c r="J19" s="81"/>
      <c r="K19" s="83">
        <v>100</v>
      </c>
      <c r="L19" s="84"/>
      <c r="M19" s="84"/>
      <c r="N19" s="84"/>
      <c r="O19" s="84"/>
      <c r="P19" s="85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0" t="s">
        <v>238</v>
      </c>
      <c r="B20" s="86"/>
      <c r="C20" s="11"/>
      <c r="D20" s="11"/>
      <c r="E20" s="11"/>
      <c r="F20" s="11"/>
      <c r="G20" s="11"/>
      <c r="H20" s="11"/>
      <c r="I20" s="11"/>
      <c r="J20" s="11"/>
      <c r="K20" s="87"/>
      <c r="L20" s="87"/>
      <c r="M20" s="87"/>
      <c r="N20" s="87"/>
      <c r="O20" s="87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88" t="s">
        <v>239</v>
      </c>
      <c r="B21" s="89" t="s">
        <v>240</v>
      </c>
      <c r="C21" s="90">
        <f t="shared" ref="C21:J21" si="0">D21-0.5</f>
        <v>19</v>
      </c>
      <c r="D21" s="90">
        <f t="shared" si="0"/>
        <v>19.5</v>
      </c>
      <c r="E21" s="90">
        <f t="shared" si="0"/>
        <v>20</v>
      </c>
      <c r="F21" s="90">
        <f t="shared" si="0"/>
        <v>20.5</v>
      </c>
      <c r="G21" s="90">
        <f t="shared" si="0"/>
        <v>21</v>
      </c>
      <c r="H21" s="90">
        <f t="shared" si="0"/>
        <v>21.5</v>
      </c>
      <c r="I21" s="90">
        <f t="shared" si="0"/>
        <v>22</v>
      </c>
      <c r="J21" s="90">
        <f t="shared" si="0"/>
        <v>22.5</v>
      </c>
      <c r="K21" s="90">
        <f>P10</f>
        <v>23</v>
      </c>
      <c r="L21" s="90">
        <f>K21+0.5</f>
        <v>23.5</v>
      </c>
      <c r="M21" s="90">
        <f>L21+0.5</f>
        <v>24</v>
      </c>
      <c r="N21" s="90">
        <f>M21+0.5</f>
        <v>24.5</v>
      </c>
      <c r="O21" s="90">
        <f>N21+0.5</f>
        <v>25</v>
      </c>
      <c r="P21" s="91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9" t="s">
        <v>241</v>
      </c>
      <c r="B22" s="76" t="s">
        <v>193</v>
      </c>
      <c r="C22" s="92">
        <f t="shared" ref="C22:O22" si="1">C21*0.5144/SQRT(9.81*$C4)</f>
        <v>0.15407199125989537</v>
      </c>
      <c r="D22" s="93">
        <f t="shared" si="1"/>
        <v>0.15812651734568206</v>
      </c>
      <c r="E22" s="93">
        <f t="shared" si="1"/>
        <v>0.1621810434314688</v>
      </c>
      <c r="F22" s="93">
        <f t="shared" si="1"/>
        <v>0.16623556951725552</v>
      </c>
      <c r="G22" s="93">
        <f t="shared" si="1"/>
        <v>0.17029009560304223</v>
      </c>
      <c r="H22" s="93">
        <f t="shared" si="1"/>
        <v>0.17434462168882897</v>
      </c>
      <c r="I22" s="93">
        <f t="shared" si="1"/>
        <v>0.17839914777461566</v>
      </c>
      <c r="J22" s="62">
        <f t="shared" si="1"/>
        <v>0.1824536738604024</v>
      </c>
      <c r="K22" s="62">
        <f t="shared" si="1"/>
        <v>0.18650819994618911</v>
      </c>
      <c r="L22" s="62">
        <f t="shared" si="1"/>
        <v>0.19056272603197585</v>
      </c>
      <c r="M22" s="62">
        <f t="shared" si="1"/>
        <v>0.19461725211776257</v>
      </c>
      <c r="N22" s="62">
        <f t="shared" si="1"/>
        <v>0.19867177820354925</v>
      </c>
      <c r="O22" s="94">
        <f t="shared" si="1"/>
        <v>0.202726304289336</v>
      </c>
      <c r="P22" s="95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9" t="s">
        <v>242</v>
      </c>
      <c r="B23" s="76" t="s">
        <v>193</v>
      </c>
      <c r="C23" s="92">
        <f t="shared" ref="C23:P23" si="2">75/(LOG10(C21*0.5144*$C4*1000000/((43.4233-31.38*$C3)*($K13+20)^(1.72*$C3-2.202)+4.7478-5.779*$C3))-2)^2</f>
        <v>1.3233929895820649</v>
      </c>
      <c r="D23" s="62">
        <f t="shared" si="2"/>
        <v>1.3194356322748522</v>
      </c>
      <c r="E23" s="62">
        <f t="shared" si="2"/>
        <v>1.3155955295656612</v>
      </c>
      <c r="F23" s="62">
        <f t="shared" si="2"/>
        <v>1.3118663798390429</v>
      </c>
      <c r="G23" s="62">
        <f t="shared" si="2"/>
        <v>1.3082423642617154</v>
      </c>
      <c r="H23" s="62">
        <f t="shared" si="2"/>
        <v>1.3047180992885405</v>
      </c>
      <c r="I23" s="62">
        <f t="shared" si="2"/>
        <v>1.3012885948261597</v>
      </c>
      <c r="J23" s="62">
        <f t="shared" si="2"/>
        <v>1.2979492172682627</v>
      </c>
      <c r="K23" s="62">
        <f t="shared" si="2"/>
        <v>1.294695656740557</v>
      </c>
      <c r="L23" s="62">
        <f t="shared" si="2"/>
        <v>1.2915238979957366</v>
      </c>
      <c r="M23" s="62">
        <f t="shared" si="2"/>
        <v>1.2884301944834013</v>
      </c>
      <c r="N23" s="62">
        <f t="shared" si="2"/>
        <v>1.2854110451902128</v>
      </c>
      <c r="O23" s="94">
        <f t="shared" si="2"/>
        <v>1.2824631739043149</v>
      </c>
      <c r="P23" s="96">
        <f t="shared" si="2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9" t="s">
        <v>243</v>
      </c>
      <c r="B24" s="76" t="s">
        <v>193</v>
      </c>
      <c r="C24" s="97">
        <f>C46</f>
        <v>0.66004356213551774</v>
      </c>
      <c r="D24" s="98">
        <f t="shared" ref="D24:O24" si="3">D46</f>
        <v>0.66639945876632434</v>
      </c>
      <c r="E24" s="98">
        <f t="shared" si="3"/>
        <v>0.67317633458539572</v>
      </c>
      <c r="F24" s="98">
        <f t="shared" si="3"/>
        <v>0.68041458655037412</v>
      </c>
      <c r="G24" s="98">
        <f t="shared" si="3"/>
        <v>0.68816027430093207</v>
      </c>
      <c r="H24" s="98">
        <f t="shared" si="3"/>
        <v>0.69646606631328989</v>
      </c>
      <c r="I24" s="98">
        <f t="shared" si="3"/>
        <v>0.70539236235885128</v>
      </c>
      <c r="J24" s="98">
        <f t="shared" si="3"/>
        <v>0.71500862831399825</v>
      </c>
      <c r="K24" s="98">
        <f t="shared" si="3"/>
        <v>0.72539498750157994</v>
      </c>
      <c r="L24" s="98">
        <f t="shared" si="3"/>
        <v>0.73664412281851843</v>
      </c>
      <c r="M24" s="98">
        <f t="shared" si="3"/>
        <v>0.74886355636060076</v>
      </c>
      <c r="N24" s="98">
        <f t="shared" si="3"/>
        <v>0.76217838860634146</v>
      </c>
      <c r="O24" s="99">
        <f t="shared" si="3"/>
        <v>0.77673459802982114</v>
      </c>
      <c r="P24" s="95">
        <f>P53+P55+P57+P61+P62+P63</f>
        <v>3.5507927380822282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9" t="s">
        <v>244</v>
      </c>
      <c r="B25" s="76" t="s">
        <v>193</v>
      </c>
      <c r="C25" s="266">
        <f>$K14*(IF($C16=2,0.52-2.6*C22,MAX(-50,(250*C22-90))/100*C24))</f>
        <v>-0.33002178106775887</v>
      </c>
      <c r="D25" s="268">
        <f>$K14*(IF($C16=2,0.52-2.6*D22,MAX(-50,(250*D22-90))/100*D24))</f>
        <v>-0.33319972938316217</v>
      </c>
      <c r="E25" s="268">
        <f t="shared" ref="E25:P25" si="4">$K14*(IF($C16=2,0.52-2.6*E22,MAX(-50,(250*E22-90))/100*E24))</f>
        <v>-0.3329176002357786</v>
      </c>
      <c r="F25" s="268">
        <f t="shared" si="4"/>
        <v>-0.32960036213771321</v>
      </c>
      <c r="G25" s="268">
        <f t="shared" si="4"/>
        <v>-0.32637704961853514</v>
      </c>
      <c r="H25" s="268">
        <f t="shared" si="4"/>
        <v>-0.32325667755571741</v>
      </c>
      <c r="I25" s="268">
        <f t="shared" si="4"/>
        <v>-0.32024963539411128</v>
      </c>
      <c r="J25" s="268">
        <f t="shared" si="4"/>
        <v>-0.31736788778815861</v>
      </c>
      <c r="K25" s="268">
        <f t="shared" si="4"/>
        <v>-0.31462520532915189</v>
      </c>
      <c r="L25" s="268">
        <f t="shared" si="4"/>
        <v>-0.31203743013734037</v>
      </c>
      <c r="M25" s="268">
        <f t="shared" si="4"/>
        <v>-0.30962278184945236</v>
      </c>
      <c r="N25" s="268">
        <f t="shared" si="4"/>
        <v>-0.30740221031386322</v>
      </c>
      <c r="O25" s="268">
        <f t="shared" si="4"/>
        <v>-0.30539980204621753</v>
      </c>
      <c r="P25" s="270">
        <f t="shared" si="4"/>
        <v>-0.35507927380822285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9" t="s">
        <v>245</v>
      </c>
      <c r="B26" s="76"/>
      <c r="C26" s="266">
        <f>IF($C17=2,IF($C16=1,0.3,0),0)</f>
        <v>0</v>
      </c>
      <c r="D26" s="268">
        <f t="shared" ref="D26:P26" si="5">IF($C17=2,IF($C16=1,0.3,0),0)</f>
        <v>0</v>
      </c>
      <c r="E26" s="268">
        <f t="shared" si="5"/>
        <v>0</v>
      </c>
      <c r="F26" s="268">
        <f t="shared" si="5"/>
        <v>0</v>
      </c>
      <c r="G26" s="268">
        <f t="shared" si="5"/>
        <v>0</v>
      </c>
      <c r="H26" s="268">
        <f t="shared" si="5"/>
        <v>0</v>
      </c>
      <c r="I26" s="268">
        <f t="shared" si="5"/>
        <v>0</v>
      </c>
      <c r="J26" s="268">
        <f t="shared" si="5"/>
        <v>0</v>
      </c>
      <c r="K26" s="268">
        <f t="shared" si="5"/>
        <v>0</v>
      </c>
      <c r="L26" s="268">
        <f t="shared" si="5"/>
        <v>0</v>
      </c>
      <c r="M26" s="268">
        <f t="shared" si="5"/>
        <v>0</v>
      </c>
      <c r="N26" s="268">
        <f t="shared" si="5"/>
        <v>0</v>
      </c>
      <c r="O26" s="269">
        <f t="shared" si="5"/>
        <v>0</v>
      </c>
      <c r="P26" s="270">
        <f t="shared" si="5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9" t="s">
        <v>246</v>
      </c>
      <c r="B27" s="76" t="s">
        <v>193</v>
      </c>
      <c r="C27" s="97">
        <f>MAX(0.09,0.28*'SHIP DATA'!D2^(-0.126))</f>
        <v>0.09</v>
      </c>
      <c r="D27" s="98">
        <f t="shared" ref="D27:P27" si="6">C27</f>
        <v>0.09</v>
      </c>
      <c r="E27" s="98">
        <f t="shared" si="6"/>
        <v>0.09</v>
      </c>
      <c r="F27" s="98">
        <f t="shared" si="6"/>
        <v>0.09</v>
      </c>
      <c r="G27" s="98">
        <f t="shared" si="6"/>
        <v>0.09</v>
      </c>
      <c r="H27" s="98">
        <f t="shared" si="6"/>
        <v>0.09</v>
      </c>
      <c r="I27" s="98">
        <f t="shared" si="6"/>
        <v>0.09</v>
      </c>
      <c r="J27" s="98">
        <f t="shared" si="6"/>
        <v>0.09</v>
      </c>
      <c r="K27" s="98">
        <f t="shared" si="6"/>
        <v>0.09</v>
      </c>
      <c r="L27" s="98">
        <f t="shared" si="6"/>
        <v>0.09</v>
      </c>
      <c r="M27" s="98">
        <f t="shared" si="6"/>
        <v>0.09</v>
      </c>
      <c r="N27" s="98">
        <f t="shared" si="6"/>
        <v>0.09</v>
      </c>
      <c r="O27" s="99">
        <f t="shared" si="6"/>
        <v>0.09</v>
      </c>
      <c r="P27" s="100">
        <f t="shared" si="6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9" t="s">
        <v>247</v>
      </c>
      <c r="B28" s="76" t="s">
        <v>193</v>
      </c>
      <c r="C28" s="92">
        <f t="shared" ref="C28:O28" si="7">0.5*LOG10($C7)-0.1*(LOG10($C7))^2</f>
        <v>-0.1834127229665441</v>
      </c>
      <c r="D28" s="62">
        <f t="shared" si="7"/>
        <v>-0.1834127229665441</v>
      </c>
      <c r="E28" s="62">
        <f t="shared" si="7"/>
        <v>-0.1834127229665441</v>
      </c>
      <c r="F28" s="62">
        <f t="shared" si="7"/>
        <v>-0.1834127229665441</v>
      </c>
      <c r="G28" s="62">
        <f t="shared" si="7"/>
        <v>-0.1834127229665441</v>
      </c>
      <c r="H28" s="62">
        <f t="shared" si="7"/>
        <v>-0.1834127229665441</v>
      </c>
      <c r="I28" s="62">
        <f t="shared" si="7"/>
        <v>-0.1834127229665441</v>
      </c>
      <c r="J28" s="62">
        <f t="shared" si="7"/>
        <v>-0.1834127229665441</v>
      </c>
      <c r="K28" s="62">
        <f t="shared" si="7"/>
        <v>-0.1834127229665441</v>
      </c>
      <c r="L28" s="62">
        <f t="shared" si="7"/>
        <v>-0.1834127229665441</v>
      </c>
      <c r="M28" s="62">
        <f t="shared" si="7"/>
        <v>-0.1834127229665441</v>
      </c>
      <c r="N28" s="62">
        <f t="shared" si="7"/>
        <v>-0.1834127229665441</v>
      </c>
      <c r="O28" s="94">
        <f t="shared" si="7"/>
        <v>-0.1834127229665441</v>
      </c>
      <c r="P28" s="96">
        <f>0.5*LOG10($C7)-0.1*(LOG10($C7))^2</f>
        <v>-0.1834127229665441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9" t="s">
        <v>248</v>
      </c>
      <c r="B29" s="76" t="s">
        <v>193</v>
      </c>
      <c r="C29" s="97">
        <f t="shared" ref="C29:O29" si="8">C23+C24+C25+C26+C27+C28</f>
        <v>1.5600020476832797</v>
      </c>
      <c r="D29" s="98">
        <f t="shared" si="8"/>
        <v>1.5592226386914705</v>
      </c>
      <c r="E29" s="98">
        <f t="shared" si="8"/>
        <v>1.5624415409487342</v>
      </c>
      <c r="F29" s="98">
        <f t="shared" si="8"/>
        <v>1.5692678812851597</v>
      </c>
      <c r="G29" s="98">
        <f t="shared" si="8"/>
        <v>1.5766128659775682</v>
      </c>
      <c r="H29" s="98">
        <f t="shared" si="8"/>
        <v>1.5845147650795688</v>
      </c>
      <c r="I29" s="98">
        <f t="shared" si="8"/>
        <v>1.5930185988243557</v>
      </c>
      <c r="J29" s="98">
        <f t="shared" si="8"/>
        <v>1.6021772348275587</v>
      </c>
      <c r="K29" s="98">
        <f t="shared" si="8"/>
        <v>1.6120527159464408</v>
      </c>
      <c r="L29" s="98">
        <f t="shared" si="8"/>
        <v>1.6227178677103709</v>
      </c>
      <c r="M29" s="98">
        <f t="shared" si="8"/>
        <v>1.6342582460280057</v>
      </c>
      <c r="N29" s="98">
        <f t="shared" si="8"/>
        <v>1.6467745005161469</v>
      </c>
      <c r="O29" s="99">
        <f t="shared" si="8"/>
        <v>1.6603852469213745</v>
      </c>
      <c r="P29" s="96">
        <f>P23+P24+P25+P27+P28</f>
        <v>4.3207725711312683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8" customFormat="1" ht="12" customHeight="1" x14ac:dyDescent="0.2">
      <c r="A30" s="509" t="s">
        <v>69</v>
      </c>
      <c r="B30" s="518" t="s">
        <v>250</v>
      </c>
      <c r="C30" s="510">
        <f>0.00062*$O17*$O16*((C21*0.5144+$O18)^2-(C21*0.5144)^2)</f>
        <v>0</v>
      </c>
      <c r="D30" s="511">
        <f t="shared" ref="D30:O30" si="9">0.00062*$O17*$O16*((D21*0.5144+$O18)^2-(D21*0.5144)^2)</f>
        <v>0</v>
      </c>
      <c r="E30" s="511">
        <f t="shared" si="9"/>
        <v>0</v>
      </c>
      <c r="F30" s="511">
        <f t="shared" si="9"/>
        <v>0</v>
      </c>
      <c r="G30" s="511">
        <f t="shared" si="9"/>
        <v>0</v>
      </c>
      <c r="H30" s="511">
        <f t="shared" si="9"/>
        <v>0</v>
      </c>
      <c r="I30" s="511">
        <f t="shared" si="9"/>
        <v>0</v>
      </c>
      <c r="J30" s="511">
        <f t="shared" si="9"/>
        <v>0</v>
      </c>
      <c r="K30" s="511">
        <f t="shared" si="9"/>
        <v>0</v>
      </c>
      <c r="L30" s="511">
        <f t="shared" si="9"/>
        <v>0</v>
      </c>
      <c r="M30" s="511">
        <f t="shared" si="9"/>
        <v>0</v>
      </c>
      <c r="N30" s="511">
        <f t="shared" si="9"/>
        <v>0</v>
      </c>
      <c r="O30" s="519">
        <f t="shared" si="9"/>
        <v>0</v>
      </c>
      <c r="P30" s="51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s="18" customFormat="1" ht="12" customHeight="1" x14ac:dyDescent="0.2">
      <c r="A31" s="509" t="s">
        <v>70</v>
      </c>
      <c r="B31" s="518" t="s">
        <v>196</v>
      </c>
      <c r="C31" s="512">
        <f>C30/C32*100</f>
        <v>0</v>
      </c>
      <c r="D31" s="513">
        <f t="shared" ref="D31:O31" si="10">D30/D32*100</f>
        <v>0</v>
      </c>
      <c r="E31" s="513">
        <f t="shared" si="10"/>
        <v>0</v>
      </c>
      <c r="F31" s="513">
        <f t="shared" si="10"/>
        <v>0</v>
      </c>
      <c r="G31" s="513">
        <f t="shared" si="10"/>
        <v>0</v>
      </c>
      <c r="H31" s="513">
        <f t="shared" si="10"/>
        <v>0</v>
      </c>
      <c r="I31" s="513">
        <f t="shared" si="10"/>
        <v>0</v>
      </c>
      <c r="J31" s="513">
        <f t="shared" si="10"/>
        <v>0</v>
      </c>
      <c r="K31" s="513">
        <f t="shared" si="10"/>
        <v>0</v>
      </c>
      <c r="L31" s="513">
        <f t="shared" si="10"/>
        <v>0</v>
      </c>
      <c r="M31" s="513">
        <f t="shared" si="10"/>
        <v>0</v>
      </c>
      <c r="N31" s="513">
        <f t="shared" si="10"/>
        <v>0</v>
      </c>
      <c r="O31" s="520">
        <f t="shared" si="10"/>
        <v>0</v>
      </c>
      <c r="P31" s="5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s="18" customFormat="1" ht="12" customHeight="1" x14ac:dyDescent="0.2">
      <c r="A32" s="509" t="s">
        <v>71</v>
      </c>
      <c r="B32" s="518" t="s">
        <v>250</v>
      </c>
      <c r="C32" s="521">
        <f>($C9*$C3*C21^2*0.0001323*C29*$K19/100)+C30</f>
        <v>1979.7931970950494</v>
      </c>
      <c r="D32" s="514">
        <f t="shared" ref="D32:O32" si="11">($C9*$C3*D21^2*0.0001323*D29*$K19/100)+D30</f>
        <v>2084.3219964350037</v>
      </c>
      <c r="E32" s="514">
        <f t="shared" si="11"/>
        <v>2197.1070909155856</v>
      </c>
      <c r="F32" s="514">
        <f t="shared" si="11"/>
        <v>2318.4208049073445</v>
      </c>
      <c r="G32" s="514">
        <f t="shared" si="11"/>
        <v>2444.2808939683991</v>
      </c>
      <c r="H32" s="514">
        <f t="shared" si="11"/>
        <v>2574.9017806437264</v>
      </c>
      <c r="I32" s="514">
        <f t="shared" si="11"/>
        <v>2710.5265476669856</v>
      </c>
      <c r="J32" s="514">
        <f t="shared" si="11"/>
        <v>2851.4322033636245</v>
      </c>
      <c r="K32" s="514">
        <f t="shared" si="11"/>
        <v>2997.9360804933908</v>
      </c>
      <c r="L32" s="514">
        <f t="shared" si="11"/>
        <v>3150.4036359678812</v>
      </c>
      <c r="M32" s="514">
        <f t="shared" si="11"/>
        <v>3309.2579867784166</v>
      </c>
      <c r="N32" s="514">
        <f t="shared" si="11"/>
        <v>3474.9916035228393</v>
      </c>
      <c r="O32" s="522">
        <f t="shared" si="11"/>
        <v>3648.1806919391197</v>
      </c>
      <c r="P32" s="51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16" s="17" customFormat="1" ht="12" customHeight="1" x14ac:dyDescent="0.2">
      <c r="A33" s="19" t="s">
        <v>249</v>
      </c>
      <c r="B33" s="76" t="s">
        <v>250</v>
      </c>
      <c r="C33" s="101">
        <f>($C9*$C3*C21^2*0.0001323*C29*$K19/100)*(1+$K12/100)+C30</f>
        <v>2276.7621766593065</v>
      </c>
      <c r="D33" s="102">
        <f>($C9*$C3*D21^2*0.0001323*D29*$K19/100)*(1+$K12/100)+D30</f>
        <v>2396.9702959002539</v>
      </c>
      <c r="E33" s="102">
        <f t="shared" ref="E33:P33" si="12">($C9*$C3*E21^2*0.0001323*E29*$K19/100)*(1+$K12/100)+E30</f>
        <v>2526.6731545529233</v>
      </c>
      <c r="F33" s="102">
        <f t="shared" si="12"/>
        <v>2666.1839256434459</v>
      </c>
      <c r="G33" s="102">
        <f t="shared" si="12"/>
        <v>2810.9230280636589</v>
      </c>
      <c r="H33" s="102">
        <f t="shared" si="12"/>
        <v>2961.1370477402852</v>
      </c>
      <c r="I33" s="102">
        <f t="shared" si="12"/>
        <v>3117.1055298170331</v>
      </c>
      <c r="J33" s="102">
        <f t="shared" si="12"/>
        <v>3279.1470338681679</v>
      </c>
      <c r="K33" s="102">
        <f t="shared" si="12"/>
        <v>3447.6264925673991</v>
      </c>
      <c r="L33" s="102">
        <f t="shared" si="12"/>
        <v>3622.9641813630633</v>
      </c>
      <c r="M33" s="102">
        <f t="shared" si="12"/>
        <v>3805.6466847951788</v>
      </c>
      <c r="N33" s="102">
        <f t="shared" si="12"/>
        <v>3996.2403440512649</v>
      </c>
      <c r="O33" s="102">
        <f t="shared" si="12"/>
        <v>4195.4077957299869</v>
      </c>
      <c r="P33" s="103">
        <f t="shared" si="12"/>
        <v>27202.353024456897</v>
      </c>
    </row>
    <row r="34" spans="1:16" s="17" customFormat="1" ht="12" customHeight="1" x14ac:dyDescent="0.2">
      <c r="A34" s="19" t="s">
        <v>251</v>
      </c>
      <c r="B34" s="76" t="s">
        <v>252</v>
      </c>
      <c r="C34" s="104">
        <f t="shared" ref="C34:P34" si="13">C33*C21*0.5144</f>
        <v>22252.162809797399</v>
      </c>
      <c r="D34" s="105">
        <f t="shared" si="13"/>
        <v>24043.529644116265</v>
      </c>
      <c r="E34" s="105">
        <f t="shared" si="13"/>
        <v>25994.413414040475</v>
      </c>
      <c r="F34" s="105">
        <f t="shared" si="13"/>
        <v>28115.442732695265</v>
      </c>
      <c r="G34" s="105">
        <f t="shared" si="13"/>
        <v>30364.714918354868</v>
      </c>
      <c r="H34" s="105">
        <f t="shared" si="13"/>
        <v>32748.991293188457</v>
      </c>
      <c r="I34" s="105">
        <f t="shared" si="13"/>
        <v>35275.659859833395</v>
      </c>
      <c r="J34" s="52">
        <f t="shared" si="13"/>
        <v>37952.847769990178</v>
      </c>
      <c r="K34" s="52">
        <f t="shared" si="13"/>
        <v>40789.558558863406</v>
      </c>
      <c r="L34" s="52">
        <f t="shared" si="13"/>
        <v>43795.840209989248</v>
      </c>
      <c r="M34" s="52">
        <f t="shared" si="13"/>
        <v>46982.991711807357</v>
      </c>
      <c r="N34" s="52">
        <f t="shared" si="13"/>
        <v>50363.817808009284</v>
      </c>
      <c r="O34" s="106">
        <f t="shared" si="13"/>
        <v>53952.944253087626</v>
      </c>
      <c r="P34" s="103">
        <f t="shared" si="13"/>
        <v>552188.44717100461</v>
      </c>
    </row>
    <row r="35" spans="1:16" s="17" customFormat="1" ht="12" customHeight="1" x14ac:dyDescent="0.2">
      <c r="A35" s="19" t="s">
        <v>253</v>
      </c>
      <c r="B35" s="76" t="s">
        <v>193</v>
      </c>
      <c r="C35" s="92">
        <f t="shared" ref="C35:P35" si="14">C39*$J6*IF($K17=3,1,$K5*$J7)</f>
        <v>0.7002963380992302</v>
      </c>
      <c r="D35" s="93">
        <f t="shared" si="14"/>
        <v>0.70036218547540507</v>
      </c>
      <c r="E35" s="93">
        <f t="shared" si="14"/>
        <v>0.70009036328325247</v>
      </c>
      <c r="F35" s="93">
        <f t="shared" si="14"/>
        <v>0.69951497763125281</v>
      </c>
      <c r="G35" s="93">
        <f t="shared" si="14"/>
        <v>0.69889749189014294</v>
      </c>
      <c r="H35" s="93">
        <f t="shared" si="14"/>
        <v>0.69823504775331813</v>
      </c>
      <c r="I35" s="93">
        <f t="shared" si="14"/>
        <v>0.69752428431686697</v>
      </c>
      <c r="J35" s="62">
        <f t="shared" si="14"/>
        <v>0.6967612617134562</v>
      </c>
      <c r="K35" s="62">
        <f t="shared" si="14"/>
        <v>0.69594136970722087</v>
      </c>
      <c r="L35" s="62">
        <f t="shared" si="14"/>
        <v>0.69505921845342533</v>
      </c>
      <c r="M35" s="62">
        <f t="shared" si="14"/>
        <v>0.69410850806813285</v>
      </c>
      <c r="N35" s="62">
        <f t="shared" si="14"/>
        <v>0.69308187300737412</v>
      </c>
      <c r="O35" s="94">
        <f t="shared" si="14"/>
        <v>0.69197069652504384</v>
      </c>
      <c r="P35" s="95">
        <f t="shared" si="14"/>
        <v>0.54090082146655827</v>
      </c>
    </row>
    <row r="36" spans="1:16" s="17" customFormat="1" ht="12" customHeight="1" x14ac:dyDescent="0.2">
      <c r="A36" s="107" t="s">
        <v>254</v>
      </c>
      <c r="B36" s="108" t="s">
        <v>252</v>
      </c>
      <c r="C36" s="109">
        <f t="shared" ref="C36:P36" si="15">C34/C35</f>
        <v>31775.352231878049</v>
      </c>
      <c r="D36" s="110">
        <f t="shared" si="15"/>
        <v>34330.136810278447</v>
      </c>
      <c r="E36" s="110">
        <f t="shared" si="15"/>
        <v>37130.083168311357</v>
      </c>
      <c r="F36" s="110">
        <f t="shared" si="15"/>
        <v>40192.767319867504</v>
      </c>
      <c r="G36" s="110">
        <f t="shared" si="15"/>
        <v>43446.593056493301</v>
      </c>
      <c r="H36" s="110">
        <f t="shared" si="15"/>
        <v>46902.531459232137</v>
      </c>
      <c r="I36" s="110">
        <f t="shared" si="15"/>
        <v>50572.661988938853</v>
      </c>
      <c r="J36" s="111">
        <f t="shared" si="15"/>
        <v>54470.375802261988</v>
      </c>
      <c r="K36" s="111">
        <f t="shared" si="15"/>
        <v>58610.624880689837</v>
      </c>
      <c r="L36" s="111">
        <f t="shared" si="15"/>
        <v>63010.22854921523</v>
      </c>
      <c r="M36" s="111">
        <f t="shared" si="15"/>
        <v>67688.2521474518</v>
      </c>
      <c r="N36" s="111">
        <f t="shared" si="15"/>
        <v>72666.476746064654</v>
      </c>
      <c r="O36" s="112">
        <f t="shared" si="15"/>
        <v>77969.984168448034</v>
      </c>
      <c r="P36" s="103">
        <f t="shared" si="15"/>
        <v>1020868.1984875562</v>
      </c>
    </row>
    <row r="37" spans="1:16" s="17" customFormat="1" ht="12" customHeight="1" x14ac:dyDescent="0.2">
      <c r="A37" s="113" t="s">
        <v>255</v>
      </c>
      <c r="B37" s="76" t="s">
        <v>193</v>
      </c>
      <c r="C37" s="114">
        <f t="shared" ref="C37:P37" si="16">2.54648*C33/(1-$K4)/$C17/$C3/(C40*$C18)^2/$J7</f>
        <v>1.2437449862238412</v>
      </c>
      <c r="D37" s="115">
        <f t="shared" si="16"/>
        <v>1.2431235857409257</v>
      </c>
      <c r="E37" s="115">
        <f t="shared" si="16"/>
        <v>1.2456899243874429</v>
      </c>
      <c r="F37" s="115">
        <f t="shared" si="16"/>
        <v>1.251132370171598</v>
      </c>
      <c r="G37" s="115">
        <f t="shared" si="16"/>
        <v>1.256988316257464</v>
      </c>
      <c r="H37" s="115">
        <f t="shared" si="16"/>
        <v>1.2632882742635159</v>
      </c>
      <c r="I37" s="115">
        <f t="shared" si="16"/>
        <v>1.2700681375332257</v>
      </c>
      <c r="J37" s="66">
        <f t="shared" si="16"/>
        <v>1.2773700559034928</v>
      </c>
      <c r="K37" s="66">
        <f t="shared" si="16"/>
        <v>1.2852434943687812</v>
      </c>
      <c r="L37" s="66">
        <f t="shared" si="16"/>
        <v>1.2937465146394298</v>
      </c>
      <c r="M37" s="66">
        <f t="shared" si="16"/>
        <v>1.3029473279928485</v>
      </c>
      <c r="N37" s="66">
        <f t="shared" si="16"/>
        <v>1.3129261794879767</v>
      </c>
      <c r="O37" s="116">
        <f t="shared" si="16"/>
        <v>1.3237776380648456</v>
      </c>
      <c r="P37" s="117">
        <f t="shared" si="16"/>
        <v>3.4448283128465866</v>
      </c>
    </row>
    <row r="38" spans="1:16" x14ac:dyDescent="0.2">
      <c r="A38" s="113" t="s">
        <v>256</v>
      </c>
      <c r="B38" s="118" t="s">
        <v>193</v>
      </c>
      <c r="C38" s="114">
        <f t="shared" ref="C38:P38" si="17">(1.3+0.3*$C19)*C33/(1-$K4)/$C17/(99.6+$C3*9.81*0.65*$C18)/$C18^2+C73</f>
        <v>0.61138396350871838</v>
      </c>
      <c r="D38" s="115">
        <f t="shared" si="17"/>
        <v>0.63310414713010577</v>
      </c>
      <c r="E38" s="115">
        <f t="shared" si="17"/>
        <v>0.65653991772483589</v>
      </c>
      <c r="F38" s="115">
        <f t="shared" si="17"/>
        <v>0.68174786195008164</v>
      </c>
      <c r="G38" s="115">
        <f t="shared" si="17"/>
        <v>0.70790050373179358</v>
      </c>
      <c r="H38" s="115">
        <f t="shared" si="17"/>
        <v>0.73504239822681727</v>
      </c>
      <c r="I38" s="115">
        <f t="shared" si="17"/>
        <v>0.76322405593219833</v>
      </c>
      <c r="J38" s="66">
        <f t="shared" si="17"/>
        <v>0.79250303679056877</v>
      </c>
      <c r="K38" s="66">
        <f t="shared" si="17"/>
        <v>0.82294527981447185</v>
      </c>
      <c r="L38" s="66">
        <f t="shared" si="17"/>
        <v>0.85462672380044702</v>
      </c>
      <c r="M38" s="66">
        <f t="shared" si="17"/>
        <v>0.88763528881265663</v>
      </c>
      <c r="N38" s="66">
        <f t="shared" si="17"/>
        <v>0.92207330599697479</v>
      </c>
      <c r="O38" s="116">
        <f t="shared" si="17"/>
        <v>0.9580605059397227</v>
      </c>
      <c r="P38" s="117">
        <f t="shared" si="17"/>
        <v>5.1151430565244365</v>
      </c>
    </row>
    <row r="39" spans="1:16" s="17" customFormat="1" ht="12" customHeight="1" thickBot="1" x14ac:dyDescent="0.25">
      <c r="A39" s="113" t="s">
        <v>257</v>
      </c>
      <c r="B39" s="119" t="s">
        <v>193</v>
      </c>
      <c r="C39" s="169">
        <f>(1+$K18/100)*IF($K17=3,1/(1+16.8/C21),IF($K17=1,0.81-0.014*C37,0.00098*C37^3-0.018542*C37^2+0.11195*C37+0.634)/(1+SQRT(1+C37))*2)</f>
        <v>0.63459968180137671</v>
      </c>
      <c r="D39" s="170">
        <f t="shared" ref="D39:P39" si="18">(1+$K18/100)*IF($K17=3,1/(1+16.8/D21),IF($K17=1,0.81-0.014*D37,0.00098*D37^3-0.018542*D37^2+0.11195*D37+0.634)/(1+SQRT(1+D37))*2)</f>
        <v>0.63465935186059974</v>
      </c>
      <c r="E39" s="170">
        <f t="shared" si="18"/>
        <v>0.63441303002902361</v>
      </c>
      <c r="F39" s="170">
        <f t="shared" si="18"/>
        <v>0.63389162283066081</v>
      </c>
      <c r="G39" s="170">
        <f t="shared" si="18"/>
        <v>0.63333206506417472</v>
      </c>
      <c r="H39" s="170">
        <f t="shared" si="18"/>
        <v>0.63273176656828189</v>
      </c>
      <c r="I39" s="170">
        <f t="shared" si="18"/>
        <v>0.63208768173437824</v>
      </c>
      <c r="J39" s="170">
        <f t="shared" si="18"/>
        <v>0.63139624030453156</v>
      </c>
      <c r="K39" s="170">
        <f t="shared" si="18"/>
        <v>0.63065326454132731</v>
      </c>
      <c r="L39" s="170">
        <f t="shared" si="18"/>
        <v>0.62985387023565553</v>
      </c>
      <c r="M39" s="170">
        <f t="shared" si="18"/>
        <v>0.6289923485123956</v>
      </c>
      <c r="N39" s="170">
        <f t="shared" si="18"/>
        <v>0.62806202480878759</v>
      </c>
      <c r="O39" s="171">
        <f t="shared" si="18"/>
        <v>0.62705509073852539</v>
      </c>
      <c r="P39" s="120">
        <f t="shared" si="18"/>
        <v>0.49015748121781944</v>
      </c>
    </row>
    <row r="40" spans="1:16" s="17" customFormat="1" ht="12" customHeight="1" thickTop="1" x14ac:dyDescent="0.2">
      <c r="A40" s="121" t="s">
        <v>258</v>
      </c>
      <c r="B40" s="122" t="s">
        <v>259</v>
      </c>
      <c r="C40" s="123">
        <f t="shared" ref="C40:P40" si="19">C21*0.5144*(1-$K3)</f>
        <v>7.3289301586444795</v>
      </c>
      <c r="D40" s="123">
        <f t="shared" si="19"/>
        <v>7.5217967417667015</v>
      </c>
      <c r="E40" s="123">
        <f t="shared" si="19"/>
        <v>7.7146633248889254</v>
      </c>
      <c r="F40" s="123">
        <f t="shared" si="19"/>
        <v>7.9075299080111483</v>
      </c>
      <c r="G40" s="123">
        <f t="shared" si="19"/>
        <v>8.1003964911333703</v>
      </c>
      <c r="H40" s="123">
        <f t="shared" si="19"/>
        <v>8.2932630742555951</v>
      </c>
      <c r="I40" s="123">
        <f t="shared" si="19"/>
        <v>8.486129657377818</v>
      </c>
      <c r="J40" s="123">
        <f t="shared" si="19"/>
        <v>8.6789962405000409</v>
      </c>
      <c r="K40" s="123">
        <f t="shared" si="19"/>
        <v>8.8718628236222639</v>
      </c>
      <c r="L40" s="123">
        <f t="shared" si="19"/>
        <v>9.0647294067444868</v>
      </c>
      <c r="M40" s="123">
        <f t="shared" si="19"/>
        <v>9.2575959898667097</v>
      </c>
      <c r="N40" s="123">
        <f t="shared" si="19"/>
        <v>9.4504625729889327</v>
      </c>
      <c r="O40" s="123">
        <f t="shared" si="19"/>
        <v>9.6433291561111556</v>
      </c>
      <c r="P40" s="124">
        <f t="shared" si="19"/>
        <v>15.22182994837881</v>
      </c>
    </row>
    <row r="41" spans="1:16" s="17" customFormat="1" ht="12" customHeight="1" x14ac:dyDescent="0.2">
      <c r="A41" s="113" t="s">
        <v>260</v>
      </c>
      <c r="B41" s="76" t="s">
        <v>259</v>
      </c>
      <c r="C41" s="115">
        <f t="shared" ref="C41:P41" si="20">C40*SQRT(1+C37)</f>
        <v>10.978103749927028</v>
      </c>
      <c r="D41" s="115">
        <f t="shared" si="20"/>
        <v>11.265440922777318</v>
      </c>
      <c r="E41" s="115">
        <f t="shared" si="20"/>
        <v>11.560906080255007</v>
      </c>
      <c r="F41" s="115">
        <f t="shared" si="20"/>
        <v>11.864279236906116</v>
      </c>
      <c r="G41" s="115">
        <f t="shared" si="20"/>
        <v>12.169449485220024</v>
      </c>
      <c r="H41" s="115">
        <f t="shared" si="20"/>
        <v>12.476574918313963</v>
      </c>
      <c r="I41" s="115">
        <f t="shared" si="20"/>
        <v>12.785835407930394</v>
      </c>
      <c r="J41" s="115">
        <f t="shared" si="20"/>
        <v>13.097436551397594</v>
      </c>
      <c r="K41" s="115">
        <f t="shared" si="20"/>
        <v>13.411614410310859</v>
      </c>
      <c r="L41" s="115">
        <f t="shared" si="20"/>
        <v>13.728641213369638</v>
      </c>
      <c r="M41" s="115">
        <f t="shared" si="20"/>
        <v>14.048832235235011</v>
      </c>
      <c r="N41" s="115">
        <f t="shared" si="20"/>
        <v>14.372554111752631</v>
      </c>
      <c r="O41" s="115">
        <f t="shared" si="20"/>
        <v>14.700234911134816</v>
      </c>
      <c r="P41" s="117">
        <f t="shared" si="20"/>
        <v>32.091820996880394</v>
      </c>
    </row>
    <row r="42" spans="1:16" s="17" customFormat="1" ht="12" customHeight="1" x14ac:dyDescent="0.2">
      <c r="A42" s="113" t="s">
        <v>261</v>
      </c>
      <c r="B42" s="76" t="s">
        <v>259</v>
      </c>
      <c r="C42" s="115">
        <f t="shared" ref="C42:P42" si="21">C41-C40</f>
        <v>3.6491735912825485</v>
      </c>
      <c r="D42" s="115">
        <f t="shared" si="21"/>
        <v>3.743644181010616</v>
      </c>
      <c r="E42" s="115">
        <f t="shared" si="21"/>
        <v>3.8462427553660818</v>
      </c>
      <c r="F42" s="115">
        <f t="shared" si="21"/>
        <v>3.9567493288949676</v>
      </c>
      <c r="G42" s="115">
        <f t="shared" si="21"/>
        <v>4.069052994086654</v>
      </c>
      <c r="H42" s="115">
        <f t="shared" si="21"/>
        <v>4.1833118440583679</v>
      </c>
      <c r="I42" s="115">
        <f t="shared" si="21"/>
        <v>4.299705750552576</v>
      </c>
      <c r="J42" s="115">
        <f t="shared" si="21"/>
        <v>4.4184403108975534</v>
      </c>
      <c r="K42" s="115">
        <f t="shared" si="21"/>
        <v>4.5397515866885954</v>
      </c>
      <c r="L42" s="115">
        <f t="shared" si="21"/>
        <v>4.6639118066251513</v>
      </c>
      <c r="M42" s="115">
        <f t="shared" si="21"/>
        <v>4.7912362453683013</v>
      </c>
      <c r="N42" s="115">
        <f t="shared" si="21"/>
        <v>4.9220915387636985</v>
      </c>
      <c r="O42" s="115">
        <f t="shared" si="21"/>
        <v>5.05690575502366</v>
      </c>
      <c r="P42" s="117">
        <f t="shared" si="21"/>
        <v>16.869991048501582</v>
      </c>
    </row>
    <row r="43" spans="1:16" s="17" customFormat="1" ht="12" customHeight="1" x14ac:dyDescent="0.2">
      <c r="A43" s="113" t="s">
        <v>262</v>
      </c>
      <c r="B43" s="76" t="s">
        <v>193</v>
      </c>
      <c r="C43" s="115">
        <f t="shared" ref="C43:P43" si="22">C41/C40</f>
        <v>1.4979135443088301</v>
      </c>
      <c r="D43" s="115">
        <f t="shared" si="22"/>
        <v>1.4977061079333709</v>
      </c>
      <c r="E43" s="115">
        <f t="shared" si="22"/>
        <v>1.4985626194415242</v>
      </c>
      <c r="F43" s="115">
        <f t="shared" si="22"/>
        <v>1.50037740924462</v>
      </c>
      <c r="G43" s="115">
        <f t="shared" si="22"/>
        <v>1.5023276327943462</v>
      </c>
      <c r="H43" s="115">
        <f t="shared" si="22"/>
        <v>1.5044229040610608</v>
      </c>
      <c r="I43" s="115">
        <f t="shared" si="22"/>
        <v>1.5066745293968522</v>
      </c>
      <c r="J43" s="115">
        <f t="shared" si="22"/>
        <v>1.5090957742646729</v>
      </c>
      <c r="K43" s="115">
        <f t="shared" si="22"/>
        <v>1.5117021844162233</v>
      </c>
      <c r="L43" s="115">
        <f t="shared" si="22"/>
        <v>1.5145119724318556</v>
      </c>
      <c r="M43" s="115">
        <f t="shared" si="22"/>
        <v>1.517546482976007</v>
      </c>
      <c r="N43" s="115">
        <f t="shared" si="22"/>
        <v>1.5208307530714837</v>
      </c>
      <c r="O43" s="115">
        <f t="shared" si="22"/>
        <v>1.5243941872313884</v>
      </c>
      <c r="P43" s="117">
        <f t="shared" si="22"/>
        <v>2.1082761471986036</v>
      </c>
    </row>
    <row r="44" spans="1:16" s="17" customFormat="1" ht="12" customHeight="1" x14ac:dyDescent="0.2">
      <c r="A44" s="113" t="s">
        <v>263</v>
      </c>
      <c r="B44" s="76" t="s">
        <v>259</v>
      </c>
      <c r="C44" s="115">
        <f t="shared" ref="C44:P44" si="23">C40+0.5*C42</f>
        <v>9.1535169542857542</v>
      </c>
      <c r="D44" s="115">
        <f t="shared" si="23"/>
        <v>9.3936188322720096</v>
      </c>
      <c r="E44" s="115">
        <f t="shared" si="23"/>
        <v>9.6377847025719667</v>
      </c>
      <c r="F44" s="115">
        <f t="shared" si="23"/>
        <v>9.8859045724586316</v>
      </c>
      <c r="G44" s="115">
        <f t="shared" si="23"/>
        <v>10.134922988176697</v>
      </c>
      <c r="H44" s="115">
        <f t="shared" si="23"/>
        <v>10.384918996284778</v>
      </c>
      <c r="I44" s="115">
        <f t="shared" si="23"/>
        <v>10.635982532654106</v>
      </c>
      <c r="J44" s="115">
        <f t="shared" si="23"/>
        <v>10.888216395948817</v>
      </c>
      <c r="K44" s="115">
        <f t="shared" si="23"/>
        <v>11.141738616966562</v>
      </c>
      <c r="L44" s="115">
        <f t="shared" si="23"/>
        <v>11.396685310057062</v>
      </c>
      <c r="M44" s="115">
        <f t="shared" si="23"/>
        <v>11.653214112550859</v>
      </c>
      <c r="N44" s="115">
        <f t="shared" si="23"/>
        <v>11.911508342370782</v>
      </c>
      <c r="O44" s="115">
        <f t="shared" si="23"/>
        <v>12.171782033622986</v>
      </c>
      <c r="P44" s="117">
        <f t="shared" si="23"/>
        <v>23.656825472629599</v>
      </c>
    </row>
    <row r="45" spans="1:16" s="17" customFormat="1" ht="12" customHeight="1" x14ac:dyDescent="0.2">
      <c r="A45" s="113" t="s">
        <v>264</v>
      </c>
      <c r="B45" s="76" t="s">
        <v>265</v>
      </c>
      <c r="C45" s="125">
        <f t="shared" ref="C45:P45" si="24">0.785*$C18^2*C44</f>
        <v>720.50542982768809</v>
      </c>
      <c r="D45" s="125">
        <f t="shared" si="24"/>
        <v>739.40469091661021</v>
      </c>
      <c r="E45" s="125">
        <f t="shared" si="24"/>
        <v>758.62384309694824</v>
      </c>
      <c r="F45" s="125">
        <f t="shared" si="24"/>
        <v>778.15422845530816</v>
      </c>
      <c r="G45" s="125">
        <f t="shared" si="24"/>
        <v>797.7553415081386</v>
      </c>
      <c r="H45" s="125">
        <f t="shared" si="24"/>
        <v>817.43340428736178</v>
      </c>
      <c r="I45" s="125">
        <f t="shared" si="24"/>
        <v>837.19549596089564</v>
      </c>
      <c r="J45" s="125">
        <f t="shared" si="24"/>
        <v>857.0497081722101</v>
      </c>
      <c r="K45" s="125">
        <f t="shared" si="24"/>
        <v>877.00533153943786</v>
      </c>
      <c r="L45" s="125">
        <f t="shared" si="24"/>
        <v>897.07308010053202</v>
      </c>
      <c r="M45" s="125">
        <f t="shared" si="24"/>
        <v>917.26536204276806</v>
      </c>
      <c r="N45" s="125">
        <f t="shared" si="24"/>
        <v>937.59660696292735</v>
      </c>
      <c r="O45" s="125">
        <f t="shared" si="24"/>
        <v>958.083662236333</v>
      </c>
      <c r="P45" s="103">
        <f t="shared" si="24"/>
        <v>1862.1117206250474</v>
      </c>
    </row>
    <row r="46" spans="1:16" s="17" customFormat="1" ht="12" customHeight="1" thickBot="1" x14ac:dyDescent="0.25">
      <c r="A46" s="56" t="s">
        <v>266</v>
      </c>
      <c r="B46" s="126" t="s">
        <v>193</v>
      </c>
      <c r="C46" s="127">
        <f t="shared" ref="C46:P46" si="25">C53+C55+C57+C61+C62+C63</f>
        <v>0.66004356213551774</v>
      </c>
      <c r="D46" s="127">
        <f t="shared" si="25"/>
        <v>0.66639945876632434</v>
      </c>
      <c r="E46" s="127">
        <f t="shared" si="25"/>
        <v>0.67317633458539572</v>
      </c>
      <c r="F46" s="127">
        <f t="shared" si="25"/>
        <v>0.68041458655037412</v>
      </c>
      <c r="G46" s="127">
        <f t="shared" si="25"/>
        <v>0.68816027430093207</v>
      </c>
      <c r="H46" s="127">
        <f t="shared" si="25"/>
        <v>0.69646606631328989</v>
      </c>
      <c r="I46" s="127">
        <f t="shared" si="25"/>
        <v>0.70539236235885128</v>
      </c>
      <c r="J46" s="127">
        <f t="shared" si="25"/>
        <v>0.71500862831399825</v>
      </c>
      <c r="K46" s="127">
        <f t="shared" si="25"/>
        <v>0.72539498750157994</v>
      </c>
      <c r="L46" s="127">
        <f t="shared" si="25"/>
        <v>0.73664412281851843</v>
      </c>
      <c r="M46" s="127">
        <f t="shared" si="25"/>
        <v>0.74886355636060076</v>
      </c>
      <c r="N46" s="127">
        <f t="shared" si="25"/>
        <v>0.76217838860634146</v>
      </c>
      <c r="O46" s="127">
        <f t="shared" si="25"/>
        <v>0.77673459802982114</v>
      </c>
      <c r="P46" s="128">
        <f t="shared" si="25"/>
        <v>3.5507927380822282</v>
      </c>
    </row>
    <row r="47" spans="1:16" s="17" customFormat="1" ht="12" customHeight="1" x14ac:dyDescent="0.2">
      <c r="A47" s="121"/>
      <c r="B47" s="131" t="s">
        <v>267</v>
      </c>
      <c r="C47" s="130">
        <f t="shared" ref="C47:P47" si="26">1.35-0.23*$C13+0.012*$C13^2</f>
        <v>0.33778724112842839</v>
      </c>
      <c r="D47" s="130">
        <f t="shared" si="26"/>
        <v>0.33778724112842839</v>
      </c>
      <c r="E47" s="130">
        <f t="shared" si="26"/>
        <v>0.33778724112842839</v>
      </c>
      <c r="F47" s="130">
        <f t="shared" si="26"/>
        <v>0.33778724112842839</v>
      </c>
      <c r="G47" s="130">
        <f t="shared" si="26"/>
        <v>0.33778724112842839</v>
      </c>
      <c r="H47" s="130">
        <f t="shared" si="26"/>
        <v>0.33778724112842839</v>
      </c>
      <c r="I47" s="130">
        <f t="shared" si="26"/>
        <v>0.33778724112842839</v>
      </c>
      <c r="J47" s="130">
        <f t="shared" si="26"/>
        <v>0.33778724112842839</v>
      </c>
      <c r="K47" s="130">
        <f t="shared" si="26"/>
        <v>0.33778724112842839</v>
      </c>
      <c r="L47" s="130">
        <f t="shared" si="26"/>
        <v>0.33778724112842839</v>
      </c>
      <c r="M47" s="130">
        <f t="shared" si="26"/>
        <v>0.33778724112842839</v>
      </c>
      <c r="N47" s="130">
        <f t="shared" si="26"/>
        <v>0.33778724112842839</v>
      </c>
      <c r="O47" s="130">
        <f t="shared" si="26"/>
        <v>0.33778724112842839</v>
      </c>
      <c r="P47" s="132">
        <f t="shared" si="26"/>
        <v>0.33778724112842839</v>
      </c>
    </row>
    <row r="48" spans="1:16" s="17" customFormat="1" ht="12" customHeight="1" x14ac:dyDescent="0.2">
      <c r="A48" s="113"/>
      <c r="B48" s="129" t="s">
        <v>268</v>
      </c>
      <c r="C48" s="105">
        <f t="shared" ref="C48:P48" si="27">0.0011*$C13^9.1</f>
        <v>44082.575969218087</v>
      </c>
      <c r="D48" s="105">
        <f t="shared" si="27"/>
        <v>44082.575969218087</v>
      </c>
      <c r="E48" s="105">
        <f t="shared" si="27"/>
        <v>44082.575969218087</v>
      </c>
      <c r="F48" s="105">
        <f t="shared" si="27"/>
        <v>44082.575969218087</v>
      </c>
      <c r="G48" s="105">
        <f t="shared" si="27"/>
        <v>44082.575969218087</v>
      </c>
      <c r="H48" s="105">
        <f t="shared" si="27"/>
        <v>44082.575969218087</v>
      </c>
      <c r="I48" s="105">
        <f t="shared" si="27"/>
        <v>44082.575969218087</v>
      </c>
      <c r="J48" s="105">
        <f t="shared" si="27"/>
        <v>44082.575969218087</v>
      </c>
      <c r="K48" s="105">
        <f t="shared" si="27"/>
        <v>44082.575969218087</v>
      </c>
      <c r="L48" s="105">
        <f t="shared" si="27"/>
        <v>44082.575969218087</v>
      </c>
      <c r="M48" s="105">
        <f t="shared" si="27"/>
        <v>44082.575969218087</v>
      </c>
      <c r="N48" s="105">
        <f t="shared" si="27"/>
        <v>44082.575969218087</v>
      </c>
      <c r="O48" s="105">
        <f t="shared" si="27"/>
        <v>44082.575969218087</v>
      </c>
      <c r="P48" s="133">
        <f t="shared" si="27"/>
        <v>44082.575969218087</v>
      </c>
    </row>
    <row r="49" spans="1:16" s="17" customFormat="1" ht="12" customHeight="1" x14ac:dyDescent="0.2">
      <c r="A49" s="113"/>
      <c r="B49" s="129" t="s">
        <v>269</v>
      </c>
      <c r="C49" s="93">
        <f t="shared" ref="C49:P49" si="28">2*$C13-3.7</f>
        <v>9.9933808022228447</v>
      </c>
      <c r="D49" s="93">
        <f t="shared" si="28"/>
        <v>9.9933808022228447</v>
      </c>
      <c r="E49" s="93">
        <f t="shared" si="28"/>
        <v>9.9933808022228447</v>
      </c>
      <c r="F49" s="93">
        <f t="shared" si="28"/>
        <v>9.9933808022228447</v>
      </c>
      <c r="G49" s="93">
        <f t="shared" si="28"/>
        <v>9.9933808022228447</v>
      </c>
      <c r="H49" s="93">
        <f t="shared" si="28"/>
        <v>9.9933808022228447</v>
      </c>
      <c r="I49" s="93">
        <f t="shared" si="28"/>
        <v>9.9933808022228447</v>
      </c>
      <c r="J49" s="93">
        <f t="shared" si="28"/>
        <v>9.9933808022228447</v>
      </c>
      <c r="K49" s="93">
        <f t="shared" si="28"/>
        <v>9.9933808022228447</v>
      </c>
      <c r="L49" s="93">
        <f t="shared" si="28"/>
        <v>9.9933808022228447</v>
      </c>
      <c r="M49" s="93">
        <f t="shared" si="28"/>
        <v>9.9933808022228447</v>
      </c>
      <c r="N49" s="93">
        <f t="shared" si="28"/>
        <v>9.9933808022228447</v>
      </c>
      <c r="O49" s="93">
        <f t="shared" si="28"/>
        <v>9.9933808022228447</v>
      </c>
      <c r="P49" s="134">
        <f t="shared" si="28"/>
        <v>9.9933808022228447</v>
      </c>
    </row>
    <row r="50" spans="1:16" s="17" customFormat="1" ht="12" customHeight="1" x14ac:dyDescent="0.2">
      <c r="A50" s="113"/>
      <c r="B50" s="129" t="s">
        <v>270</v>
      </c>
      <c r="C50" s="93">
        <f t="shared" ref="C50:P50" si="29">7-0.09*$C13^2</f>
        <v>2.7810547496195852</v>
      </c>
      <c r="D50" s="93">
        <f t="shared" si="29"/>
        <v>2.7810547496195852</v>
      </c>
      <c r="E50" s="93">
        <f t="shared" si="29"/>
        <v>2.7810547496195852</v>
      </c>
      <c r="F50" s="93">
        <f t="shared" si="29"/>
        <v>2.7810547496195852</v>
      </c>
      <c r="G50" s="93">
        <f t="shared" si="29"/>
        <v>2.7810547496195852</v>
      </c>
      <c r="H50" s="93">
        <f t="shared" si="29"/>
        <v>2.7810547496195852</v>
      </c>
      <c r="I50" s="93">
        <f t="shared" si="29"/>
        <v>2.7810547496195852</v>
      </c>
      <c r="J50" s="93">
        <f t="shared" si="29"/>
        <v>2.7810547496195852</v>
      </c>
      <c r="K50" s="93">
        <f t="shared" si="29"/>
        <v>2.7810547496195852</v>
      </c>
      <c r="L50" s="93">
        <f t="shared" si="29"/>
        <v>2.7810547496195852</v>
      </c>
      <c r="M50" s="93">
        <f t="shared" si="29"/>
        <v>2.7810547496195852</v>
      </c>
      <c r="N50" s="93">
        <f t="shared" si="29"/>
        <v>2.7810547496195852</v>
      </c>
      <c r="O50" s="93">
        <f t="shared" si="29"/>
        <v>2.7810547496195852</v>
      </c>
      <c r="P50" s="134">
        <f t="shared" si="29"/>
        <v>2.7810547496195852</v>
      </c>
    </row>
    <row r="51" spans="1:16" s="17" customFormat="1" ht="12" customHeight="1" x14ac:dyDescent="0.2">
      <c r="A51" s="113"/>
      <c r="B51" s="129" t="s">
        <v>271</v>
      </c>
      <c r="C51" s="93">
        <f t="shared" ref="C51:P51" si="30">(5*$C12-2.5)^2</f>
        <v>0.75880264645323103</v>
      </c>
      <c r="D51" s="93">
        <f t="shared" si="30"/>
        <v>0.75880264645323103</v>
      </c>
      <c r="E51" s="93">
        <f t="shared" si="30"/>
        <v>0.75880264645323103</v>
      </c>
      <c r="F51" s="93">
        <f t="shared" si="30"/>
        <v>0.75880264645323103</v>
      </c>
      <c r="G51" s="93">
        <f t="shared" si="30"/>
        <v>0.75880264645323103</v>
      </c>
      <c r="H51" s="93">
        <f t="shared" si="30"/>
        <v>0.75880264645323103</v>
      </c>
      <c r="I51" s="93">
        <f t="shared" si="30"/>
        <v>0.75880264645323103</v>
      </c>
      <c r="J51" s="93">
        <f t="shared" si="30"/>
        <v>0.75880264645323103</v>
      </c>
      <c r="K51" s="93">
        <f t="shared" si="30"/>
        <v>0.75880264645323103</v>
      </c>
      <c r="L51" s="93">
        <f t="shared" si="30"/>
        <v>0.75880264645323103</v>
      </c>
      <c r="M51" s="93">
        <f t="shared" si="30"/>
        <v>0.75880264645323103</v>
      </c>
      <c r="N51" s="93">
        <f t="shared" si="30"/>
        <v>0.75880264645323103</v>
      </c>
      <c r="O51" s="93">
        <f t="shared" si="30"/>
        <v>0.75880264645323103</v>
      </c>
      <c r="P51" s="134">
        <f t="shared" si="30"/>
        <v>0.75880264645323103</v>
      </c>
    </row>
    <row r="52" spans="1:16" s="17" customFormat="1" ht="12" customHeight="1" x14ac:dyDescent="0.2">
      <c r="A52" s="113"/>
      <c r="B52" s="129" t="s">
        <v>272</v>
      </c>
      <c r="C52" s="93">
        <f t="shared" ref="C52:P52" si="31">(600*(C22-0.315)^2+1)^1.5</f>
        <v>67.259221091883305</v>
      </c>
      <c r="D52" s="93">
        <f t="shared" si="31"/>
        <v>62.598607161448072</v>
      </c>
      <c r="E52" s="93">
        <f t="shared" si="31"/>
        <v>58.165524495848643</v>
      </c>
      <c r="F52" s="93">
        <f t="shared" si="31"/>
        <v>53.954105050761306</v>
      </c>
      <c r="G52" s="93">
        <f t="shared" si="31"/>
        <v>49.958481787665626</v>
      </c>
      <c r="H52" s="93">
        <f t="shared" si="31"/>
        <v>46.172788808229733</v>
      </c>
      <c r="I52" s="93">
        <f t="shared" si="31"/>
        <v>42.591161510508634</v>
      </c>
      <c r="J52" s="93">
        <f t="shared" si="31"/>
        <v>39.207736771132438</v>
      </c>
      <c r="K52" s="93">
        <f t="shared" si="31"/>
        <v>36.016653158585029</v>
      </c>
      <c r="L52" s="93">
        <f t="shared" si="31"/>
        <v>33.012051183827055</v>
      </c>
      <c r="M52" s="93">
        <f t="shared" si="31"/>
        <v>30.188073595967996</v>
      </c>
      <c r="N52" s="93">
        <f t="shared" si="31"/>
        <v>27.538865732521479</v>
      </c>
      <c r="O52" s="93">
        <f t="shared" si="31"/>
        <v>25.058575936100087</v>
      </c>
      <c r="P52" s="134">
        <f t="shared" si="31"/>
        <v>1.0225841652402019</v>
      </c>
    </row>
    <row r="53" spans="1:16" s="17" customFormat="1" ht="12" customHeight="1" x14ac:dyDescent="0.2">
      <c r="A53" s="113"/>
      <c r="B53" s="129" t="s">
        <v>273</v>
      </c>
      <c r="C53" s="93">
        <f t="shared" ref="C53:P53" si="32">C50*C51/C52</f>
        <v>3.1375202829955637E-2</v>
      </c>
      <c r="D53" s="93">
        <f t="shared" si="32"/>
        <v>3.371116067327292E-2</v>
      </c>
      <c r="E53" s="93">
        <f t="shared" si="32"/>
        <v>3.628045517054148E-2</v>
      </c>
      <c r="F53" s="93">
        <f t="shared" si="32"/>
        <v>3.9112347465633523E-2</v>
      </c>
      <c r="G53" s="93">
        <f t="shared" si="32"/>
        <v>4.2240509087361405E-2</v>
      </c>
      <c r="H53" s="93">
        <f t="shared" si="32"/>
        <v>4.5703795642652173E-2</v>
      </c>
      <c r="I53" s="93">
        <f t="shared" si="32"/>
        <v>4.9547174322118359E-2</v>
      </c>
      <c r="J53" s="93">
        <f t="shared" si="32"/>
        <v>5.3822839003969315E-2</v>
      </c>
      <c r="K53" s="93">
        <f t="shared" si="32"/>
        <v>5.8591554708065895E-2</v>
      </c>
      <c r="L53" s="93">
        <f t="shared" si="32"/>
        <v>6.3924283050200564E-2</v>
      </c>
      <c r="M53" s="93">
        <f t="shared" si="32"/>
        <v>6.9904152619547175E-2</v>
      </c>
      <c r="N53" s="93">
        <f t="shared" si="32"/>
        <v>7.6628853360891522E-2</v>
      </c>
      <c r="O53" s="93">
        <f t="shared" si="32"/>
        <v>8.4213552650553955E-2</v>
      </c>
      <c r="P53" s="134">
        <f t="shared" si="32"/>
        <v>2.0636655403782558</v>
      </c>
    </row>
    <row r="54" spans="1:16" s="17" customFormat="1" ht="12" customHeight="1" x14ac:dyDescent="0.2">
      <c r="A54" s="113"/>
      <c r="B54" s="129"/>
      <c r="C54" s="93">
        <f t="shared" ref="C54:P54" si="33">C22-(0.04+0.59*$C12)-0.015*($C13-5)</f>
        <v>-0.31141731381850524</v>
      </c>
      <c r="D54" s="93">
        <f t="shared" si="33"/>
        <v>-0.30736278773271858</v>
      </c>
      <c r="E54" s="93">
        <f t="shared" si="33"/>
        <v>-0.30330826164693181</v>
      </c>
      <c r="F54" s="93">
        <f t="shared" si="33"/>
        <v>-0.2992537355611451</v>
      </c>
      <c r="G54" s="93">
        <f t="shared" si="33"/>
        <v>-0.29519920947535838</v>
      </c>
      <c r="H54" s="93">
        <f t="shared" si="33"/>
        <v>-0.29114468338957167</v>
      </c>
      <c r="I54" s="93">
        <f t="shared" si="33"/>
        <v>-0.28709015730378495</v>
      </c>
      <c r="J54" s="93">
        <f t="shared" si="33"/>
        <v>-0.28303563121799824</v>
      </c>
      <c r="K54" s="93">
        <f t="shared" si="33"/>
        <v>-0.27898110513221153</v>
      </c>
      <c r="L54" s="93">
        <f t="shared" si="33"/>
        <v>-0.27492657904642481</v>
      </c>
      <c r="M54" s="93">
        <f t="shared" si="33"/>
        <v>-0.2708720529606381</v>
      </c>
      <c r="N54" s="93">
        <f t="shared" si="33"/>
        <v>-0.26681752687485139</v>
      </c>
      <c r="O54" s="93">
        <f t="shared" si="33"/>
        <v>-0.26276300078906467</v>
      </c>
      <c r="P54" s="134">
        <f t="shared" si="33"/>
        <v>-0.14548930507840066</v>
      </c>
    </row>
    <row r="55" spans="1:16" s="17" customFormat="1" ht="12" customHeight="1" x14ac:dyDescent="0.2">
      <c r="A55" s="113"/>
      <c r="B55" s="129" t="s">
        <v>274</v>
      </c>
      <c r="C55" s="93">
        <f t="shared" ref="C55:P55" si="34">EXP(80*C54)</f>
        <v>1.5144478505578053E-11</v>
      </c>
      <c r="D55" s="93">
        <f t="shared" si="34"/>
        <v>2.0947055704167939E-11</v>
      </c>
      <c r="E55" s="93">
        <f t="shared" si="34"/>
        <v>2.8972878961260071E-11</v>
      </c>
      <c r="F55" s="93">
        <f t="shared" si="34"/>
        <v>4.0073780638144692E-11</v>
      </c>
      <c r="G55" s="93">
        <f t="shared" si="34"/>
        <v>5.5427970992507024E-11</v>
      </c>
      <c r="H55" s="93">
        <f t="shared" si="34"/>
        <v>7.6665089228487571E-11</v>
      </c>
      <c r="I55" s="93">
        <f t="shared" si="34"/>
        <v>1.0603916761099751E-10</v>
      </c>
      <c r="J55" s="93">
        <f t="shared" si="34"/>
        <v>1.4666786644076602E-10</v>
      </c>
      <c r="K55" s="93">
        <f t="shared" si="34"/>
        <v>2.0286337144026569E-10</v>
      </c>
      <c r="L55" s="93">
        <f t="shared" si="34"/>
        <v>2.8059007382323697E-10</v>
      </c>
      <c r="M55" s="93">
        <f t="shared" si="34"/>
        <v>3.8809760958405609E-10</v>
      </c>
      <c r="N55" s="93">
        <f t="shared" si="34"/>
        <v>5.3679644654765723E-10</v>
      </c>
      <c r="O55" s="93">
        <f t="shared" si="34"/>
        <v>7.4246895087814962E-10</v>
      </c>
      <c r="P55" s="134">
        <f t="shared" si="34"/>
        <v>8.8142184600984531E-6</v>
      </c>
    </row>
    <row r="56" spans="1:16" s="17" customFormat="1" ht="12" customHeight="1" x14ac:dyDescent="0.2">
      <c r="A56" s="113"/>
      <c r="B56" s="129"/>
      <c r="C56" s="93">
        <f t="shared" ref="C56:P56" si="35">20*$C12-16</f>
        <v>-2.5156288453651072</v>
      </c>
      <c r="D56" s="93">
        <f t="shared" si="35"/>
        <v>-2.5156288453651072</v>
      </c>
      <c r="E56" s="93">
        <f t="shared" si="35"/>
        <v>-2.5156288453651072</v>
      </c>
      <c r="F56" s="93">
        <f t="shared" si="35"/>
        <v>-2.5156288453651072</v>
      </c>
      <c r="G56" s="93">
        <f t="shared" si="35"/>
        <v>-2.5156288453651072</v>
      </c>
      <c r="H56" s="93">
        <f t="shared" si="35"/>
        <v>-2.5156288453651072</v>
      </c>
      <c r="I56" s="93">
        <f t="shared" si="35"/>
        <v>-2.5156288453651072</v>
      </c>
      <c r="J56" s="93">
        <f t="shared" si="35"/>
        <v>-2.5156288453651072</v>
      </c>
      <c r="K56" s="93">
        <f t="shared" si="35"/>
        <v>-2.5156288453651072</v>
      </c>
      <c r="L56" s="93">
        <f t="shared" si="35"/>
        <v>-2.5156288453651072</v>
      </c>
      <c r="M56" s="93">
        <f t="shared" si="35"/>
        <v>-2.5156288453651072</v>
      </c>
      <c r="N56" s="93">
        <f t="shared" si="35"/>
        <v>-2.5156288453651072</v>
      </c>
      <c r="O56" s="93">
        <f t="shared" si="35"/>
        <v>-2.5156288453651072</v>
      </c>
      <c r="P56" s="134">
        <f t="shared" si="35"/>
        <v>-2.5156288453651072</v>
      </c>
    </row>
    <row r="57" spans="1:16" s="17" customFormat="1" ht="12" customHeight="1" x14ac:dyDescent="0.2">
      <c r="A57" s="113"/>
      <c r="B57" s="129" t="s">
        <v>275</v>
      </c>
      <c r="C57" s="93">
        <f t="shared" ref="C57:P57" si="36">180*C22^3.7*EXP(C56)</f>
        <v>1.4365688742869543E-2</v>
      </c>
      <c r="D57" s="93">
        <f t="shared" si="36"/>
        <v>1.5814890562436169E-2</v>
      </c>
      <c r="E57" s="93">
        <f t="shared" si="36"/>
        <v>1.7367972104251984E-2</v>
      </c>
      <c r="F57" s="93">
        <f t="shared" si="36"/>
        <v>1.9029501643048233E-2</v>
      </c>
      <c r="G57" s="93">
        <f t="shared" si="36"/>
        <v>2.0804128110032797E-2</v>
      </c>
      <c r="H57" s="93">
        <f t="shared" si="36"/>
        <v>2.2696580497455189E-2</v>
      </c>
      <c r="I57" s="93">
        <f t="shared" si="36"/>
        <v>2.4711667281766263E-2</v>
      </c>
      <c r="J57" s="93">
        <f t="shared" si="36"/>
        <v>2.685427586436958E-2</v>
      </c>
      <c r="K57" s="93">
        <f t="shared" si="36"/>
        <v>2.9129372029036021E-2</v>
      </c>
      <c r="L57" s="93">
        <f t="shared" si="36"/>
        <v>3.1541999415123811E-2</v>
      </c>
      <c r="M57" s="93">
        <f t="shared" si="36"/>
        <v>3.4097279005805919E-2</v>
      </c>
      <c r="N57" s="93">
        <f t="shared" si="36"/>
        <v>3.680040863056562E-2</v>
      </c>
      <c r="O57" s="93">
        <f t="shared" si="36"/>
        <v>3.9656662481270158E-2</v>
      </c>
      <c r="P57" s="134">
        <f t="shared" si="36"/>
        <v>0.21468598738024058</v>
      </c>
    </row>
    <row r="58" spans="1:16" s="17" customFormat="1" ht="12" customHeight="1" x14ac:dyDescent="0.2">
      <c r="A58" s="113"/>
      <c r="B58" s="129"/>
      <c r="C58" s="93">
        <f t="shared" ref="C58:P58" si="37">C47+1.5*C22^1.8+C48*C22^(C49)</f>
        <v>0.38988361763689655</v>
      </c>
      <c r="D58" s="93">
        <f t="shared" si="37"/>
        <v>0.39246087945366526</v>
      </c>
      <c r="E58" s="93">
        <f t="shared" si="37"/>
        <v>0.3951153405058026</v>
      </c>
      <c r="F58" s="93">
        <f t="shared" si="37"/>
        <v>0.39785253483462291</v>
      </c>
      <c r="G58" s="93">
        <f t="shared" si="37"/>
        <v>0.40067910991516548</v>
      </c>
      <c r="H58" s="93">
        <f t="shared" si="37"/>
        <v>0.40360300243198832</v>
      </c>
      <c r="I58" s="93">
        <f t="shared" si="37"/>
        <v>0.40663363688114607</v>
      </c>
      <c r="J58" s="93">
        <f t="shared" si="37"/>
        <v>0.40978214929598078</v>
      </c>
      <c r="K58" s="93">
        <f t="shared" si="37"/>
        <v>0.4130616385645301</v>
      </c>
      <c r="L58" s="93">
        <f t="shared" si="37"/>
        <v>0.41648744798465637</v>
      </c>
      <c r="M58" s="93">
        <f t="shared" si="37"/>
        <v>0.4200774798895851</v>
      </c>
      <c r="N58" s="93">
        <f t="shared" si="37"/>
        <v>0.42385254637164083</v>
      </c>
      <c r="O58" s="93">
        <f t="shared" si="37"/>
        <v>0.42783675933575871</v>
      </c>
      <c r="P58" s="134">
        <f t="shared" si="37"/>
        <v>1.0307833110751354</v>
      </c>
    </row>
    <row r="59" spans="1:16" s="17" customFormat="1" ht="12" customHeight="1" x14ac:dyDescent="0.2">
      <c r="A59" s="113"/>
      <c r="B59" s="129"/>
      <c r="C59" s="93">
        <f t="shared" ref="C59:P59" si="38">0.98+2.5/($C13-2)^4</f>
        <v>0.98453063310900901</v>
      </c>
      <c r="D59" s="93">
        <f t="shared" si="38"/>
        <v>0.98453063310900901</v>
      </c>
      <c r="E59" s="93">
        <f t="shared" si="38"/>
        <v>0.98453063310900901</v>
      </c>
      <c r="F59" s="93">
        <f t="shared" si="38"/>
        <v>0.98453063310900901</v>
      </c>
      <c r="G59" s="93">
        <f t="shared" si="38"/>
        <v>0.98453063310900901</v>
      </c>
      <c r="H59" s="93">
        <f t="shared" si="38"/>
        <v>0.98453063310900901</v>
      </c>
      <c r="I59" s="93">
        <f t="shared" si="38"/>
        <v>0.98453063310900901</v>
      </c>
      <c r="J59" s="93">
        <f t="shared" si="38"/>
        <v>0.98453063310900901</v>
      </c>
      <c r="K59" s="93">
        <f t="shared" si="38"/>
        <v>0.98453063310900901</v>
      </c>
      <c r="L59" s="93">
        <f t="shared" si="38"/>
        <v>0.98453063310900901</v>
      </c>
      <c r="M59" s="93">
        <f t="shared" si="38"/>
        <v>0.98453063310900901</v>
      </c>
      <c r="N59" s="93">
        <f t="shared" si="38"/>
        <v>0.98453063310900901</v>
      </c>
      <c r="O59" s="93">
        <f t="shared" si="38"/>
        <v>0.98453063310900901</v>
      </c>
      <c r="P59" s="134">
        <f t="shared" si="38"/>
        <v>0.98453063310900901</v>
      </c>
    </row>
    <row r="60" spans="1:16" s="17" customFormat="1" ht="12" customHeight="1" x14ac:dyDescent="0.2">
      <c r="A60" s="113"/>
      <c r="B60" s="129"/>
      <c r="C60" s="93">
        <f t="shared" ref="C60:P60" si="39">($C13-5)^4*(C22-0.1)^4</f>
        <v>9.9418182657970742E-5</v>
      </c>
      <c r="D60" s="93">
        <f t="shared" si="39"/>
        <v>1.3276193662706447E-4</v>
      </c>
      <c r="E60" s="93">
        <f t="shared" si="39"/>
        <v>1.7386348836427495E-4</v>
      </c>
      <c r="F60" s="93">
        <f t="shared" si="39"/>
        <v>2.2384194285769696E-4</v>
      </c>
      <c r="G60" s="93">
        <f t="shared" si="39"/>
        <v>2.8389183577222902E-4</v>
      </c>
      <c r="H60" s="93">
        <f t="shared" si="39"/>
        <v>3.5528313344957319E-4</v>
      </c>
      <c r="I60" s="93">
        <f t="shared" si="39"/>
        <v>4.3936123290823191E-4</v>
      </c>
      <c r="J60" s="93">
        <f t="shared" si="39"/>
        <v>5.3754696184351517E-4</v>
      </c>
      <c r="K60" s="93">
        <f t="shared" si="39"/>
        <v>6.5133657862753095E-4</v>
      </c>
      <c r="L60" s="93">
        <f t="shared" si="39"/>
        <v>7.8230177230919436E-4</v>
      </c>
      <c r="M60" s="93">
        <f t="shared" si="39"/>
        <v>9.3208966261421934E-4</v>
      </c>
      <c r="N60" s="93">
        <f t="shared" si="39"/>
        <v>1.1024227999451254E-3</v>
      </c>
      <c r="O60" s="93">
        <f t="shared" si="39"/>
        <v>1.2950991653812376E-3</v>
      </c>
      <c r="P60" s="134">
        <f t="shared" si="39"/>
        <v>2.7243762800263058E-2</v>
      </c>
    </row>
    <row r="61" spans="1:16" s="17" customFormat="1" ht="12" customHeight="1" x14ac:dyDescent="0.2">
      <c r="A61" s="113"/>
      <c r="B61" s="129" t="s">
        <v>276</v>
      </c>
      <c r="C61" s="93">
        <f t="shared" ref="C61:P61" si="40">C58*C59+C60</f>
        <v>0.3839517830935425</v>
      </c>
      <c r="D61" s="93">
        <f t="shared" si="40"/>
        <v>0.38652252005566262</v>
      </c>
      <c r="E61" s="93">
        <f t="shared" si="40"/>
        <v>0.38917701982762382</v>
      </c>
      <c r="F61" s="93">
        <f t="shared" si="40"/>
        <v>0.39192184994761303</v>
      </c>
      <c r="G61" s="93">
        <f t="shared" si="40"/>
        <v>0.39476474959410429</v>
      </c>
      <c r="H61" s="93">
        <f t="shared" si="40"/>
        <v>0.39771480264251191</v>
      </c>
      <c r="I61" s="93">
        <f t="shared" si="40"/>
        <v>0.40078263319492186</v>
      </c>
      <c r="J61" s="93">
        <f t="shared" si="40"/>
        <v>0.4039806258449859</v>
      </c>
      <c r="K61" s="93">
        <f t="shared" si="40"/>
        <v>0.40732317310760902</v>
      </c>
      <c r="L61" s="93">
        <f t="shared" si="40"/>
        <v>0.41082695261859842</v>
      </c>
      <c r="M61" s="93">
        <f t="shared" si="40"/>
        <v>0.41451123689314445</v>
      </c>
      <c r="N61" s="93">
        <f t="shared" si="40"/>
        <v>0.41839823862408226</v>
      </c>
      <c r="O61" s="93">
        <f t="shared" si="40"/>
        <v>0.4225134947015225</v>
      </c>
      <c r="P61" s="134">
        <f t="shared" si="40"/>
        <v>1.0420815086512667</v>
      </c>
    </row>
    <row r="62" spans="1:16" s="17" customFormat="1" ht="12" customHeight="1" x14ac:dyDescent="0.2">
      <c r="A62" s="113"/>
      <c r="B62" s="129" t="s">
        <v>277</v>
      </c>
      <c r="C62" s="93">
        <f t="shared" ref="C62:P62" si="41">0.16*($C5/$C6-2.5)</f>
        <v>0.23035088745400559</v>
      </c>
      <c r="D62" s="93">
        <f t="shared" si="41"/>
        <v>0.23035088745400559</v>
      </c>
      <c r="E62" s="93">
        <f t="shared" si="41"/>
        <v>0.23035088745400559</v>
      </c>
      <c r="F62" s="93">
        <f t="shared" si="41"/>
        <v>0.23035088745400559</v>
      </c>
      <c r="G62" s="93">
        <f t="shared" si="41"/>
        <v>0.23035088745400559</v>
      </c>
      <c r="H62" s="93">
        <f t="shared" si="41"/>
        <v>0.23035088745400559</v>
      </c>
      <c r="I62" s="93">
        <f t="shared" si="41"/>
        <v>0.23035088745400559</v>
      </c>
      <c r="J62" s="93">
        <f t="shared" si="41"/>
        <v>0.23035088745400559</v>
      </c>
      <c r="K62" s="93">
        <f t="shared" si="41"/>
        <v>0.23035088745400559</v>
      </c>
      <c r="L62" s="93">
        <f t="shared" si="41"/>
        <v>0.23035088745400559</v>
      </c>
      <c r="M62" s="93">
        <f t="shared" si="41"/>
        <v>0.23035088745400559</v>
      </c>
      <c r="N62" s="93">
        <f t="shared" si="41"/>
        <v>0.23035088745400559</v>
      </c>
      <c r="O62" s="93">
        <f t="shared" si="41"/>
        <v>0.23035088745400559</v>
      </c>
      <c r="P62" s="134">
        <f t="shared" si="41"/>
        <v>0.23035088745400559</v>
      </c>
    </row>
    <row r="63" spans="1:16" s="17" customFormat="1" ht="12" customHeight="1" x14ac:dyDescent="0.2">
      <c r="A63" s="113"/>
      <c r="B63" s="129" t="s">
        <v>278</v>
      </c>
      <c r="C63" s="93">
        <f t="shared" ref="C63:P63" si="42">($C15-$C14)/3*0.1</f>
        <v>0</v>
      </c>
      <c r="D63" s="93">
        <f t="shared" si="42"/>
        <v>0</v>
      </c>
      <c r="E63" s="93">
        <f t="shared" si="42"/>
        <v>0</v>
      </c>
      <c r="F63" s="93">
        <f t="shared" si="42"/>
        <v>0</v>
      </c>
      <c r="G63" s="93">
        <f t="shared" si="42"/>
        <v>0</v>
      </c>
      <c r="H63" s="93">
        <f t="shared" si="42"/>
        <v>0</v>
      </c>
      <c r="I63" s="93">
        <f t="shared" si="42"/>
        <v>0</v>
      </c>
      <c r="J63" s="93">
        <f t="shared" si="42"/>
        <v>0</v>
      </c>
      <c r="K63" s="93">
        <f t="shared" si="42"/>
        <v>0</v>
      </c>
      <c r="L63" s="93">
        <f t="shared" si="42"/>
        <v>0</v>
      </c>
      <c r="M63" s="93">
        <f t="shared" si="42"/>
        <v>0</v>
      </c>
      <c r="N63" s="93">
        <f t="shared" si="42"/>
        <v>0</v>
      </c>
      <c r="O63" s="93">
        <f t="shared" si="42"/>
        <v>0</v>
      </c>
      <c r="P63" s="134">
        <f t="shared" si="42"/>
        <v>0</v>
      </c>
    </row>
    <row r="64" spans="1:16" s="17" customFormat="1" ht="12" customHeight="1" x14ac:dyDescent="0.2">
      <c r="A64" s="113"/>
      <c r="B64" s="129" t="s">
        <v>279</v>
      </c>
      <c r="C64" s="129">
        <f>0.1*C5/C4+0.149</f>
        <v>0.16263002865717036</v>
      </c>
      <c r="D64" s="129" t="s">
        <v>280</v>
      </c>
      <c r="E64" s="129">
        <f>0.625*C5/C4+0.08</f>
        <v>0.16518767910731474</v>
      </c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35"/>
    </row>
    <row r="65" spans="1:16" s="17" customFormat="1" ht="12" customHeight="1" x14ac:dyDescent="0.2">
      <c r="A65" s="113"/>
      <c r="B65" s="129" t="s">
        <v>281</v>
      </c>
      <c r="C65" s="129">
        <f>0.05*C5/C4+0.449</f>
        <v>0.45581501432858518</v>
      </c>
      <c r="D65" s="129" t="s">
        <v>282</v>
      </c>
      <c r="E65" s="129">
        <f>0.165-0.25*C5/C4</f>
        <v>0.13092492835707412</v>
      </c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5"/>
    </row>
    <row r="66" spans="1:16" s="17" customFormat="1" ht="12" customHeight="1" x14ac:dyDescent="0.2">
      <c r="A66" s="113"/>
      <c r="B66" s="129" t="s">
        <v>283</v>
      </c>
      <c r="C66" s="129">
        <f>585-5027*C5/C4+11700*(C5/C4)^2</f>
        <v>117.17834640252971</v>
      </c>
      <c r="D66" s="129" t="s">
        <v>284</v>
      </c>
      <c r="E66" s="129">
        <f>825-8060*C5/C4+20300*(C5/C4)^2</f>
        <v>103.54838305849802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5"/>
    </row>
    <row r="67" spans="1:16" s="17" customFormat="1" ht="12" customHeight="1" x14ac:dyDescent="0.2">
      <c r="A67" s="113"/>
      <c r="B67" s="129" t="s">
        <v>285</v>
      </c>
      <c r="C67" s="93">
        <f>C64+C65/(C66*(0.98-C11)^3+1)</f>
        <v>0.25732846521760089</v>
      </c>
      <c r="D67" s="93" t="s">
        <v>286</v>
      </c>
      <c r="E67" s="93">
        <f>E64+E65/(E66*(0.98-C11)^3+1)</f>
        <v>0.19514917716124874</v>
      </c>
      <c r="F67" s="93"/>
      <c r="G67" s="93"/>
      <c r="H67" s="129"/>
      <c r="I67" s="129"/>
      <c r="J67" s="129"/>
      <c r="K67" s="129"/>
      <c r="L67" s="129"/>
      <c r="M67" s="129"/>
      <c r="N67" s="129"/>
      <c r="O67" s="129"/>
      <c r="P67" s="135"/>
    </row>
    <row r="68" spans="1:16" s="17" customFormat="1" ht="12" customHeight="1" x14ac:dyDescent="0.2">
      <c r="A68" s="113"/>
      <c r="B68" s="129" t="s">
        <v>287</v>
      </c>
      <c r="C68" s="93">
        <f>0.025*C15/(100*(C11-0.7)^2+1)</f>
        <v>0</v>
      </c>
      <c r="D68" s="93" t="s">
        <v>288</v>
      </c>
      <c r="E68" s="93">
        <f>-0.01*C15</f>
        <v>0</v>
      </c>
      <c r="F68" s="93"/>
      <c r="G68" s="93"/>
      <c r="H68" s="129"/>
      <c r="I68" s="129"/>
      <c r="J68" s="129"/>
      <c r="K68" s="129"/>
      <c r="L68" s="129"/>
      <c r="M68" s="129"/>
      <c r="N68" s="129"/>
      <c r="O68" s="129"/>
      <c r="P68" s="135"/>
    </row>
    <row r="69" spans="1:16" s="17" customFormat="1" ht="12" customHeight="1" x14ac:dyDescent="0.2">
      <c r="A69" s="113"/>
      <c r="B69" s="129" t="s">
        <v>289</v>
      </c>
      <c r="C69" s="93">
        <f>0.00756/(C18/C4+0.002)-0.18</f>
        <v>0.10623735526422862</v>
      </c>
      <c r="D69" s="93" t="s">
        <v>290</v>
      </c>
      <c r="E69" s="93">
        <f>2*(C18/C4-0.04)</f>
        <v>-3.1176705898352877E-2</v>
      </c>
      <c r="F69" s="93"/>
      <c r="G69" s="93"/>
      <c r="H69" s="129"/>
      <c r="I69" s="129"/>
      <c r="J69" s="129"/>
      <c r="K69" s="129"/>
      <c r="L69" s="129"/>
      <c r="M69" s="129"/>
      <c r="N69" s="129"/>
      <c r="O69" s="129"/>
      <c r="P69" s="135"/>
    </row>
    <row r="70" spans="1:16" s="17" customFormat="1" ht="12" customHeight="1" x14ac:dyDescent="0.2">
      <c r="A70" s="113"/>
      <c r="B70" s="129" t="s">
        <v>291</v>
      </c>
      <c r="C70" s="93">
        <f>MIN(0.1,C69)</f>
        <v>0.1</v>
      </c>
      <c r="D70" s="93"/>
      <c r="E70" s="93"/>
      <c r="F70" s="93"/>
      <c r="G70" s="93"/>
      <c r="H70" s="129"/>
      <c r="I70" s="129"/>
      <c r="J70" s="129"/>
      <c r="K70" s="129"/>
      <c r="L70" s="129"/>
      <c r="M70" s="129"/>
      <c r="N70" s="129"/>
      <c r="O70" s="129"/>
      <c r="P70" s="135"/>
    </row>
    <row r="71" spans="1:16" s="17" customFormat="1" ht="12" customHeight="1" x14ac:dyDescent="0.2">
      <c r="A71" s="113"/>
      <c r="B71" s="129" t="s">
        <v>292</v>
      </c>
      <c r="C71" s="93">
        <f>C67+C68+C70</f>
        <v>0.35732846521760087</v>
      </c>
      <c r="D71" s="93" t="s">
        <v>293</v>
      </c>
      <c r="E71" s="93">
        <f>E67+E68+E69</f>
        <v>0.16397247126289588</v>
      </c>
      <c r="F71" s="93" t="s">
        <v>294</v>
      </c>
      <c r="G71" s="93">
        <f>0.7*C11-0.2</f>
        <v>0.26251393060397682</v>
      </c>
      <c r="H71" s="129"/>
      <c r="I71" s="129"/>
      <c r="J71" s="129"/>
      <c r="K71" s="129"/>
      <c r="L71" s="129"/>
      <c r="M71" s="129"/>
      <c r="N71" s="129"/>
      <c r="O71" s="129"/>
      <c r="P71" s="135"/>
    </row>
    <row r="72" spans="1:16" s="17" customFormat="1" ht="12" customHeight="1" x14ac:dyDescent="0.2">
      <c r="A72" s="113"/>
      <c r="B72" s="129" t="s">
        <v>295</v>
      </c>
      <c r="C72" s="93">
        <f>1.133*C11^2-0.797*C11+0.215</f>
        <v>0.18302828409621644</v>
      </c>
      <c r="D72" s="93" t="s">
        <v>296</v>
      </c>
      <c r="E72" s="93">
        <f>0.0665+0.62833*C72</f>
        <v>0.18150216174617567</v>
      </c>
      <c r="F72" s="93" t="s">
        <v>297</v>
      </c>
      <c r="G72" s="93">
        <f>0.19</f>
        <v>0.19</v>
      </c>
      <c r="H72" s="129"/>
      <c r="I72" s="129"/>
      <c r="J72" s="129"/>
      <c r="K72" s="129"/>
      <c r="L72" s="129"/>
      <c r="M72" s="129"/>
      <c r="N72" s="129"/>
      <c r="O72" s="129"/>
      <c r="P72" s="135"/>
    </row>
    <row r="73" spans="1:16" x14ac:dyDescent="0.2">
      <c r="A73" s="136" t="s">
        <v>298</v>
      </c>
      <c r="B73" s="129" t="s">
        <v>299</v>
      </c>
      <c r="C73" s="129">
        <f t="shared" ref="C73:P73" si="43">IF(C22&gt;$J9,0,IF($C17=1,0.2,0.1))</f>
        <v>0.2</v>
      </c>
      <c r="D73" s="129">
        <f t="shared" si="43"/>
        <v>0.2</v>
      </c>
      <c r="E73" s="129">
        <f t="shared" si="43"/>
        <v>0.2</v>
      </c>
      <c r="F73" s="129">
        <f t="shared" si="43"/>
        <v>0.2</v>
      </c>
      <c r="G73" s="129">
        <f t="shared" si="43"/>
        <v>0.2</v>
      </c>
      <c r="H73" s="129">
        <f t="shared" si="43"/>
        <v>0.2</v>
      </c>
      <c r="I73" s="129">
        <f t="shared" si="43"/>
        <v>0.2</v>
      </c>
      <c r="J73" s="129">
        <f t="shared" si="43"/>
        <v>0.2</v>
      </c>
      <c r="K73" s="129">
        <f t="shared" si="43"/>
        <v>0.2</v>
      </c>
      <c r="L73" s="129">
        <f t="shared" si="43"/>
        <v>0.2</v>
      </c>
      <c r="M73" s="129">
        <f t="shared" si="43"/>
        <v>0.2</v>
      </c>
      <c r="N73" s="129">
        <f t="shared" si="43"/>
        <v>0.2</v>
      </c>
      <c r="O73" s="129">
        <f t="shared" si="43"/>
        <v>0.2</v>
      </c>
      <c r="P73" s="129">
        <f t="shared" si="43"/>
        <v>0.2</v>
      </c>
    </row>
    <row r="75" spans="1:16" x14ac:dyDescent="0.2">
      <c r="A75" s="137" t="s">
        <v>300</v>
      </c>
    </row>
    <row r="76" spans="1:16" x14ac:dyDescent="0.2">
      <c r="A76" s="138">
        <v>36967</v>
      </c>
      <c r="B76" s="136" t="s">
        <v>301</v>
      </c>
    </row>
    <row r="77" spans="1:16" x14ac:dyDescent="0.2">
      <c r="A77" s="138">
        <v>38922</v>
      </c>
      <c r="B77" s="136" t="s">
        <v>302</v>
      </c>
    </row>
    <row r="78" spans="1:16" x14ac:dyDescent="0.2">
      <c r="A78" s="138">
        <v>38959</v>
      </c>
      <c r="B78" s="136" t="s">
        <v>303</v>
      </c>
    </row>
    <row r="79" spans="1:16" x14ac:dyDescent="0.2">
      <c r="A79" s="138">
        <v>39513</v>
      </c>
      <c r="B79" s="136" t="s">
        <v>304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7"/>
  <dimension ref="A1:AD76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136" customWidth="1"/>
    <col min="2" max="6" width="7.140625" style="136" customWidth="1"/>
    <col min="7" max="7" width="9" style="136" customWidth="1"/>
    <col min="8" max="8" width="6.42578125" style="136" customWidth="1"/>
    <col min="9" max="11" width="7.140625" style="136" customWidth="1"/>
    <col min="12" max="12" width="6.42578125" style="136" customWidth="1"/>
    <col min="13" max="13" width="7.140625" style="136" customWidth="1"/>
    <col min="14" max="14" width="7.42578125" style="136" customWidth="1"/>
    <col min="15" max="15" width="6.140625" style="136" customWidth="1"/>
    <col min="16" max="16" width="6.7109375" style="136" customWidth="1"/>
    <col min="17" max="30" width="9.140625" style="9" customWidth="1"/>
  </cols>
  <sheetData>
    <row r="1" spans="1:30" ht="21" thickBot="1" x14ac:dyDescent="0.35">
      <c r="A1" s="2" t="s">
        <v>411</v>
      </c>
      <c r="B1" s="3"/>
      <c r="C1" s="3"/>
      <c r="D1" s="3"/>
      <c r="E1" s="4"/>
      <c r="F1" s="3"/>
      <c r="G1" s="5"/>
      <c r="H1" s="6"/>
      <c r="I1" s="7"/>
      <c r="J1" s="6"/>
      <c r="K1" s="6"/>
      <c r="L1" s="6"/>
      <c r="M1" s="6"/>
      <c r="N1" s="6"/>
      <c r="O1" s="6"/>
      <c r="P1" s="8"/>
    </row>
    <row r="2" spans="1:30" s="18" customFormat="1" ht="13.5" thickTop="1" x14ac:dyDescent="0.2">
      <c r="A2" s="10" t="s">
        <v>199</v>
      </c>
      <c r="B2" s="11"/>
      <c r="C2" s="11"/>
      <c r="D2" s="11"/>
      <c r="E2" s="12"/>
      <c r="F2" s="12"/>
      <c r="G2" s="11"/>
      <c r="H2" s="13"/>
      <c r="I2" s="14"/>
      <c r="J2" s="15" t="s">
        <v>200</v>
      </c>
      <c r="K2" s="11"/>
      <c r="L2" s="11"/>
      <c r="M2" s="11"/>
      <c r="N2" s="11"/>
      <c r="O2" s="1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9" t="s">
        <v>201</v>
      </c>
      <c r="B3" s="20" t="s">
        <v>202</v>
      </c>
      <c r="C3" s="21">
        <v>1.0249999999999999</v>
      </c>
      <c r="D3" s="22"/>
      <c r="E3" s="23"/>
      <c r="F3" s="24"/>
      <c r="G3" s="25" t="s">
        <v>203</v>
      </c>
      <c r="H3" s="26"/>
      <c r="I3" s="26"/>
      <c r="J3" s="27">
        <v>1</v>
      </c>
      <c r="K3" s="28">
        <f>IF(J3=1,IF(C17=1,0.7*C68,IF(C16=1,C69,G68)),J3)</f>
        <v>0.26401965803724181</v>
      </c>
      <c r="L3" s="29"/>
      <c r="M3" s="29"/>
      <c r="N3" s="29"/>
      <c r="O3" s="29"/>
      <c r="P3" s="30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9" t="s">
        <v>204</v>
      </c>
      <c r="B4" s="20" t="s">
        <v>205</v>
      </c>
      <c r="C4" s="31">
        <f>'SHIP DATA'!D6</f>
        <v>410.19723000059423</v>
      </c>
      <c r="D4" s="32"/>
      <c r="E4" s="33"/>
      <c r="F4" s="34"/>
      <c r="G4" s="35" t="s">
        <v>206</v>
      </c>
      <c r="H4" s="36"/>
      <c r="I4" s="36"/>
      <c r="J4" s="27">
        <v>1</v>
      </c>
      <c r="K4" s="37">
        <f>IF(K15=1,0.25,IF(J4=1,IF(C17=1,E68,IF(C16=1,E69,G69)),J4))</f>
        <v>0.17004939726713941</v>
      </c>
      <c r="L4" s="38"/>
      <c r="M4" s="38"/>
      <c r="N4" s="38"/>
      <c r="O4" s="38"/>
      <c r="P4" s="39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9" t="s">
        <v>207</v>
      </c>
      <c r="B5" s="20" t="s">
        <v>205</v>
      </c>
      <c r="C5" s="31">
        <f>'SHIP DATA'!D8</f>
        <v>55.91</v>
      </c>
      <c r="D5" s="32"/>
      <c r="E5" s="33"/>
      <c r="F5" s="34"/>
      <c r="G5" s="35" t="s">
        <v>208</v>
      </c>
      <c r="H5" s="36"/>
      <c r="I5" s="36"/>
      <c r="J5" s="40"/>
      <c r="K5" s="37">
        <f>(1-K4)/(1-K3)</f>
        <v>1.1276803949946499</v>
      </c>
      <c r="L5" s="38"/>
      <c r="M5" s="38"/>
      <c r="N5" s="38"/>
      <c r="O5" s="38"/>
      <c r="P5" s="39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41" t="s">
        <v>209</v>
      </c>
      <c r="B6" s="42" t="s">
        <v>205</v>
      </c>
      <c r="C6" s="43">
        <f>'SHIP DATA'!D11</f>
        <v>16.330000000000002</v>
      </c>
      <c r="D6" s="32"/>
      <c r="E6" s="33"/>
      <c r="F6" s="34"/>
      <c r="G6" s="35" t="s">
        <v>210</v>
      </c>
      <c r="H6" s="36"/>
      <c r="I6" s="36"/>
      <c r="J6" s="27">
        <f>'SHIP DATA'!C45/100</f>
        <v>0.98</v>
      </c>
      <c r="K6" s="44"/>
      <c r="L6" s="45"/>
      <c r="M6" s="46"/>
      <c r="N6" s="38"/>
      <c r="O6" s="38"/>
      <c r="P6" s="39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9" t="s">
        <v>211</v>
      </c>
      <c r="B7" s="20" t="s">
        <v>212</v>
      </c>
      <c r="C7" s="47">
        <f>'SHIP DATA'!D24</f>
        <v>263317.77974012645</v>
      </c>
      <c r="D7" s="32"/>
      <c r="E7" s="33"/>
      <c r="F7" s="34"/>
      <c r="G7" s="35" t="s">
        <v>213</v>
      </c>
      <c r="H7" s="36"/>
      <c r="I7" s="36"/>
      <c r="J7" s="27">
        <f>IF(C16=2,1.03,1.01)</f>
        <v>1.01</v>
      </c>
      <c r="K7" s="48"/>
      <c r="L7" s="38"/>
      <c r="M7" s="38"/>
      <c r="N7" s="38"/>
      <c r="O7" s="38"/>
      <c r="P7" s="39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9" t="s">
        <v>214</v>
      </c>
      <c r="B8" s="20" t="s">
        <v>215</v>
      </c>
      <c r="C8" s="47">
        <f>'SHIP DATA'!D34</f>
        <v>28316.395999934779</v>
      </c>
      <c r="D8" s="32"/>
      <c r="E8" s="33"/>
      <c r="F8" s="34"/>
      <c r="G8" s="49" t="s">
        <v>216</v>
      </c>
      <c r="H8" s="50"/>
      <c r="I8" s="50"/>
      <c r="J8" s="50"/>
      <c r="K8" s="51"/>
      <c r="L8" s="38"/>
      <c r="M8" s="38"/>
      <c r="N8" s="38"/>
      <c r="O8" s="38"/>
      <c r="P8" s="3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9" t="s">
        <v>217</v>
      </c>
      <c r="B9" s="20" t="s">
        <v>215</v>
      </c>
      <c r="C9" s="52">
        <f>IF(C8=0,0.995*(C7/C3/C6+1.9*C4*C6),C8)</f>
        <v>28316.395999934779</v>
      </c>
      <c r="D9" s="32"/>
      <c r="E9" s="33"/>
      <c r="F9" s="34"/>
      <c r="G9" s="25" t="s">
        <v>218</v>
      </c>
      <c r="H9" s="26"/>
      <c r="I9" s="26"/>
      <c r="J9" s="53">
        <v>0.32</v>
      </c>
      <c r="K9" s="54" t="str">
        <f>IF(J9&gt;0.32,"Too high"," ")</f>
        <v xml:space="preserve"> </v>
      </c>
      <c r="L9" s="38"/>
      <c r="M9" s="38"/>
      <c r="N9" s="38"/>
      <c r="O9" s="38"/>
      <c r="P9" s="39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9" t="s">
        <v>186</v>
      </c>
      <c r="B10" s="20" t="s">
        <v>193</v>
      </c>
      <c r="C10" s="21">
        <f>'SHIP DATA'!D29</f>
        <v>0.98</v>
      </c>
      <c r="D10" s="32"/>
      <c r="E10" s="33"/>
      <c r="F10" s="34"/>
      <c r="G10" s="55"/>
      <c r="H10" s="56"/>
      <c r="I10" s="56"/>
      <c r="J10" s="57">
        <v>0.95</v>
      </c>
      <c r="K10" s="58" t="str">
        <f>IF(J10&lt;0.9,"Too low"," ")</f>
        <v xml:space="preserve"> </v>
      </c>
      <c r="L10" s="38"/>
      <c r="M10" s="59" t="s">
        <v>219</v>
      </c>
      <c r="N10" s="60"/>
      <c r="O10" s="60"/>
      <c r="P10" s="61">
        <f>'SHIP DATA'!D35</f>
        <v>23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9" t="s">
        <v>220</v>
      </c>
      <c r="B11" s="20" t="s">
        <v>193</v>
      </c>
      <c r="C11" s="62">
        <f>C7/C3/C4/C5/C6</f>
        <v>0.68594282674143203</v>
      </c>
      <c r="D11" s="32"/>
      <c r="E11" s="33"/>
      <c r="F11" s="33"/>
      <c r="G11" s="1120"/>
      <c r="H11" s="1120"/>
      <c r="I11" s="1120"/>
      <c r="J11" s="1120"/>
      <c r="K11" s="1120"/>
      <c r="L11" s="38"/>
      <c r="M11" s="38"/>
      <c r="N11" s="38"/>
      <c r="O11" s="38"/>
      <c r="P11" s="39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9" t="s">
        <v>221</v>
      </c>
      <c r="B12" s="20" t="s">
        <v>193</v>
      </c>
      <c r="C12" s="62">
        <f>C11/C10</f>
        <v>0.69994165994023683</v>
      </c>
      <c r="D12" s="32"/>
      <c r="E12" s="33"/>
      <c r="F12" s="34"/>
      <c r="G12" s="1119" t="s">
        <v>222</v>
      </c>
      <c r="H12" s="63"/>
      <c r="I12" s="63"/>
      <c r="J12" s="63"/>
      <c r="K12" s="702">
        <v>0</v>
      </c>
      <c r="L12" s="65"/>
      <c r="M12" s="65"/>
      <c r="N12" s="65"/>
      <c r="O12" s="38"/>
      <c r="P12" s="39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9" t="s">
        <v>223</v>
      </c>
      <c r="B13" s="20" t="s">
        <v>193</v>
      </c>
      <c r="C13" s="66">
        <f>C4/(C7/C3)^(1/3)</f>
        <v>6.4526872616790323</v>
      </c>
      <c r="D13" s="32"/>
      <c r="E13" s="33"/>
      <c r="F13" s="34"/>
      <c r="G13" s="67" t="s">
        <v>224</v>
      </c>
      <c r="H13" s="68"/>
      <c r="I13" s="67"/>
      <c r="J13" s="67"/>
      <c r="K13" s="64">
        <v>15</v>
      </c>
      <c r="L13" s="38"/>
      <c r="M13" s="38"/>
      <c r="N13" s="38"/>
      <c r="O13" s="38"/>
      <c r="P13" s="39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9" t="s">
        <v>225</v>
      </c>
      <c r="B14" s="20" t="s">
        <v>193</v>
      </c>
      <c r="C14" s="69">
        <v>0</v>
      </c>
      <c r="D14" s="32"/>
      <c r="E14" s="33"/>
      <c r="F14" s="34"/>
      <c r="G14" s="70" t="s">
        <v>226</v>
      </c>
      <c r="H14" s="71"/>
      <c r="I14" s="71"/>
      <c r="J14" s="71"/>
      <c r="K14" s="64">
        <v>1</v>
      </c>
      <c r="L14" s="38"/>
      <c r="M14" s="38"/>
      <c r="N14" s="38"/>
      <c r="O14" s="38"/>
      <c r="P14" s="39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9" t="s">
        <v>227</v>
      </c>
      <c r="B15" s="20" t="s">
        <v>193</v>
      </c>
      <c r="C15" s="69">
        <v>0</v>
      </c>
      <c r="D15" s="32"/>
      <c r="E15" s="33"/>
      <c r="F15" s="34"/>
      <c r="G15" s="70" t="s">
        <v>228</v>
      </c>
      <c r="H15" s="71"/>
      <c r="I15" s="71"/>
      <c r="J15" s="71"/>
      <c r="K15" s="64">
        <v>2</v>
      </c>
      <c r="L15" s="38"/>
      <c r="M15" s="38"/>
      <c r="N15" s="38"/>
      <c r="O15" s="38"/>
      <c r="P15" s="39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9" t="s">
        <v>229</v>
      </c>
      <c r="B16" s="20" t="s">
        <v>193</v>
      </c>
      <c r="C16" s="1129">
        <f>'SHIP DATA'!D51</f>
        <v>1</v>
      </c>
      <c r="D16" s="32"/>
      <c r="E16" s="33"/>
      <c r="F16" s="34"/>
      <c r="G16" s="70" t="s">
        <v>230</v>
      </c>
      <c r="H16" s="71"/>
      <c r="I16" s="71"/>
      <c r="J16" s="71"/>
      <c r="K16" s="72"/>
      <c r="L16" s="38"/>
      <c r="M16" s="38"/>
      <c r="N16" s="38"/>
      <c r="O16" s="38"/>
      <c r="P16" s="39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9" t="s">
        <v>231</v>
      </c>
      <c r="B17" s="20" t="s">
        <v>193</v>
      </c>
      <c r="C17" s="1129">
        <f>'SHIP DATA'!D50</f>
        <v>1</v>
      </c>
      <c r="D17" s="32"/>
      <c r="E17" s="33"/>
      <c r="F17" s="34"/>
      <c r="G17" s="70" t="s">
        <v>232</v>
      </c>
      <c r="H17" s="71"/>
      <c r="I17" s="71"/>
      <c r="J17" s="71"/>
      <c r="K17" s="721">
        <f>'SHIP DATA'!D53</f>
        <v>1</v>
      </c>
      <c r="L17" s="38"/>
      <c r="M17" s="38"/>
      <c r="N17" s="38"/>
      <c r="O17" s="38"/>
      <c r="P17" s="39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9" t="s">
        <v>233</v>
      </c>
      <c r="B18" s="20" t="s">
        <v>205</v>
      </c>
      <c r="C18" s="31">
        <f>'SHIP DATA'!D52</f>
        <v>10.013590000000001</v>
      </c>
      <c r="D18" s="73">
        <f>C18/C6</f>
        <v>0.61320208205756277</v>
      </c>
      <c r="E18" s="74" t="s">
        <v>234</v>
      </c>
      <c r="F18" s="75"/>
      <c r="G18" s="70" t="s">
        <v>235</v>
      </c>
      <c r="H18" s="71"/>
      <c r="I18" s="71"/>
      <c r="J18" s="71"/>
      <c r="K18" s="64">
        <f>'SHIP DATA'!D46</f>
        <v>0</v>
      </c>
      <c r="L18" s="38"/>
      <c r="M18" s="38"/>
      <c r="N18" s="38"/>
      <c r="O18" s="38"/>
      <c r="P18" s="39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36" t="s">
        <v>236</v>
      </c>
      <c r="B19" s="76" t="s">
        <v>193</v>
      </c>
      <c r="C19" s="77">
        <v>4</v>
      </c>
      <c r="D19" s="78"/>
      <c r="E19" s="79"/>
      <c r="F19" s="65"/>
      <c r="G19" s="80" t="s">
        <v>237</v>
      </c>
      <c r="H19" s="81"/>
      <c r="I19" s="82"/>
      <c r="J19" s="81"/>
      <c r="K19" s="83">
        <v>100</v>
      </c>
      <c r="L19" s="84"/>
      <c r="M19" s="84"/>
      <c r="N19" s="84"/>
      <c r="O19" s="84"/>
      <c r="P19" s="85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0" t="s">
        <v>238</v>
      </c>
      <c r="B20" s="86"/>
      <c r="C20" s="11"/>
      <c r="D20" s="11"/>
      <c r="E20" s="11"/>
      <c r="F20" s="11"/>
      <c r="G20" s="11"/>
      <c r="H20" s="11"/>
      <c r="I20" s="11"/>
      <c r="J20" s="11"/>
      <c r="K20" s="87"/>
      <c r="L20" s="87"/>
      <c r="M20" s="87"/>
      <c r="N20" s="87"/>
      <c r="O20" s="87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88" t="s">
        <v>239</v>
      </c>
      <c r="B21" s="89" t="s">
        <v>240</v>
      </c>
      <c r="C21" s="90">
        <f>D21-0.5</f>
        <v>22.5</v>
      </c>
      <c r="D21" s="90">
        <f>E21-0.5</f>
        <v>23</v>
      </c>
      <c r="E21" s="90">
        <f>F21-0.5</f>
        <v>23.5</v>
      </c>
      <c r="F21" s="316">
        <f>P10+1</f>
        <v>24</v>
      </c>
      <c r="G21" s="316">
        <f>P10+3</f>
        <v>26</v>
      </c>
      <c r="H21" s="316">
        <f>P10+5</f>
        <v>28</v>
      </c>
      <c r="I21" s="139">
        <f>K21-2</f>
        <v>22</v>
      </c>
      <c r="J21" s="139">
        <f>K21-1</f>
        <v>23</v>
      </c>
      <c r="K21" s="139">
        <f>P10+1</f>
        <v>24</v>
      </c>
      <c r="L21" s="166">
        <f>M21-0.01</f>
        <v>22.428167721253818</v>
      </c>
      <c r="M21" s="166">
        <f>V33</f>
        <v>22.438167721253819</v>
      </c>
      <c r="N21" s="166">
        <f>M21+0.01</f>
        <v>22.448167721253821</v>
      </c>
      <c r="O21" s="90">
        <f>N21+0.5</f>
        <v>22.948167721253821</v>
      </c>
      <c r="P21" s="91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9" t="s">
        <v>241</v>
      </c>
      <c r="B22" s="76" t="s">
        <v>193</v>
      </c>
      <c r="C22" s="92">
        <f t="shared" ref="C22:O22" si="0">C21*0.5144/SQRT(9.81*$C4)</f>
        <v>0.1824536738604024</v>
      </c>
      <c r="D22" s="93">
        <f t="shared" si="0"/>
        <v>0.18650819994618911</v>
      </c>
      <c r="E22" s="93">
        <f t="shared" si="0"/>
        <v>0.19056272603197585</v>
      </c>
      <c r="F22" s="317">
        <f t="shared" si="0"/>
        <v>0.19461725211776257</v>
      </c>
      <c r="G22" s="317">
        <f t="shared" si="0"/>
        <v>0.21083535646090945</v>
      </c>
      <c r="H22" s="317">
        <f t="shared" si="0"/>
        <v>0.22705346080405631</v>
      </c>
      <c r="I22" s="140">
        <f t="shared" si="0"/>
        <v>0.17839914777461566</v>
      </c>
      <c r="J22" s="141">
        <f t="shared" si="0"/>
        <v>0.18650819994618911</v>
      </c>
      <c r="K22" s="141">
        <f t="shared" si="0"/>
        <v>0.19461725211776257</v>
      </c>
      <c r="L22" s="161">
        <f t="shared" si="0"/>
        <v>0.18187118216444662</v>
      </c>
      <c r="M22" s="161">
        <f t="shared" si="0"/>
        <v>0.18195227268616235</v>
      </c>
      <c r="N22" s="161">
        <f t="shared" si="0"/>
        <v>0.18203336320787808</v>
      </c>
      <c r="O22" s="94">
        <f t="shared" si="0"/>
        <v>0.18608788929366479</v>
      </c>
      <c r="P22" s="95">
        <f>J9</f>
        <v>0.32</v>
      </c>
      <c r="Q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9" t="s">
        <v>242</v>
      </c>
      <c r="B23" s="76" t="s">
        <v>193</v>
      </c>
      <c r="C23" s="92">
        <f t="shared" ref="C23:P23" si="1">75/(LOG10(C21*0.5144*$C4*1000000/((43.4233-31.38*$C3)*($K13+20)^(1.72*$C3-2.202)+4.7478-5.779*$C3))-2)^2</f>
        <v>1.2979492172682627</v>
      </c>
      <c r="D23" s="62">
        <f t="shared" si="1"/>
        <v>1.294695656740557</v>
      </c>
      <c r="E23" s="62">
        <f t="shared" si="1"/>
        <v>1.2915238979957366</v>
      </c>
      <c r="F23" s="318">
        <f t="shared" si="1"/>
        <v>1.2884301944834013</v>
      </c>
      <c r="G23" s="318">
        <f t="shared" si="1"/>
        <v>1.2767691747379315</v>
      </c>
      <c r="H23" s="318">
        <f t="shared" si="1"/>
        <v>1.2661133202027086</v>
      </c>
      <c r="I23" s="141">
        <f t="shared" si="1"/>
        <v>1.3012885948261597</v>
      </c>
      <c r="J23" s="141">
        <f t="shared" si="1"/>
        <v>1.294695656740557</v>
      </c>
      <c r="K23" s="141">
        <f t="shared" si="1"/>
        <v>1.2884301944834013</v>
      </c>
      <c r="L23" s="161">
        <f t="shared" si="1"/>
        <v>1.298423590913635</v>
      </c>
      <c r="M23" s="161">
        <f t="shared" si="1"/>
        <v>1.2983574452951188</v>
      </c>
      <c r="N23" s="161">
        <f t="shared" si="1"/>
        <v>1.2982913342000799</v>
      </c>
      <c r="O23" s="94">
        <f t="shared" si="1"/>
        <v>1.2950290688481969</v>
      </c>
      <c r="P23" s="96">
        <f t="shared" si="1"/>
        <v>1.2184718298238078</v>
      </c>
      <c r="Q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9" t="s">
        <v>243</v>
      </c>
      <c r="B24" s="76" t="s">
        <v>193</v>
      </c>
      <c r="C24" s="97">
        <f>C43</f>
        <v>0.70960198488458381</v>
      </c>
      <c r="D24" s="98">
        <f t="shared" ref="D24:O24" si="2">D43</f>
        <v>0.72448862594746422</v>
      </c>
      <c r="E24" s="98">
        <f t="shared" si="2"/>
        <v>0.74070510323333671</v>
      </c>
      <c r="F24" s="318">
        <f t="shared" si="2"/>
        <v>0.75841783722011491</v>
      </c>
      <c r="G24" s="318">
        <f t="shared" si="2"/>
        <v>0.84860741963234532</v>
      </c>
      <c r="H24" s="318">
        <f t="shared" si="2"/>
        <v>0.98563688906452807</v>
      </c>
      <c r="I24" s="141">
        <f t="shared" si="2"/>
        <v>0.69590137147159337</v>
      </c>
      <c r="J24" s="141">
        <f t="shared" si="2"/>
        <v>0.72448862594746422</v>
      </c>
      <c r="K24" s="141">
        <f t="shared" si="2"/>
        <v>0.75841783722011491</v>
      </c>
      <c r="L24" s="161">
        <f t="shared" si="2"/>
        <v>0.70756385352719431</v>
      </c>
      <c r="M24" s="161">
        <f t="shared" si="2"/>
        <v>0.70784613814839048</v>
      </c>
      <c r="N24" s="161">
        <f t="shared" si="2"/>
        <v>0.70812889000147861</v>
      </c>
      <c r="O24" s="99">
        <f t="shared" si="2"/>
        <v>0.72288625430099662</v>
      </c>
      <c r="P24" s="95">
        <f>P50+P52+P54+P58+P59+P60</f>
        <v>4.9531108986779104</v>
      </c>
      <c r="Q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9" t="s">
        <v>244</v>
      </c>
      <c r="B25" s="76" t="s">
        <v>193</v>
      </c>
      <c r="C25" s="266">
        <f>$K14*(IF($C16=2,0.52-2.6*C22,MAX(-50,(250*C22-90))/100*C24))</f>
        <v>-0.31496806359406032</v>
      </c>
      <c r="D25" s="268">
        <f>$K14*(IF($C16=2,0.52-2.6*D22,MAX(-50,(250*D22-90))/100*D24))</f>
        <v>-0.3142320895853441</v>
      </c>
      <c r="E25" s="268">
        <f t="shared" ref="E25:P25" si="3">$K14*(IF($C16=2,0.52-2.6*E22,MAX(-50,(250*E22-90))/100*E24))</f>
        <v>-0.3137576337651512</v>
      </c>
      <c r="F25" s="1132">
        <f t="shared" si="3"/>
        <v>-0.31357306490591513</v>
      </c>
      <c r="G25" s="1132">
        <f t="shared" si="3"/>
        <v>-0.31645555813521559</v>
      </c>
      <c r="H25" s="1132">
        <f t="shared" si="3"/>
        <v>-0.32759253326246324</v>
      </c>
      <c r="I25" s="374">
        <f t="shared" si="3"/>
        <v>-0.31594070531013779</v>
      </c>
      <c r="J25" s="374">
        <f t="shared" si="3"/>
        <v>-0.3142320895853441</v>
      </c>
      <c r="K25" s="374">
        <f t="shared" si="3"/>
        <v>-0.31357306490591513</v>
      </c>
      <c r="L25" s="262">
        <f t="shared" si="3"/>
        <v>-0.31509378192991944</v>
      </c>
      <c r="M25" s="262">
        <f t="shared" si="3"/>
        <v>-0.31507599046299417</v>
      </c>
      <c r="N25" s="262">
        <f t="shared" si="3"/>
        <v>-0.31505829242225403</v>
      </c>
      <c r="O25" s="268">
        <f t="shared" si="3"/>
        <v>-0.31429668571520725</v>
      </c>
      <c r="P25" s="270">
        <f t="shared" si="3"/>
        <v>-0.49531108986779104</v>
      </c>
      <c r="Q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9" t="s">
        <v>245</v>
      </c>
      <c r="B26" s="76"/>
      <c r="C26" s="266">
        <f>IF($C17=2,IF($C16=1,0.3,0),0)</f>
        <v>0</v>
      </c>
      <c r="D26" s="268">
        <f t="shared" ref="D26:P26" si="4">IF($C17=2,IF($C16=1,0.3,0),0)</f>
        <v>0</v>
      </c>
      <c r="E26" s="268">
        <f t="shared" si="4"/>
        <v>0</v>
      </c>
      <c r="F26" s="375">
        <f t="shared" si="4"/>
        <v>0</v>
      </c>
      <c r="G26" s="375">
        <f t="shared" si="4"/>
        <v>0</v>
      </c>
      <c r="H26" s="375">
        <f t="shared" si="4"/>
        <v>0</v>
      </c>
      <c r="I26" s="374">
        <f t="shared" si="4"/>
        <v>0</v>
      </c>
      <c r="J26" s="374">
        <f t="shared" si="4"/>
        <v>0</v>
      </c>
      <c r="K26" s="374">
        <f t="shared" si="4"/>
        <v>0</v>
      </c>
      <c r="L26" s="262">
        <f t="shared" si="4"/>
        <v>0</v>
      </c>
      <c r="M26" s="262">
        <f t="shared" si="4"/>
        <v>0</v>
      </c>
      <c r="N26" s="262">
        <f t="shared" si="4"/>
        <v>0</v>
      </c>
      <c r="O26" s="269">
        <f t="shared" si="4"/>
        <v>0</v>
      </c>
      <c r="P26" s="270">
        <f t="shared" si="4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9" t="s">
        <v>246</v>
      </c>
      <c r="B27" s="76" t="s">
        <v>193</v>
      </c>
      <c r="C27" s="97">
        <f>MAX(0.09,0.28*'SHIP DATA'!D2^(-0.126))</f>
        <v>0.09</v>
      </c>
      <c r="D27" s="98">
        <f t="shared" ref="D27:P27" si="5">C27</f>
        <v>0.09</v>
      </c>
      <c r="E27" s="98">
        <f t="shared" si="5"/>
        <v>0.09</v>
      </c>
      <c r="F27" s="707">
        <v>0</v>
      </c>
      <c r="G27" s="707">
        <v>0</v>
      </c>
      <c r="H27" s="707">
        <v>0</v>
      </c>
      <c r="I27" s="141">
        <f>C27</f>
        <v>0.09</v>
      </c>
      <c r="J27" s="141">
        <f t="shared" si="5"/>
        <v>0.09</v>
      </c>
      <c r="K27" s="141">
        <f t="shared" si="5"/>
        <v>0.09</v>
      </c>
      <c r="L27" s="161">
        <f t="shared" si="5"/>
        <v>0.09</v>
      </c>
      <c r="M27" s="161">
        <f t="shared" si="5"/>
        <v>0.09</v>
      </c>
      <c r="N27" s="161">
        <f t="shared" si="5"/>
        <v>0.09</v>
      </c>
      <c r="O27" s="99">
        <f t="shared" si="5"/>
        <v>0.09</v>
      </c>
      <c r="P27" s="100">
        <f t="shared" si="5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9" t="s">
        <v>247</v>
      </c>
      <c r="B28" s="76" t="s">
        <v>193</v>
      </c>
      <c r="C28" s="92">
        <f t="shared" ref="C28:O28" si="6">0.5*LOG10($C7)-0.1*(LOG10($C7))^2</f>
        <v>-0.2279204508192656</v>
      </c>
      <c r="D28" s="62">
        <f t="shared" si="6"/>
        <v>-0.2279204508192656</v>
      </c>
      <c r="E28" s="62">
        <f t="shared" si="6"/>
        <v>-0.2279204508192656</v>
      </c>
      <c r="F28" s="318">
        <f t="shared" si="6"/>
        <v>-0.2279204508192656</v>
      </c>
      <c r="G28" s="318">
        <f t="shared" si="6"/>
        <v>-0.2279204508192656</v>
      </c>
      <c r="H28" s="318">
        <f t="shared" si="6"/>
        <v>-0.2279204508192656</v>
      </c>
      <c r="I28" s="141">
        <f t="shared" si="6"/>
        <v>-0.2279204508192656</v>
      </c>
      <c r="J28" s="141">
        <f t="shared" si="6"/>
        <v>-0.2279204508192656</v>
      </c>
      <c r="K28" s="141">
        <f t="shared" si="6"/>
        <v>-0.2279204508192656</v>
      </c>
      <c r="L28" s="161">
        <f t="shared" si="6"/>
        <v>-0.2279204508192656</v>
      </c>
      <c r="M28" s="161">
        <f t="shared" si="6"/>
        <v>-0.2279204508192656</v>
      </c>
      <c r="N28" s="161">
        <f t="shared" si="6"/>
        <v>-0.2279204508192656</v>
      </c>
      <c r="O28" s="94">
        <f t="shared" si="6"/>
        <v>-0.2279204508192656</v>
      </c>
      <c r="P28" s="96">
        <f>0.5*LOG10($C7)-0.1*(LOG10($C7))^2</f>
        <v>-0.2279204508192656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9" t="s">
        <v>248</v>
      </c>
      <c r="B29" s="76" t="s">
        <v>193</v>
      </c>
      <c r="C29" s="97">
        <f t="shared" ref="C29:O29" si="7">C23+C24+C25+C26+C27+C28</f>
        <v>1.5546626877395209</v>
      </c>
      <c r="D29" s="98">
        <f t="shared" si="7"/>
        <v>1.5670317422834115</v>
      </c>
      <c r="E29" s="98">
        <f t="shared" si="7"/>
        <v>1.5805509166446565</v>
      </c>
      <c r="F29" s="318">
        <f t="shared" si="7"/>
        <v>1.5053545159783353</v>
      </c>
      <c r="G29" s="318">
        <f t="shared" si="7"/>
        <v>1.5810005854157956</v>
      </c>
      <c r="H29" s="318">
        <f t="shared" si="7"/>
        <v>1.696237225185508</v>
      </c>
      <c r="I29" s="141">
        <f t="shared" si="7"/>
        <v>1.5433288101683498</v>
      </c>
      <c r="J29" s="141">
        <f t="shared" si="7"/>
        <v>1.5670317422834115</v>
      </c>
      <c r="K29" s="141">
        <f t="shared" si="7"/>
        <v>1.5953545159783353</v>
      </c>
      <c r="L29" s="161">
        <f t="shared" si="7"/>
        <v>1.5529732116916442</v>
      </c>
      <c r="M29" s="161">
        <f t="shared" si="7"/>
        <v>1.5532071421612497</v>
      </c>
      <c r="N29" s="161">
        <f t="shared" si="7"/>
        <v>1.553441480960039</v>
      </c>
      <c r="O29" s="99">
        <f t="shared" si="7"/>
        <v>1.5656981866147208</v>
      </c>
      <c r="P29" s="96">
        <f>P23+P24+P25+P27+P28</f>
        <v>5.5383511878146621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7" customFormat="1" ht="12" customHeight="1" x14ac:dyDescent="0.2">
      <c r="A30" s="19" t="s">
        <v>249</v>
      </c>
      <c r="B30" s="76" t="s">
        <v>250</v>
      </c>
      <c r="C30" s="101">
        <f t="shared" ref="C30:P30" si="8">($C9*$C3*C21^2*0.0001323*C29*$K19/100)*(1+$K12/100)</f>
        <v>3022.197893650653</v>
      </c>
      <c r="D30" s="102">
        <f t="shared" si="8"/>
        <v>3183.1356942907737</v>
      </c>
      <c r="E30" s="102">
        <f t="shared" si="8"/>
        <v>3351.7058881431108</v>
      </c>
      <c r="F30" s="319">
        <f t="shared" si="8"/>
        <v>3329.5302118974014</v>
      </c>
      <c r="G30" s="319">
        <f t="shared" si="8"/>
        <v>4103.9344320186237</v>
      </c>
      <c r="H30" s="319">
        <f t="shared" si="8"/>
        <v>5106.5117951515376</v>
      </c>
      <c r="I30" s="142">
        <f t="shared" si="8"/>
        <v>2868.3062017690709</v>
      </c>
      <c r="J30" s="142">
        <f t="shared" si="8"/>
        <v>3183.1356942907737</v>
      </c>
      <c r="K30" s="142">
        <f t="shared" si="8"/>
        <v>3528.5914402592921</v>
      </c>
      <c r="L30" s="162">
        <f t="shared" si="8"/>
        <v>2999.6683546058566</v>
      </c>
      <c r="M30" s="162">
        <f t="shared" si="8"/>
        <v>3002.7961174605252</v>
      </c>
      <c r="N30" s="162">
        <f t="shared" si="8"/>
        <v>3005.9266694978846</v>
      </c>
      <c r="O30" s="102">
        <f t="shared" si="8"/>
        <v>3166.1082986725728</v>
      </c>
      <c r="P30" s="103">
        <f t="shared" si="8"/>
        <v>33117.83555065393</v>
      </c>
    </row>
    <row r="31" spans="1:30" s="17" customFormat="1" ht="12" customHeight="1" x14ac:dyDescent="0.2">
      <c r="A31" s="19" t="s">
        <v>251</v>
      </c>
      <c r="B31" s="76" t="s">
        <v>252</v>
      </c>
      <c r="C31" s="104">
        <f t="shared" ref="C31:P31" si="9">C30*C21*0.5144</f>
        <v>34978.918421112656</v>
      </c>
      <c r="D31" s="105">
        <f t="shared" si="9"/>
        <v>37660.315026292999</v>
      </c>
      <c r="E31" s="105">
        <f t="shared" si="9"/>
        <v>40516.761458229179</v>
      </c>
      <c r="F31" s="320">
        <f t="shared" si="9"/>
        <v>41105.04818400056</v>
      </c>
      <c r="G31" s="320">
        <f t="shared" si="9"/>
        <v>54887.66066758988</v>
      </c>
      <c r="H31" s="320">
        <f t="shared" si="9"/>
        <v>73550.11068792663</v>
      </c>
      <c r="I31" s="143">
        <f t="shared" si="9"/>
        <v>32460.047624180217</v>
      </c>
      <c r="J31" s="144">
        <f t="shared" si="9"/>
        <v>37660.315026292999</v>
      </c>
      <c r="K31" s="144">
        <f t="shared" si="9"/>
        <v>43562.578484865116</v>
      </c>
      <c r="L31" s="163">
        <f t="shared" si="9"/>
        <v>34607.322218118235</v>
      </c>
      <c r="M31" s="163">
        <f t="shared" si="9"/>
        <v>34658.853756149379</v>
      </c>
      <c r="N31" s="163">
        <f t="shared" si="9"/>
        <v>34710.449680238569</v>
      </c>
      <c r="O31" s="106">
        <f t="shared" si="9"/>
        <v>37374.44406416281</v>
      </c>
      <c r="P31" s="103">
        <f t="shared" si="9"/>
        <v>672268.54125224706</v>
      </c>
    </row>
    <row r="32" spans="1:30" s="17" customFormat="1" ht="12" customHeight="1" thickBot="1" x14ac:dyDescent="0.25">
      <c r="A32" s="19" t="s">
        <v>253</v>
      </c>
      <c r="B32" s="76" t="s">
        <v>193</v>
      </c>
      <c r="C32" s="92">
        <f t="shared" ref="C32:P32" si="10">C36*$J6*IF($K17=3,1,$K5*$J7)</f>
        <v>0.70968736794316645</v>
      </c>
      <c r="D32" s="93">
        <f t="shared" si="10"/>
        <v>0.70863392427337557</v>
      </c>
      <c r="E32" s="93">
        <f t="shared" si="10"/>
        <v>0.70748799722008959</v>
      </c>
      <c r="F32" s="317">
        <f t="shared" si="10"/>
        <v>0.71393520019929935</v>
      </c>
      <c r="G32" s="317">
        <f t="shared" si="10"/>
        <v>0.70744997947238952</v>
      </c>
      <c r="H32" s="317">
        <f t="shared" si="10"/>
        <v>0.69790824767983395</v>
      </c>
      <c r="I32" s="140">
        <f t="shared" si="10"/>
        <v>0.71065688286749362</v>
      </c>
      <c r="J32" s="141">
        <f t="shared" si="10"/>
        <v>0.70863392427337557</v>
      </c>
      <c r="K32" s="141">
        <f t="shared" si="10"/>
        <v>0.70623968953689265</v>
      </c>
      <c r="L32" s="161">
        <f t="shared" si="10"/>
        <v>0.70983163027056984</v>
      </c>
      <c r="M32" s="161">
        <f t="shared" si="10"/>
        <v>0.70981164985648659</v>
      </c>
      <c r="N32" s="161">
        <f t="shared" si="10"/>
        <v>0.70979163629826469</v>
      </c>
      <c r="O32" s="94">
        <f t="shared" si="10"/>
        <v>0.70874726933219301</v>
      </c>
      <c r="P32" s="95">
        <f t="shared" si="10"/>
        <v>0.50325166763148643</v>
      </c>
    </row>
    <row r="33" spans="1:22" s="17" customFormat="1" ht="12" customHeight="1" thickBot="1" x14ac:dyDescent="0.25">
      <c r="A33" s="107" t="s">
        <v>254</v>
      </c>
      <c r="B33" s="108" t="s">
        <v>252</v>
      </c>
      <c r="C33" s="109">
        <f t="shared" ref="C33:P33" si="11">C31/C32</f>
        <v>49287.785017914895</v>
      </c>
      <c r="D33" s="110">
        <f t="shared" si="11"/>
        <v>53144.950779641855</v>
      </c>
      <c r="E33" s="110">
        <f t="shared" si="11"/>
        <v>57268.478924632531</v>
      </c>
      <c r="F33" s="321">
        <f t="shared" si="11"/>
        <v>57575.320802960596</v>
      </c>
      <c r="G33" s="321">
        <f t="shared" si="11"/>
        <v>77585.217697687476</v>
      </c>
      <c r="H33" s="321">
        <f t="shared" si="11"/>
        <v>105386.50450462624</v>
      </c>
      <c r="I33" s="145">
        <f t="shared" si="11"/>
        <v>45676.117978628783</v>
      </c>
      <c r="J33" s="146">
        <f t="shared" si="11"/>
        <v>53144.950779641855</v>
      </c>
      <c r="K33" s="146">
        <f t="shared" si="11"/>
        <v>61682.427552932779</v>
      </c>
      <c r="L33" s="164">
        <f t="shared" si="11"/>
        <v>48754.268959424648</v>
      </c>
      <c r="M33" s="164">
        <f t="shared" si="11"/>
        <v>48828.240228456219</v>
      </c>
      <c r="N33" s="164">
        <f t="shared" si="11"/>
        <v>48902.30865675168</v>
      </c>
      <c r="O33" s="112">
        <f t="shared" si="11"/>
        <v>52733.104847625509</v>
      </c>
      <c r="P33" s="103">
        <f t="shared" si="11"/>
        <v>1335849.6046644514</v>
      </c>
      <c r="Q33" s="324" t="s">
        <v>307</v>
      </c>
      <c r="R33" s="325">
        <f>'SHIP DATA'!D47*0.75</f>
        <v>48842.187400574861</v>
      </c>
      <c r="S33" s="326">
        <f>S34*S35*R36-S34*S36*R35+S35*S36*R34</f>
        <v>22.980053936089284</v>
      </c>
      <c r="T33" s="155" t="s">
        <v>307</v>
      </c>
      <c r="U33" s="156">
        <f>'SHIP DATA'!D47*0.75</f>
        <v>48842.187400574861</v>
      </c>
      <c r="V33" s="157">
        <f>V34*V35*U36-V34*V36*U35+V35*V36*U34</f>
        <v>22.438167721253819</v>
      </c>
    </row>
    <row r="34" spans="1:22" s="17" customFormat="1" ht="12" customHeight="1" x14ac:dyDescent="0.2">
      <c r="A34" s="113" t="s">
        <v>255</v>
      </c>
      <c r="B34" s="76" t="s">
        <v>193</v>
      </c>
      <c r="C34" s="114">
        <f t="shared" ref="C34:P34" si="12">2.54648*C30/(1-$K4)/$C17/$C3/(C37*$C18)^2/$J7</f>
        <v>1.2310811689426036</v>
      </c>
      <c r="D34" s="115">
        <f t="shared" si="12"/>
        <v>1.240875775995756</v>
      </c>
      <c r="E34" s="115">
        <f t="shared" si="12"/>
        <v>1.2515811213462513</v>
      </c>
      <c r="F34" s="322">
        <f t="shared" si="12"/>
        <v>1.1920358106093145</v>
      </c>
      <c r="G34" s="322">
        <f t="shared" si="12"/>
        <v>1.2519371977869975</v>
      </c>
      <c r="H34" s="322">
        <f t="shared" si="12"/>
        <v>1.3431889260953345</v>
      </c>
      <c r="I34" s="147">
        <f t="shared" si="12"/>
        <v>1.2221062811042278</v>
      </c>
      <c r="J34" s="148">
        <f t="shared" si="12"/>
        <v>1.240875775995756</v>
      </c>
      <c r="K34" s="148">
        <f t="shared" si="12"/>
        <v>1.2633035563901911</v>
      </c>
      <c r="L34" s="165">
        <f t="shared" si="12"/>
        <v>1.2297433339483483</v>
      </c>
      <c r="M34" s="165">
        <f t="shared" si="12"/>
        <v>1.2299285750287736</v>
      </c>
      <c r="N34" s="165">
        <f t="shared" si="12"/>
        <v>1.2301141394503148</v>
      </c>
      <c r="O34" s="116">
        <f t="shared" si="12"/>
        <v>1.2398197814804133</v>
      </c>
      <c r="P34" s="117">
        <f t="shared" si="12"/>
        <v>4.3856200499821165</v>
      </c>
      <c r="Q34" s="153">
        <f>F33-G33</f>
        <v>-20009.89689472688</v>
      </c>
      <c r="R34" s="158">
        <f>F21/Q34/Q35</f>
        <v>2.508631636273088E-8</v>
      </c>
      <c r="S34" s="154">
        <f>R33-F33</f>
        <v>-8733.1334023857344</v>
      </c>
      <c r="T34" s="153">
        <f>I33-J33</f>
        <v>-7468.8328010130717</v>
      </c>
      <c r="U34" s="158">
        <f>I21/T34/T35</f>
        <v>1.8402580715351958E-7</v>
      </c>
      <c r="V34" s="154">
        <f>U33-I33</f>
        <v>3166.0694219460784</v>
      </c>
    </row>
    <row r="35" spans="1:22" x14ac:dyDescent="0.2">
      <c r="A35" s="113" t="s">
        <v>256</v>
      </c>
      <c r="B35" s="118" t="s">
        <v>193</v>
      </c>
      <c r="C35" s="114">
        <f t="shared" ref="C35:P35" si="13">(1.3+0.3*$C19)*C30/(1-$K4)/$C17/(99.6+$C3*9.81*0.65*$C18)/$C18^2+C70</f>
        <v>0.75007375206835758</v>
      </c>
      <c r="D35" s="115">
        <f t="shared" si="13"/>
        <v>0.77936622826051183</v>
      </c>
      <c r="E35" s="115">
        <f t="shared" si="13"/>
        <v>0.8100478852142321</v>
      </c>
      <c r="F35" s="322">
        <f t="shared" si="13"/>
        <v>0.8060116646005</v>
      </c>
      <c r="G35" s="322">
        <f t="shared" si="13"/>
        <v>0.94696187698553058</v>
      </c>
      <c r="H35" s="322">
        <f t="shared" si="13"/>
        <v>1.1294421483919639</v>
      </c>
      <c r="I35" s="147">
        <f t="shared" si="13"/>
        <v>0.72206374632277281</v>
      </c>
      <c r="J35" s="148">
        <f t="shared" si="13"/>
        <v>0.77936622826051183</v>
      </c>
      <c r="K35" s="148">
        <f t="shared" si="13"/>
        <v>0.84224303019254387</v>
      </c>
      <c r="L35" s="165">
        <f t="shared" si="13"/>
        <v>0.74597312447518171</v>
      </c>
      <c r="M35" s="165">
        <f t="shared" si="13"/>
        <v>0.74654241222852913</v>
      </c>
      <c r="N35" s="165">
        <f t="shared" si="13"/>
        <v>0.74711220764426067</v>
      </c>
      <c r="O35" s="116">
        <f t="shared" si="13"/>
        <v>0.77626705218890724</v>
      </c>
      <c r="P35" s="117">
        <f t="shared" si="13"/>
        <v>6.2278157495919579</v>
      </c>
      <c r="Q35" s="149">
        <f>F33-H33</f>
        <v>-47811.183701665643</v>
      </c>
      <c r="R35" s="159">
        <f>G21/Q34/Q36</f>
        <v>4.6737297774781906E-8</v>
      </c>
      <c r="S35" s="150">
        <f>R33-G33</f>
        <v>-28743.030297112615</v>
      </c>
      <c r="T35" s="149">
        <f>I33-K33</f>
        <v>-16006.309574303996</v>
      </c>
      <c r="U35" s="159">
        <f>J21/T34/T36</f>
        <v>3.6069951928162273E-7</v>
      </c>
      <c r="V35" s="150">
        <f>U33-J33</f>
        <v>-4302.7633790669934</v>
      </c>
    </row>
    <row r="36" spans="1:22" s="17" customFormat="1" ht="12" customHeight="1" thickBot="1" x14ac:dyDescent="0.25">
      <c r="A36" s="113" t="s">
        <v>257</v>
      </c>
      <c r="B36" s="119" t="s">
        <v>193</v>
      </c>
      <c r="C36" s="169">
        <f>(1+$K18/100)*IF($K17=3,1/(1+16.8/C21),IF($K17=1,0.81-0.014*C34,0.00098*C34^3-0.018542*C34^2+0.11195*C34+0.634)/(1+SQRT(1+C34))*2)</f>
        <v>0.63581913726566885</v>
      </c>
      <c r="D36" s="170">
        <f t="shared" ref="D36:P36" si="14">(1+$K18/100)*IF($K17=3,1/(1+16.8/D21),IF($K17=1,0.81-0.014*D34,0.00098*D34^3-0.018542*D34^2+0.11195*D34+0.634)/(1+SQRT(1+D34))*2)</f>
        <v>0.63487534190514883</v>
      </c>
      <c r="E36" s="170">
        <f t="shared" si="14"/>
        <v>0.63384868934896577</v>
      </c>
      <c r="F36" s="323">
        <f t="shared" si="14"/>
        <v>0.63962483138161652</v>
      </c>
      <c r="G36" s="323">
        <f t="shared" si="14"/>
        <v>0.63381462870108718</v>
      </c>
      <c r="H36" s="323">
        <f t="shared" si="14"/>
        <v>0.62526605372229593</v>
      </c>
      <c r="I36" s="172">
        <f t="shared" si="14"/>
        <v>0.63668773965398306</v>
      </c>
      <c r="J36" s="172">
        <f t="shared" si="14"/>
        <v>0.63487534190514883</v>
      </c>
      <c r="K36" s="172">
        <f t="shared" si="14"/>
        <v>0.63273031251146805</v>
      </c>
      <c r="L36" s="173">
        <f t="shared" si="14"/>
        <v>0.63594838396314823</v>
      </c>
      <c r="M36" s="173">
        <f t="shared" si="14"/>
        <v>0.63593048322231727</v>
      </c>
      <c r="N36" s="173">
        <f t="shared" si="14"/>
        <v>0.63591255278717496</v>
      </c>
      <c r="O36" s="171">
        <f t="shared" si="14"/>
        <v>0.63497688937628316</v>
      </c>
      <c r="P36" s="120">
        <f t="shared" si="14"/>
        <v>0.45087041927817623</v>
      </c>
      <c r="Q36" s="151">
        <f>G33-H33</f>
        <v>-27801.286806938762</v>
      </c>
      <c r="R36" s="160">
        <f>H21/Q35/Q36</f>
        <v>2.1065105436835505E-8</v>
      </c>
      <c r="S36" s="152">
        <f>R33-H33</f>
        <v>-56544.317104051377</v>
      </c>
      <c r="T36" s="151">
        <f>J33-K33</f>
        <v>-8537.476773290924</v>
      </c>
      <c r="U36" s="160">
        <f>K21/T35/T36</f>
        <v>1.7562668109081815E-7</v>
      </c>
      <c r="V36" s="152">
        <f>U33-K33</f>
        <v>-12840.240152357917</v>
      </c>
    </row>
    <row r="37" spans="1:22" s="17" customFormat="1" ht="12" customHeight="1" thickTop="1" x14ac:dyDescent="0.2">
      <c r="A37" s="121" t="s">
        <v>258</v>
      </c>
      <c r="B37" s="122" t="s">
        <v>259</v>
      </c>
      <c r="C37" s="123">
        <f t="shared" ref="C37:P37" si="15">C21*0.5144*(1-$K3)</f>
        <v>8.5182364778769628</v>
      </c>
      <c r="D37" s="123">
        <f t="shared" si="15"/>
        <v>8.7075306218297843</v>
      </c>
      <c r="E37" s="123">
        <f t="shared" si="15"/>
        <v>8.8968247657826058</v>
      </c>
      <c r="F37" s="123">
        <f t="shared" si="15"/>
        <v>9.0861189097354274</v>
      </c>
      <c r="G37" s="123">
        <f t="shared" si="15"/>
        <v>9.8432954855467134</v>
      </c>
      <c r="H37" s="123">
        <f t="shared" si="15"/>
        <v>10.600472061357998</v>
      </c>
      <c r="I37" s="123">
        <f t="shared" si="15"/>
        <v>8.3289423339241413</v>
      </c>
      <c r="J37" s="123">
        <f t="shared" si="15"/>
        <v>8.7075306218297843</v>
      </c>
      <c r="K37" s="123">
        <f t="shared" si="15"/>
        <v>9.0861189097354274</v>
      </c>
      <c r="L37" s="123">
        <f t="shared" si="15"/>
        <v>8.491041618450085</v>
      </c>
      <c r="M37" s="123">
        <f t="shared" si="15"/>
        <v>8.4948275013291408</v>
      </c>
      <c r="N37" s="123">
        <f t="shared" si="15"/>
        <v>8.4986133842081983</v>
      </c>
      <c r="O37" s="123">
        <f t="shared" si="15"/>
        <v>8.6879075281610199</v>
      </c>
      <c r="P37" s="124">
        <f t="shared" si="15"/>
        <v>14.939878245511238</v>
      </c>
    </row>
    <row r="38" spans="1:22" s="17" customFormat="1" ht="12" customHeight="1" x14ac:dyDescent="0.2">
      <c r="A38" s="113" t="s">
        <v>260</v>
      </c>
      <c r="B38" s="76" t="s">
        <v>259</v>
      </c>
      <c r="C38" s="115">
        <f t="shared" ref="C38:P38" si="16">C37*SQRT(1+C34)</f>
        <v>12.723522959670458</v>
      </c>
      <c r="D38" s="115">
        <f t="shared" si="16"/>
        <v>13.034785876170508</v>
      </c>
      <c r="E38" s="115">
        <f t="shared" si="16"/>
        <v>13.349925311718378</v>
      </c>
      <c r="F38" s="115">
        <f t="shared" si="16"/>
        <v>13.452476390380804</v>
      </c>
      <c r="G38" s="115">
        <f t="shared" si="16"/>
        <v>14.771297997530942</v>
      </c>
      <c r="H38" s="115">
        <f t="shared" si="16"/>
        <v>16.226649629294958</v>
      </c>
      <c r="I38" s="115">
        <f t="shared" si="16"/>
        <v>12.415730260808559</v>
      </c>
      <c r="J38" s="115">
        <f t="shared" si="16"/>
        <v>13.034785876170508</v>
      </c>
      <c r="K38" s="115">
        <f t="shared" si="16"/>
        <v>13.669411545748718</v>
      </c>
      <c r="L38" s="115">
        <f t="shared" si="16"/>
        <v>12.679099402726596</v>
      </c>
      <c r="M38" s="115">
        <f t="shared" si="16"/>
        <v>12.685279502752634</v>
      </c>
      <c r="N38" s="115">
        <f t="shared" si="16"/>
        <v>12.69146097058638</v>
      </c>
      <c r="O38" s="115">
        <f t="shared" si="16"/>
        <v>13.002346269867763</v>
      </c>
      <c r="P38" s="117">
        <f t="shared" si="16"/>
        <v>34.670883900650125</v>
      </c>
    </row>
    <row r="39" spans="1:22" s="17" customFormat="1" ht="12" customHeight="1" x14ac:dyDescent="0.2">
      <c r="A39" s="113" t="s">
        <v>261</v>
      </c>
      <c r="B39" s="76" t="s">
        <v>259</v>
      </c>
      <c r="C39" s="115">
        <f t="shared" ref="C39:P39" si="17">C38-C37</f>
        <v>4.205286481793495</v>
      </c>
      <c r="D39" s="115">
        <f t="shared" si="17"/>
        <v>4.3272552543407237</v>
      </c>
      <c r="E39" s="115">
        <f t="shared" si="17"/>
        <v>4.4531005459357722</v>
      </c>
      <c r="F39" s="115">
        <f t="shared" si="17"/>
        <v>4.3663574806453767</v>
      </c>
      <c r="G39" s="115">
        <f t="shared" si="17"/>
        <v>4.9280025119842286</v>
      </c>
      <c r="H39" s="115">
        <f t="shared" si="17"/>
        <v>5.6261775679369599</v>
      </c>
      <c r="I39" s="115">
        <f t="shared" si="17"/>
        <v>4.0867879268844174</v>
      </c>
      <c r="J39" s="115">
        <f t="shared" si="17"/>
        <v>4.3272552543407237</v>
      </c>
      <c r="K39" s="115">
        <f t="shared" si="17"/>
        <v>4.5832926360132902</v>
      </c>
      <c r="L39" s="115">
        <f t="shared" si="17"/>
        <v>4.188057784276511</v>
      </c>
      <c r="M39" s="115">
        <f t="shared" si="17"/>
        <v>4.1904520014234929</v>
      </c>
      <c r="N39" s="115">
        <f t="shared" si="17"/>
        <v>4.192847586378182</v>
      </c>
      <c r="O39" s="115">
        <f t="shared" si="17"/>
        <v>4.3144387417067431</v>
      </c>
      <c r="P39" s="117">
        <f t="shared" si="17"/>
        <v>19.731005655138887</v>
      </c>
    </row>
    <row r="40" spans="1:22" s="17" customFormat="1" ht="12" customHeight="1" x14ac:dyDescent="0.2">
      <c r="A40" s="113" t="s">
        <v>262</v>
      </c>
      <c r="B40" s="76" t="s">
        <v>193</v>
      </c>
      <c r="C40" s="115">
        <f t="shared" ref="C40:P40" si="18">C38/C37</f>
        <v>1.4936804105773778</v>
      </c>
      <c r="D40" s="115">
        <f t="shared" si="18"/>
        <v>1.4969555023432581</v>
      </c>
      <c r="E40" s="115">
        <f t="shared" si="18"/>
        <v>1.5005269478907239</v>
      </c>
      <c r="F40" s="115">
        <f t="shared" si="18"/>
        <v>1.480552535578969</v>
      </c>
      <c r="G40" s="115">
        <f t="shared" si="18"/>
        <v>1.5006455936652723</v>
      </c>
      <c r="H40" s="115">
        <f t="shared" si="18"/>
        <v>1.530747832301367</v>
      </c>
      <c r="I40" s="115">
        <f t="shared" si="18"/>
        <v>1.4906730966594346</v>
      </c>
      <c r="J40" s="115">
        <f t="shared" si="18"/>
        <v>1.4969555023432581</v>
      </c>
      <c r="K40" s="115">
        <f t="shared" si="18"/>
        <v>1.5044279831185643</v>
      </c>
      <c r="L40" s="115">
        <f t="shared" si="18"/>
        <v>1.4932325116834111</v>
      </c>
      <c r="M40" s="115">
        <f t="shared" si="18"/>
        <v>1.4932945372660993</v>
      </c>
      <c r="N40" s="115">
        <f t="shared" si="18"/>
        <v>1.4933566685324424</v>
      </c>
      <c r="O40" s="115">
        <f t="shared" si="18"/>
        <v>1.4966027467168479</v>
      </c>
      <c r="P40" s="117">
        <f t="shared" si="18"/>
        <v>2.3206938725265158</v>
      </c>
    </row>
    <row r="41" spans="1:22" s="17" customFormat="1" ht="12" customHeight="1" x14ac:dyDescent="0.2">
      <c r="A41" s="113" t="s">
        <v>263</v>
      </c>
      <c r="B41" s="76" t="s">
        <v>259</v>
      </c>
      <c r="C41" s="115">
        <f t="shared" ref="C41:P41" si="19">C37+0.5*C39</f>
        <v>10.620879718773711</v>
      </c>
      <c r="D41" s="115">
        <f t="shared" si="19"/>
        <v>10.871158249000146</v>
      </c>
      <c r="E41" s="115">
        <f t="shared" si="19"/>
        <v>11.123375038750492</v>
      </c>
      <c r="F41" s="115">
        <f t="shared" si="19"/>
        <v>11.269297650058116</v>
      </c>
      <c r="G41" s="115">
        <f t="shared" si="19"/>
        <v>12.307296741538828</v>
      </c>
      <c r="H41" s="115">
        <f t="shared" si="19"/>
        <v>13.413560845326478</v>
      </c>
      <c r="I41" s="115">
        <f t="shared" si="19"/>
        <v>10.372336297366349</v>
      </c>
      <c r="J41" s="115">
        <f t="shared" si="19"/>
        <v>10.871158249000146</v>
      </c>
      <c r="K41" s="115">
        <f t="shared" si="19"/>
        <v>11.377765227742072</v>
      </c>
      <c r="L41" s="115">
        <f t="shared" si="19"/>
        <v>10.585070510588341</v>
      </c>
      <c r="M41" s="115">
        <f t="shared" si="19"/>
        <v>10.590053502040888</v>
      </c>
      <c r="N41" s="115">
        <f t="shared" si="19"/>
        <v>10.595037177397289</v>
      </c>
      <c r="O41" s="115">
        <f t="shared" si="19"/>
        <v>10.845126899014392</v>
      </c>
      <c r="P41" s="117">
        <f t="shared" si="19"/>
        <v>24.805381073080682</v>
      </c>
    </row>
    <row r="42" spans="1:22" s="17" customFormat="1" ht="12" customHeight="1" x14ac:dyDescent="0.2">
      <c r="A42" s="113" t="s">
        <v>264</v>
      </c>
      <c r="B42" s="76" t="s">
        <v>265</v>
      </c>
      <c r="C42" s="125">
        <f t="shared" ref="C42:P42" si="20">0.785*$C18^2*C41</f>
        <v>836.00670049999837</v>
      </c>
      <c r="D42" s="125">
        <f t="shared" si="20"/>
        <v>855.70700158623913</v>
      </c>
      <c r="E42" s="125">
        <f t="shared" si="20"/>
        <v>875.55986987898302</v>
      </c>
      <c r="F42" s="125">
        <f t="shared" si="20"/>
        <v>887.04595050863122</v>
      </c>
      <c r="G42" s="125">
        <f t="shared" si="20"/>
        <v>968.75050027929558</v>
      </c>
      <c r="H42" s="125">
        <f t="shared" si="20"/>
        <v>1055.8284286409475</v>
      </c>
      <c r="I42" s="125">
        <f t="shared" si="20"/>
        <v>816.44297591563407</v>
      </c>
      <c r="J42" s="125">
        <f t="shared" si="20"/>
        <v>855.70700158623913</v>
      </c>
      <c r="K42" s="125">
        <f t="shared" si="20"/>
        <v>895.58381405024579</v>
      </c>
      <c r="L42" s="125">
        <f t="shared" si="20"/>
        <v>833.18803210573606</v>
      </c>
      <c r="M42" s="125">
        <f t="shared" si="20"/>
        <v>833.58026084320113</v>
      </c>
      <c r="N42" s="125">
        <f t="shared" si="20"/>
        <v>833.97254341313783</v>
      </c>
      <c r="O42" s="125">
        <f t="shared" si="20"/>
        <v>853.65798271140125</v>
      </c>
      <c r="P42" s="103">
        <f t="shared" si="20"/>
        <v>1952.5185610468095</v>
      </c>
    </row>
    <row r="43" spans="1:22" s="17" customFormat="1" ht="12" customHeight="1" thickBot="1" x14ac:dyDescent="0.25">
      <c r="A43" s="56" t="s">
        <v>266</v>
      </c>
      <c r="B43" s="126" t="s">
        <v>193</v>
      </c>
      <c r="C43" s="127">
        <f t="shared" ref="C43:P43" si="21">C50+C52+C54+C58+C59+C60</f>
        <v>0.70960198488458381</v>
      </c>
      <c r="D43" s="127">
        <f t="shared" si="21"/>
        <v>0.72448862594746422</v>
      </c>
      <c r="E43" s="127">
        <f t="shared" si="21"/>
        <v>0.74070510323333671</v>
      </c>
      <c r="F43" s="127">
        <f t="shared" si="21"/>
        <v>0.75841783722011491</v>
      </c>
      <c r="G43" s="127">
        <f t="shared" si="21"/>
        <v>0.84860741963234532</v>
      </c>
      <c r="H43" s="127">
        <f t="shared" si="21"/>
        <v>0.98563688906452807</v>
      </c>
      <c r="I43" s="127">
        <f t="shared" si="21"/>
        <v>0.69590137147159337</v>
      </c>
      <c r="J43" s="127">
        <f t="shared" si="21"/>
        <v>0.72448862594746422</v>
      </c>
      <c r="K43" s="127">
        <f t="shared" si="21"/>
        <v>0.75841783722011491</v>
      </c>
      <c r="L43" s="127">
        <f t="shared" si="21"/>
        <v>0.70756385352719431</v>
      </c>
      <c r="M43" s="127">
        <f t="shared" si="21"/>
        <v>0.70784613814839048</v>
      </c>
      <c r="N43" s="127">
        <f t="shared" si="21"/>
        <v>0.70812889000147861</v>
      </c>
      <c r="O43" s="127">
        <f t="shared" si="21"/>
        <v>0.72288625430099662</v>
      </c>
      <c r="P43" s="128">
        <f t="shared" si="21"/>
        <v>4.9531108986779104</v>
      </c>
    </row>
    <row r="44" spans="1:22" s="17" customFormat="1" ht="12" customHeight="1" x14ac:dyDescent="0.2">
      <c r="A44" s="121"/>
      <c r="B44" s="131" t="s">
        <v>267</v>
      </c>
      <c r="C44" s="130">
        <f t="shared" ref="C44:P44" si="22">1.35-0.23*$C13+0.012*$C13^2</f>
        <v>0.36552800457824075</v>
      </c>
      <c r="D44" s="130">
        <f t="shared" si="22"/>
        <v>0.36552800457824075</v>
      </c>
      <c r="E44" s="130">
        <f t="shared" si="22"/>
        <v>0.36552800457824075</v>
      </c>
      <c r="F44" s="130">
        <f t="shared" si="22"/>
        <v>0.36552800457824075</v>
      </c>
      <c r="G44" s="130">
        <f t="shared" si="22"/>
        <v>0.36552800457824075</v>
      </c>
      <c r="H44" s="130">
        <f t="shared" si="22"/>
        <v>0.36552800457824075</v>
      </c>
      <c r="I44" s="130">
        <f t="shared" si="22"/>
        <v>0.36552800457824075</v>
      </c>
      <c r="J44" s="130">
        <f t="shared" si="22"/>
        <v>0.36552800457824075</v>
      </c>
      <c r="K44" s="130">
        <f t="shared" si="22"/>
        <v>0.36552800457824075</v>
      </c>
      <c r="L44" s="130">
        <f t="shared" si="22"/>
        <v>0.36552800457824075</v>
      </c>
      <c r="M44" s="130">
        <f t="shared" si="22"/>
        <v>0.36552800457824075</v>
      </c>
      <c r="N44" s="130">
        <f t="shared" si="22"/>
        <v>0.36552800457824075</v>
      </c>
      <c r="O44" s="130">
        <f t="shared" si="22"/>
        <v>0.36552800457824075</v>
      </c>
      <c r="P44" s="132">
        <f t="shared" si="22"/>
        <v>0.36552800457824075</v>
      </c>
    </row>
    <row r="45" spans="1:22" s="17" customFormat="1" ht="12" customHeight="1" x14ac:dyDescent="0.2">
      <c r="A45" s="113"/>
      <c r="B45" s="129" t="s">
        <v>268</v>
      </c>
      <c r="C45" s="105">
        <f t="shared" ref="C45:P45" si="23">0.0011*$C13^9.1</f>
        <v>25705.869551679498</v>
      </c>
      <c r="D45" s="105">
        <f t="shared" si="23"/>
        <v>25705.869551679498</v>
      </c>
      <c r="E45" s="105">
        <f t="shared" si="23"/>
        <v>25705.869551679498</v>
      </c>
      <c r="F45" s="105">
        <f t="shared" si="23"/>
        <v>25705.869551679498</v>
      </c>
      <c r="G45" s="105">
        <f t="shared" si="23"/>
        <v>25705.869551679498</v>
      </c>
      <c r="H45" s="105">
        <f t="shared" si="23"/>
        <v>25705.869551679498</v>
      </c>
      <c r="I45" s="105">
        <f t="shared" si="23"/>
        <v>25705.869551679498</v>
      </c>
      <c r="J45" s="105">
        <f t="shared" si="23"/>
        <v>25705.869551679498</v>
      </c>
      <c r="K45" s="105">
        <f t="shared" si="23"/>
        <v>25705.869551679498</v>
      </c>
      <c r="L45" s="105">
        <f t="shared" si="23"/>
        <v>25705.869551679498</v>
      </c>
      <c r="M45" s="105">
        <f t="shared" si="23"/>
        <v>25705.869551679498</v>
      </c>
      <c r="N45" s="105">
        <f t="shared" si="23"/>
        <v>25705.869551679498</v>
      </c>
      <c r="O45" s="105">
        <f t="shared" si="23"/>
        <v>25705.869551679498</v>
      </c>
      <c r="P45" s="133">
        <f t="shared" si="23"/>
        <v>25705.869551679498</v>
      </c>
    </row>
    <row r="46" spans="1:22" s="17" customFormat="1" ht="12" customHeight="1" x14ac:dyDescent="0.2">
      <c r="A46" s="113"/>
      <c r="B46" s="129" t="s">
        <v>269</v>
      </c>
      <c r="C46" s="93">
        <f t="shared" ref="C46:P46" si="24">2*$C13-3.7</f>
        <v>9.2053745233580635</v>
      </c>
      <c r="D46" s="93">
        <f t="shared" si="24"/>
        <v>9.2053745233580635</v>
      </c>
      <c r="E46" s="93">
        <f t="shared" si="24"/>
        <v>9.2053745233580635</v>
      </c>
      <c r="F46" s="93">
        <f t="shared" si="24"/>
        <v>9.2053745233580635</v>
      </c>
      <c r="G46" s="93">
        <f t="shared" si="24"/>
        <v>9.2053745233580635</v>
      </c>
      <c r="H46" s="93">
        <f t="shared" si="24"/>
        <v>9.2053745233580635</v>
      </c>
      <c r="I46" s="93">
        <f t="shared" si="24"/>
        <v>9.2053745233580635</v>
      </c>
      <c r="J46" s="93">
        <f t="shared" si="24"/>
        <v>9.2053745233580635</v>
      </c>
      <c r="K46" s="93">
        <f t="shared" si="24"/>
        <v>9.2053745233580635</v>
      </c>
      <c r="L46" s="93">
        <f t="shared" si="24"/>
        <v>9.2053745233580635</v>
      </c>
      <c r="M46" s="93">
        <f t="shared" si="24"/>
        <v>9.2053745233580635</v>
      </c>
      <c r="N46" s="93">
        <f t="shared" si="24"/>
        <v>9.2053745233580635</v>
      </c>
      <c r="O46" s="93">
        <f t="shared" si="24"/>
        <v>9.2053745233580635</v>
      </c>
      <c r="P46" s="134">
        <f t="shared" si="24"/>
        <v>9.2053745233580635</v>
      </c>
    </row>
    <row r="47" spans="1:22" s="17" customFormat="1" ht="12" customHeight="1" x14ac:dyDescent="0.2">
      <c r="A47" s="113"/>
      <c r="B47" s="129" t="s">
        <v>270</v>
      </c>
      <c r="C47" s="93">
        <f t="shared" ref="C47:P47" si="25">7-0.09*$C13^2</f>
        <v>3.2526544392668635</v>
      </c>
      <c r="D47" s="93">
        <f t="shared" si="25"/>
        <v>3.2526544392668635</v>
      </c>
      <c r="E47" s="93">
        <f t="shared" si="25"/>
        <v>3.2526544392668635</v>
      </c>
      <c r="F47" s="93">
        <f t="shared" si="25"/>
        <v>3.2526544392668635</v>
      </c>
      <c r="G47" s="93">
        <f t="shared" si="25"/>
        <v>3.2526544392668635</v>
      </c>
      <c r="H47" s="93">
        <f t="shared" si="25"/>
        <v>3.2526544392668635</v>
      </c>
      <c r="I47" s="93">
        <f t="shared" si="25"/>
        <v>3.2526544392668635</v>
      </c>
      <c r="J47" s="93">
        <f t="shared" si="25"/>
        <v>3.2526544392668635</v>
      </c>
      <c r="K47" s="93">
        <f t="shared" si="25"/>
        <v>3.2526544392668635</v>
      </c>
      <c r="L47" s="93">
        <f t="shared" si="25"/>
        <v>3.2526544392668635</v>
      </c>
      <c r="M47" s="93">
        <f t="shared" si="25"/>
        <v>3.2526544392668635</v>
      </c>
      <c r="N47" s="93">
        <f t="shared" si="25"/>
        <v>3.2526544392668635</v>
      </c>
      <c r="O47" s="93">
        <f t="shared" si="25"/>
        <v>3.2526544392668635</v>
      </c>
      <c r="P47" s="134">
        <f t="shared" si="25"/>
        <v>3.2526544392668635</v>
      </c>
    </row>
    <row r="48" spans="1:22" s="17" customFormat="1" ht="12" customHeight="1" x14ac:dyDescent="0.2">
      <c r="A48" s="113"/>
      <c r="B48" s="129" t="s">
        <v>271</v>
      </c>
      <c r="C48" s="93">
        <f t="shared" ref="C48:P48" si="26">(5*$C12-2.5)^2</f>
        <v>0.99941668449143217</v>
      </c>
      <c r="D48" s="93">
        <f t="shared" si="26"/>
        <v>0.99941668449143217</v>
      </c>
      <c r="E48" s="93">
        <f t="shared" si="26"/>
        <v>0.99941668449143217</v>
      </c>
      <c r="F48" s="93">
        <f t="shared" si="26"/>
        <v>0.99941668449143217</v>
      </c>
      <c r="G48" s="93">
        <f t="shared" si="26"/>
        <v>0.99941668449143217</v>
      </c>
      <c r="H48" s="93">
        <f t="shared" si="26"/>
        <v>0.99941668449143217</v>
      </c>
      <c r="I48" s="93">
        <f t="shared" si="26"/>
        <v>0.99941668449143217</v>
      </c>
      <c r="J48" s="93">
        <f t="shared" si="26"/>
        <v>0.99941668449143217</v>
      </c>
      <c r="K48" s="93">
        <f t="shared" si="26"/>
        <v>0.99941668449143217</v>
      </c>
      <c r="L48" s="93">
        <f t="shared" si="26"/>
        <v>0.99941668449143217</v>
      </c>
      <c r="M48" s="93">
        <f t="shared" si="26"/>
        <v>0.99941668449143217</v>
      </c>
      <c r="N48" s="93">
        <f t="shared" si="26"/>
        <v>0.99941668449143217</v>
      </c>
      <c r="O48" s="93">
        <f t="shared" si="26"/>
        <v>0.99941668449143217</v>
      </c>
      <c r="P48" s="134">
        <f t="shared" si="26"/>
        <v>0.99941668449143217</v>
      </c>
    </row>
    <row r="49" spans="1:16" s="17" customFormat="1" ht="12" customHeight="1" x14ac:dyDescent="0.2">
      <c r="A49" s="113"/>
      <c r="B49" s="129" t="s">
        <v>272</v>
      </c>
      <c r="C49" s="93">
        <f t="shared" ref="C49:P49" si="27">(600*(C22-0.315)^2+1)^1.5</f>
        <v>39.207736771132438</v>
      </c>
      <c r="D49" s="93">
        <f t="shared" si="27"/>
        <v>36.016653158585029</v>
      </c>
      <c r="E49" s="93">
        <f t="shared" si="27"/>
        <v>33.012051183827055</v>
      </c>
      <c r="F49" s="93">
        <f t="shared" si="27"/>
        <v>30.188073595967996</v>
      </c>
      <c r="G49" s="93">
        <f t="shared" si="27"/>
        <v>20.581362027833766</v>
      </c>
      <c r="H49" s="93">
        <f t="shared" si="27"/>
        <v>13.396951969832207</v>
      </c>
      <c r="I49" s="93">
        <f t="shared" si="27"/>
        <v>42.591161510508634</v>
      </c>
      <c r="J49" s="93">
        <f t="shared" si="27"/>
        <v>36.016653158585029</v>
      </c>
      <c r="K49" s="93">
        <f t="shared" si="27"/>
        <v>30.188073595967996</v>
      </c>
      <c r="L49" s="93">
        <f t="shared" si="27"/>
        <v>39.68184617042224</v>
      </c>
      <c r="M49" s="93">
        <f t="shared" si="27"/>
        <v>39.615605389527389</v>
      </c>
      <c r="N49" s="93">
        <f t="shared" si="27"/>
        <v>39.549441834920458</v>
      </c>
      <c r="O49" s="93">
        <f t="shared" si="27"/>
        <v>36.338691526638208</v>
      </c>
      <c r="P49" s="134">
        <f t="shared" si="27"/>
        <v>1.0225841652402019</v>
      </c>
    </row>
    <row r="50" spans="1:16" s="17" customFormat="1" ht="12" customHeight="1" x14ac:dyDescent="0.2">
      <c r="A50" s="113"/>
      <c r="B50" s="129" t="s">
        <v>273</v>
      </c>
      <c r="C50" s="93">
        <f t="shared" ref="C50:P50" si="28">C47*C48/C49</f>
        <v>8.2911113550473245E-2</v>
      </c>
      <c r="D50" s="93">
        <f t="shared" si="28"/>
        <v>9.0257056955709042E-2</v>
      </c>
      <c r="E50" s="93">
        <f t="shared" si="28"/>
        <v>9.8471830707720656E-2</v>
      </c>
      <c r="F50" s="93">
        <f t="shared" si="28"/>
        <v>0.10768348981110895</v>
      </c>
      <c r="G50" s="93">
        <f t="shared" si="28"/>
        <v>0.15794664663554225</v>
      </c>
      <c r="H50" s="93">
        <f t="shared" si="28"/>
        <v>0.24264900873038972</v>
      </c>
      <c r="I50" s="93">
        <f t="shared" si="28"/>
        <v>7.6324688038534913E-2</v>
      </c>
      <c r="J50" s="93">
        <f t="shared" si="28"/>
        <v>9.0257056955709042E-2</v>
      </c>
      <c r="K50" s="93">
        <f t="shared" si="28"/>
        <v>0.10768348981110895</v>
      </c>
      <c r="L50" s="93">
        <f t="shared" si="28"/>
        <v>8.1920510994557813E-2</v>
      </c>
      <c r="M50" s="93">
        <f t="shared" si="28"/>
        <v>8.2057489303136666E-2</v>
      </c>
      <c r="N50" s="93">
        <f t="shared" si="28"/>
        <v>8.2194765960467944E-2</v>
      </c>
      <c r="O50" s="93">
        <f t="shared" si="28"/>
        <v>8.945718678685631E-2</v>
      </c>
      <c r="P50" s="134">
        <f t="shared" si="28"/>
        <v>3.1789628922376614</v>
      </c>
    </row>
    <row r="51" spans="1:16" s="17" customFormat="1" ht="12" customHeight="1" x14ac:dyDescent="0.2">
      <c r="A51" s="113"/>
      <c r="B51" s="129"/>
      <c r="C51" s="93">
        <f t="shared" ref="C51:P51" si="29">C22-(0.04+0.59*$C12)-0.015*($C13-5)</f>
        <v>-0.29230221442952276</v>
      </c>
      <c r="D51" s="93">
        <f t="shared" si="29"/>
        <v>-0.28824768834373604</v>
      </c>
      <c r="E51" s="93">
        <f t="shared" si="29"/>
        <v>-0.28419316225794927</v>
      </c>
      <c r="F51" s="93">
        <f t="shared" si="29"/>
        <v>-0.28013863617216256</v>
      </c>
      <c r="G51" s="93">
        <f t="shared" si="29"/>
        <v>-0.2639205318290157</v>
      </c>
      <c r="H51" s="93">
        <f t="shared" si="29"/>
        <v>-0.24770242748586888</v>
      </c>
      <c r="I51" s="93">
        <f t="shared" si="29"/>
        <v>-0.29635674051530952</v>
      </c>
      <c r="J51" s="93">
        <f t="shared" si="29"/>
        <v>-0.28824768834373604</v>
      </c>
      <c r="K51" s="93">
        <f t="shared" si="29"/>
        <v>-0.28013863617216256</v>
      </c>
      <c r="L51" s="93">
        <f t="shared" si="29"/>
        <v>-0.29288470612547851</v>
      </c>
      <c r="M51" s="93">
        <f t="shared" si="29"/>
        <v>-0.29280361560376283</v>
      </c>
      <c r="N51" s="93">
        <f t="shared" si="29"/>
        <v>-0.29272252508204705</v>
      </c>
      <c r="O51" s="93">
        <f t="shared" si="29"/>
        <v>-0.28866799899626033</v>
      </c>
      <c r="P51" s="134">
        <f t="shared" si="29"/>
        <v>-0.15475588828992518</v>
      </c>
    </row>
    <row r="52" spans="1:16" s="17" customFormat="1" ht="12" customHeight="1" x14ac:dyDescent="0.2">
      <c r="A52" s="113"/>
      <c r="B52" s="129" t="s">
        <v>274</v>
      </c>
      <c r="C52" s="93">
        <f t="shared" ref="C52:P52" si="30">EXP(80*C51)</f>
        <v>6.988450574916027E-11</v>
      </c>
      <c r="D52" s="93">
        <f t="shared" si="30"/>
        <v>9.6660616887318839E-11</v>
      </c>
      <c r="E52" s="93">
        <f t="shared" si="30"/>
        <v>1.3369594242496731E-10</v>
      </c>
      <c r="F52" s="93">
        <f t="shared" si="30"/>
        <v>1.8492128021215979E-10</v>
      </c>
      <c r="G52" s="93">
        <f t="shared" si="30"/>
        <v>6.768018688607613E-10</v>
      </c>
      <c r="H52" s="93">
        <f t="shared" si="30"/>
        <v>2.4770581793933365E-9</v>
      </c>
      <c r="I52" s="93">
        <f t="shared" si="30"/>
        <v>5.0525687721377857E-11</v>
      </c>
      <c r="J52" s="93">
        <f t="shared" si="30"/>
        <v>9.6660616887318839E-11</v>
      </c>
      <c r="K52" s="93">
        <f t="shared" si="30"/>
        <v>1.8492128021215979E-10</v>
      </c>
      <c r="L52" s="93">
        <f t="shared" si="30"/>
        <v>6.6702646239503376E-11</v>
      </c>
      <c r="M52" s="93">
        <f t="shared" si="30"/>
        <v>6.7136769037461953E-11</v>
      </c>
      <c r="N52" s="93">
        <f t="shared" si="30"/>
        <v>6.757371724961868E-11</v>
      </c>
      <c r="O52" s="93">
        <f t="shared" si="30"/>
        <v>9.3464454312118566E-11</v>
      </c>
      <c r="P52" s="134">
        <f t="shared" si="30"/>
        <v>4.1998108760781456E-6</v>
      </c>
    </row>
    <row r="53" spans="1:16" s="17" customFormat="1" ht="12" customHeight="1" x14ac:dyDescent="0.2">
      <c r="A53" s="113"/>
      <c r="B53" s="129"/>
      <c r="C53" s="93">
        <f t="shared" ref="C53:P53" si="31">20*$C12-16</f>
        <v>-2.0011668011952644</v>
      </c>
      <c r="D53" s="93">
        <f t="shared" si="31"/>
        <v>-2.0011668011952644</v>
      </c>
      <c r="E53" s="93">
        <f t="shared" si="31"/>
        <v>-2.0011668011952644</v>
      </c>
      <c r="F53" s="93">
        <f t="shared" si="31"/>
        <v>-2.0011668011952644</v>
      </c>
      <c r="G53" s="93">
        <f t="shared" si="31"/>
        <v>-2.0011668011952644</v>
      </c>
      <c r="H53" s="93">
        <f t="shared" si="31"/>
        <v>-2.0011668011952644</v>
      </c>
      <c r="I53" s="93">
        <f t="shared" si="31"/>
        <v>-2.0011668011952644</v>
      </c>
      <c r="J53" s="93">
        <f t="shared" si="31"/>
        <v>-2.0011668011952644</v>
      </c>
      <c r="K53" s="93">
        <f t="shared" si="31"/>
        <v>-2.0011668011952644</v>
      </c>
      <c r="L53" s="93">
        <f t="shared" si="31"/>
        <v>-2.0011668011952644</v>
      </c>
      <c r="M53" s="93">
        <f t="shared" si="31"/>
        <v>-2.0011668011952644</v>
      </c>
      <c r="N53" s="93">
        <f t="shared" si="31"/>
        <v>-2.0011668011952644</v>
      </c>
      <c r="O53" s="93">
        <f t="shared" si="31"/>
        <v>-2.0011668011952644</v>
      </c>
      <c r="P53" s="134">
        <f t="shared" si="31"/>
        <v>-2.0011668011952644</v>
      </c>
    </row>
    <row r="54" spans="1:16" s="17" customFormat="1" ht="12" customHeight="1" x14ac:dyDescent="0.2">
      <c r="A54" s="113"/>
      <c r="B54" s="129" t="s">
        <v>275</v>
      </c>
      <c r="C54" s="93">
        <f t="shared" ref="C54:P54" si="32">180*C22^3.7*EXP(C53)</f>
        <v>4.4920178451574977E-2</v>
      </c>
      <c r="D54" s="93">
        <f t="shared" si="32"/>
        <v>4.8725819170672043E-2</v>
      </c>
      <c r="E54" s="93">
        <f t="shared" si="32"/>
        <v>5.2761513645085849E-2</v>
      </c>
      <c r="F54" s="93">
        <f t="shared" si="32"/>
        <v>5.7035827940017311E-2</v>
      </c>
      <c r="G54" s="93">
        <f t="shared" si="32"/>
        <v>7.6695086812379465E-2</v>
      </c>
      <c r="H54" s="93">
        <f t="shared" si="32"/>
        <v>0.1008906388037023</v>
      </c>
      <c r="I54" s="93">
        <f t="shared" si="32"/>
        <v>4.1336154798562702E-2</v>
      </c>
      <c r="J54" s="93">
        <f t="shared" si="32"/>
        <v>4.8725819170672043E-2</v>
      </c>
      <c r="K54" s="93">
        <f t="shared" si="32"/>
        <v>5.7035827940017311E-2</v>
      </c>
      <c r="L54" s="93">
        <f t="shared" si="32"/>
        <v>4.4391845260750219E-2</v>
      </c>
      <c r="M54" s="93">
        <f t="shared" si="32"/>
        <v>4.4465123078188444E-2</v>
      </c>
      <c r="N54" s="93">
        <f t="shared" si="32"/>
        <v>4.453848912439478E-2</v>
      </c>
      <c r="O54" s="93">
        <f t="shared" si="32"/>
        <v>4.8320766266217091E-2</v>
      </c>
      <c r="P54" s="134">
        <f t="shared" si="32"/>
        <v>0.35911349510520019</v>
      </c>
    </row>
    <row r="55" spans="1:16" s="17" customFormat="1" ht="12" customHeight="1" x14ac:dyDescent="0.2">
      <c r="A55" s="113"/>
      <c r="B55" s="129"/>
      <c r="C55" s="93">
        <f t="shared" ref="C55:P55" si="33">C44+1.5*C22^1.8+C45*C22^(C46)</f>
        <v>0.43976164797013023</v>
      </c>
      <c r="D55" s="93">
        <f t="shared" si="33"/>
        <v>0.44350418061847346</v>
      </c>
      <c r="E55" s="93">
        <f t="shared" si="33"/>
        <v>0.44747419126297816</v>
      </c>
      <c r="F55" s="93">
        <f t="shared" si="33"/>
        <v>0.45170125195207866</v>
      </c>
      <c r="G55" s="93">
        <f t="shared" si="33"/>
        <v>0.47192919790362947</v>
      </c>
      <c r="H55" s="93">
        <f t="shared" si="33"/>
        <v>0.49995459908730472</v>
      </c>
      <c r="I55" s="93">
        <f t="shared" si="33"/>
        <v>0.43622078368158307</v>
      </c>
      <c r="J55" s="93">
        <f t="shared" si="33"/>
        <v>0.44350418061847346</v>
      </c>
      <c r="K55" s="93">
        <f t="shared" si="33"/>
        <v>0.45170125195207866</v>
      </c>
      <c r="L55" s="93">
        <f t="shared" si="33"/>
        <v>0.43924110738499544</v>
      </c>
      <c r="M55" s="93">
        <f t="shared" si="33"/>
        <v>0.43931332707874476</v>
      </c>
      <c r="N55" s="93">
        <f t="shared" si="33"/>
        <v>0.43938562614946236</v>
      </c>
      <c r="O55" s="93">
        <f t="shared" si="33"/>
        <v>0.44310611437656428</v>
      </c>
      <c r="P55" s="134">
        <f t="shared" si="33"/>
        <v>1.2741763139565354</v>
      </c>
    </row>
    <row r="56" spans="1:16" s="17" customFormat="1" ht="12" customHeight="1" x14ac:dyDescent="0.2">
      <c r="A56" s="113"/>
      <c r="B56" s="129"/>
      <c r="C56" s="93">
        <f t="shared" ref="C56:P56" si="34">0.98+2.5/($C13-2)^4</f>
        <v>0.98635991389713451</v>
      </c>
      <c r="D56" s="93">
        <f t="shared" si="34"/>
        <v>0.98635991389713451</v>
      </c>
      <c r="E56" s="93">
        <f t="shared" si="34"/>
        <v>0.98635991389713451</v>
      </c>
      <c r="F56" s="93">
        <f t="shared" si="34"/>
        <v>0.98635991389713451</v>
      </c>
      <c r="G56" s="93">
        <f t="shared" si="34"/>
        <v>0.98635991389713451</v>
      </c>
      <c r="H56" s="93">
        <f t="shared" si="34"/>
        <v>0.98635991389713451</v>
      </c>
      <c r="I56" s="93">
        <f t="shared" si="34"/>
        <v>0.98635991389713451</v>
      </c>
      <c r="J56" s="93">
        <f t="shared" si="34"/>
        <v>0.98635991389713451</v>
      </c>
      <c r="K56" s="93">
        <f t="shared" si="34"/>
        <v>0.98635991389713451</v>
      </c>
      <c r="L56" s="93">
        <f t="shared" si="34"/>
        <v>0.98635991389713451</v>
      </c>
      <c r="M56" s="93">
        <f t="shared" si="34"/>
        <v>0.98635991389713451</v>
      </c>
      <c r="N56" s="93">
        <f t="shared" si="34"/>
        <v>0.98635991389713451</v>
      </c>
      <c r="O56" s="93">
        <f t="shared" si="34"/>
        <v>0.98635991389713451</v>
      </c>
      <c r="P56" s="134">
        <f t="shared" si="34"/>
        <v>0.98635991389713451</v>
      </c>
    </row>
    <row r="57" spans="1:16" s="17" customFormat="1" ht="12" customHeight="1" x14ac:dyDescent="0.2">
      <c r="A57" s="113"/>
      <c r="B57" s="129"/>
      <c r="C57" s="93">
        <f t="shared" ref="C57:P57" si="35">($C13-5)^4*(C22-0.1)^4</f>
        <v>2.0583942390587311E-4</v>
      </c>
      <c r="D57" s="93">
        <f t="shared" si="35"/>
        <v>2.4941215490032408E-4</v>
      </c>
      <c r="E57" s="93">
        <f t="shared" si="35"/>
        <v>2.9956181982765065E-4</v>
      </c>
      <c r="F57" s="93">
        <f t="shared" si="35"/>
        <v>3.5691913972156909E-4</v>
      </c>
      <c r="G57" s="93">
        <f t="shared" si="35"/>
        <v>6.7205033618841889E-4</v>
      </c>
      <c r="H57" s="93">
        <f t="shared" si="35"/>
        <v>1.1604715834820198E-3</v>
      </c>
      <c r="I57" s="93">
        <f t="shared" si="35"/>
        <v>1.6824178999774888E-4</v>
      </c>
      <c r="J57" s="93">
        <f t="shared" si="35"/>
        <v>2.4941215490032408E-4</v>
      </c>
      <c r="K57" s="93">
        <f t="shared" si="35"/>
        <v>3.5691913972156909E-4</v>
      </c>
      <c r="L57" s="93">
        <f t="shared" si="35"/>
        <v>2.0008418317191682E-4</v>
      </c>
      <c r="M57" s="93">
        <f t="shared" si="35"/>
        <v>2.0087806700871451E-4</v>
      </c>
      <c r="N57" s="93">
        <f t="shared" si="35"/>
        <v>2.0167431095430548E-4</v>
      </c>
      <c r="O57" s="93">
        <f t="shared" si="35"/>
        <v>2.4460016903148405E-4</v>
      </c>
      <c r="P57" s="134">
        <f t="shared" si="35"/>
        <v>1.0432280038570654E-2</v>
      </c>
    </row>
    <row r="58" spans="1:16" s="17" customFormat="1" ht="12" customHeight="1" x14ac:dyDescent="0.2">
      <c r="A58" s="113"/>
      <c r="B58" s="129" t="s">
        <v>276</v>
      </c>
      <c r="C58" s="93">
        <f t="shared" ref="C58:P58" si="36">C55*C56+C57</f>
        <v>0.43396910065098554</v>
      </c>
      <c r="D58" s="93">
        <f t="shared" si="36"/>
        <v>0.43770415756275699</v>
      </c>
      <c r="E58" s="93">
        <f t="shared" si="36"/>
        <v>0.44167016658516867</v>
      </c>
      <c r="F58" s="93">
        <f t="shared" si="36"/>
        <v>0.44589692712240175</v>
      </c>
      <c r="G58" s="93">
        <f t="shared" si="36"/>
        <v>0.46616409334595615</v>
      </c>
      <c r="H58" s="93">
        <f t="shared" si="36"/>
        <v>0.49429564689171235</v>
      </c>
      <c r="I58" s="93">
        <f t="shared" si="36"/>
        <v>0.43043893642230457</v>
      </c>
      <c r="J58" s="93">
        <f t="shared" si="36"/>
        <v>0.43770415756275699</v>
      </c>
      <c r="K58" s="93">
        <f t="shared" si="36"/>
        <v>0.44589692712240175</v>
      </c>
      <c r="L58" s="93">
        <f t="shared" si="36"/>
        <v>0.43344990504351805</v>
      </c>
      <c r="M58" s="93">
        <f t="shared" si="36"/>
        <v>0.43352193353826307</v>
      </c>
      <c r="N58" s="93">
        <f t="shared" si="36"/>
        <v>0.43359404268737656</v>
      </c>
      <c r="O58" s="93">
        <f t="shared" si="36"/>
        <v>0.43730670899279328</v>
      </c>
      <c r="P58" s="134">
        <f t="shared" si="36"/>
        <v>1.2672287193625071</v>
      </c>
    </row>
    <row r="59" spans="1:16" s="17" customFormat="1" ht="12" customHeight="1" x14ac:dyDescent="0.2">
      <c r="A59" s="113"/>
      <c r="B59" s="129" t="s">
        <v>277</v>
      </c>
      <c r="C59" s="93">
        <f t="shared" ref="C59:P59" si="37">0.16*($C5/$C6-2.5)</f>
        <v>0.14780159216166552</v>
      </c>
      <c r="D59" s="93">
        <f t="shared" si="37"/>
        <v>0.14780159216166552</v>
      </c>
      <c r="E59" s="93">
        <f t="shared" si="37"/>
        <v>0.14780159216166552</v>
      </c>
      <c r="F59" s="93">
        <f t="shared" si="37"/>
        <v>0.14780159216166552</v>
      </c>
      <c r="G59" s="93">
        <f t="shared" si="37"/>
        <v>0.14780159216166552</v>
      </c>
      <c r="H59" s="93">
        <f t="shared" si="37"/>
        <v>0.14780159216166552</v>
      </c>
      <c r="I59" s="93">
        <f t="shared" si="37"/>
        <v>0.14780159216166552</v>
      </c>
      <c r="J59" s="93">
        <f t="shared" si="37"/>
        <v>0.14780159216166552</v>
      </c>
      <c r="K59" s="93">
        <f t="shared" si="37"/>
        <v>0.14780159216166552</v>
      </c>
      <c r="L59" s="93">
        <f t="shared" si="37"/>
        <v>0.14780159216166552</v>
      </c>
      <c r="M59" s="93">
        <f t="shared" si="37"/>
        <v>0.14780159216166552</v>
      </c>
      <c r="N59" s="93">
        <f t="shared" si="37"/>
        <v>0.14780159216166552</v>
      </c>
      <c r="O59" s="93">
        <f t="shared" si="37"/>
        <v>0.14780159216166552</v>
      </c>
      <c r="P59" s="134">
        <f t="shared" si="37"/>
        <v>0.14780159216166552</v>
      </c>
    </row>
    <row r="60" spans="1:16" s="17" customFormat="1" ht="12" customHeight="1" x14ac:dyDescent="0.2">
      <c r="A60" s="113"/>
      <c r="B60" s="129" t="s">
        <v>278</v>
      </c>
      <c r="C60" s="93">
        <f t="shared" ref="C60:P60" si="38">($C15-$C14)/3*0.1</f>
        <v>0</v>
      </c>
      <c r="D60" s="93">
        <f t="shared" si="38"/>
        <v>0</v>
      </c>
      <c r="E60" s="93">
        <f t="shared" si="38"/>
        <v>0</v>
      </c>
      <c r="F60" s="93">
        <f t="shared" si="38"/>
        <v>0</v>
      </c>
      <c r="G60" s="93">
        <f t="shared" si="38"/>
        <v>0</v>
      </c>
      <c r="H60" s="93">
        <f t="shared" si="38"/>
        <v>0</v>
      </c>
      <c r="I60" s="93">
        <f t="shared" si="38"/>
        <v>0</v>
      </c>
      <c r="J60" s="93">
        <f t="shared" si="38"/>
        <v>0</v>
      </c>
      <c r="K60" s="93">
        <f t="shared" si="38"/>
        <v>0</v>
      </c>
      <c r="L60" s="93">
        <f t="shared" si="38"/>
        <v>0</v>
      </c>
      <c r="M60" s="93">
        <f t="shared" si="38"/>
        <v>0</v>
      </c>
      <c r="N60" s="93">
        <f t="shared" si="38"/>
        <v>0</v>
      </c>
      <c r="O60" s="93">
        <f t="shared" si="38"/>
        <v>0</v>
      </c>
      <c r="P60" s="134">
        <f t="shared" si="38"/>
        <v>0</v>
      </c>
    </row>
    <row r="61" spans="1:16" s="17" customFormat="1" ht="12" customHeight="1" x14ac:dyDescent="0.2">
      <c r="A61" s="113"/>
      <c r="B61" s="129" t="s">
        <v>279</v>
      </c>
      <c r="C61" s="129">
        <f>0.1*C5/C4+0.149</f>
        <v>0.16263002865717036</v>
      </c>
      <c r="D61" s="129" t="s">
        <v>280</v>
      </c>
      <c r="E61" s="129">
        <f>0.625*C5/C4+0.08</f>
        <v>0.16518767910731474</v>
      </c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35"/>
    </row>
    <row r="62" spans="1:16" s="17" customFormat="1" ht="12" customHeight="1" x14ac:dyDescent="0.2">
      <c r="A62" s="113"/>
      <c r="B62" s="129" t="s">
        <v>281</v>
      </c>
      <c r="C62" s="129">
        <f>0.05*C5/C4+0.449</f>
        <v>0.45581501432858518</v>
      </c>
      <c r="D62" s="129" t="s">
        <v>282</v>
      </c>
      <c r="E62" s="129">
        <f>0.165-0.25*C5/C4</f>
        <v>0.13092492835707412</v>
      </c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35"/>
    </row>
    <row r="63" spans="1:16" s="17" customFormat="1" ht="12" customHeight="1" x14ac:dyDescent="0.2">
      <c r="A63" s="113"/>
      <c r="B63" s="129" t="s">
        <v>283</v>
      </c>
      <c r="C63" s="129">
        <f>585-5027*C5/C4+11700*(C5/C4)^2</f>
        <v>117.17834640252971</v>
      </c>
      <c r="D63" s="129" t="s">
        <v>284</v>
      </c>
      <c r="E63" s="129">
        <f>825-8060*C5/C4+20300*(C5/C4)^2</f>
        <v>103.54838305849802</v>
      </c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35"/>
    </row>
    <row r="64" spans="1:16" s="17" customFormat="1" ht="12" customHeight="1" x14ac:dyDescent="0.2">
      <c r="A64" s="113"/>
      <c r="B64" s="129" t="s">
        <v>285</v>
      </c>
      <c r="C64" s="93">
        <f>C61+C62/(C63*(0.98-C11)^3+1)</f>
        <v>0.27717094005320264</v>
      </c>
      <c r="D64" s="93" t="s">
        <v>286</v>
      </c>
      <c r="E64" s="93">
        <f>E61+E62/(E63*(0.98-C11)^3+1)</f>
        <v>0.20122610316549228</v>
      </c>
      <c r="F64" s="93"/>
      <c r="G64" s="93"/>
      <c r="H64" s="129"/>
      <c r="I64" s="129"/>
      <c r="J64" s="129"/>
      <c r="K64" s="129"/>
      <c r="L64" s="129"/>
      <c r="M64" s="129"/>
      <c r="N64" s="129"/>
      <c r="O64" s="129"/>
      <c r="P64" s="135"/>
    </row>
    <row r="65" spans="1:16" s="17" customFormat="1" ht="12" customHeight="1" x14ac:dyDescent="0.2">
      <c r="A65" s="113"/>
      <c r="B65" s="129" t="s">
        <v>287</v>
      </c>
      <c r="C65" s="93">
        <f>0.025*C15/(100*(C11-0.7)^2+1)</f>
        <v>0</v>
      </c>
      <c r="D65" s="93" t="s">
        <v>288</v>
      </c>
      <c r="E65" s="93">
        <f>-0.01*C15</f>
        <v>0</v>
      </c>
      <c r="F65" s="93"/>
      <c r="G65" s="93"/>
      <c r="H65" s="129"/>
      <c r="I65" s="129"/>
      <c r="J65" s="129"/>
      <c r="K65" s="129"/>
      <c r="L65" s="129"/>
      <c r="M65" s="129"/>
      <c r="N65" s="129"/>
      <c r="O65" s="129"/>
      <c r="P65" s="135"/>
    </row>
    <row r="66" spans="1:16" s="17" customFormat="1" ht="12" customHeight="1" x14ac:dyDescent="0.2">
      <c r="A66" s="113"/>
      <c r="B66" s="129" t="s">
        <v>289</v>
      </c>
      <c r="C66" s="93">
        <f>0.00756/(C18/C4+0.002)-0.18</f>
        <v>0.10623735526422862</v>
      </c>
      <c r="D66" s="93" t="s">
        <v>290</v>
      </c>
      <c r="E66" s="93">
        <f>2*(C18/C4-0.04)</f>
        <v>-3.1176705898352877E-2</v>
      </c>
      <c r="F66" s="93"/>
      <c r="G66" s="93"/>
      <c r="H66" s="129"/>
      <c r="I66" s="129"/>
      <c r="J66" s="129"/>
      <c r="K66" s="129"/>
      <c r="L66" s="129"/>
      <c r="M66" s="129"/>
      <c r="N66" s="129"/>
      <c r="O66" s="129"/>
      <c r="P66" s="135"/>
    </row>
    <row r="67" spans="1:16" s="17" customFormat="1" ht="12" customHeight="1" x14ac:dyDescent="0.2">
      <c r="A67" s="113"/>
      <c r="B67" s="129" t="s">
        <v>291</v>
      </c>
      <c r="C67" s="93">
        <f>MIN(0.1,C66)</f>
        <v>0.1</v>
      </c>
      <c r="D67" s="93"/>
      <c r="E67" s="93"/>
      <c r="F67" s="93"/>
      <c r="G67" s="93"/>
      <c r="H67" s="129"/>
      <c r="I67" s="129"/>
      <c r="J67" s="129"/>
      <c r="K67" s="129"/>
      <c r="L67" s="129"/>
      <c r="M67" s="129"/>
      <c r="N67" s="129"/>
      <c r="O67" s="129"/>
      <c r="P67" s="135"/>
    </row>
    <row r="68" spans="1:16" s="17" customFormat="1" ht="12" customHeight="1" x14ac:dyDescent="0.2">
      <c r="A68" s="113"/>
      <c r="B68" s="129" t="s">
        <v>292</v>
      </c>
      <c r="C68" s="93">
        <f>C64+C65+C67</f>
        <v>0.37717094005320262</v>
      </c>
      <c r="D68" s="93" t="s">
        <v>293</v>
      </c>
      <c r="E68" s="93">
        <f>E64+E65+E66</f>
        <v>0.17004939726713941</v>
      </c>
      <c r="F68" s="93" t="s">
        <v>294</v>
      </c>
      <c r="G68" s="93">
        <f>0.7*C11-0.2</f>
        <v>0.28015997871900239</v>
      </c>
      <c r="H68" s="129"/>
      <c r="I68" s="129"/>
      <c r="J68" s="129"/>
      <c r="K68" s="129"/>
      <c r="L68" s="129"/>
      <c r="M68" s="129"/>
      <c r="N68" s="129"/>
      <c r="O68" s="129"/>
      <c r="P68" s="135"/>
    </row>
    <row r="69" spans="1:16" s="17" customFormat="1" ht="12" customHeight="1" x14ac:dyDescent="0.2">
      <c r="A69" s="113"/>
      <c r="B69" s="129" t="s">
        <v>295</v>
      </c>
      <c r="C69" s="93">
        <f>1.133*C11^2-0.797*C11+0.215</f>
        <v>0.20139996433232235</v>
      </c>
      <c r="D69" s="93" t="s">
        <v>296</v>
      </c>
      <c r="E69" s="93">
        <f>0.0665+0.62833*C69</f>
        <v>0.19304563958892812</v>
      </c>
      <c r="F69" s="93" t="s">
        <v>297</v>
      </c>
      <c r="G69" s="93">
        <f>0.19</f>
        <v>0.19</v>
      </c>
      <c r="H69" s="129"/>
      <c r="I69" s="129"/>
      <c r="J69" s="129"/>
      <c r="K69" s="129"/>
      <c r="L69" s="129"/>
      <c r="M69" s="129"/>
      <c r="N69" s="129"/>
      <c r="O69" s="129"/>
      <c r="P69" s="135"/>
    </row>
    <row r="70" spans="1:16" x14ac:dyDescent="0.2">
      <c r="A70" s="136" t="s">
        <v>298</v>
      </c>
      <c r="B70" s="129" t="s">
        <v>299</v>
      </c>
      <c r="C70" s="129">
        <f t="shared" ref="C70:P70" si="39">IF(C22&gt;$J9,0,IF($C17=1,0.2,0.1))</f>
        <v>0.2</v>
      </c>
      <c r="D70" s="129">
        <f t="shared" si="39"/>
        <v>0.2</v>
      </c>
      <c r="E70" s="129">
        <f t="shared" si="39"/>
        <v>0.2</v>
      </c>
      <c r="F70" s="129">
        <f t="shared" si="39"/>
        <v>0.2</v>
      </c>
      <c r="G70" s="129">
        <f t="shared" si="39"/>
        <v>0.2</v>
      </c>
      <c r="H70" s="129">
        <f t="shared" si="39"/>
        <v>0.2</v>
      </c>
      <c r="I70" s="129">
        <f t="shared" si="39"/>
        <v>0.2</v>
      </c>
      <c r="J70" s="129">
        <f t="shared" si="39"/>
        <v>0.2</v>
      </c>
      <c r="K70" s="129">
        <f t="shared" si="39"/>
        <v>0.2</v>
      </c>
      <c r="L70" s="129">
        <f t="shared" si="39"/>
        <v>0.2</v>
      </c>
      <c r="M70" s="129">
        <f t="shared" si="39"/>
        <v>0.2</v>
      </c>
      <c r="N70" s="129">
        <f t="shared" si="39"/>
        <v>0.2</v>
      </c>
      <c r="O70" s="129">
        <f t="shared" si="39"/>
        <v>0.2</v>
      </c>
      <c r="P70" s="129">
        <f t="shared" si="39"/>
        <v>0.2</v>
      </c>
    </row>
    <row r="72" spans="1:16" x14ac:dyDescent="0.2">
      <c r="A72" s="137" t="s">
        <v>300</v>
      </c>
    </row>
    <row r="73" spans="1:16" x14ac:dyDescent="0.2">
      <c r="A73" s="138">
        <v>36967</v>
      </c>
      <c r="B73" s="136" t="s">
        <v>301</v>
      </c>
    </row>
    <row r="74" spans="1:16" x14ac:dyDescent="0.2">
      <c r="A74" s="138">
        <v>38922</v>
      </c>
      <c r="B74" s="136" t="s">
        <v>302</v>
      </c>
    </row>
    <row r="75" spans="1:16" x14ac:dyDescent="0.2">
      <c r="A75" s="138">
        <v>38959</v>
      </c>
      <c r="B75" s="136" t="s">
        <v>303</v>
      </c>
    </row>
    <row r="76" spans="1:16" x14ac:dyDescent="0.2">
      <c r="A76" s="138">
        <v>39513</v>
      </c>
      <c r="B76" s="136" t="s">
        <v>304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8"/>
  <dimension ref="A1:AD72"/>
  <sheetViews>
    <sheetView topLeftCell="B1" workbookViewId="0">
      <selection activeCell="J7" sqref="J7"/>
    </sheetView>
  </sheetViews>
  <sheetFormatPr defaultColWidth="8.85546875" defaultRowHeight="12.75" x14ac:dyDescent="0.2"/>
  <cols>
    <col min="1" max="1" width="26.42578125" style="9" customWidth="1"/>
    <col min="2" max="6" width="7.140625" style="9" customWidth="1"/>
    <col min="7" max="7" width="9" style="9" customWidth="1"/>
    <col min="8" max="8" width="6.42578125" style="9" customWidth="1"/>
    <col min="9" max="11" width="7.140625" style="9" customWidth="1"/>
    <col min="12" max="12" width="6.42578125" style="9" customWidth="1"/>
    <col min="13" max="13" width="7.140625" style="9" customWidth="1"/>
    <col min="14" max="14" width="7.42578125" style="9" customWidth="1"/>
    <col min="15" max="15" width="6.140625" style="9" customWidth="1"/>
    <col min="16" max="16" width="6.7109375" style="9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21">
        <v>1.0249999999999999</v>
      </c>
      <c r="D3" s="191"/>
      <c r="E3" s="192"/>
      <c r="F3" s="193"/>
      <c r="G3" s="194" t="s">
        <v>203</v>
      </c>
      <c r="H3" s="195"/>
      <c r="I3" s="195"/>
      <c r="J3" s="27">
        <v>1</v>
      </c>
      <c r="K3" s="197">
        <f>IF(J3=1,IF(C17=1,0.7*C68,IF(C16=1,C69,G68)),J3)</f>
        <v>0.24494316177162115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31">
        <f>'SHIP DATA'!D6</f>
        <v>410.19723000059423</v>
      </c>
      <c r="D4" s="200"/>
      <c r="E4" s="201"/>
      <c r="F4" s="202"/>
      <c r="G4" s="203" t="s">
        <v>206</v>
      </c>
      <c r="H4" s="204"/>
      <c r="I4" s="204"/>
      <c r="J4" s="27">
        <v>1</v>
      </c>
      <c r="K4" s="205">
        <f>IF(K15=1,0.25,IF(J4=1,IF(C17=1,E68,IF(C16=1,E69,G69)),J4))</f>
        <v>0.16168577969297548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31">
        <f>'SHIP DATA'!D8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1.1102663771299601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43">
        <f>'SHIP DATA'!D95</f>
        <v>13.280646410828696</v>
      </c>
      <c r="D6" s="200"/>
      <c r="E6" s="201"/>
      <c r="F6" s="202"/>
      <c r="G6" s="203" t="s">
        <v>210</v>
      </c>
      <c r="H6" s="204"/>
      <c r="I6" s="204"/>
      <c r="J6" s="27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47">
        <f>'SHIP DATA'!D92</f>
        <v>202837.77974012643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1.01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47">
        <f>'SHIP DATA'!D96</f>
        <v>24905.214188556361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24905.214188556361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21">
        <f>'SHIP DATA'!D29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61">
        <f>'SHIP DATA'!D35</f>
        <v>23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0.64971598688149257</v>
      </c>
      <c r="D11" s="200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0.66297549681784962</v>
      </c>
      <c r="D12" s="200"/>
      <c r="E12" s="201"/>
      <c r="F12" s="202"/>
      <c r="G12" s="699" t="s">
        <v>222</v>
      </c>
      <c r="H12" s="700"/>
      <c r="I12" s="700"/>
      <c r="J12" s="701"/>
      <c r="K12" s="64"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7.0391096289887463</v>
      </c>
      <c r="D13" s="200"/>
      <c r="E13" s="201"/>
      <c r="F13" s="202"/>
      <c r="G13" s="234" t="s">
        <v>224</v>
      </c>
      <c r="H13" s="235"/>
      <c r="I13" s="234"/>
      <c r="J13" s="234"/>
      <c r="K13" s="64">
        <v>15</v>
      </c>
      <c r="L13" s="201"/>
      <c r="M13" s="201"/>
      <c r="N13" s="201"/>
      <c r="O13" s="201"/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69">
        <v>0</v>
      </c>
      <c r="D14" s="200"/>
      <c r="E14" s="201"/>
      <c r="F14" s="202"/>
      <c r="G14" s="237" t="s">
        <v>226</v>
      </c>
      <c r="H14" s="238"/>
      <c r="I14" s="238"/>
      <c r="J14" s="238"/>
      <c r="K14" s="64">
        <v>1</v>
      </c>
      <c r="L14" s="201"/>
      <c r="M14" s="201"/>
      <c r="N14" s="201"/>
      <c r="O14" s="201"/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69">
        <v>0</v>
      </c>
      <c r="D15" s="200"/>
      <c r="E15" s="201"/>
      <c r="F15" s="202"/>
      <c r="G15" s="237" t="s">
        <v>228</v>
      </c>
      <c r="H15" s="238"/>
      <c r="I15" s="238"/>
      <c r="J15" s="238"/>
      <c r="K15" s="64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DATA'!D51</f>
        <v>1</v>
      </c>
      <c r="D16" s="200"/>
      <c r="E16" s="201"/>
      <c r="F16" s="202"/>
      <c r="G16" s="237" t="s">
        <v>230</v>
      </c>
      <c r="H16" s="238"/>
      <c r="I16" s="238"/>
      <c r="J16" s="238"/>
      <c r="K16" s="391"/>
      <c r="L16" s="201"/>
      <c r="M16" s="201"/>
      <c r="N16" s="201"/>
      <c r="O16" s="201"/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DATA'!D50</f>
        <v>1</v>
      </c>
      <c r="D17" s="200"/>
      <c r="E17" s="201"/>
      <c r="F17" s="202"/>
      <c r="G17" s="237" t="s">
        <v>232</v>
      </c>
      <c r="H17" s="238"/>
      <c r="I17" s="238"/>
      <c r="J17" s="238"/>
      <c r="K17" s="721">
        <f>'SHIP DATA'!D53</f>
        <v>1</v>
      </c>
      <c r="L17" s="201"/>
      <c r="M17" s="201"/>
      <c r="N17" s="201"/>
      <c r="O17" s="201"/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31">
        <f>'SHIP DATA'!D52</f>
        <v>10.013590000000001</v>
      </c>
      <c r="D18" s="240">
        <f>C18/C6</f>
        <v>0.75399869029230215</v>
      </c>
      <c r="E18" s="241" t="s">
        <v>234</v>
      </c>
      <c r="F18" s="242"/>
      <c r="G18" s="237" t="s">
        <v>235</v>
      </c>
      <c r="H18" s="238"/>
      <c r="I18" s="238"/>
      <c r="J18" s="238"/>
      <c r="K18" s="64">
        <f>'SHIP DATA'!D46</f>
        <v>0</v>
      </c>
      <c r="L18" s="201"/>
      <c r="M18" s="201"/>
      <c r="N18" s="201"/>
      <c r="O18" s="201"/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77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>D21-0.5</f>
        <v>22.5</v>
      </c>
      <c r="D21" s="257">
        <f>E21-0.5</f>
        <v>23</v>
      </c>
      <c r="E21" s="257">
        <f>F21-0.5</f>
        <v>23.5</v>
      </c>
      <c r="F21" s="369">
        <f>P10+1</f>
        <v>24</v>
      </c>
      <c r="G21" s="369">
        <f>P10+3</f>
        <v>26</v>
      </c>
      <c r="H21" s="369">
        <f>P10+5</f>
        <v>28</v>
      </c>
      <c r="I21" s="370">
        <f>J21-1</f>
        <v>22</v>
      </c>
      <c r="J21" s="370">
        <f>P10</f>
        <v>23</v>
      </c>
      <c r="K21" s="370">
        <f>J21+1</f>
        <v>24</v>
      </c>
      <c r="L21" s="258">
        <f>M21-0.01</f>
        <v>23.052208138061953</v>
      </c>
      <c r="M21" s="258">
        <f>V33</f>
        <v>23.062208138061955</v>
      </c>
      <c r="N21" s="258">
        <f>M21+0.01</f>
        <v>23.072208138061956</v>
      </c>
      <c r="O21" s="257">
        <f>N21+0.5</f>
        <v>23.572208138061956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0">C21*0.5144/SQRT(9.81*$C4)</f>
        <v>0.1824536738604024</v>
      </c>
      <c r="D22" s="261">
        <f t="shared" si="0"/>
        <v>0.18650819994618911</v>
      </c>
      <c r="E22" s="261">
        <f t="shared" si="0"/>
        <v>0.19056272603197585</v>
      </c>
      <c r="F22" s="372">
        <f t="shared" si="0"/>
        <v>0.19461725211776257</v>
      </c>
      <c r="G22" s="372">
        <f t="shared" si="0"/>
        <v>0.21083535646090945</v>
      </c>
      <c r="H22" s="372">
        <f t="shared" si="0"/>
        <v>0.22705346080405631</v>
      </c>
      <c r="I22" s="373">
        <f t="shared" si="0"/>
        <v>0.17839914777461566</v>
      </c>
      <c r="J22" s="374">
        <f t="shared" si="0"/>
        <v>0.18650819994618911</v>
      </c>
      <c r="K22" s="374">
        <f t="shared" si="0"/>
        <v>0.19461725211776257</v>
      </c>
      <c r="L22" s="262">
        <f t="shared" si="0"/>
        <v>0.18693155846151421</v>
      </c>
      <c r="M22" s="262">
        <f t="shared" si="0"/>
        <v>0.18701264898322997</v>
      </c>
      <c r="N22" s="262">
        <f t="shared" si="0"/>
        <v>0.18709373950494568</v>
      </c>
      <c r="O22" s="263">
        <f t="shared" si="0"/>
        <v>0.19114826559073242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1">75/(LOG10(C21*0.5144*$C4*1000000/((43.4233-31.38*$C3)*($K13+20)^(1.72*$C3-2.202)+4.7478-5.779*$C3))-2)^2</f>
        <v>1.2979492172682627</v>
      </c>
      <c r="D23" s="229">
        <f t="shared" si="1"/>
        <v>1.294695656740557</v>
      </c>
      <c r="E23" s="229">
        <f t="shared" si="1"/>
        <v>1.2915238979957366</v>
      </c>
      <c r="F23" s="375">
        <f t="shared" si="1"/>
        <v>1.2884301944834013</v>
      </c>
      <c r="G23" s="375">
        <f t="shared" si="1"/>
        <v>1.2767691747379315</v>
      </c>
      <c r="H23" s="375">
        <f t="shared" si="1"/>
        <v>1.2661133202027086</v>
      </c>
      <c r="I23" s="374">
        <f t="shared" si="1"/>
        <v>1.3012885948261597</v>
      </c>
      <c r="J23" s="374">
        <f t="shared" si="1"/>
        <v>1.294695656740557</v>
      </c>
      <c r="K23" s="374">
        <f t="shared" si="1"/>
        <v>1.2884301944834013</v>
      </c>
      <c r="L23" s="262">
        <f t="shared" si="1"/>
        <v>1.2943607153146885</v>
      </c>
      <c r="M23" s="262">
        <f t="shared" si="1"/>
        <v>1.2942966616727247</v>
      </c>
      <c r="N23" s="262">
        <f t="shared" si="1"/>
        <v>1.294232640550526</v>
      </c>
      <c r="O23" s="263">
        <f t="shared" si="1"/>
        <v>1.2910723796862174</v>
      </c>
      <c r="P23" s="265">
        <f t="shared" si="1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C43</f>
        <v>0.72943894074555815</v>
      </c>
      <c r="D24" s="268">
        <f t="shared" ref="D24:O24" si="2">D43</f>
        <v>0.73833065415585519</v>
      </c>
      <c r="E24" s="268">
        <f t="shared" si="2"/>
        <v>0.7479269554205662</v>
      </c>
      <c r="F24" s="375">
        <f t="shared" si="2"/>
        <v>0.75831433196106901</v>
      </c>
      <c r="G24" s="375">
        <f t="shared" si="2"/>
        <v>0.8100594407933065</v>
      </c>
      <c r="H24" s="375">
        <f t="shared" si="2"/>
        <v>0.88647016816461621</v>
      </c>
      <c r="I24" s="374">
        <f t="shared" si="2"/>
        <v>0.72117726328893705</v>
      </c>
      <c r="J24" s="374">
        <f t="shared" si="2"/>
        <v>0.73833065415585519</v>
      </c>
      <c r="K24" s="374">
        <f t="shared" si="2"/>
        <v>0.75831433196106901</v>
      </c>
      <c r="L24" s="262">
        <f t="shared" si="2"/>
        <v>0.7392983355311884</v>
      </c>
      <c r="M24" s="262">
        <f t="shared" si="2"/>
        <v>0.73948456924066275</v>
      </c>
      <c r="N24" s="262">
        <f t="shared" si="2"/>
        <v>0.73967108840844276</v>
      </c>
      <c r="O24" s="269">
        <f t="shared" si="2"/>
        <v>0.74937598331154498</v>
      </c>
      <c r="P24" s="264">
        <f>P50+P52+P54+P58+P59+P60</f>
        <v>3.0538453690383784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-0.3237730101813337</v>
      </c>
      <c r="D25" s="268">
        <f>$K14*(IF($C16=2,0.52-2.6*D22,MAX(-50,(250*D22-90))/100*D24))</f>
        <v>-0.32023578556101756</v>
      </c>
      <c r="E25" s="268">
        <f t="shared" ref="E25:P25" si="3">$K14*(IF($C16=2,0.52-2.6*E22,MAX(-50,(250*E22-90))/100*E24))</f>
        <v>-0.31681676113416163</v>
      </c>
      <c r="F25" s="1132">
        <f t="shared" si="3"/>
        <v>-0.31353026994551197</v>
      </c>
      <c r="G25" s="1132">
        <f t="shared" si="3"/>
        <v>-0.30208056932852151</v>
      </c>
      <c r="H25" s="1132">
        <f t="shared" si="3"/>
        <v>-0.29463285239482989</v>
      </c>
      <c r="I25" s="374">
        <f t="shared" si="3"/>
        <v>-0.32741601404710335</v>
      </c>
      <c r="J25" s="374">
        <f t="shared" si="3"/>
        <v>-0.32023578556101756</v>
      </c>
      <c r="K25" s="374">
        <f t="shared" si="3"/>
        <v>-0.31353026994551197</v>
      </c>
      <c r="L25" s="262">
        <f t="shared" si="3"/>
        <v>-0.31987302690594832</v>
      </c>
      <c r="M25" s="262">
        <f t="shared" si="3"/>
        <v>-0.31980369187679875</v>
      </c>
      <c r="N25" s="262">
        <f t="shared" si="3"/>
        <v>-0.31973440473252634</v>
      </c>
      <c r="O25" s="268">
        <f t="shared" si="3"/>
        <v>-0.3163335862670118</v>
      </c>
      <c r="P25" s="270">
        <f t="shared" si="3"/>
        <v>-0.30538453690383788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4">IF($C17=2,IF($C16=1,0.3,0),0)</f>
        <v>0</v>
      </c>
      <c r="E26" s="268">
        <f t="shared" si="4"/>
        <v>0</v>
      </c>
      <c r="F26" s="375">
        <f t="shared" si="4"/>
        <v>0</v>
      </c>
      <c r="G26" s="375">
        <f t="shared" si="4"/>
        <v>0</v>
      </c>
      <c r="H26" s="375">
        <f t="shared" si="4"/>
        <v>0</v>
      </c>
      <c r="I26" s="374">
        <f t="shared" si="4"/>
        <v>0</v>
      </c>
      <c r="J26" s="374">
        <f t="shared" si="4"/>
        <v>0</v>
      </c>
      <c r="K26" s="374">
        <f t="shared" si="4"/>
        <v>0</v>
      </c>
      <c r="L26" s="262">
        <f t="shared" si="4"/>
        <v>0</v>
      </c>
      <c r="M26" s="262">
        <f t="shared" si="4"/>
        <v>0</v>
      </c>
      <c r="N26" s="262">
        <f t="shared" si="4"/>
        <v>0</v>
      </c>
      <c r="O26" s="269">
        <f t="shared" si="4"/>
        <v>0</v>
      </c>
      <c r="P26" s="270">
        <f t="shared" si="4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97">
        <f>MAX(0.09,0.28*'SHIP DATA'!D2^(-0.126))</f>
        <v>0.09</v>
      </c>
      <c r="D27" s="268">
        <f>C27</f>
        <v>0.09</v>
      </c>
      <c r="E27" s="268">
        <f>D27</f>
        <v>0.09</v>
      </c>
      <c r="F27" s="377">
        <v>0</v>
      </c>
      <c r="G27" s="377">
        <v>0</v>
      </c>
      <c r="H27" s="377">
        <v>0</v>
      </c>
      <c r="I27" s="374">
        <f>C27</f>
        <v>0.09</v>
      </c>
      <c r="J27" s="374">
        <f t="shared" ref="J27:P27" si="5">I27</f>
        <v>0.09</v>
      </c>
      <c r="K27" s="374">
        <f t="shared" si="5"/>
        <v>0.09</v>
      </c>
      <c r="L27" s="262">
        <f t="shared" si="5"/>
        <v>0.09</v>
      </c>
      <c r="M27" s="262">
        <f t="shared" si="5"/>
        <v>0.09</v>
      </c>
      <c r="N27" s="262">
        <f t="shared" si="5"/>
        <v>0.09</v>
      </c>
      <c r="O27" s="269">
        <f t="shared" si="5"/>
        <v>0.09</v>
      </c>
      <c r="P27" s="270">
        <f t="shared" si="5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6">0.5*LOG10($C7)-0.1*(LOG10($C7))^2</f>
        <v>-0.16300846554999193</v>
      </c>
      <c r="D28" s="229">
        <f t="shared" si="6"/>
        <v>-0.16300846554999193</v>
      </c>
      <c r="E28" s="229">
        <f t="shared" si="6"/>
        <v>-0.16300846554999193</v>
      </c>
      <c r="F28" s="375">
        <f t="shared" si="6"/>
        <v>-0.16300846554999193</v>
      </c>
      <c r="G28" s="375">
        <f t="shared" si="6"/>
        <v>-0.16300846554999193</v>
      </c>
      <c r="H28" s="375">
        <f t="shared" si="6"/>
        <v>-0.16300846554999193</v>
      </c>
      <c r="I28" s="374">
        <f t="shared" si="6"/>
        <v>-0.16300846554999193</v>
      </c>
      <c r="J28" s="374">
        <f t="shared" si="6"/>
        <v>-0.16300846554999193</v>
      </c>
      <c r="K28" s="374">
        <f t="shared" si="6"/>
        <v>-0.16300846554999193</v>
      </c>
      <c r="L28" s="262">
        <f t="shared" si="6"/>
        <v>-0.16300846554999193</v>
      </c>
      <c r="M28" s="262">
        <f t="shared" si="6"/>
        <v>-0.16300846554999193</v>
      </c>
      <c r="N28" s="262">
        <f t="shared" si="6"/>
        <v>-0.16300846554999193</v>
      </c>
      <c r="O28" s="263">
        <f t="shared" si="6"/>
        <v>-0.16300846554999193</v>
      </c>
      <c r="P28" s="265">
        <f>0.5*LOG10($C7)-0.1*(LOG10($C7))^2</f>
        <v>-0.16300846554999193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243" t="s">
        <v>193</v>
      </c>
      <c r="C29" s="266">
        <f t="shared" ref="C29:O29" si="7">C23+C24+C25+C26+C27+C28</f>
        <v>1.6306066822824954</v>
      </c>
      <c r="D29" s="268">
        <f t="shared" si="7"/>
        <v>1.6397820597854027</v>
      </c>
      <c r="E29" s="268">
        <f t="shared" si="7"/>
        <v>1.6496256267321494</v>
      </c>
      <c r="F29" s="375">
        <f t="shared" si="7"/>
        <v>1.5702057909489666</v>
      </c>
      <c r="G29" s="375">
        <f t="shared" si="7"/>
        <v>1.6217395806527246</v>
      </c>
      <c r="H29" s="375">
        <f t="shared" si="7"/>
        <v>1.6949421704225029</v>
      </c>
      <c r="I29" s="374">
        <f t="shared" si="7"/>
        <v>1.6220413785180015</v>
      </c>
      <c r="J29" s="374">
        <f t="shared" si="7"/>
        <v>1.6397820597854027</v>
      </c>
      <c r="K29" s="374">
        <f t="shared" si="7"/>
        <v>1.6602057909489667</v>
      </c>
      <c r="L29" s="262">
        <f t="shared" si="7"/>
        <v>1.6407775583899367</v>
      </c>
      <c r="M29" s="262">
        <f t="shared" si="7"/>
        <v>1.6409690734865967</v>
      </c>
      <c r="N29" s="262">
        <f t="shared" si="7"/>
        <v>1.6411608586764506</v>
      </c>
      <c r="O29" s="269">
        <f t="shared" si="7"/>
        <v>1.6511063111807585</v>
      </c>
      <c r="P29" s="265">
        <f>P23+P24+P25+P27+P28</f>
        <v>3.8939241964083564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7" customFormat="1" ht="12" customHeight="1" x14ac:dyDescent="0.2">
      <c r="A30" s="188" t="s">
        <v>249</v>
      </c>
      <c r="B30" s="243" t="s">
        <v>250</v>
      </c>
      <c r="C30" s="272">
        <f t="shared" ref="C30:P30" si="8">($C9*$C3*C21^2*0.0001323*C29*$K19/100)*(1+$K12/100)</f>
        <v>2787.9709527333339</v>
      </c>
      <c r="D30" s="273">
        <f t="shared" si="8"/>
        <v>2929.6503661431252</v>
      </c>
      <c r="E30" s="273">
        <f t="shared" si="8"/>
        <v>3076.7705495806163</v>
      </c>
      <c r="F30" s="378">
        <f t="shared" si="8"/>
        <v>3054.5908661731369</v>
      </c>
      <c r="G30" s="378">
        <f t="shared" si="8"/>
        <v>3702.5574250221321</v>
      </c>
      <c r="H30" s="378">
        <f t="shared" si="8"/>
        <v>4487.9182612219602</v>
      </c>
      <c r="I30" s="379">
        <f t="shared" si="8"/>
        <v>2651.4368095368964</v>
      </c>
      <c r="J30" s="379">
        <f t="shared" si="8"/>
        <v>2929.6503661431252</v>
      </c>
      <c r="K30" s="379">
        <f t="shared" si="8"/>
        <v>3229.6718520797272</v>
      </c>
      <c r="L30" s="274">
        <f t="shared" si="8"/>
        <v>2944.7522505245829</v>
      </c>
      <c r="M30" s="274">
        <f t="shared" si="8"/>
        <v>2947.6516755961725</v>
      </c>
      <c r="N30" s="274">
        <f t="shared" si="8"/>
        <v>2950.5532913486654</v>
      </c>
      <c r="O30" s="273">
        <f t="shared" si="8"/>
        <v>3098.4861731013425</v>
      </c>
      <c r="P30" s="275">
        <f t="shared" si="8"/>
        <v>20479.589675263574</v>
      </c>
    </row>
    <row r="31" spans="1:30" s="17" customFormat="1" ht="12" customHeight="1" x14ac:dyDescent="0.2">
      <c r="A31" s="188" t="s">
        <v>251</v>
      </c>
      <c r="B31" s="243" t="s">
        <v>252</v>
      </c>
      <c r="C31" s="276">
        <f t="shared" ref="C31:P31" si="9">C30*C21*0.5144</f>
        <v>32267.975806935603</v>
      </c>
      <c r="D31" s="277">
        <f t="shared" si="9"/>
        <v>34661.279411912546</v>
      </c>
      <c r="E31" s="277">
        <f t="shared" si="9"/>
        <v>37193.233111550318</v>
      </c>
      <c r="F31" s="376">
        <f t="shared" si="9"/>
        <v>37710.756997427074</v>
      </c>
      <c r="G31" s="376">
        <f t="shared" si="9"/>
        <v>49519.484025215999</v>
      </c>
      <c r="H31" s="376">
        <f t="shared" si="9"/>
        <v>64640.384300032136</v>
      </c>
      <c r="I31" s="380">
        <f t="shared" si="9"/>
        <v>30005.780086167149</v>
      </c>
      <c r="J31" s="381">
        <f t="shared" si="9"/>
        <v>34661.279411912546</v>
      </c>
      <c r="K31" s="381">
        <f t="shared" si="9"/>
        <v>39872.236817035475</v>
      </c>
      <c r="L31" s="278">
        <f t="shared" si="9"/>
        <v>34919.03669889483</v>
      </c>
      <c r="M31" s="278">
        <f t="shared" si="9"/>
        <v>34968.580963592925</v>
      </c>
      <c r="N31" s="278">
        <f t="shared" si="9"/>
        <v>35018.181057330417</v>
      </c>
      <c r="O31" s="150">
        <f t="shared" si="9"/>
        <v>37570.830010813581</v>
      </c>
      <c r="P31" s="275">
        <f t="shared" si="9"/>
        <v>415721.12571717176</v>
      </c>
    </row>
    <row r="32" spans="1:30" s="17" customFormat="1" ht="12" customHeight="1" thickBot="1" x14ac:dyDescent="0.25">
      <c r="A32" s="188" t="s">
        <v>253</v>
      </c>
      <c r="B32" s="243" t="s">
        <v>193</v>
      </c>
      <c r="C32" s="260">
        <f t="shared" ref="C32:P32" si="10">C36*$J6*IF($K17=3,1,$K5*$J7)</f>
        <v>0.71670035700992318</v>
      </c>
      <c r="D32" s="261">
        <f t="shared" si="10"/>
        <v>0.71601121342517604</v>
      </c>
      <c r="E32" s="261">
        <f t="shared" si="10"/>
        <v>0.71527417827588702</v>
      </c>
      <c r="F32" s="372">
        <f t="shared" si="10"/>
        <v>0.72128931085990522</v>
      </c>
      <c r="G32" s="372">
        <f t="shared" si="10"/>
        <v>0.71736831894335107</v>
      </c>
      <c r="H32" s="372">
        <f t="shared" si="10"/>
        <v>0.71191134911963272</v>
      </c>
      <c r="I32" s="373">
        <f t="shared" si="10"/>
        <v>0.71734555241716869</v>
      </c>
      <c r="J32" s="374">
        <f t="shared" si="10"/>
        <v>0.71601121342517604</v>
      </c>
      <c r="K32" s="374">
        <f t="shared" si="10"/>
        <v>0.71448462312479011</v>
      </c>
      <c r="L32" s="262">
        <f t="shared" si="10"/>
        <v>0.71593656792209737</v>
      </c>
      <c r="M32" s="262">
        <f t="shared" si="10"/>
        <v>0.71592221032520509</v>
      </c>
      <c r="N32" s="262">
        <f t="shared" si="10"/>
        <v>0.71590783338035147</v>
      </c>
      <c r="O32" s="263">
        <f t="shared" si="10"/>
        <v>0.71516351697905334</v>
      </c>
      <c r="P32" s="264">
        <f t="shared" si="10"/>
        <v>0.58999663983599326</v>
      </c>
    </row>
    <row r="33" spans="1:22" s="17" customFormat="1" ht="12" customHeight="1" thickBot="1" x14ac:dyDescent="0.25">
      <c r="A33" s="279" t="s">
        <v>254</v>
      </c>
      <c r="B33" s="280" t="s">
        <v>252</v>
      </c>
      <c r="C33" s="281">
        <f t="shared" ref="C33:P33" si="11">C31/C32</f>
        <v>45022.966001520814</v>
      </c>
      <c r="D33" s="282">
        <f t="shared" si="11"/>
        <v>48408.849976111007</v>
      </c>
      <c r="E33" s="282">
        <f t="shared" si="11"/>
        <v>51998.568159138253</v>
      </c>
      <c r="F33" s="382">
        <f t="shared" si="11"/>
        <v>52282.42874203853</v>
      </c>
      <c r="G33" s="382">
        <f t="shared" si="11"/>
        <v>69029.371269358278</v>
      </c>
      <c r="H33" s="382">
        <f t="shared" si="11"/>
        <v>90798.361874646391</v>
      </c>
      <c r="I33" s="383">
        <f t="shared" si="11"/>
        <v>41828.906564011762</v>
      </c>
      <c r="J33" s="384">
        <f t="shared" si="11"/>
        <v>48408.849976111007</v>
      </c>
      <c r="K33" s="384">
        <f t="shared" si="11"/>
        <v>55805.591228338431</v>
      </c>
      <c r="L33" s="284">
        <f t="shared" si="11"/>
        <v>48773.925321683593</v>
      </c>
      <c r="M33" s="284">
        <f t="shared" si="11"/>
        <v>48844.106886568828</v>
      </c>
      <c r="N33" s="284">
        <f t="shared" si="11"/>
        <v>48914.370571952888</v>
      </c>
      <c r="O33" s="285">
        <f t="shared" si="11"/>
        <v>52534.600995193112</v>
      </c>
      <c r="P33" s="275">
        <f t="shared" si="11"/>
        <v>704616.09041152091</v>
      </c>
      <c r="Q33" s="507" t="s">
        <v>307</v>
      </c>
      <c r="R33" s="325">
        <f>'SHIP DATA'!D47*0.75</f>
        <v>48842.187400574861</v>
      </c>
      <c r="S33" s="326">
        <f>S34*S35*R36-S34*S36*R35+S35*S36*R34</f>
        <v>23.539472244301571</v>
      </c>
      <c r="T33" s="508" t="s">
        <v>307</v>
      </c>
      <c r="U33" s="156">
        <f>'SHIP DATA'!D47*0.75</f>
        <v>48842.187400574861</v>
      </c>
      <c r="V33" s="157">
        <f>V34*V35*U36-V34*V36*U35+V35*V36*U34</f>
        <v>23.062208138061955</v>
      </c>
    </row>
    <row r="34" spans="1:22" s="17" customFormat="1" ht="12" customHeight="1" x14ac:dyDescent="0.2">
      <c r="A34" s="17" t="s">
        <v>255</v>
      </c>
      <c r="B34" s="243" t="s">
        <v>193</v>
      </c>
      <c r="C34" s="286">
        <f t="shared" ref="C34:P34" si="12">2.54648*C30/(1-$K4)/$C17/$C3/(C37*$C18)^2/$J7</f>
        <v>1.0682443008830258</v>
      </c>
      <c r="D34" s="287">
        <f t="shared" si="12"/>
        <v>1.074255281233119</v>
      </c>
      <c r="E34" s="287">
        <f t="shared" si="12"/>
        <v>1.0807040063643709</v>
      </c>
      <c r="F34" s="385">
        <f t="shared" si="12"/>
        <v>1.0286744226061999</v>
      </c>
      <c r="G34" s="385">
        <f t="shared" si="12"/>
        <v>1.0624352784594855</v>
      </c>
      <c r="H34" s="385">
        <f t="shared" si="12"/>
        <v>1.1103918152387799</v>
      </c>
      <c r="I34" s="386">
        <f t="shared" si="12"/>
        <v>1.0626329925085594</v>
      </c>
      <c r="J34" s="387">
        <f t="shared" si="12"/>
        <v>1.074255281233119</v>
      </c>
      <c r="K34" s="387">
        <f t="shared" si="12"/>
        <v>1.0876352916643923</v>
      </c>
      <c r="L34" s="288">
        <f t="shared" si="12"/>
        <v>1.0749074530427805</v>
      </c>
      <c r="M34" s="288">
        <f t="shared" si="12"/>
        <v>1.0750329185598566</v>
      </c>
      <c r="N34" s="288">
        <f t="shared" si="12"/>
        <v>1.0751585610205932</v>
      </c>
      <c r="O34" s="289">
        <f t="shared" si="12"/>
        <v>1.0816740334964927</v>
      </c>
      <c r="P34" s="290">
        <f t="shared" si="12"/>
        <v>2.5509906074106841</v>
      </c>
      <c r="Q34" s="153">
        <f>F33-G33</f>
        <v>-16746.942527319748</v>
      </c>
      <c r="R34" s="158">
        <f>F21/Q34/Q35</f>
        <v>3.7207911005961272E-8</v>
      </c>
      <c r="S34" s="154">
        <f>R33-F33</f>
        <v>-3440.2413414636685</v>
      </c>
      <c r="T34" s="153">
        <f>I33-J33</f>
        <v>-6579.9434120992446</v>
      </c>
      <c r="U34" s="158">
        <f>I21/T34/T35</f>
        <v>2.3921937711900338E-7</v>
      </c>
      <c r="V34" s="154">
        <f>U33-I33</f>
        <v>7013.280836563099</v>
      </c>
    </row>
    <row r="35" spans="1:22" x14ac:dyDescent="0.2">
      <c r="A35" s="17" t="s">
        <v>256</v>
      </c>
      <c r="B35" s="291" t="s">
        <v>193</v>
      </c>
      <c r="C35" s="286">
        <f t="shared" ref="C35:P35" si="13">(1.3+0.3*$C19)*C30/(1-$K4)/$C17/(99.6+$C3*9.81*0.65*$C18)/$C18^2+C70</f>
        <v>0.70237923440610106</v>
      </c>
      <c r="D35" s="287">
        <f t="shared" si="13"/>
        <v>0.72790919739589999</v>
      </c>
      <c r="E35" s="287">
        <f t="shared" si="13"/>
        <v>0.75441956151879386</v>
      </c>
      <c r="F35" s="385">
        <f t="shared" si="13"/>
        <v>0.75042288703454396</v>
      </c>
      <c r="G35" s="385">
        <f t="shared" si="13"/>
        <v>0.86718340903215219</v>
      </c>
      <c r="H35" s="385">
        <f t="shared" si="13"/>
        <v>1.0087017326846237</v>
      </c>
      <c r="I35" s="386">
        <f t="shared" si="13"/>
        <v>0.67777642487464895</v>
      </c>
      <c r="J35" s="387">
        <f t="shared" si="13"/>
        <v>0.72790919739589999</v>
      </c>
      <c r="K35" s="387">
        <f t="shared" si="13"/>
        <v>0.78197165606765906</v>
      </c>
      <c r="L35" s="288">
        <f t="shared" si="13"/>
        <v>0.7306304858319248</v>
      </c>
      <c r="M35" s="288">
        <f t="shared" si="13"/>
        <v>0.73115294857360258</v>
      </c>
      <c r="N35" s="288">
        <f t="shared" si="13"/>
        <v>0.73167580606566096</v>
      </c>
      <c r="O35" s="289">
        <f t="shared" si="13"/>
        <v>0.75833261459716161</v>
      </c>
      <c r="P35" s="290">
        <f t="shared" si="13"/>
        <v>3.8903256011053897</v>
      </c>
      <c r="Q35" s="149">
        <f>F33-H33</f>
        <v>-38515.933132607861</v>
      </c>
      <c r="R35" s="159">
        <f>G21/Q34/Q36</f>
        <v>7.1318060851734029E-8</v>
      </c>
      <c r="S35" s="150">
        <f>R33-G33</f>
        <v>-20187.183868783417</v>
      </c>
      <c r="T35" s="149">
        <f>I33-K33</f>
        <v>-13976.684664326669</v>
      </c>
      <c r="U35" s="159">
        <f>J21/T34/T36</f>
        <v>4.7256902347729788E-7</v>
      </c>
      <c r="V35" s="150">
        <f>U33-J33</f>
        <v>433.3374244638544</v>
      </c>
    </row>
    <row r="36" spans="1:22" s="17" customFormat="1" ht="12" customHeight="1" thickBot="1" x14ac:dyDescent="0.25">
      <c r="A36" s="17" t="s">
        <v>257</v>
      </c>
      <c r="B36" s="292" t="s">
        <v>193</v>
      </c>
      <c r="C36" s="293">
        <f t="shared" ref="C36:P36" si="14">(1+$K18/100)*IF($K17=3,1/(1+16.8/C21),IF($K17=1,0.81-0.014*C34,0.00098*C34^3-0.018542*C34^2+0.11195*C34+0.634)/(1+SQRT(1+C34))*2)</f>
        <v>0.6521732527235703</v>
      </c>
      <c r="D36" s="294">
        <f t="shared" si="14"/>
        <v>0.65154615520804338</v>
      </c>
      <c r="E36" s="294">
        <f t="shared" si="14"/>
        <v>0.65087547797734024</v>
      </c>
      <c r="F36" s="388">
        <f t="shared" si="14"/>
        <v>0.65634904659568039</v>
      </c>
      <c r="G36" s="388">
        <f t="shared" si="14"/>
        <v>0.65278107564783472</v>
      </c>
      <c r="H36" s="388">
        <f t="shared" si="14"/>
        <v>0.64781541639408968</v>
      </c>
      <c r="I36" s="389">
        <f t="shared" si="14"/>
        <v>0.65276035887367889</v>
      </c>
      <c r="J36" s="389">
        <f t="shared" si="14"/>
        <v>0.65154615520804338</v>
      </c>
      <c r="K36" s="389">
        <f t="shared" si="14"/>
        <v>0.650157009309006</v>
      </c>
      <c r="L36" s="295">
        <f t="shared" si="14"/>
        <v>0.65147823030739582</v>
      </c>
      <c r="M36" s="295">
        <f t="shared" si="14"/>
        <v>0.65146516537645927</v>
      </c>
      <c r="N36" s="295">
        <f t="shared" si="14"/>
        <v>0.65145208283952771</v>
      </c>
      <c r="O36" s="296">
        <f t="shared" si="14"/>
        <v>0.65077477991405508</v>
      </c>
      <c r="P36" s="297">
        <f t="shared" si="14"/>
        <v>0.53687712575325108</v>
      </c>
      <c r="Q36" s="151">
        <f>G33-H33</f>
        <v>-21768.990605288112</v>
      </c>
      <c r="R36" s="160">
        <f>H21/Q35/Q36</f>
        <v>3.3394836025681837E-8</v>
      </c>
      <c r="S36" s="152">
        <f>R33-H33</f>
        <v>-41956.174474071529</v>
      </c>
      <c r="T36" s="151">
        <f>J33-K33</f>
        <v>-7396.7412522274244</v>
      </c>
      <c r="U36" s="160">
        <f>K21/T35/T36</f>
        <v>2.3214890953818857E-7</v>
      </c>
      <c r="V36" s="152">
        <f>U33-K33</f>
        <v>-6963.40382776357</v>
      </c>
    </row>
    <row r="37" spans="1:22" s="17" customFormat="1" ht="12" customHeight="1" thickTop="1" x14ac:dyDescent="0.2">
      <c r="A37" s="298" t="s">
        <v>258</v>
      </c>
      <c r="B37" s="299" t="s">
        <v>259</v>
      </c>
      <c r="C37" s="300">
        <f t="shared" ref="C37:P37" si="15">C21*0.5144*(1-$K3)</f>
        <v>8.7390278456552561</v>
      </c>
      <c r="D37" s="300">
        <f t="shared" si="15"/>
        <v>8.9332284644475948</v>
      </c>
      <c r="E37" s="300">
        <f t="shared" si="15"/>
        <v>9.1274290832399352</v>
      </c>
      <c r="F37" s="300">
        <f t="shared" si="15"/>
        <v>9.3216297020322738</v>
      </c>
      <c r="G37" s="300">
        <f t="shared" si="15"/>
        <v>10.09843217720163</v>
      </c>
      <c r="H37" s="300">
        <f t="shared" si="15"/>
        <v>10.875234652370985</v>
      </c>
      <c r="I37" s="300">
        <f t="shared" si="15"/>
        <v>8.5448272268629175</v>
      </c>
      <c r="J37" s="300">
        <f t="shared" si="15"/>
        <v>8.9332284644475948</v>
      </c>
      <c r="K37" s="300">
        <f t="shared" si="15"/>
        <v>9.3216297020322738</v>
      </c>
      <c r="L37" s="300">
        <f t="shared" si="15"/>
        <v>8.95350616988285</v>
      </c>
      <c r="M37" s="300">
        <f t="shared" si="15"/>
        <v>8.9573901822586972</v>
      </c>
      <c r="N37" s="300">
        <f t="shared" si="15"/>
        <v>8.9612741946345444</v>
      </c>
      <c r="O37" s="300">
        <f t="shared" si="15"/>
        <v>9.1554748134268849</v>
      </c>
      <c r="P37" s="301">
        <f t="shared" si="15"/>
        <v>15.327117571495497</v>
      </c>
    </row>
    <row r="38" spans="1:22" s="17" customFormat="1" ht="12" customHeight="1" x14ac:dyDescent="0.2">
      <c r="A38" s="17" t="s">
        <v>260</v>
      </c>
      <c r="B38" s="243" t="s">
        <v>259</v>
      </c>
      <c r="C38" s="287">
        <f t="shared" ref="C38:P38" si="16">C37*SQRT(1+C34)</f>
        <v>12.567938339437239</v>
      </c>
      <c r="D38" s="287">
        <f t="shared" si="16"/>
        <v>12.865881389697563</v>
      </c>
      <c r="E38" s="287">
        <f t="shared" si="16"/>
        <v>13.165992974931486</v>
      </c>
      <c r="F38" s="287">
        <f t="shared" si="16"/>
        <v>13.276940946898213</v>
      </c>
      <c r="G38" s="287">
        <f t="shared" si="16"/>
        <v>14.502541517184303</v>
      </c>
      <c r="H38" s="287">
        <f t="shared" si="16"/>
        <v>15.798657472201212</v>
      </c>
      <c r="I38" s="287">
        <f t="shared" si="16"/>
        <v>12.271969463764751</v>
      </c>
      <c r="J38" s="287">
        <f t="shared" si="16"/>
        <v>12.865881389697563</v>
      </c>
      <c r="K38" s="287">
        <f t="shared" si="16"/>
        <v>13.468497865348596</v>
      </c>
      <c r="L38" s="287">
        <f t="shared" si="16"/>
        <v>12.897112927754572</v>
      </c>
      <c r="M38" s="287">
        <f t="shared" si="16"/>
        <v>12.903097763156994</v>
      </c>
      <c r="N38" s="287">
        <f t="shared" si="16"/>
        <v>12.909083475421671</v>
      </c>
      <c r="O38" s="287">
        <f t="shared" si="16"/>
        <v>13.209526020368935</v>
      </c>
      <c r="P38" s="290">
        <f t="shared" si="16"/>
        <v>28.882531162452594</v>
      </c>
    </row>
    <row r="39" spans="1:22" s="17" customFormat="1" ht="12" customHeight="1" x14ac:dyDescent="0.2">
      <c r="A39" s="17" t="s">
        <v>261</v>
      </c>
      <c r="B39" s="243" t="s">
        <v>259</v>
      </c>
      <c r="C39" s="287">
        <f t="shared" ref="C39:P39" si="17">C38-C37</f>
        <v>3.8289104937819829</v>
      </c>
      <c r="D39" s="287">
        <f t="shared" si="17"/>
        <v>3.9326529252499682</v>
      </c>
      <c r="E39" s="287">
        <f t="shared" si="17"/>
        <v>4.0385638916915507</v>
      </c>
      <c r="F39" s="287">
        <f t="shared" si="17"/>
        <v>3.9553112448659391</v>
      </c>
      <c r="G39" s="287">
        <f t="shared" si="17"/>
        <v>4.4041093399826732</v>
      </c>
      <c r="H39" s="287">
        <f t="shared" si="17"/>
        <v>4.9234228198302272</v>
      </c>
      <c r="I39" s="287">
        <f t="shared" si="17"/>
        <v>3.7271422369018339</v>
      </c>
      <c r="J39" s="287">
        <f t="shared" si="17"/>
        <v>3.9326529252499682</v>
      </c>
      <c r="K39" s="287">
        <f t="shared" si="17"/>
        <v>4.1468681633163218</v>
      </c>
      <c r="L39" s="287">
        <f t="shared" si="17"/>
        <v>3.9436067578717218</v>
      </c>
      <c r="M39" s="287">
        <f t="shared" si="17"/>
        <v>3.9457075808982971</v>
      </c>
      <c r="N39" s="287">
        <f t="shared" si="17"/>
        <v>3.9478092807871263</v>
      </c>
      <c r="O39" s="287">
        <f t="shared" si="17"/>
        <v>4.0540512069420505</v>
      </c>
      <c r="P39" s="290">
        <f t="shared" si="17"/>
        <v>13.555413590957096</v>
      </c>
    </row>
    <row r="40" spans="1:22" s="17" customFormat="1" ht="12" customHeight="1" x14ac:dyDescent="0.2">
      <c r="A40" s="17" t="s">
        <v>262</v>
      </c>
      <c r="B40" s="243" t="s">
        <v>193</v>
      </c>
      <c r="C40" s="287">
        <f t="shared" ref="C40:P40" si="18">C38/C37</f>
        <v>1.438139179941575</v>
      </c>
      <c r="D40" s="287">
        <f t="shared" si="18"/>
        <v>1.4402275102334072</v>
      </c>
      <c r="E40" s="287">
        <f t="shared" si="18"/>
        <v>1.4424645598295893</v>
      </c>
      <c r="F40" s="287">
        <f t="shared" si="18"/>
        <v>1.4243154224420236</v>
      </c>
      <c r="G40" s="287">
        <f t="shared" si="18"/>
        <v>1.4361181283096058</v>
      </c>
      <c r="H40" s="287">
        <f t="shared" si="18"/>
        <v>1.4527187667400665</v>
      </c>
      <c r="I40" s="287">
        <f t="shared" si="18"/>
        <v>1.4361869629364277</v>
      </c>
      <c r="J40" s="287">
        <f t="shared" si="18"/>
        <v>1.4402275102334072</v>
      </c>
      <c r="K40" s="287">
        <f t="shared" si="18"/>
        <v>1.4448651465325033</v>
      </c>
      <c r="L40" s="287">
        <f t="shared" si="18"/>
        <v>1.4404539052127912</v>
      </c>
      <c r="M40" s="287">
        <f t="shared" si="18"/>
        <v>1.4404974552424092</v>
      </c>
      <c r="N40" s="287">
        <f t="shared" si="18"/>
        <v>1.440541065371131</v>
      </c>
      <c r="O40" s="287">
        <f t="shared" si="18"/>
        <v>1.4428007601524517</v>
      </c>
      <c r="P40" s="290">
        <f t="shared" si="18"/>
        <v>1.8844072297172616</v>
      </c>
    </row>
    <row r="41" spans="1:22" s="17" customFormat="1" ht="12" customHeight="1" x14ac:dyDescent="0.2">
      <c r="A41" s="17" t="s">
        <v>263</v>
      </c>
      <c r="B41" s="243" t="s">
        <v>259</v>
      </c>
      <c r="C41" s="287">
        <f t="shared" ref="C41:P41" si="19">C37+0.5*C39</f>
        <v>10.653483092546248</v>
      </c>
      <c r="D41" s="287">
        <f t="shared" si="19"/>
        <v>10.899554927072579</v>
      </c>
      <c r="E41" s="287">
        <f t="shared" si="19"/>
        <v>11.146711029085711</v>
      </c>
      <c r="F41" s="287">
        <f t="shared" si="19"/>
        <v>11.299285324465243</v>
      </c>
      <c r="G41" s="287">
        <f t="shared" si="19"/>
        <v>12.300486847192968</v>
      </c>
      <c r="H41" s="287">
        <f t="shared" si="19"/>
        <v>13.336946062286099</v>
      </c>
      <c r="I41" s="287">
        <f t="shared" si="19"/>
        <v>10.408398345313834</v>
      </c>
      <c r="J41" s="287">
        <f t="shared" si="19"/>
        <v>10.899554927072579</v>
      </c>
      <c r="K41" s="287">
        <f t="shared" si="19"/>
        <v>11.395063783690436</v>
      </c>
      <c r="L41" s="287">
        <f t="shared" si="19"/>
        <v>10.92530954881871</v>
      </c>
      <c r="M41" s="287">
        <f t="shared" si="19"/>
        <v>10.930243972707846</v>
      </c>
      <c r="N41" s="287">
        <f t="shared" si="19"/>
        <v>10.935178835028108</v>
      </c>
      <c r="O41" s="287">
        <f t="shared" si="19"/>
        <v>11.182500416897909</v>
      </c>
      <c r="P41" s="290">
        <f t="shared" si="19"/>
        <v>22.104824366974047</v>
      </c>
    </row>
    <row r="42" spans="1:22" s="17" customFormat="1" ht="12" customHeight="1" x14ac:dyDescent="0.2">
      <c r="A42" s="17" t="s">
        <v>264</v>
      </c>
      <c r="B42" s="243" t="s">
        <v>265</v>
      </c>
      <c r="C42" s="302">
        <f t="shared" ref="C42:P42" si="20">0.785*$C18^2*C41</f>
        <v>838.57302642162301</v>
      </c>
      <c r="D42" s="302">
        <f t="shared" si="20"/>
        <v>857.9422037323036</v>
      </c>
      <c r="E42" s="302">
        <f t="shared" si="20"/>
        <v>877.39672754045921</v>
      </c>
      <c r="F42" s="302">
        <f t="shared" si="20"/>
        <v>889.40638555738303</v>
      </c>
      <c r="G42" s="302">
        <f t="shared" si="20"/>
        <v>968.21446960635865</v>
      </c>
      <c r="H42" s="302">
        <f t="shared" si="20"/>
        <v>1049.7978103047008</v>
      </c>
      <c r="I42" s="302">
        <f t="shared" si="20"/>
        <v>819.28154621452927</v>
      </c>
      <c r="J42" s="302">
        <f t="shared" si="20"/>
        <v>857.9422037323036</v>
      </c>
      <c r="K42" s="302">
        <f t="shared" si="20"/>
        <v>896.94544407193246</v>
      </c>
      <c r="L42" s="302">
        <f t="shared" si="20"/>
        <v>859.96944035664364</v>
      </c>
      <c r="M42" s="302">
        <f t="shared" si="20"/>
        <v>860.35784617081868</v>
      </c>
      <c r="N42" s="302">
        <f t="shared" si="20"/>
        <v>860.74628649544559</v>
      </c>
      <c r="O42" s="302">
        <f t="shared" si="20"/>
        <v>880.21383580361965</v>
      </c>
      <c r="P42" s="275">
        <f t="shared" si="20"/>
        <v>1739.9482692098143</v>
      </c>
    </row>
    <row r="43" spans="1:22" s="17" customFormat="1" ht="12" customHeight="1" thickBot="1" x14ac:dyDescent="0.25">
      <c r="A43" s="223" t="s">
        <v>266</v>
      </c>
      <c r="B43" s="303" t="s">
        <v>193</v>
      </c>
      <c r="C43" s="304">
        <f t="shared" ref="C43:P43" si="21">C50+C52+C54+C58+C59+C60</f>
        <v>0.72943894074555815</v>
      </c>
      <c r="D43" s="304">
        <f t="shared" si="21"/>
        <v>0.73833065415585519</v>
      </c>
      <c r="E43" s="304">
        <f t="shared" si="21"/>
        <v>0.7479269554205662</v>
      </c>
      <c r="F43" s="304">
        <f t="shared" si="21"/>
        <v>0.75831433196106901</v>
      </c>
      <c r="G43" s="304">
        <f t="shared" si="21"/>
        <v>0.8100594407933065</v>
      </c>
      <c r="H43" s="304">
        <f t="shared" si="21"/>
        <v>0.88647016816461621</v>
      </c>
      <c r="I43" s="304">
        <f t="shared" si="21"/>
        <v>0.72117726328893705</v>
      </c>
      <c r="J43" s="304">
        <f t="shared" si="21"/>
        <v>0.73833065415585519</v>
      </c>
      <c r="K43" s="304">
        <f t="shared" si="21"/>
        <v>0.75831433196106901</v>
      </c>
      <c r="L43" s="304">
        <f t="shared" si="21"/>
        <v>0.7392983355311884</v>
      </c>
      <c r="M43" s="304">
        <f t="shared" si="21"/>
        <v>0.73948456924066275</v>
      </c>
      <c r="N43" s="304">
        <f t="shared" si="21"/>
        <v>0.73967108840844276</v>
      </c>
      <c r="O43" s="304">
        <f t="shared" si="21"/>
        <v>0.74937598331154498</v>
      </c>
      <c r="P43" s="305">
        <f t="shared" si="21"/>
        <v>3.0538453690383784</v>
      </c>
    </row>
    <row r="44" spans="1:22" s="17" customFormat="1" ht="12" customHeight="1" x14ac:dyDescent="0.2">
      <c r="A44" s="298"/>
      <c r="B44" s="309" t="s">
        <v>267</v>
      </c>
      <c r="C44" s="308">
        <f t="shared" ref="C44:P44" si="22">1.35-0.23*$C13+0.012*$C13^2</f>
        <v>0.32559355775965326</v>
      </c>
      <c r="D44" s="308">
        <f t="shared" si="22"/>
        <v>0.32559355775965326</v>
      </c>
      <c r="E44" s="308">
        <f t="shared" si="22"/>
        <v>0.32559355775965326</v>
      </c>
      <c r="F44" s="308">
        <f t="shared" si="22"/>
        <v>0.32559355775965326</v>
      </c>
      <c r="G44" s="308">
        <f t="shared" si="22"/>
        <v>0.32559355775965326</v>
      </c>
      <c r="H44" s="308">
        <f t="shared" si="22"/>
        <v>0.32559355775965326</v>
      </c>
      <c r="I44" s="308">
        <f t="shared" si="22"/>
        <v>0.32559355775965326</v>
      </c>
      <c r="J44" s="308">
        <f t="shared" si="22"/>
        <v>0.32559355775965326</v>
      </c>
      <c r="K44" s="308">
        <f t="shared" si="22"/>
        <v>0.32559355775965326</v>
      </c>
      <c r="L44" s="308">
        <f t="shared" si="22"/>
        <v>0.32559355775965326</v>
      </c>
      <c r="M44" s="308">
        <f t="shared" si="22"/>
        <v>0.32559355775965326</v>
      </c>
      <c r="N44" s="308">
        <f t="shared" si="22"/>
        <v>0.32559355775965326</v>
      </c>
      <c r="O44" s="308">
        <f t="shared" si="22"/>
        <v>0.32559355775965326</v>
      </c>
      <c r="P44" s="310">
        <f t="shared" si="22"/>
        <v>0.32559355775965326</v>
      </c>
    </row>
    <row r="45" spans="1:22" s="17" customFormat="1" ht="12" customHeight="1" x14ac:dyDescent="0.2">
      <c r="B45" s="306" t="s">
        <v>268</v>
      </c>
      <c r="C45" s="277">
        <f t="shared" ref="C45:P45" si="23">0.0011*$C13^9.1</f>
        <v>56728.855231470181</v>
      </c>
      <c r="D45" s="277">
        <f t="shared" si="23"/>
        <v>56728.855231470181</v>
      </c>
      <c r="E45" s="277">
        <f t="shared" si="23"/>
        <v>56728.855231470181</v>
      </c>
      <c r="F45" s="277">
        <f t="shared" si="23"/>
        <v>56728.855231470181</v>
      </c>
      <c r="G45" s="277">
        <f t="shared" si="23"/>
        <v>56728.855231470181</v>
      </c>
      <c r="H45" s="277">
        <f t="shared" si="23"/>
        <v>56728.855231470181</v>
      </c>
      <c r="I45" s="277">
        <f t="shared" si="23"/>
        <v>56728.855231470181</v>
      </c>
      <c r="J45" s="277">
        <f t="shared" si="23"/>
        <v>56728.855231470181</v>
      </c>
      <c r="K45" s="277">
        <f t="shared" si="23"/>
        <v>56728.855231470181</v>
      </c>
      <c r="L45" s="277">
        <f t="shared" si="23"/>
        <v>56728.855231470181</v>
      </c>
      <c r="M45" s="277">
        <f t="shared" si="23"/>
        <v>56728.855231470181</v>
      </c>
      <c r="N45" s="277">
        <f t="shared" si="23"/>
        <v>56728.855231470181</v>
      </c>
      <c r="O45" s="277">
        <f t="shared" si="23"/>
        <v>56728.855231470181</v>
      </c>
      <c r="P45" s="311">
        <f t="shared" si="23"/>
        <v>56728.855231470181</v>
      </c>
    </row>
    <row r="46" spans="1:22" s="17" customFormat="1" ht="12" customHeight="1" x14ac:dyDescent="0.2">
      <c r="B46" s="306" t="s">
        <v>269</v>
      </c>
      <c r="C46" s="261">
        <f t="shared" ref="C46:P46" si="24">2*$C13-3.7</f>
        <v>10.378219257977491</v>
      </c>
      <c r="D46" s="261">
        <f t="shared" si="24"/>
        <v>10.378219257977491</v>
      </c>
      <c r="E46" s="261">
        <f t="shared" si="24"/>
        <v>10.378219257977491</v>
      </c>
      <c r="F46" s="261">
        <f t="shared" si="24"/>
        <v>10.378219257977491</v>
      </c>
      <c r="G46" s="261">
        <f t="shared" si="24"/>
        <v>10.378219257977491</v>
      </c>
      <c r="H46" s="261">
        <f t="shared" si="24"/>
        <v>10.378219257977491</v>
      </c>
      <c r="I46" s="261">
        <f t="shared" si="24"/>
        <v>10.378219257977491</v>
      </c>
      <c r="J46" s="261">
        <f t="shared" si="24"/>
        <v>10.378219257977491</v>
      </c>
      <c r="K46" s="261">
        <f t="shared" si="24"/>
        <v>10.378219257977491</v>
      </c>
      <c r="L46" s="261">
        <f t="shared" si="24"/>
        <v>10.378219257977491</v>
      </c>
      <c r="M46" s="261">
        <f t="shared" si="24"/>
        <v>10.378219257977491</v>
      </c>
      <c r="N46" s="261">
        <f t="shared" si="24"/>
        <v>10.378219257977491</v>
      </c>
      <c r="O46" s="261">
        <f t="shared" si="24"/>
        <v>10.378219257977491</v>
      </c>
      <c r="P46" s="312">
        <f t="shared" si="24"/>
        <v>10.378219257977491</v>
      </c>
    </row>
    <row r="47" spans="1:22" s="17" customFormat="1" ht="12" customHeight="1" x14ac:dyDescent="0.2">
      <c r="B47" s="306" t="s">
        <v>270</v>
      </c>
      <c r="C47" s="261">
        <f t="shared" ref="C47:P47" si="25">7-0.09*$C13^2</f>
        <v>2.5405842067970132</v>
      </c>
      <c r="D47" s="261">
        <f t="shared" si="25"/>
        <v>2.5405842067970132</v>
      </c>
      <c r="E47" s="261">
        <f t="shared" si="25"/>
        <v>2.5405842067970132</v>
      </c>
      <c r="F47" s="261">
        <f t="shared" si="25"/>
        <v>2.5405842067970132</v>
      </c>
      <c r="G47" s="261">
        <f t="shared" si="25"/>
        <v>2.5405842067970132</v>
      </c>
      <c r="H47" s="261">
        <f t="shared" si="25"/>
        <v>2.5405842067970132</v>
      </c>
      <c r="I47" s="261">
        <f t="shared" si="25"/>
        <v>2.5405842067970132</v>
      </c>
      <c r="J47" s="261">
        <f t="shared" si="25"/>
        <v>2.5405842067970132</v>
      </c>
      <c r="K47" s="261">
        <f t="shared" si="25"/>
        <v>2.5405842067970132</v>
      </c>
      <c r="L47" s="261">
        <f t="shared" si="25"/>
        <v>2.5405842067970132</v>
      </c>
      <c r="M47" s="261">
        <f t="shared" si="25"/>
        <v>2.5405842067970132</v>
      </c>
      <c r="N47" s="261">
        <f t="shared" si="25"/>
        <v>2.5405842067970132</v>
      </c>
      <c r="O47" s="261">
        <f t="shared" si="25"/>
        <v>2.5405842067970132</v>
      </c>
      <c r="P47" s="312">
        <f t="shared" si="25"/>
        <v>2.5405842067970132</v>
      </c>
    </row>
    <row r="48" spans="1:22" s="17" customFormat="1" ht="12" customHeight="1" x14ac:dyDescent="0.2">
      <c r="B48" s="306" t="s">
        <v>271</v>
      </c>
      <c r="C48" s="261">
        <f t="shared" ref="C48:P48" si="26">(5*$C12-2.5)^2</f>
        <v>0.66402531407562237</v>
      </c>
      <c r="D48" s="261">
        <f t="shared" si="26"/>
        <v>0.66402531407562237</v>
      </c>
      <c r="E48" s="261">
        <f t="shared" si="26"/>
        <v>0.66402531407562237</v>
      </c>
      <c r="F48" s="261">
        <f t="shared" si="26"/>
        <v>0.66402531407562237</v>
      </c>
      <c r="G48" s="261">
        <f t="shared" si="26"/>
        <v>0.66402531407562237</v>
      </c>
      <c r="H48" s="261">
        <f t="shared" si="26"/>
        <v>0.66402531407562237</v>
      </c>
      <c r="I48" s="261">
        <f t="shared" si="26"/>
        <v>0.66402531407562237</v>
      </c>
      <c r="J48" s="261">
        <f t="shared" si="26"/>
        <v>0.66402531407562237</v>
      </c>
      <c r="K48" s="261">
        <f t="shared" si="26"/>
        <v>0.66402531407562237</v>
      </c>
      <c r="L48" s="261">
        <f t="shared" si="26"/>
        <v>0.66402531407562237</v>
      </c>
      <c r="M48" s="261">
        <f t="shared" si="26"/>
        <v>0.66402531407562237</v>
      </c>
      <c r="N48" s="261">
        <f t="shared" si="26"/>
        <v>0.66402531407562237</v>
      </c>
      <c r="O48" s="261">
        <f t="shared" si="26"/>
        <v>0.66402531407562237</v>
      </c>
      <c r="P48" s="312">
        <f t="shared" si="26"/>
        <v>0.66402531407562237</v>
      </c>
    </row>
    <row r="49" spans="2:16" s="17" customFormat="1" ht="12" customHeight="1" x14ac:dyDescent="0.2">
      <c r="B49" s="306" t="s">
        <v>272</v>
      </c>
      <c r="C49" s="261">
        <f t="shared" ref="C49:P49" si="27">(600*(C22-0.315)^2+1)^1.5</f>
        <v>39.207736771132438</v>
      </c>
      <c r="D49" s="261">
        <f t="shared" si="27"/>
        <v>36.016653158585029</v>
      </c>
      <c r="E49" s="261">
        <f t="shared" si="27"/>
        <v>33.012051183827055</v>
      </c>
      <c r="F49" s="261">
        <f t="shared" si="27"/>
        <v>30.188073595967996</v>
      </c>
      <c r="G49" s="261">
        <f t="shared" si="27"/>
        <v>20.581362027833766</v>
      </c>
      <c r="H49" s="261">
        <f t="shared" si="27"/>
        <v>13.396951969832207</v>
      </c>
      <c r="I49" s="261">
        <f t="shared" si="27"/>
        <v>42.591161510508634</v>
      </c>
      <c r="J49" s="261">
        <f t="shared" si="27"/>
        <v>36.016653158585029</v>
      </c>
      <c r="K49" s="261">
        <f t="shared" si="27"/>
        <v>30.188073595967996</v>
      </c>
      <c r="L49" s="261">
        <f t="shared" si="27"/>
        <v>35.694305372280752</v>
      </c>
      <c r="M49" s="261">
        <f t="shared" si="27"/>
        <v>35.632794005910952</v>
      </c>
      <c r="N49" s="261">
        <f t="shared" si="27"/>
        <v>35.57135694057434</v>
      </c>
      <c r="O49" s="261">
        <f t="shared" si="27"/>
        <v>32.593201871849864</v>
      </c>
      <c r="P49" s="312">
        <f t="shared" si="27"/>
        <v>1.0225841652402019</v>
      </c>
    </row>
    <row r="50" spans="2:16" s="17" customFormat="1" ht="12" customHeight="1" x14ac:dyDescent="0.2">
      <c r="B50" s="306" t="s">
        <v>273</v>
      </c>
      <c r="C50" s="261">
        <f t="shared" ref="C50:P50" si="28">C47*C48/C49</f>
        <v>4.30275339712047E-2</v>
      </c>
      <c r="D50" s="261">
        <f t="shared" si="28"/>
        <v>4.6839783208780232E-2</v>
      </c>
      <c r="E50" s="261">
        <f t="shared" si="28"/>
        <v>5.110292045955743E-2</v>
      </c>
      <c r="F50" s="261">
        <f t="shared" si="28"/>
        <v>5.5883401121669278E-2</v>
      </c>
      <c r="G50" s="261">
        <f t="shared" si="28"/>
        <v>8.1967958367987287E-2</v>
      </c>
      <c r="H50" s="261">
        <f t="shared" si="28"/>
        <v>0.1259250783053365</v>
      </c>
      <c r="I50" s="261">
        <f t="shared" si="28"/>
        <v>3.9609443979068557E-2</v>
      </c>
      <c r="J50" s="261">
        <f t="shared" si="28"/>
        <v>4.6839783208780232E-2</v>
      </c>
      <c r="K50" s="261">
        <f t="shared" si="28"/>
        <v>5.5883401121669278E-2</v>
      </c>
      <c r="L50" s="261">
        <f t="shared" si="28"/>
        <v>4.7262783468089042E-2</v>
      </c>
      <c r="M50" s="261">
        <f t="shared" si="28"/>
        <v>4.7344371187230005E-2</v>
      </c>
      <c r="N50" s="261">
        <f t="shared" si="28"/>
        <v>4.7426142012863957E-2</v>
      </c>
      <c r="O50" s="261">
        <f t="shared" si="28"/>
        <v>5.1759634800132764E-2</v>
      </c>
      <c r="P50" s="312">
        <f t="shared" si="28"/>
        <v>1.6497539109239763</v>
      </c>
    </row>
    <row r="51" spans="2:16" s="17" customFormat="1" ht="12" customHeight="1" x14ac:dyDescent="0.2">
      <c r="B51" s="306"/>
      <c r="C51" s="261">
        <f t="shared" ref="C51:P51" si="29">C22-(0.04+0.59*$C12)-0.015*($C13-5)</f>
        <v>-0.27928851369696001</v>
      </c>
      <c r="D51" s="261">
        <f t="shared" si="29"/>
        <v>-0.27523398761117329</v>
      </c>
      <c r="E51" s="261">
        <f t="shared" si="29"/>
        <v>-0.27117946152538658</v>
      </c>
      <c r="F51" s="261">
        <f t="shared" si="29"/>
        <v>-0.26712493543959986</v>
      </c>
      <c r="G51" s="261">
        <f t="shared" si="29"/>
        <v>-0.25090683109645295</v>
      </c>
      <c r="H51" s="261">
        <f t="shared" si="29"/>
        <v>-0.23468872675330613</v>
      </c>
      <c r="I51" s="261">
        <f t="shared" si="29"/>
        <v>-0.28334303978274678</v>
      </c>
      <c r="J51" s="261">
        <f t="shared" si="29"/>
        <v>-0.27523398761117329</v>
      </c>
      <c r="K51" s="261">
        <f t="shared" si="29"/>
        <v>-0.26712493543959986</v>
      </c>
      <c r="L51" s="261">
        <f t="shared" si="29"/>
        <v>-0.27481062909584819</v>
      </c>
      <c r="M51" s="261">
        <f t="shared" si="29"/>
        <v>-0.27472953857413246</v>
      </c>
      <c r="N51" s="261">
        <f t="shared" si="29"/>
        <v>-0.27464844805241673</v>
      </c>
      <c r="O51" s="261">
        <f t="shared" si="29"/>
        <v>-0.27059392196663001</v>
      </c>
      <c r="P51" s="312">
        <f t="shared" si="29"/>
        <v>-0.14174218755736243</v>
      </c>
    </row>
    <row r="52" spans="2:16" s="17" customFormat="1" ht="12" customHeight="1" x14ac:dyDescent="0.2">
      <c r="B52" s="306" t="s">
        <v>274</v>
      </c>
      <c r="C52" s="261">
        <f t="shared" ref="C52:P52" si="30">EXP(80*C51)</f>
        <v>1.9793526250198632E-10</v>
      </c>
      <c r="D52" s="261">
        <f t="shared" si="30"/>
        <v>2.7377376962310727E-10</v>
      </c>
      <c r="E52" s="261">
        <f t="shared" si="30"/>
        <v>3.786696518155478E-10</v>
      </c>
      <c r="F52" s="261">
        <f t="shared" si="30"/>
        <v>5.2375618527482789E-10</v>
      </c>
      <c r="G52" s="261">
        <f t="shared" si="30"/>
        <v>1.9169192675645266E-9</v>
      </c>
      <c r="H52" s="261">
        <f t="shared" si="30"/>
        <v>7.015820684641585E-9</v>
      </c>
      <c r="I52" s="261">
        <f t="shared" si="30"/>
        <v>1.4310490079332761E-10</v>
      </c>
      <c r="J52" s="261">
        <f t="shared" si="30"/>
        <v>2.7377376962310727E-10</v>
      </c>
      <c r="K52" s="261">
        <f t="shared" si="30"/>
        <v>5.2375618527482789E-10</v>
      </c>
      <c r="L52" s="261">
        <f t="shared" si="30"/>
        <v>2.8320493521112847E-10</v>
      </c>
      <c r="M52" s="261">
        <f t="shared" si="30"/>
        <v>2.8504812623578761E-10</v>
      </c>
      <c r="N52" s="261">
        <f t="shared" si="30"/>
        <v>2.8690331335490242E-10</v>
      </c>
      <c r="O52" s="261">
        <f t="shared" si="30"/>
        <v>3.9682975444429961E-10</v>
      </c>
      <c r="P52" s="312">
        <f t="shared" si="30"/>
        <v>1.1895207089236834E-5</v>
      </c>
    </row>
    <row r="53" spans="2:16" s="17" customFormat="1" ht="12" customHeight="1" x14ac:dyDescent="0.2">
      <c r="B53" s="306"/>
      <c r="C53" s="261">
        <f t="shared" ref="C53:P53" si="31">20*$C12-16</f>
        <v>-2.7404900636430085</v>
      </c>
      <c r="D53" s="261">
        <f t="shared" si="31"/>
        <v>-2.7404900636430085</v>
      </c>
      <c r="E53" s="261">
        <f t="shared" si="31"/>
        <v>-2.7404900636430085</v>
      </c>
      <c r="F53" s="261">
        <f t="shared" si="31"/>
        <v>-2.7404900636430085</v>
      </c>
      <c r="G53" s="261">
        <f t="shared" si="31"/>
        <v>-2.7404900636430085</v>
      </c>
      <c r="H53" s="261">
        <f t="shared" si="31"/>
        <v>-2.7404900636430085</v>
      </c>
      <c r="I53" s="261">
        <f t="shared" si="31"/>
        <v>-2.7404900636430085</v>
      </c>
      <c r="J53" s="261">
        <f t="shared" si="31"/>
        <v>-2.7404900636430085</v>
      </c>
      <c r="K53" s="261">
        <f t="shared" si="31"/>
        <v>-2.7404900636430085</v>
      </c>
      <c r="L53" s="261">
        <f t="shared" si="31"/>
        <v>-2.7404900636430085</v>
      </c>
      <c r="M53" s="261">
        <f t="shared" si="31"/>
        <v>-2.7404900636430085</v>
      </c>
      <c r="N53" s="261">
        <f t="shared" si="31"/>
        <v>-2.7404900636430085</v>
      </c>
      <c r="O53" s="261">
        <f t="shared" si="31"/>
        <v>-2.7404900636430085</v>
      </c>
      <c r="P53" s="312">
        <f t="shared" si="31"/>
        <v>-2.7404900636430085</v>
      </c>
    </row>
    <row r="54" spans="2:16" s="17" customFormat="1" ht="12" customHeight="1" x14ac:dyDescent="0.2">
      <c r="B54" s="306" t="s">
        <v>275</v>
      </c>
      <c r="C54" s="261">
        <f t="shared" ref="C54:P54" si="32">180*C22^3.7*EXP(C53)</f>
        <v>2.1446551003494279E-2</v>
      </c>
      <c r="D54" s="261">
        <f t="shared" si="32"/>
        <v>2.3263504332632894E-2</v>
      </c>
      <c r="E54" s="261">
        <f t="shared" si="32"/>
        <v>2.5190293814855023E-2</v>
      </c>
      <c r="F54" s="261">
        <f t="shared" si="32"/>
        <v>2.7231009205824226E-2</v>
      </c>
      <c r="G54" s="261">
        <f t="shared" si="32"/>
        <v>3.6617064930236191E-2</v>
      </c>
      <c r="H54" s="261">
        <f t="shared" si="32"/>
        <v>4.8168914404721284E-2</v>
      </c>
      <c r="I54" s="261">
        <f t="shared" si="32"/>
        <v>1.9735405840637908E-2</v>
      </c>
      <c r="J54" s="261">
        <f t="shared" si="32"/>
        <v>2.3263504332632894E-2</v>
      </c>
      <c r="K54" s="261">
        <f t="shared" si="32"/>
        <v>2.7231009205824226E-2</v>
      </c>
      <c r="L54" s="261">
        <f t="shared" si="32"/>
        <v>2.3459487038348176E-2</v>
      </c>
      <c r="M54" s="261">
        <f t="shared" si="32"/>
        <v>2.3497162798743278E-2</v>
      </c>
      <c r="N54" s="261">
        <f t="shared" si="32"/>
        <v>2.3534882693733543E-2</v>
      </c>
      <c r="O54" s="261">
        <f t="shared" si="32"/>
        <v>2.5477870815247088E-2</v>
      </c>
      <c r="P54" s="312">
        <f t="shared" si="32"/>
        <v>0.17145403589879846</v>
      </c>
    </row>
    <row r="55" spans="2:16" s="17" customFormat="1" ht="12" customHeight="1" x14ac:dyDescent="0.2">
      <c r="B55" s="306"/>
      <c r="C55" s="261">
        <f t="shared" ref="C55:P55" si="33">C44+1.5*C22^1.8+C45*C22^(C46)</f>
        <v>0.39698456182120984</v>
      </c>
      <c r="D55" s="261">
        <f t="shared" si="33"/>
        <v>0.40012860675923445</v>
      </c>
      <c r="E55" s="261">
        <f t="shared" si="33"/>
        <v>0.40339292170770397</v>
      </c>
      <c r="F55" s="261">
        <f t="shared" si="33"/>
        <v>0.40679122148149133</v>
      </c>
      <c r="G55" s="261">
        <f t="shared" si="33"/>
        <v>0.4220889668054949</v>
      </c>
      <c r="H55" s="261">
        <f t="shared" si="33"/>
        <v>0.44140603272949036</v>
      </c>
      <c r="I55" s="261">
        <f t="shared" si="33"/>
        <v>0.39394914041113943</v>
      </c>
      <c r="J55" s="261">
        <f t="shared" si="33"/>
        <v>0.40012860675923445</v>
      </c>
      <c r="K55" s="261">
        <f t="shared" si="33"/>
        <v>0.40679122148149133</v>
      </c>
      <c r="L55" s="261">
        <f t="shared" si="33"/>
        <v>0.40046361271498471</v>
      </c>
      <c r="M55" s="261">
        <f t="shared" si="33"/>
        <v>0.40052793072393528</v>
      </c>
      <c r="N55" s="261">
        <f t="shared" si="33"/>
        <v>0.400592297406067</v>
      </c>
      <c r="O55" s="261">
        <f t="shared" si="33"/>
        <v>0.40387506223576558</v>
      </c>
      <c r="P55" s="312">
        <f t="shared" si="33"/>
        <v>0.93359617198525069</v>
      </c>
    </row>
    <row r="56" spans="2:16" s="17" customFormat="1" ht="12" customHeight="1" x14ac:dyDescent="0.2">
      <c r="B56" s="306"/>
      <c r="C56" s="261">
        <f t="shared" ref="C56:P56" si="34">0.98+2.5/($C13-2)^4</f>
        <v>0.98387725872053045</v>
      </c>
      <c r="D56" s="261">
        <f t="shared" si="34"/>
        <v>0.98387725872053045</v>
      </c>
      <c r="E56" s="261">
        <f t="shared" si="34"/>
        <v>0.98387725872053045</v>
      </c>
      <c r="F56" s="261">
        <f t="shared" si="34"/>
        <v>0.98387725872053045</v>
      </c>
      <c r="G56" s="261">
        <f t="shared" si="34"/>
        <v>0.98387725872053045</v>
      </c>
      <c r="H56" s="261">
        <f t="shared" si="34"/>
        <v>0.98387725872053045</v>
      </c>
      <c r="I56" s="261">
        <f t="shared" si="34"/>
        <v>0.98387725872053045</v>
      </c>
      <c r="J56" s="261">
        <f t="shared" si="34"/>
        <v>0.98387725872053045</v>
      </c>
      <c r="K56" s="261">
        <f t="shared" si="34"/>
        <v>0.98387725872053045</v>
      </c>
      <c r="L56" s="261">
        <f t="shared" si="34"/>
        <v>0.98387725872053045</v>
      </c>
      <c r="M56" s="261">
        <f t="shared" si="34"/>
        <v>0.98387725872053045</v>
      </c>
      <c r="N56" s="261">
        <f t="shared" si="34"/>
        <v>0.98387725872053045</v>
      </c>
      <c r="O56" s="261">
        <f t="shared" si="34"/>
        <v>0.98387725872053045</v>
      </c>
      <c r="P56" s="312">
        <f t="shared" si="34"/>
        <v>0.98387725872053045</v>
      </c>
    </row>
    <row r="57" spans="2:16" s="17" customFormat="1" ht="12" customHeight="1" x14ac:dyDescent="0.2">
      <c r="B57" s="306"/>
      <c r="C57" s="261">
        <f t="shared" ref="C57:P57" si="35">($C13-5)^4*(C22-0.1)^4</f>
        <v>7.9910223676861003E-4</v>
      </c>
      <c r="D57" s="261">
        <f t="shared" si="35"/>
        <v>9.6825868959518255E-4</v>
      </c>
      <c r="E57" s="261">
        <f t="shared" si="35"/>
        <v>1.1629478733102929E-3</v>
      </c>
      <c r="F57" s="261">
        <f t="shared" si="35"/>
        <v>1.3856183499010269E-3</v>
      </c>
      <c r="G57" s="261">
        <f t="shared" si="35"/>
        <v>2.6090090842599708E-3</v>
      </c>
      <c r="H57" s="261">
        <f t="shared" si="35"/>
        <v>4.5051400770094834E-3</v>
      </c>
      <c r="I57" s="261">
        <f t="shared" si="35"/>
        <v>6.5314208597199591E-4</v>
      </c>
      <c r="J57" s="261">
        <f t="shared" si="35"/>
        <v>9.6825868959518255E-4</v>
      </c>
      <c r="K57" s="261">
        <f t="shared" si="35"/>
        <v>1.3856183499010269E-3</v>
      </c>
      <c r="L57" s="261">
        <f t="shared" si="35"/>
        <v>9.8735234907436006E-4</v>
      </c>
      <c r="M57" s="261">
        <f t="shared" si="35"/>
        <v>9.9104155083691668E-4</v>
      </c>
      <c r="N57" s="261">
        <f t="shared" si="35"/>
        <v>9.9474108136884953E-4</v>
      </c>
      <c r="O57" s="261">
        <f t="shared" si="35"/>
        <v>1.1933173040941964E-3</v>
      </c>
      <c r="P57" s="312">
        <f t="shared" si="35"/>
        <v>4.0499813666552295E-2</v>
      </c>
    </row>
    <row r="58" spans="2:16" s="17" customFormat="1" ht="12" customHeight="1" x14ac:dyDescent="0.2">
      <c r="B58" s="306" t="s">
        <v>276</v>
      </c>
      <c r="C58" s="261">
        <f t="shared" ref="C58:P58" si="36">C55*C56+C57</f>
        <v>0.39138318467579147</v>
      </c>
      <c r="D58" s="261">
        <f t="shared" si="36"/>
        <v>0.39464569544353584</v>
      </c>
      <c r="E58" s="261">
        <f t="shared" si="36"/>
        <v>0.39805206987035163</v>
      </c>
      <c r="F58" s="261">
        <f t="shared" si="36"/>
        <v>0.40161825021268688</v>
      </c>
      <c r="G58" s="261">
        <f t="shared" si="36"/>
        <v>0.41789274468103127</v>
      </c>
      <c r="H58" s="261">
        <f t="shared" si="36"/>
        <v>0.43879449754160521</v>
      </c>
      <c r="I58" s="261">
        <f t="shared" si="36"/>
        <v>0.38825074242899321</v>
      </c>
      <c r="J58" s="261">
        <f t="shared" si="36"/>
        <v>0.39464569544353584</v>
      </c>
      <c r="K58" s="261">
        <f t="shared" si="36"/>
        <v>0.40161825021268688</v>
      </c>
      <c r="L58" s="261">
        <f t="shared" si="36"/>
        <v>0.3949943938444137</v>
      </c>
      <c r="M58" s="261">
        <f t="shared" si="36"/>
        <v>0.39506136407250886</v>
      </c>
      <c r="N58" s="261">
        <f t="shared" si="36"/>
        <v>0.39512839251780951</v>
      </c>
      <c r="O58" s="261">
        <f t="shared" si="36"/>
        <v>0.39855680640220287</v>
      </c>
      <c r="P58" s="312">
        <f t="shared" si="36"/>
        <v>0.95904385611138165</v>
      </c>
    </row>
    <row r="59" spans="2:16" s="17" customFormat="1" ht="12" customHeight="1" x14ac:dyDescent="0.2">
      <c r="B59" s="306" t="s">
        <v>277</v>
      </c>
      <c r="C59" s="261">
        <f t="shared" ref="C59:P59" si="37">0.16*($C5/$C6-2.5)</f>
        <v>0.27358167089713248</v>
      </c>
      <c r="D59" s="261">
        <f t="shared" si="37"/>
        <v>0.27358167089713248</v>
      </c>
      <c r="E59" s="261">
        <f t="shared" si="37"/>
        <v>0.27358167089713248</v>
      </c>
      <c r="F59" s="261">
        <f t="shared" si="37"/>
        <v>0.27358167089713248</v>
      </c>
      <c r="G59" s="261">
        <f t="shared" si="37"/>
        <v>0.27358167089713248</v>
      </c>
      <c r="H59" s="261">
        <f t="shared" si="37"/>
        <v>0.27358167089713248</v>
      </c>
      <c r="I59" s="261">
        <f t="shared" si="37"/>
        <v>0.27358167089713248</v>
      </c>
      <c r="J59" s="261">
        <f t="shared" si="37"/>
        <v>0.27358167089713248</v>
      </c>
      <c r="K59" s="261">
        <f t="shared" si="37"/>
        <v>0.27358167089713248</v>
      </c>
      <c r="L59" s="261">
        <f t="shared" si="37"/>
        <v>0.27358167089713248</v>
      </c>
      <c r="M59" s="261">
        <f t="shared" si="37"/>
        <v>0.27358167089713248</v>
      </c>
      <c r="N59" s="261">
        <f t="shared" si="37"/>
        <v>0.27358167089713248</v>
      </c>
      <c r="O59" s="261">
        <f t="shared" si="37"/>
        <v>0.27358167089713248</v>
      </c>
      <c r="P59" s="312">
        <f t="shared" si="37"/>
        <v>0.27358167089713248</v>
      </c>
    </row>
    <row r="60" spans="2:16" s="17" customFormat="1" ht="12" customHeight="1" x14ac:dyDescent="0.2">
      <c r="B60" s="306" t="s">
        <v>278</v>
      </c>
      <c r="C60" s="261">
        <f t="shared" ref="C60:P60" si="38">($C15-$C14)/3*0.1</f>
        <v>0</v>
      </c>
      <c r="D60" s="261">
        <f t="shared" si="38"/>
        <v>0</v>
      </c>
      <c r="E60" s="261">
        <f t="shared" si="38"/>
        <v>0</v>
      </c>
      <c r="F60" s="261">
        <f t="shared" si="38"/>
        <v>0</v>
      </c>
      <c r="G60" s="261">
        <f t="shared" si="38"/>
        <v>0</v>
      </c>
      <c r="H60" s="261">
        <f t="shared" si="38"/>
        <v>0</v>
      </c>
      <c r="I60" s="261">
        <f t="shared" si="38"/>
        <v>0</v>
      </c>
      <c r="J60" s="261">
        <f t="shared" si="38"/>
        <v>0</v>
      </c>
      <c r="K60" s="261">
        <f t="shared" si="38"/>
        <v>0</v>
      </c>
      <c r="L60" s="261">
        <f t="shared" si="38"/>
        <v>0</v>
      </c>
      <c r="M60" s="261">
        <f t="shared" si="38"/>
        <v>0</v>
      </c>
      <c r="N60" s="261">
        <f t="shared" si="38"/>
        <v>0</v>
      </c>
      <c r="O60" s="261">
        <f t="shared" si="38"/>
        <v>0</v>
      </c>
      <c r="P60" s="312">
        <f t="shared" si="38"/>
        <v>0</v>
      </c>
    </row>
    <row r="61" spans="2:16" s="17" customFormat="1" ht="12" customHeight="1" x14ac:dyDescent="0.2">
      <c r="B61" s="306" t="s">
        <v>279</v>
      </c>
      <c r="C61" s="306">
        <f>0.1*C5/C4+0.149</f>
        <v>0.16263002865717036</v>
      </c>
      <c r="D61" s="306" t="s">
        <v>280</v>
      </c>
      <c r="E61" s="306">
        <f>0.625*C5/C4+0.08</f>
        <v>0.16518767910731474</v>
      </c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13"/>
    </row>
    <row r="62" spans="2:16" s="17" customFormat="1" ht="12" customHeight="1" x14ac:dyDescent="0.2">
      <c r="B62" s="306" t="s">
        <v>281</v>
      </c>
      <c r="C62" s="306">
        <f>0.05*C5/C4+0.449</f>
        <v>0.45581501432858518</v>
      </c>
      <c r="D62" s="306" t="s">
        <v>282</v>
      </c>
      <c r="E62" s="306">
        <f>0.165-0.25*C5/C4</f>
        <v>0.13092492835707412</v>
      </c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13"/>
    </row>
    <row r="63" spans="2:16" s="17" customFormat="1" ht="12" customHeight="1" x14ac:dyDescent="0.2">
      <c r="B63" s="306" t="s">
        <v>283</v>
      </c>
      <c r="C63" s="306">
        <f>585-5027*C5/C4+11700*(C5/C4)^2</f>
        <v>117.17834640252971</v>
      </c>
      <c r="D63" s="306" t="s">
        <v>284</v>
      </c>
      <c r="E63" s="306">
        <f>825-8060*C5/C4+20300*(C5/C4)^2</f>
        <v>103.54838305849802</v>
      </c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13"/>
    </row>
    <row r="64" spans="2:16" s="17" customFormat="1" ht="12" customHeight="1" x14ac:dyDescent="0.2">
      <c r="B64" s="306" t="s">
        <v>285</v>
      </c>
      <c r="C64" s="261">
        <f>C61+C62/(C63*(0.98-C11)^3+1)</f>
        <v>0.24991880253088733</v>
      </c>
      <c r="D64" s="261" t="s">
        <v>286</v>
      </c>
      <c r="E64" s="261">
        <f>E61+E62/(E63*(0.98-C11)^3+1)</f>
        <v>0.19286248559132835</v>
      </c>
      <c r="F64" s="261"/>
      <c r="G64" s="261"/>
      <c r="H64" s="306"/>
      <c r="I64" s="306"/>
      <c r="J64" s="306"/>
      <c r="K64" s="306"/>
      <c r="L64" s="306"/>
      <c r="M64" s="306"/>
      <c r="N64" s="306"/>
      <c r="O64" s="306"/>
      <c r="P64" s="313"/>
    </row>
    <row r="65" spans="1:16" s="17" customFormat="1" ht="12" customHeight="1" x14ac:dyDescent="0.2">
      <c r="B65" s="306" t="s">
        <v>287</v>
      </c>
      <c r="C65" s="261">
        <f>0.025*C15/(100*(C11-0.7)^2+1)</f>
        <v>0</v>
      </c>
      <c r="D65" s="261" t="s">
        <v>288</v>
      </c>
      <c r="E65" s="261">
        <f>-0.01*C15</f>
        <v>0</v>
      </c>
      <c r="F65" s="261"/>
      <c r="G65" s="261"/>
      <c r="H65" s="306"/>
      <c r="I65" s="306"/>
      <c r="J65" s="306"/>
      <c r="K65" s="306"/>
      <c r="L65" s="306"/>
      <c r="M65" s="306"/>
      <c r="N65" s="306"/>
      <c r="O65" s="306"/>
      <c r="P65" s="313"/>
    </row>
    <row r="66" spans="1:16" s="17" customFormat="1" ht="12" customHeight="1" x14ac:dyDescent="0.2">
      <c r="B66" s="306" t="s">
        <v>289</v>
      </c>
      <c r="C66" s="261">
        <f>0.00756/(C18/C4+0.002)-0.18</f>
        <v>0.10623735526422862</v>
      </c>
      <c r="D66" s="261" t="s">
        <v>290</v>
      </c>
      <c r="E66" s="261">
        <f>2*(C18/C4-0.04)</f>
        <v>-3.1176705898352877E-2</v>
      </c>
      <c r="F66" s="261"/>
      <c r="G66" s="261"/>
      <c r="H66" s="306"/>
      <c r="I66" s="306"/>
      <c r="J66" s="306"/>
      <c r="K66" s="306"/>
      <c r="L66" s="306"/>
      <c r="M66" s="306"/>
      <c r="N66" s="306"/>
      <c r="O66" s="306"/>
      <c r="P66" s="313"/>
    </row>
    <row r="67" spans="1:16" s="17" customFormat="1" ht="12" customHeight="1" x14ac:dyDescent="0.2">
      <c r="B67" s="306" t="s">
        <v>291</v>
      </c>
      <c r="C67" s="261">
        <f>MIN(0.1,C66)</f>
        <v>0.1</v>
      </c>
      <c r="D67" s="261"/>
      <c r="E67" s="261"/>
      <c r="F67" s="261"/>
      <c r="G67" s="261"/>
      <c r="H67" s="306"/>
      <c r="I67" s="306"/>
      <c r="J67" s="306"/>
      <c r="K67" s="306"/>
      <c r="L67" s="306"/>
      <c r="M67" s="306"/>
      <c r="N67" s="306"/>
      <c r="O67" s="306"/>
      <c r="P67" s="313"/>
    </row>
    <row r="68" spans="1:16" s="17" customFormat="1" ht="12" customHeight="1" x14ac:dyDescent="0.2">
      <c r="B68" s="306" t="s">
        <v>292</v>
      </c>
      <c r="C68" s="261">
        <f>C64+C65+C67</f>
        <v>0.34991880253088736</v>
      </c>
      <c r="D68" s="261" t="s">
        <v>293</v>
      </c>
      <c r="E68" s="261">
        <f>E64+E65+E66</f>
        <v>0.16168577969297548</v>
      </c>
      <c r="F68" s="261" t="s">
        <v>294</v>
      </c>
      <c r="G68" s="261">
        <f>0.7*C11-0.2</f>
        <v>0.25480119081704478</v>
      </c>
      <c r="H68" s="306"/>
      <c r="I68" s="306"/>
      <c r="J68" s="306"/>
      <c r="K68" s="306"/>
      <c r="L68" s="306"/>
      <c r="M68" s="306"/>
      <c r="N68" s="306"/>
      <c r="O68" s="306"/>
      <c r="P68" s="313"/>
    </row>
    <row r="69" spans="1:16" s="17" customFormat="1" ht="12" customHeight="1" x14ac:dyDescent="0.2">
      <c r="B69" s="306" t="s">
        <v>295</v>
      </c>
      <c r="C69" s="261">
        <f>1.133*C11^2-0.797*C11+0.215</f>
        <v>0.1754506269248913</v>
      </c>
      <c r="D69" s="261" t="s">
        <v>296</v>
      </c>
      <c r="E69" s="261">
        <f>0.0665+0.62833*C69</f>
        <v>0.17674089241571694</v>
      </c>
      <c r="F69" s="261" t="s">
        <v>297</v>
      </c>
      <c r="G69" s="261">
        <f>0.19</f>
        <v>0.19</v>
      </c>
      <c r="H69" s="306"/>
      <c r="I69" s="306"/>
      <c r="J69" s="306"/>
      <c r="K69" s="306"/>
      <c r="L69" s="306"/>
      <c r="M69" s="306"/>
      <c r="N69" s="306"/>
      <c r="O69" s="306"/>
      <c r="P69" s="313"/>
    </row>
    <row r="70" spans="1:16" x14ac:dyDescent="0.2">
      <c r="A70" s="9" t="s">
        <v>298</v>
      </c>
      <c r="B70" s="306" t="s">
        <v>299</v>
      </c>
      <c r="C70" s="306">
        <f t="shared" ref="C70:P70" si="39">IF(C22&gt;$J9,0,IF($C17=1,0.2,0.1))</f>
        <v>0.2</v>
      </c>
      <c r="D70" s="306">
        <f t="shared" si="39"/>
        <v>0.2</v>
      </c>
      <c r="E70" s="306">
        <f t="shared" si="39"/>
        <v>0.2</v>
      </c>
      <c r="F70" s="306">
        <f t="shared" si="39"/>
        <v>0.2</v>
      </c>
      <c r="G70" s="306">
        <f t="shared" si="39"/>
        <v>0.2</v>
      </c>
      <c r="H70" s="306">
        <f t="shared" si="39"/>
        <v>0.2</v>
      </c>
      <c r="I70" s="306">
        <f t="shared" si="39"/>
        <v>0.2</v>
      </c>
      <c r="J70" s="306">
        <f t="shared" si="39"/>
        <v>0.2</v>
      </c>
      <c r="K70" s="306">
        <f t="shared" si="39"/>
        <v>0.2</v>
      </c>
      <c r="L70" s="306">
        <f t="shared" si="39"/>
        <v>0.2</v>
      </c>
      <c r="M70" s="306">
        <f t="shared" si="39"/>
        <v>0.2</v>
      </c>
      <c r="N70" s="306">
        <f t="shared" si="39"/>
        <v>0.2</v>
      </c>
      <c r="O70" s="306">
        <f t="shared" si="39"/>
        <v>0.2</v>
      </c>
      <c r="P70" s="306">
        <f t="shared" si="39"/>
        <v>0.2</v>
      </c>
    </row>
    <row r="72" spans="1:16" x14ac:dyDescent="0.2">
      <c r="A72" s="314" t="s">
        <v>300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9"/>
  <dimension ref="A1:AD73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136" customWidth="1"/>
    <col min="2" max="6" width="7.140625" style="136" customWidth="1"/>
    <col min="7" max="7" width="9" style="136" customWidth="1"/>
    <col min="8" max="8" width="6.42578125" style="136" customWidth="1"/>
    <col min="9" max="11" width="7.140625" style="136" customWidth="1"/>
    <col min="12" max="12" width="6.42578125" style="136" customWidth="1"/>
    <col min="13" max="13" width="7.140625" style="136" customWidth="1"/>
    <col min="14" max="14" width="7.42578125" style="136" customWidth="1"/>
    <col min="15" max="15" width="6.140625" style="136" customWidth="1"/>
    <col min="16" max="16" width="6.7109375" style="136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190">
        <v>1.0249999999999999</v>
      </c>
      <c r="D3" s="191"/>
      <c r="E3" s="192"/>
      <c r="F3" s="193"/>
      <c r="G3" s="194" t="s">
        <v>203</v>
      </c>
      <c r="H3" s="195"/>
      <c r="I3" s="195"/>
      <c r="J3" s="196">
        <v>1</v>
      </c>
      <c r="K3" s="197">
        <f>IF(J3=1,IF(C17=1,0.7*C71,IF(C16=1,C72,G71)),J3)</f>
        <v>0.24494316177162115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199">
        <f>'SHIP DATA'!D6</f>
        <v>410.19723000059423</v>
      </c>
      <c r="D4" s="200"/>
      <c r="E4" s="201"/>
      <c r="F4" s="202"/>
      <c r="G4" s="203" t="s">
        <v>206</v>
      </c>
      <c r="H4" s="204"/>
      <c r="I4" s="204"/>
      <c r="J4" s="196">
        <v>1</v>
      </c>
      <c r="K4" s="205">
        <f>IF(K15=1,0.25,IF(J4=1,IF(C17=1,E71,IF(C16=1,E72,G72)),J4))</f>
        <v>0.16168577969297548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199">
        <f>'SHIP DATA'!D8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1.1102663771299601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210">
        <f>'SHIP DATA'!D77</f>
        <v>13.280646410828696</v>
      </c>
      <c r="D6" s="200"/>
      <c r="E6" s="201"/>
      <c r="F6" s="202"/>
      <c r="G6" s="203" t="s">
        <v>210</v>
      </c>
      <c r="H6" s="204"/>
      <c r="I6" s="204"/>
      <c r="J6" s="196">
        <f>'SHIP DATA'!D45/100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214">
        <f>'SHIP DATA'!D75</f>
        <v>202837.77974012643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1.01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214">
        <f>'SHIP DATA'!D78</f>
        <v>24905.214188556361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24905.214188556361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190">
        <f>'SHIP DATA'!D29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228">
        <f>'SHIP DATA'!D79</f>
        <v>18.5</v>
      </c>
      <c r="Q10" s="17"/>
      <c r="R10" s="608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0.64971598688149257</v>
      </c>
      <c r="D11" s="200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0.66297549681784962</v>
      </c>
      <c r="D12" s="200"/>
      <c r="E12" s="201"/>
      <c r="F12" s="202"/>
      <c r="G12" s="699" t="s">
        <v>222</v>
      </c>
      <c r="H12" s="700"/>
      <c r="I12" s="700"/>
      <c r="J12" s="701"/>
      <c r="K12" s="722">
        <f>'SHIP DATA'!D80</f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7.0391096289887463</v>
      </c>
      <c r="D13" s="200"/>
      <c r="E13" s="201"/>
      <c r="F13" s="202"/>
      <c r="G13" s="234" t="s">
        <v>224</v>
      </c>
      <c r="H13" s="235"/>
      <c r="I13" s="234"/>
      <c r="J13" s="234"/>
      <c r="K13" s="231">
        <v>15</v>
      </c>
      <c r="L13" s="201"/>
      <c r="M13" s="227" t="s">
        <v>402</v>
      </c>
      <c r="N13" s="227"/>
      <c r="O13" s="1111">
        <f>IF('SHIP DATA'!D2&lt;500,2+(500-'SHIP DATA'!D2)/125,IF('SHIP DATA'!D2&lt;9000,7,IF('SHIP DATA'!D2&lt;12000,8,9)))</f>
        <v>9</v>
      </c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236">
        <v>0</v>
      </c>
      <c r="D14" s="200"/>
      <c r="E14" s="201"/>
      <c r="F14" s="202"/>
      <c r="G14" s="237" t="s">
        <v>226</v>
      </c>
      <c r="H14" s="238"/>
      <c r="I14" s="238"/>
      <c r="J14" s="238"/>
      <c r="K14" s="231">
        <v>1</v>
      </c>
      <c r="L14" s="201"/>
      <c r="M14" s="227" t="s">
        <v>403</v>
      </c>
      <c r="N14" s="227"/>
      <c r="O14" s="1111">
        <f>IF('SHIP DATA'!D2&lt;2500,1.5,2)</f>
        <v>2</v>
      </c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236">
        <v>0</v>
      </c>
      <c r="D15" s="200"/>
      <c r="E15" s="201"/>
      <c r="F15" s="202"/>
      <c r="G15" s="237" t="s">
        <v>228</v>
      </c>
      <c r="H15" s="238"/>
      <c r="I15" s="238"/>
      <c r="J15" s="238"/>
      <c r="K15" s="231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DATA'!D51</f>
        <v>1</v>
      </c>
      <c r="D16" s="200"/>
      <c r="E16" s="201"/>
      <c r="F16" s="202"/>
      <c r="G16" s="237" t="s">
        <v>230</v>
      </c>
      <c r="H16" s="238"/>
      <c r="I16" s="238"/>
      <c r="J16" s="238"/>
      <c r="K16" s="239"/>
      <c r="L16" s="201"/>
      <c r="M16" s="523" t="s">
        <v>73</v>
      </c>
      <c r="N16" s="523"/>
      <c r="O16" s="529">
        <f>'SHIP DATA'!D42</f>
        <v>0.8</v>
      </c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DATA'!D50</f>
        <v>1</v>
      </c>
      <c r="D17" s="200"/>
      <c r="E17" s="201"/>
      <c r="F17" s="202"/>
      <c r="G17" s="237" t="s">
        <v>232</v>
      </c>
      <c r="H17" s="238"/>
      <c r="I17" s="238"/>
      <c r="J17" s="238"/>
      <c r="K17" s="722">
        <f>'SHIP DATA'!D53</f>
        <v>1</v>
      </c>
      <c r="L17" s="201"/>
      <c r="M17" s="227" t="s">
        <v>74</v>
      </c>
      <c r="N17" s="227"/>
      <c r="O17" s="524">
        <f>C5*(('SHIP DATA'!D9-C6)+2+O13*2.6+2*O14)</f>
        <v>2589.7150591705672</v>
      </c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199">
        <f>'SHIP DATA'!D52</f>
        <v>10.013590000000001</v>
      </c>
      <c r="D18" s="240">
        <f>C18/C6</f>
        <v>0.75399869029230215</v>
      </c>
      <c r="E18" s="241" t="s">
        <v>234</v>
      </c>
      <c r="F18" s="242"/>
      <c r="G18" s="237" t="s">
        <v>235</v>
      </c>
      <c r="H18" s="238"/>
      <c r="I18" s="238"/>
      <c r="J18" s="238"/>
      <c r="K18" s="231">
        <f>'SHIP DATA'!D46</f>
        <v>0</v>
      </c>
      <c r="L18" s="201"/>
      <c r="M18" s="227" t="s">
        <v>75</v>
      </c>
      <c r="N18" s="227"/>
      <c r="O18" s="525">
        <f>'SHIP DATA'!D43</f>
        <v>0</v>
      </c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244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 t="shared" ref="C21:J21" si="0">D21-0.5</f>
        <v>14.5</v>
      </c>
      <c r="D21" s="257">
        <f t="shared" si="0"/>
        <v>15</v>
      </c>
      <c r="E21" s="257">
        <f t="shared" si="0"/>
        <v>15.5</v>
      </c>
      <c r="F21" s="257">
        <f t="shared" si="0"/>
        <v>16</v>
      </c>
      <c r="G21" s="257">
        <f t="shared" si="0"/>
        <v>16.5</v>
      </c>
      <c r="H21" s="257">
        <f t="shared" si="0"/>
        <v>17</v>
      </c>
      <c r="I21" s="257">
        <f t="shared" si="0"/>
        <v>17.5</v>
      </c>
      <c r="J21" s="257">
        <f t="shared" si="0"/>
        <v>18</v>
      </c>
      <c r="K21" s="257">
        <f>P10</f>
        <v>18.5</v>
      </c>
      <c r="L21" s="1112">
        <f>M21-0.01</f>
        <v>18.489999999999998</v>
      </c>
      <c r="M21" s="1112">
        <f>P10</f>
        <v>18.5</v>
      </c>
      <c r="N21" s="1112">
        <f>M21+0.01</f>
        <v>18.510000000000002</v>
      </c>
      <c r="O21" s="257">
        <f>N21+0.5</f>
        <v>19.010000000000002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1">C21*0.5144/SQRT(9.81*$C4)</f>
        <v>0.11758125648781487</v>
      </c>
      <c r="D22" s="261">
        <f t="shared" si="1"/>
        <v>0.12163578257360159</v>
      </c>
      <c r="E22" s="261">
        <f t="shared" si="1"/>
        <v>0.12569030865938832</v>
      </c>
      <c r="F22" s="261">
        <f t="shared" si="1"/>
        <v>0.12974483474517504</v>
      </c>
      <c r="G22" s="261">
        <f t="shared" si="1"/>
        <v>0.13379936083096175</v>
      </c>
      <c r="H22" s="261">
        <f t="shared" si="1"/>
        <v>0.13785388691674849</v>
      </c>
      <c r="I22" s="261">
        <f t="shared" si="1"/>
        <v>0.14190841300253518</v>
      </c>
      <c r="J22" s="229">
        <f t="shared" si="1"/>
        <v>0.14596293908832192</v>
      </c>
      <c r="K22" s="229">
        <f t="shared" si="1"/>
        <v>0.15001746517410863</v>
      </c>
      <c r="L22" s="262">
        <f t="shared" si="1"/>
        <v>0.1499363746523929</v>
      </c>
      <c r="M22" s="262">
        <f t="shared" si="1"/>
        <v>0.15001746517410863</v>
      </c>
      <c r="N22" s="262">
        <f t="shared" si="1"/>
        <v>0.15009855569582439</v>
      </c>
      <c r="O22" s="263">
        <f t="shared" si="1"/>
        <v>0.15415308178161111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2">75/(LOG10(C21*0.5144*$C4*1000000/((43.4233-31.38*$C3)*($K13+20)^(1.72*$C3-2.202)+4.7478-5.779*$C3))-2)^2</f>
        <v>1.3656500001900558</v>
      </c>
      <c r="D23" s="229">
        <f t="shared" si="2"/>
        <v>1.3602397218075259</v>
      </c>
      <c r="E23" s="229">
        <f t="shared" si="2"/>
        <v>1.3550373906537054</v>
      </c>
      <c r="F23" s="229">
        <f t="shared" si="2"/>
        <v>1.3500286277034745</v>
      </c>
      <c r="G23" s="229">
        <f t="shared" si="2"/>
        <v>1.3452004611304975</v>
      </c>
      <c r="H23" s="229">
        <f t="shared" si="2"/>
        <v>1.3405411506456146</v>
      </c>
      <c r="I23" s="229">
        <f t="shared" si="2"/>
        <v>1.3360400382224913</v>
      </c>
      <c r="J23" s="229">
        <f t="shared" si="2"/>
        <v>1.331687420614837</v>
      </c>
      <c r="K23" s="229">
        <f t="shared" si="2"/>
        <v>1.3274744399739113</v>
      </c>
      <c r="L23" s="262">
        <f t="shared" si="2"/>
        <v>1.3275573847335862</v>
      </c>
      <c r="M23" s="262">
        <f t="shared" si="2"/>
        <v>1.3274744399739113</v>
      </c>
      <c r="N23" s="262">
        <f t="shared" si="2"/>
        <v>1.3273915478040736</v>
      </c>
      <c r="O23" s="263">
        <f t="shared" si="2"/>
        <v>1.323312650052977</v>
      </c>
      <c r="P23" s="265">
        <f t="shared" si="2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C46</f>
        <v>0.64347752349076548</v>
      </c>
      <c r="D24" s="268">
        <f t="shared" ref="D24:O24" si="3">D46</f>
        <v>0.64688003745506528</v>
      </c>
      <c r="E24" s="268">
        <f t="shared" si="3"/>
        <v>0.65046362841030103</v>
      </c>
      <c r="F24" s="268">
        <f t="shared" si="3"/>
        <v>0.65423966971079661</v>
      </c>
      <c r="G24" s="268">
        <f t="shared" si="3"/>
        <v>0.65822082585609509</v>
      </c>
      <c r="H24" s="268">
        <f t="shared" si="3"/>
        <v>0.66242122518706537</v>
      </c>
      <c r="I24" s="268">
        <f t="shared" si="3"/>
        <v>0.66685666265358301</v>
      </c>
      <c r="J24" s="268">
        <f t="shared" si="3"/>
        <v>0.67154483802963427</v>
      </c>
      <c r="K24" s="268">
        <f t="shared" si="3"/>
        <v>0.67650563598785807</v>
      </c>
      <c r="L24" s="262">
        <f t="shared" si="3"/>
        <v>0.67640360795715904</v>
      </c>
      <c r="M24" s="262">
        <f t="shared" si="3"/>
        <v>0.67650563598785807</v>
      </c>
      <c r="N24" s="262">
        <f t="shared" si="3"/>
        <v>0.6766077819308457</v>
      </c>
      <c r="O24" s="269">
        <f t="shared" si="3"/>
        <v>0.6818697497682733</v>
      </c>
      <c r="P24" s="264">
        <f>P53+P55+P57+P61+P62+P63</f>
        <v>3.0538453690383784</v>
      </c>
      <c r="Q24" s="17"/>
      <c r="R24" s="60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-0.32173876174538274</v>
      </c>
      <c r="D25" s="268">
        <f>$K14*(IF($C16=2,0.52-2.6*D22,MAX(-50,(250*D22-90))/100*D24))</f>
        <v>-0.32344001872753264</v>
      </c>
      <c r="E25" s="268">
        <f t="shared" ref="E25:P25" si="4">$K14*(IF($C16=2,0.52-2.6*E22,MAX(-50,(250*E22-90))/100*E24))</f>
        <v>-0.32523181420515052</v>
      </c>
      <c r="F25" s="268">
        <f t="shared" si="4"/>
        <v>-0.32711983485539831</v>
      </c>
      <c r="G25" s="268">
        <f t="shared" si="4"/>
        <v>-0.32911041292804755</v>
      </c>
      <c r="H25" s="268">
        <f t="shared" si="4"/>
        <v>-0.33121061259353268</v>
      </c>
      <c r="I25" s="268">
        <f t="shared" si="4"/>
        <v>-0.3334283313267915</v>
      </c>
      <c r="J25" s="268">
        <f t="shared" si="4"/>
        <v>-0.33577241901481714</v>
      </c>
      <c r="K25" s="268">
        <f t="shared" si="4"/>
        <v>-0.33825281799392903</v>
      </c>
      <c r="L25" s="262">
        <f t="shared" si="4"/>
        <v>-0.33820180397857952</v>
      </c>
      <c r="M25" s="262">
        <f t="shared" si="4"/>
        <v>-0.33825281799392903</v>
      </c>
      <c r="N25" s="262">
        <f t="shared" si="4"/>
        <v>-0.33830389096542285</v>
      </c>
      <c r="O25" s="268">
        <f t="shared" si="4"/>
        <v>-0.34093487488413665</v>
      </c>
      <c r="P25" s="270">
        <f t="shared" si="4"/>
        <v>-0.30538453690383788</v>
      </c>
      <c r="Q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5">IF($C17=2,IF($C16=1,0.3,0),0)</f>
        <v>0</v>
      </c>
      <c r="E26" s="268">
        <f t="shared" si="5"/>
        <v>0</v>
      </c>
      <c r="F26" s="268">
        <f t="shared" si="5"/>
        <v>0</v>
      </c>
      <c r="G26" s="268">
        <f t="shared" si="5"/>
        <v>0</v>
      </c>
      <c r="H26" s="268">
        <f t="shared" si="5"/>
        <v>0</v>
      </c>
      <c r="I26" s="268">
        <f t="shared" si="5"/>
        <v>0</v>
      </c>
      <c r="J26" s="268">
        <f t="shared" si="5"/>
        <v>0</v>
      </c>
      <c r="K26" s="268">
        <f t="shared" si="5"/>
        <v>0</v>
      </c>
      <c r="L26" s="262">
        <f t="shared" si="5"/>
        <v>0</v>
      </c>
      <c r="M26" s="262">
        <f t="shared" si="5"/>
        <v>0</v>
      </c>
      <c r="N26" s="262">
        <f t="shared" si="5"/>
        <v>0</v>
      </c>
      <c r="O26" s="269">
        <f t="shared" si="5"/>
        <v>0</v>
      </c>
      <c r="P26" s="270">
        <f t="shared" si="5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266">
        <f>MAX(0.09,0.28*'SHIP DATA'!D2^(-0.126))</f>
        <v>0.09</v>
      </c>
      <c r="D27" s="268">
        <f t="shared" ref="D27:P27" si="6">C27</f>
        <v>0.09</v>
      </c>
      <c r="E27" s="268">
        <f t="shared" si="6"/>
        <v>0.09</v>
      </c>
      <c r="F27" s="268">
        <f t="shared" si="6"/>
        <v>0.09</v>
      </c>
      <c r="G27" s="268">
        <f t="shared" si="6"/>
        <v>0.09</v>
      </c>
      <c r="H27" s="268">
        <f t="shared" si="6"/>
        <v>0.09</v>
      </c>
      <c r="I27" s="268">
        <f t="shared" si="6"/>
        <v>0.09</v>
      </c>
      <c r="J27" s="268">
        <f t="shared" si="6"/>
        <v>0.09</v>
      </c>
      <c r="K27" s="268">
        <f t="shared" si="6"/>
        <v>0.09</v>
      </c>
      <c r="L27" s="262">
        <f t="shared" si="6"/>
        <v>0.09</v>
      </c>
      <c r="M27" s="262">
        <f t="shared" si="6"/>
        <v>0.09</v>
      </c>
      <c r="N27" s="262">
        <f t="shared" si="6"/>
        <v>0.09</v>
      </c>
      <c r="O27" s="269">
        <f t="shared" si="6"/>
        <v>0.09</v>
      </c>
      <c r="P27" s="270">
        <f t="shared" si="6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7">0.5*LOG10($C7)-0.1*(LOG10($C7))^2</f>
        <v>-0.16300846554999193</v>
      </c>
      <c r="D28" s="229">
        <f t="shared" si="7"/>
        <v>-0.16300846554999193</v>
      </c>
      <c r="E28" s="229">
        <f t="shared" si="7"/>
        <v>-0.16300846554999193</v>
      </c>
      <c r="F28" s="229">
        <f t="shared" si="7"/>
        <v>-0.16300846554999193</v>
      </c>
      <c r="G28" s="229">
        <f t="shared" si="7"/>
        <v>-0.16300846554999193</v>
      </c>
      <c r="H28" s="229">
        <f t="shared" si="7"/>
        <v>-0.16300846554999193</v>
      </c>
      <c r="I28" s="229">
        <f t="shared" si="7"/>
        <v>-0.16300846554999193</v>
      </c>
      <c r="J28" s="229">
        <f t="shared" si="7"/>
        <v>-0.16300846554999193</v>
      </c>
      <c r="K28" s="229">
        <f t="shared" si="7"/>
        <v>-0.16300846554999193</v>
      </c>
      <c r="L28" s="262">
        <f t="shared" si="7"/>
        <v>-0.16300846554999193</v>
      </c>
      <c r="M28" s="262">
        <f t="shared" si="7"/>
        <v>-0.16300846554999193</v>
      </c>
      <c r="N28" s="262">
        <f t="shared" si="7"/>
        <v>-0.16300846554999193</v>
      </c>
      <c r="O28" s="263">
        <f t="shared" si="7"/>
        <v>-0.16300846554999193</v>
      </c>
      <c r="P28" s="265">
        <f>0.5*LOG10($C7)-0.1*(LOG10($C7))^2</f>
        <v>-0.16300846554999193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243" t="s">
        <v>193</v>
      </c>
      <c r="C29" s="266">
        <f t="shared" ref="C29:O29" si="8">C23+C24+C25+C26+C27+C28</f>
        <v>1.6143802963854468</v>
      </c>
      <c r="D29" s="268">
        <f t="shared" si="8"/>
        <v>1.6106712749850669</v>
      </c>
      <c r="E29" s="268">
        <f t="shared" si="8"/>
        <v>1.6072607393088643</v>
      </c>
      <c r="F29" s="268">
        <f t="shared" si="8"/>
        <v>1.604139997008881</v>
      </c>
      <c r="G29" s="268">
        <f t="shared" si="8"/>
        <v>1.6013024085085532</v>
      </c>
      <c r="H29" s="268">
        <f t="shared" si="8"/>
        <v>1.5987432976891551</v>
      </c>
      <c r="I29" s="268">
        <f t="shared" si="8"/>
        <v>1.5964599039992911</v>
      </c>
      <c r="J29" s="268">
        <f t="shared" si="8"/>
        <v>1.5944513740796624</v>
      </c>
      <c r="K29" s="268">
        <f t="shared" si="8"/>
        <v>1.5927187924178487</v>
      </c>
      <c r="L29" s="262">
        <f t="shared" si="8"/>
        <v>1.592750723162174</v>
      </c>
      <c r="M29" s="262">
        <f t="shared" si="8"/>
        <v>1.5927187924178487</v>
      </c>
      <c r="N29" s="262">
        <f t="shared" si="8"/>
        <v>1.5926869732195046</v>
      </c>
      <c r="O29" s="269">
        <f t="shared" si="8"/>
        <v>1.591239059387122</v>
      </c>
      <c r="P29" s="265">
        <f>P23+P24+P25+P27+P28</f>
        <v>3.8939241964083564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8" customFormat="1" ht="12" customHeight="1" x14ac:dyDescent="0.2">
      <c r="A30" s="509" t="s">
        <v>69</v>
      </c>
      <c r="B30" s="518" t="s">
        <v>250</v>
      </c>
      <c r="C30" s="530">
        <f>0.00062*$O17*$O16*((C21*0.5144+$O18)^2-(C21*0.5144)^2)</f>
        <v>0</v>
      </c>
      <c r="D30" s="511">
        <f t="shared" ref="D30:O30" si="9">0.00062*$O17*$O16*((D21*0.5144+$O18)^2-(D21*0.5144)^2)</f>
        <v>0</v>
      </c>
      <c r="E30" s="511">
        <f t="shared" si="9"/>
        <v>0</v>
      </c>
      <c r="F30" s="511">
        <f t="shared" si="9"/>
        <v>0</v>
      </c>
      <c r="G30" s="511">
        <f t="shared" si="9"/>
        <v>0</v>
      </c>
      <c r="H30" s="511">
        <f t="shared" si="9"/>
        <v>0</v>
      </c>
      <c r="I30" s="511">
        <f t="shared" si="9"/>
        <v>0</v>
      </c>
      <c r="J30" s="511">
        <f t="shared" si="9"/>
        <v>0</v>
      </c>
      <c r="K30" s="511">
        <f t="shared" si="9"/>
        <v>0</v>
      </c>
      <c r="L30" s="511">
        <f t="shared" si="9"/>
        <v>0</v>
      </c>
      <c r="M30" s="511">
        <f t="shared" si="9"/>
        <v>0</v>
      </c>
      <c r="N30" s="511">
        <f t="shared" si="9"/>
        <v>0</v>
      </c>
      <c r="O30" s="519">
        <f t="shared" si="9"/>
        <v>0</v>
      </c>
      <c r="P30" s="26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s="18" customFormat="1" ht="12" customHeight="1" x14ac:dyDescent="0.2">
      <c r="A31" s="509" t="s">
        <v>70</v>
      </c>
      <c r="B31" s="518" t="s">
        <v>196</v>
      </c>
      <c r="C31" s="531">
        <f>C30/C32*100</f>
        <v>0</v>
      </c>
      <c r="D31" s="513">
        <f t="shared" ref="D31:O31" si="10">D30/D32*100</f>
        <v>0</v>
      </c>
      <c r="E31" s="513">
        <f t="shared" si="10"/>
        <v>0</v>
      </c>
      <c r="F31" s="513">
        <f t="shared" si="10"/>
        <v>0</v>
      </c>
      <c r="G31" s="513">
        <f t="shared" si="10"/>
        <v>0</v>
      </c>
      <c r="H31" s="513">
        <f t="shared" si="10"/>
        <v>0</v>
      </c>
      <c r="I31" s="513">
        <f t="shared" si="10"/>
        <v>0</v>
      </c>
      <c r="J31" s="513">
        <f t="shared" si="10"/>
        <v>0</v>
      </c>
      <c r="K31" s="513">
        <f t="shared" si="10"/>
        <v>0</v>
      </c>
      <c r="L31" s="513">
        <f t="shared" si="10"/>
        <v>0</v>
      </c>
      <c r="M31" s="513">
        <f t="shared" si="10"/>
        <v>0</v>
      </c>
      <c r="N31" s="513">
        <f t="shared" si="10"/>
        <v>0</v>
      </c>
      <c r="O31" s="520">
        <f t="shared" si="10"/>
        <v>0</v>
      </c>
      <c r="P31" s="265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s="18" customFormat="1" ht="12" customHeight="1" x14ac:dyDescent="0.2">
      <c r="A32" s="509" t="s">
        <v>71</v>
      </c>
      <c r="B32" s="518" t="s">
        <v>250</v>
      </c>
      <c r="C32" s="532">
        <f>($C9*$C3*C21^2*0.0001323*C29*$K19/100)+C30</f>
        <v>1146.3463261292566</v>
      </c>
      <c r="D32" s="514">
        <f t="shared" ref="D32:O32" si="11">($C9*$C3*D21^2*0.0001323*D29*$K19/100)+D30</f>
        <v>1223.9492829679259</v>
      </c>
      <c r="E32" s="514">
        <f t="shared" si="11"/>
        <v>1304.138521644059</v>
      </c>
      <c r="F32" s="514">
        <f t="shared" si="11"/>
        <v>1386.935368930911</v>
      </c>
      <c r="G32" s="514">
        <f t="shared" si="11"/>
        <v>1472.3641551375549</v>
      </c>
      <c r="H32" s="514">
        <f t="shared" si="11"/>
        <v>1560.4525607795229</v>
      </c>
      <c r="I32" s="514">
        <f t="shared" si="11"/>
        <v>1651.2320268704516</v>
      </c>
      <c r="J32" s="514">
        <f t="shared" si="11"/>
        <v>1744.7382409624045</v>
      </c>
      <c r="K32" s="514">
        <f t="shared" si="11"/>
        <v>1841.0117137247123</v>
      </c>
      <c r="L32" s="514">
        <f t="shared" si="11"/>
        <v>1839.0588373229812</v>
      </c>
      <c r="M32" s="514">
        <f t="shared" si="11"/>
        <v>1841.0117137247123</v>
      </c>
      <c r="N32" s="514">
        <f t="shared" si="11"/>
        <v>1842.9657152274679</v>
      </c>
      <c r="O32" s="522">
        <f t="shared" si="11"/>
        <v>1942.1092424608923</v>
      </c>
      <c r="P32" s="26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16" s="17" customFormat="1" ht="12" customHeight="1" x14ac:dyDescent="0.2">
      <c r="A33" s="188" t="s">
        <v>249</v>
      </c>
      <c r="B33" s="517" t="s">
        <v>250</v>
      </c>
      <c r="C33" s="272">
        <f>($C9*$C3*C21^2*0.0001323*C29*$K19/100)*(1+$K12/100)+C30</f>
        <v>1146.3463261292566</v>
      </c>
      <c r="D33" s="273">
        <f t="shared" ref="D33:P33" si="12">($C9*$C3*D21^2*0.0001323*D29*$K19/100)*(1+$K12/100)+D30</f>
        <v>1223.9492829679259</v>
      </c>
      <c r="E33" s="273">
        <f t="shared" si="12"/>
        <v>1304.138521644059</v>
      </c>
      <c r="F33" s="273">
        <f t="shared" si="12"/>
        <v>1386.935368930911</v>
      </c>
      <c r="G33" s="273">
        <f t="shared" si="12"/>
        <v>1472.3641551375549</v>
      </c>
      <c r="H33" s="273">
        <f t="shared" si="12"/>
        <v>1560.4525607795229</v>
      </c>
      <c r="I33" s="273">
        <f t="shared" si="12"/>
        <v>1651.2320268704516</v>
      </c>
      <c r="J33" s="273">
        <f t="shared" si="12"/>
        <v>1744.7382409624045</v>
      </c>
      <c r="K33" s="273">
        <f t="shared" si="12"/>
        <v>1841.0117137247123</v>
      </c>
      <c r="L33" s="274">
        <f t="shared" si="12"/>
        <v>1839.0588373229812</v>
      </c>
      <c r="M33" s="274">
        <f t="shared" si="12"/>
        <v>1841.0117137247123</v>
      </c>
      <c r="N33" s="274">
        <f t="shared" si="12"/>
        <v>1842.9657152274679</v>
      </c>
      <c r="O33" s="393">
        <f t="shared" si="12"/>
        <v>1942.1092424608923</v>
      </c>
      <c r="P33" s="275">
        <f t="shared" si="12"/>
        <v>20479.589675263574</v>
      </c>
    </row>
    <row r="34" spans="1:16" s="17" customFormat="1" ht="12" customHeight="1" x14ac:dyDescent="0.2">
      <c r="A34" s="188" t="s">
        <v>251</v>
      </c>
      <c r="B34" s="517" t="s">
        <v>252</v>
      </c>
      <c r="C34" s="276">
        <f t="shared" ref="C34:P34" si="13">C33*C21*0.5144</f>
        <v>8550.3679773328986</v>
      </c>
      <c r="D34" s="277">
        <f t="shared" si="13"/>
        <v>9443.9926673805167</v>
      </c>
      <c r="E34" s="277">
        <f t="shared" si="13"/>
        <v>10398.15726077241</v>
      </c>
      <c r="F34" s="277">
        <f t="shared" si="13"/>
        <v>11415.03286044897</v>
      </c>
      <c r="G34" s="277">
        <f t="shared" si="13"/>
        <v>12496.838003145511</v>
      </c>
      <c r="H34" s="277">
        <f t="shared" si="13"/>
        <v>13645.845553504771</v>
      </c>
      <c r="I34" s="277">
        <f t="shared" si="13"/>
        <v>14864.390705887805</v>
      </c>
      <c r="J34" s="219">
        <f t="shared" si="13"/>
        <v>16154.880320719094</v>
      </c>
      <c r="K34" s="219">
        <f t="shared" si="13"/>
        <v>17519.803872489851</v>
      </c>
      <c r="L34" s="278">
        <f t="shared" si="13"/>
        <v>17491.759400841227</v>
      </c>
      <c r="M34" s="278">
        <f t="shared" si="13"/>
        <v>17519.803872489851</v>
      </c>
      <c r="N34" s="278">
        <f t="shared" si="13"/>
        <v>17547.879148029806</v>
      </c>
      <c r="O34" s="150">
        <f t="shared" si="13"/>
        <v>18991.389102058998</v>
      </c>
      <c r="P34" s="275">
        <f t="shared" si="13"/>
        <v>415721.12571717176</v>
      </c>
    </row>
    <row r="35" spans="1:16" s="17" customFormat="1" ht="12" customHeight="1" x14ac:dyDescent="0.2">
      <c r="A35" s="188" t="s">
        <v>253</v>
      </c>
      <c r="B35" s="517" t="s">
        <v>193</v>
      </c>
      <c r="C35" s="260">
        <f t="shared" ref="C35:P35" si="14">C39*$J6*IF($K17=3,1,$K5*$J7)</f>
        <v>0.7179241763723091</v>
      </c>
      <c r="D35" s="261">
        <f t="shared" si="14"/>
        <v>0.71820483502081267</v>
      </c>
      <c r="E35" s="261">
        <f t="shared" si="14"/>
        <v>0.71846321057508233</v>
      </c>
      <c r="F35" s="261">
        <f t="shared" si="14"/>
        <v>0.71869988690009734</v>
      </c>
      <c r="G35" s="261">
        <f t="shared" si="14"/>
        <v>0.71891530080864363</v>
      </c>
      <c r="H35" s="261">
        <f t="shared" si="14"/>
        <v>0.71910974763978952</v>
      </c>
      <c r="I35" s="261">
        <f t="shared" si="14"/>
        <v>0.71928338393055813</v>
      </c>
      <c r="J35" s="229">
        <f t="shared" si="14"/>
        <v>0.71943622729344614</v>
      </c>
      <c r="K35" s="229">
        <f t="shared" si="14"/>
        <v>0.71956815351558834</v>
      </c>
      <c r="L35" s="262">
        <f t="shared" si="14"/>
        <v>0.71956572148608777</v>
      </c>
      <c r="M35" s="262">
        <f t="shared" si="14"/>
        <v>0.71956815351558834</v>
      </c>
      <c r="N35" s="262">
        <f t="shared" si="14"/>
        <v>0.71957057707471095</v>
      </c>
      <c r="O35" s="263">
        <f t="shared" si="14"/>
        <v>0.71968088675644115</v>
      </c>
      <c r="P35" s="264">
        <f t="shared" si="14"/>
        <v>0.58999663983599326</v>
      </c>
    </row>
    <row r="36" spans="1:16" s="17" customFormat="1" ht="12" customHeight="1" x14ac:dyDescent="0.2">
      <c r="A36" s="279" t="s">
        <v>254</v>
      </c>
      <c r="B36" s="600" t="s">
        <v>252</v>
      </c>
      <c r="C36" s="281">
        <f t="shared" ref="C36:P36" si="15">C34/C35</f>
        <v>11909.848224555059</v>
      </c>
      <c r="D36" s="282">
        <f t="shared" si="15"/>
        <v>13149.441784399629</v>
      </c>
      <c r="E36" s="282">
        <f t="shared" si="15"/>
        <v>14472.776208609725</v>
      </c>
      <c r="F36" s="282">
        <f t="shared" si="15"/>
        <v>15882.89224544669</v>
      </c>
      <c r="G36" s="282">
        <f t="shared" si="15"/>
        <v>17382.907261938832</v>
      </c>
      <c r="H36" s="282">
        <f t="shared" si="15"/>
        <v>18976.026396933412</v>
      </c>
      <c r="I36" s="282">
        <f t="shared" si="15"/>
        <v>20665.555520913938</v>
      </c>
      <c r="J36" s="283">
        <f t="shared" si="15"/>
        <v>22454.91637458199</v>
      </c>
      <c r="K36" s="283">
        <f t="shared" si="15"/>
        <v>24347.664341304553</v>
      </c>
      <c r="L36" s="284">
        <f t="shared" si="15"/>
        <v>24308.772470034088</v>
      </c>
      <c r="M36" s="284">
        <f t="shared" si="15"/>
        <v>24347.664341304553</v>
      </c>
      <c r="N36" s="284">
        <f t="shared" si="15"/>
        <v>24386.599045457995</v>
      </c>
      <c r="O36" s="285">
        <f t="shared" si="15"/>
        <v>26388.625085837775</v>
      </c>
      <c r="P36" s="275">
        <f t="shared" si="15"/>
        <v>704616.09041152091</v>
      </c>
    </row>
    <row r="37" spans="1:16" s="17" customFormat="1" ht="12" customHeight="1" x14ac:dyDescent="0.2">
      <c r="A37" s="17" t="s">
        <v>255</v>
      </c>
      <c r="B37" s="517" t="s">
        <v>193</v>
      </c>
      <c r="C37" s="286">
        <f t="shared" ref="C37:P37" si="16">2.54648*C33/(1-$K4)/$C17/$C3/(C40*$C18)^2/$J7</f>
        <v>1.0576140585034302</v>
      </c>
      <c r="D37" s="287">
        <f t="shared" si="16"/>
        <v>1.0551842015576323</v>
      </c>
      <c r="E37" s="287">
        <f t="shared" si="16"/>
        <v>1.0529498888084892</v>
      </c>
      <c r="F37" s="287">
        <f t="shared" si="16"/>
        <v>1.0509054257183368</v>
      </c>
      <c r="G37" s="287">
        <f t="shared" si="16"/>
        <v>1.0490464625626834</v>
      </c>
      <c r="H37" s="287">
        <f t="shared" si="16"/>
        <v>1.0473699359190392</v>
      </c>
      <c r="I37" s="287">
        <f t="shared" si="16"/>
        <v>1.0458740372928574</v>
      </c>
      <c r="J37" s="233">
        <f t="shared" si="16"/>
        <v>1.0445582076307383</v>
      </c>
      <c r="K37" s="233">
        <f t="shared" si="16"/>
        <v>1.0434231574030179</v>
      </c>
      <c r="L37" s="288">
        <f t="shared" si="16"/>
        <v>1.0434440758967418</v>
      </c>
      <c r="M37" s="288">
        <f t="shared" si="16"/>
        <v>1.0434231574030179</v>
      </c>
      <c r="N37" s="288">
        <f t="shared" si="16"/>
        <v>1.0434023119853835</v>
      </c>
      <c r="O37" s="289">
        <f t="shared" si="16"/>
        <v>1.0424537535645102</v>
      </c>
      <c r="P37" s="290">
        <f t="shared" si="16"/>
        <v>2.5509906074106841</v>
      </c>
    </row>
    <row r="38" spans="1:16" x14ac:dyDescent="0.2">
      <c r="A38" s="17" t="s">
        <v>256</v>
      </c>
      <c r="B38" s="601" t="s">
        <v>193</v>
      </c>
      <c r="C38" s="286">
        <f t="shared" ref="C38:P38" si="17">(1.3+0.3*$C19)*C33/(1-$K4)/$C17/(99.6+$C3*9.81*0.65*$C18)/$C18^2+C73</f>
        <v>0.40656620870473847</v>
      </c>
      <c r="D38" s="287">
        <f t="shared" si="17"/>
        <v>0.42054989601899773</v>
      </c>
      <c r="E38" s="287">
        <f t="shared" si="17"/>
        <v>0.43499961913904245</v>
      </c>
      <c r="F38" s="287">
        <f t="shared" si="17"/>
        <v>0.44991922104896453</v>
      </c>
      <c r="G38" s="287">
        <f t="shared" si="17"/>
        <v>0.46531308595586379</v>
      </c>
      <c r="H38" s="287">
        <f t="shared" si="17"/>
        <v>0.48118620175826465</v>
      </c>
      <c r="I38" s="287">
        <f t="shared" si="17"/>
        <v>0.49754423397873787</v>
      </c>
      <c r="J38" s="233">
        <f t="shared" si="17"/>
        <v>0.5143936133460778</v>
      </c>
      <c r="K38" s="233">
        <f t="shared" si="17"/>
        <v>0.53174163969209365</v>
      </c>
      <c r="L38" s="288">
        <f t="shared" si="17"/>
        <v>0.53138974056250277</v>
      </c>
      <c r="M38" s="288">
        <f t="shared" si="17"/>
        <v>0.53174163969209365</v>
      </c>
      <c r="N38" s="288">
        <f t="shared" si="17"/>
        <v>0.53209374155958999</v>
      </c>
      <c r="O38" s="289">
        <f t="shared" si="17"/>
        <v>0.54995893820341313</v>
      </c>
      <c r="P38" s="290">
        <f t="shared" si="17"/>
        <v>3.8903256011053897</v>
      </c>
    </row>
    <row r="39" spans="1:16" s="17" customFormat="1" ht="12" customHeight="1" thickBot="1" x14ac:dyDescent="0.25">
      <c r="A39" s="17" t="s">
        <v>257</v>
      </c>
      <c r="B39" s="292" t="s">
        <v>193</v>
      </c>
      <c r="C39" s="293">
        <f>(1+$K18/100)*IF($K17=3,1/(1+16.8/C21),IF($K17=1,0.81-0.014*C37,0.00098*C37^3-0.018542*C37^2+0.11195*C37+0.634)/(1+SQRT(1+C37))*2)</f>
        <v>0.65328688723833905</v>
      </c>
      <c r="D39" s="294">
        <f t="shared" ref="D39:P39" si="18">(1+$K18/100)*IF($K17=3,1/(1+16.8/D21),IF($K17=1,0.81-0.014*D37,0.00098*D37^3-0.018542*D37^2+0.11195*D37+0.634)/(1+SQRT(1+D37))*2)</f>
        <v>0.65354227718186186</v>
      </c>
      <c r="E39" s="294">
        <f t="shared" si="18"/>
        <v>0.65377739025806469</v>
      </c>
      <c r="F39" s="294">
        <f t="shared" si="18"/>
        <v>0.65399275776446819</v>
      </c>
      <c r="G39" s="294">
        <f t="shared" si="18"/>
        <v>0.65418877718603596</v>
      </c>
      <c r="H39" s="294">
        <f t="shared" si="18"/>
        <v>0.65436571727140058</v>
      </c>
      <c r="I39" s="294">
        <f t="shared" si="18"/>
        <v>0.65452372046399543</v>
      </c>
      <c r="J39" s="294">
        <f t="shared" si="18"/>
        <v>0.65466280279060085</v>
      </c>
      <c r="K39" s="294">
        <f t="shared" si="18"/>
        <v>0.65478285122168156</v>
      </c>
      <c r="L39" s="295">
        <f t="shared" si="18"/>
        <v>0.65478063815652177</v>
      </c>
      <c r="M39" s="295">
        <f t="shared" si="18"/>
        <v>0.65478285122168156</v>
      </c>
      <c r="N39" s="295">
        <f t="shared" si="18"/>
        <v>0.65478505657908193</v>
      </c>
      <c r="O39" s="296">
        <f t="shared" si="18"/>
        <v>0.65488543468443272</v>
      </c>
      <c r="P39" s="297">
        <f t="shared" si="18"/>
        <v>0.53687712575325108</v>
      </c>
    </row>
    <row r="40" spans="1:16" s="17" customFormat="1" ht="12" customHeight="1" thickTop="1" x14ac:dyDescent="0.2">
      <c r="A40" s="298" t="s">
        <v>258</v>
      </c>
      <c r="B40" s="299" t="s">
        <v>259</v>
      </c>
      <c r="C40" s="300">
        <f t="shared" ref="C40:P40" si="19">C21*0.5144*(1-$K3)</f>
        <v>5.6318179449778318</v>
      </c>
      <c r="D40" s="300">
        <f t="shared" si="19"/>
        <v>5.8260185637701705</v>
      </c>
      <c r="E40" s="300">
        <f t="shared" si="19"/>
        <v>6.02021918256251</v>
      </c>
      <c r="F40" s="300">
        <f t="shared" si="19"/>
        <v>6.2144198013548495</v>
      </c>
      <c r="G40" s="300">
        <f t="shared" si="19"/>
        <v>6.4086204201471872</v>
      </c>
      <c r="H40" s="300">
        <f t="shared" si="19"/>
        <v>6.6028210389395277</v>
      </c>
      <c r="I40" s="300">
        <f t="shared" si="19"/>
        <v>6.7970216577318654</v>
      </c>
      <c r="J40" s="300">
        <f t="shared" si="19"/>
        <v>6.9912222765242058</v>
      </c>
      <c r="K40" s="300">
        <f t="shared" si="19"/>
        <v>7.1854228953165444</v>
      </c>
      <c r="L40" s="300">
        <f t="shared" si="19"/>
        <v>7.1815388829406972</v>
      </c>
      <c r="M40" s="300">
        <f t="shared" si="19"/>
        <v>7.1854228953165444</v>
      </c>
      <c r="N40" s="300">
        <f t="shared" si="19"/>
        <v>7.1893069076923917</v>
      </c>
      <c r="O40" s="300">
        <f t="shared" si="19"/>
        <v>7.3835075264847303</v>
      </c>
      <c r="P40" s="301">
        <f t="shared" si="19"/>
        <v>15.327117571495497</v>
      </c>
    </row>
    <row r="41" spans="1:16" s="17" customFormat="1" ht="12" customHeight="1" x14ac:dyDescent="0.2">
      <c r="A41" s="17" t="s">
        <v>260</v>
      </c>
      <c r="B41" s="243" t="s">
        <v>259</v>
      </c>
      <c r="C41" s="287">
        <f t="shared" ref="C41:P41" si="20">C40*SQRT(1+C37)</f>
        <v>8.078496972543622</v>
      </c>
      <c r="D41" s="287">
        <f t="shared" si="20"/>
        <v>8.3521299048529265</v>
      </c>
      <c r="E41" s="287">
        <f t="shared" si="20"/>
        <v>8.6258415761965868</v>
      </c>
      <c r="F41" s="287">
        <f t="shared" si="20"/>
        <v>8.8996597831785849</v>
      </c>
      <c r="G41" s="287">
        <f t="shared" si="20"/>
        <v>9.1736137909007969</v>
      </c>
      <c r="H41" s="287">
        <f t="shared" si="20"/>
        <v>9.4477346532524198</v>
      </c>
      <c r="I41" s="287">
        <f t="shared" si="20"/>
        <v>9.7220555734862106</v>
      </c>
      <c r="J41" s="287">
        <f t="shared" si="20"/>
        <v>9.996612314770962</v>
      </c>
      <c r="K41" s="287">
        <f t="shared" si="20"/>
        <v>10.271443672026003</v>
      </c>
      <c r="L41" s="287">
        <f t="shared" si="20"/>
        <v>10.26594408606957</v>
      </c>
      <c r="M41" s="287">
        <f t="shared" si="20"/>
        <v>10.271443672026003</v>
      </c>
      <c r="N41" s="287">
        <f t="shared" si="20"/>
        <v>10.276943384638106</v>
      </c>
      <c r="O41" s="287">
        <f t="shared" si="20"/>
        <v>10.552098530737158</v>
      </c>
      <c r="P41" s="290">
        <f t="shared" si="20"/>
        <v>28.882531162452594</v>
      </c>
    </row>
    <row r="42" spans="1:16" s="17" customFormat="1" ht="12" customHeight="1" x14ac:dyDescent="0.2">
      <c r="A42" s="17" t="s">
        <v>261</v>
      </c>
      <c r="B42" s="243" t="s">
        <v>259</v>
      </c>
      <c r="C42" s="287">
        <f t="shared" ref="C42:P42" si="21">C41-C40</f>
        <v>2.4466790275657901</v>
      </c>
      <c r="D42" s="287">
        <f t="shared" si="21"/>
        <v>2.526111341082756</v>
      </c>
      <c r="E42" s="287">
        <f t="shared" si="21"/>
        <v>2.6056223936340768</v>
      </c>
      <c r="F42" s="287">
        <f t="shared" si="21"/>
        <v>2.6852399818237354</v>
      </c>
      <c r="G42" s="287">
        <f t="shared" si="21"/>
        <v>2.7649933707536096</v>
      </c>
      <c r="H42" s="287">
        <f t="shared" si="21"/>
        <v>2.8449136143128921</v>
      </c>
      <c r="I42" s="287">
        <f t="shared" si="21"/>
        <v>2.9250339157543452</v>
      </c>
      <c r="J42" s="287">
        <f t="shared" si="21"/>
        <v>3.0053900382467562</v>
      </c>
      <c r="K42" s="287">
        <f t="shared" si="21"/>
        <v>3.0860207767094581</v>
      </c>
      <c r="L42" s="287">
        <f t="shared" si="21"/>
        <v>3.0844052031288731</v>
      </c>
      <c r="M42" s="287">
        <f t="shared" si="21"/>
        <v>3.0860207767094581</v>
      </c>
      <c r="N42" s="287">
        <f t="shared" si="21"/>
        <v>3.0876364769457139</v>
      </c>
      <c r="O42" s="287">
        <f t="shared" si="21"/>
        <v>3.1685910042524279</v>
      </c>
      <c r="P42" s="290">
        <f t="shared" si="21"/>
        <v>13.555413590957096</v>
      </c>
    </row>
    <row r="43" spans="1:16" s="17" customFormat="1" ht="12" customHeight="1" x14ac:dyDescent="0.2">
      <c r="A43" s="17" t="s">
        <v>262</v>
      </c>
      <c r="B43" s="243" t="s">
        <v>193</v>
      </c>
      <c r="C43" s="287">
        <f t="shared" ref="C43:P43" si="22">C41/C40</f>
        <v>1.4344385865220686</v>
      </c>
      <c r="D43" s="287">
        <f t="shared" si="22"/>
        <v>1.4335913649145744</v>
      </c>
      <c r="E43" s="287">
        <f t="shared" si="22"/>
        <v>1.4328118818632434</v>
      </c>
      <c r="F43" s="287">
        <f t="shared" si="22"/>
        <v>1.4320982597986553</v>
      </c>
      <c r="G43" s="287">
        <f t="shared" si="22"/>
        <v>1.431449077879714</v>
      </c>
      <c r="H43" s="287">
        <f t="shared" si="22"/>
        <v>1.4308633533356843</v>
      </c>
      <c r="I43" s="287">
        <f t="shared" si="22"/>
        <v>1.4303405319338669</v>
      </c>
      <c r="J43" s="287">
        <f t="shared" si="22"/>
        <v>1.4298804871844144</v>
      </c>
      <c r="K43" s="287">
        <f t="shared" si="22"/>
        <v>1.4294835282027625</v>
      </c>
      <c r="L43" s="287">
        <f t="shared" si="22"/>
        <v>1.4294908449852841</v>
      </c>
      <c r="M43" s="287">
        <f t="shared" si="22"/>
        <v>1.4294835282027625</v>
      </c>
      <c r="N43" s="287">
        <f t="shared" si="22"/>
        <v>1.4294762369432323</v>
      </c>
      <c r="O43" s="287">
        <f t="shared" si="22"/>
        <v>1.4291444131243387</v>
      </c>
      <c r="P43" s="290">
        <f t="shared" si="22"/>
        <v>1.8844072297172616</v>
      </c>
    </row>
    <row r="44" spans="1:16" s="17" customFormat="1" ht="12" customHeight="1" x14ac:dyDescent="0.2">
      <c r="A44" s="17" t="s">
        <v>263</v>
      </c>
      <c r="B44" s="243" t="s">
        <v>259</v>
      </c>
      <c r="C44" s="287">
        <f t="shared" ref="C44:P44" si="23">C40+0.5*C42</f>
        <v>6.8551574587607274</v>
      </c>
      <c r="D44" s="287">
        <f t="shared" si="23"/>
        <v>7.089074234311548</v>
      </c>
      <c r="E44" s="287">
        <f t="shared" si="23"/>
        <v>7.3230303793795484</v>
      </c>
      <c r="F44" s="287">
        <f t="shared" si="23"/>
        <v>7.5570397922667176</v>
      </c>
      <c r="G44" s="287">
        <f t="shared" si="23"/>
        <v>7.7911171055239921</v>
      </c>
      <c r="H44" s="287">
        <f t="shared" si="23"/>
        <v>8.0252778460959746</v>
      </c>
      <c r="I44" s="287">
        <f t="shared" si="23"/>
        <v>8.2595386156090385</v>
      </c>
      <c r="J44" s="287">
        <f t="shared" si="23"/>
        <v>8.4939172956475844</v>
      </c>
      <c r="K44" s="287">
        <f t="shared" si="23"/>
        <v>8.7284332836712739</v>
      </c>
      <c r="L44" s="287">
        <f t="shared" si="23"/>
        <v>8.7237414845051333</v>
      </c>
      <c r="M44" s="287">
        <f t="shared" si="23"/>
        <v>8.7284332836712739</v>
      </c>
      <c r="N44" s="287">
        <f t="shared" si="23"/>
        <v>8.7331251461652482</v>
      </c>
      <c r="O44" s="287">
        <f t="shared" si="23"/>
        <v>8.9678030286109447</v>
      </c>
      <c r="P44" s="290">
        <f t="shared" si="23"/>
        <v>22.104824366974047</v>
      </c>
    </row>
    <row r="45" spans="1:16" s="17" customFormat="1" ht="12" customHeight="1" x14ac:dyDescent="0.2">
      <c r="A45" s="17" t="s">
        <v>264</v>
      </c>
      <c r="B45" s="243" t="s">
        <v>265</v>
      </c>
      <c r="C45" s="302">
        <f t="shared" ref="C45:P45" si="24">0.785*$C18^2*C44</f>
        <v>539.5934913354057</v>
      </c>
      <c r="D45" s="302">
        <f t="shared" si="24"/>
        <v>558.00590131441822</v>
      </c>
      <c r="E45" s="302">
        <f t="shared" si="24"/>
        <v>576.42141020623535</v>
      </c>
      <c r="F45" s="302">
        <f t="shared" si="24"/>
        <v>594.84111199496181</v>
      </c>
      <c r="G45" s="302">
        <f t="shared" si="24"/>
        <v>613.26615846001232</v>
      </c>
      <c r="H45" s="302">
        <f t="shared" si="24"/>
        <v>631.69777178166487</v>
      </c>
      <c r="I45" s="302">
        <f t="shared" si="24"/>
        <v>650.13725873216958</v>
      </c>
      <c r="J45" s="302">
        <f t="shared" si="24"/>
        <v>668.58602683376262</v>
      </c>
      <c r="K45" s="302">
        <f t="shared" si="24"/>
        <v>687.04560292854012</v>
      </c>
      <c r="L45" s="302">
        <f t="shared" si="24"/>
        <v>686.67629495743483</v>
      </c>
      <c r="M45" s="302">
        <f t="shared" si="24"/>
        <v>687.04560292854012</v>
      </c>
      <c r="N45" s="302">
        <f t="shared" si="24"/>
        <v>687.41491588440135</v>
      </c>
      <c r="O45" s="302">
        <f t="shared" si="24"/>
        <v>705.88723525705734</v>
      </c>
      <c r="P45" s="275">
        <f t="shared" si="24"/>
        <v>1739.9482692098143</v>
      </c>
    </row>
    <row r="46" spans="1:16" s="17" customFormat="1" ht="12" customHeight="1" thickBot="1" x14ac:dyDescent="0.25">
      <c r="A46" s="223" t="s">
        <v>266</v>
      </c>
      <c r="B46" s="303" t="s">
        <v>193</v>
      </c>
      <c r="C46" s="304">
        <f t="shared" ref="C46:P46" si="25">C53+C55+C57+C61+C62+C63</f>
        <v>0.64347752349076548</v>
      </c>
      <c r="D46" s="304">
        <f t="shared" si="25"/>
        <v>0.64688003745506528</v>
      </c>
      <c r="E46" s="304">
        <f t="shared" si="25"/>
        <v>0.65046362841030103</v>
      </c>
      <c r="F46" s="304">
        <f t="shared" si="25"/>
        <v>0.65423966971079661</v>
      </c>
      <c r="G46" s="304">
        <f t="shared" si="25"/>
        <v>0.65822082585609509</v>
      </c>
      <c r="H46" s="304">
        <f t="shared" si="25"/>
        <v>0.66242122518706537</v>
      </c>
      <c r="I46" s="304">
        <f t="shared" si="25"/>
        <v>0.66685666265358301</v>
      </c>
      <c r="J46" s="304">
        <f t="shared" si="25"/>
        <v>0.67154483802963427</v>
      </c>
      <c r="K46" s="304">
        <f t="shared" si="25"/>
        <v>0.67650563598785807</v>
      </c>
      <c r="L46" s="304">
        <f t="shared" si="25"/>
        <v>0.67640360795715904</v>
      </c>
      <c r="M46" s="304">
        <f t="shared" si="25"/>
        <v>0.67650563598785807</v>
      </c>
      <c r="N46" s="304">
        <f t="shared" si="25"/>
        <v>0.6766077819308457</v>
      </c>
      <c r="O46" s="304">
        <f t="shared" si="25"/>
        <v>0.6818697497682733</v>
      </c>
      <c r="P46" s="305">
        <f t="shared" si="25"/>
        <v>3.0538453690383784</v>
      </c>
    </row>
    <row r="47" spans="1:16" s="17" customFormat="1" ht="12" customHeight="1" x14ac:dyDescent="0.2">
      <c r="A47" s="298"/>
      <c r="B47" s="309" t="s">
        <v>267</v>
      </c>
      <c r="C47" s="308">
        <f t="shared" ref="C47:P47" si="26">1.35-0.23*$C13+0.012*$C13^2</f>
        <v>0.32559355775965326</v>
      </c>
      <c r="D47" s="308">
        <f t="shared" si="26"/>
        <v>0.32559355775965326</v>
      </c>
      <c r="E47" s="308">
        <f t="shared" si="26"/>
        <v>0.32559355775965326</v>
      </c>
      <c r="F47" s="308">
        <f t="shared" si="26"/>
        <v>0.32559355775965326</v>
      </c>
      <c r="G47" s="308">
        <f t="shared" si="26"/>
        <v>0.32559355775965326</v>
      </c>
      <c r="H47" s="308">
        <f t="shared" si="26"/>
        <v>0.32559355775965326</v>
      </c>
      <c r="I47" s="308">
        <f t="shared" si="26"/>
        <v>0.32559355775965326</v>
      </c>
      <c r="J47" s="308">
        <f t="shared" si="26"/>
        <v>0.32559355775965326</v>
      </c>
      <c r="K47" s="308">
        <f t="shared" si="26"/>
        <v>0.32559355775965326</v>
      </c>
      <c r="L47" s="308">
        <f t="shared" si="26"/>
        <v>0.32559355775965326</v>
      </c>
      <c r="M47" s="308">
        <f t="shared" si="26"/>
        <v>0.32559355775965326</v>
      </c>
      <c r="N47" s="308">
        <f t="shared" si="26"/>
        <v>0.32559355775965326</v>
      </c>
      <c r="O47" s="308">
        <f t="shared" si="26"/>
        <v>0.32559355775965326</v>
      </c>
      <c r="P47" s="310">
        <f t="shared" si="26"/>
        <v>0.32559355775965326</v>
      </c>
    </row>
    <row r="48" spans="1:16" s="17" customFormat="1" ht="12" customHeight="1" x14ac:dyDescent="0.2">
      <c r="B48" s="306" t="s">
        <v>268</v>
      </c>
      <c r="C48" s="277">
        <f t="shared" ref="C48:P48" si="27">0.0011*$C13^9.1</f>
        <v>56728.855231470181</v>
      </c>
      <c r="D48" s="277">
        <f t="shared" si="27"/>
        <v>56728.855231470181</v>
      </c>
      <c r="E48" s="277">
        <f t="shared" si="27"/>
        <v>56728.855231470181</v>
      </c>
      <c r="F48" s="277">
        <f t="shared" si="27"/>
        <v>56728.855231470181</v>
      </c>
      <c r="G48" s="277">
        <f t="shared" si="27"/>
        <v>56728.855231470181</v>
      </c>
      <c r="H48" s="277">
        <f t="shared" si="27"/>
        <v>56728.855231470181</v>
      </c>
      <c r="I48" s="277">
        <f t="shared" si="27"/>
        <v>56728.855231470181</v>
      </c>
      <c r="J48" s="277">
        <f t="shared" si="27"/>
        <v>56728.855231470181</v>
      </c>
      <c r="K48" s="277">
        <f t="shared" si="27"/>
        <v>56728.855231470181</v>
      </c>
      <c r="L48" s="277">
        <f t="shared" si="27"/>
        <v>56728.855231470181</v>
      </c>
      <c r="M48" s="277">
        <f t="shared" si="27"/>
        <v>56728.855231470181</v>
      </c>
      <c r="N48" s="277">
        <f t="shared" si="27"/>
        <v>56728.855231470181</v>
      </c>
      <c r="O48" s="277">
        <f t="shared" si="27"/>
        <v>56728.855231470181</v>
      </c>
      <c r="P48" s="311">
        <f t="shared" si="27"/>
        <v>56728.855231470181</v>
      </c>
    </row>
    <row r="49" spans="1:16" s="17" customFormat="1" ht="12" customHeight="1" x14ac:dyDescent="0.2">
      <c r="B49" s="306" t="s">
        <v>269</v>
      </c>
      <c r="C49" s="261">
        <f t="shared" ref="C49:P49" si="28">2*$C13-3.7</f>
        <v>10.378219257977491</v>
      </c>
      <c r="D49" s="261">
        <f t="shared" si="28"/>
        <v>10.378219257977491</v>
      </c>
      <c r="E49" s="261">
        <f t="shared" si="28"/>
        <v>10.378219257977491</v>
      </c>
      <c r="F49" s="261">
        <f t="shared" si="28"/>
        <v>10.378219257977491</v>
      </c>
      <c r="G49" s="261">
        <f t="shared" si="28"/>
        <v>10.378219257977491</v>
      </c>
      <c r="H49" s="261">
        <f t="shared" si="28"/>
        <v>10.378219257977491</v>
      </c>
      <c r="I49" s="261">
        <f t="shared" si="28"/>
        <v>10.378219257977491</v>
      </c>
      <c r="J49" s="261">
        <f t="shared" si="28"/>
        <v>10.378219257977491</v>
      </c>
      <c r="K49" s="261">
        <f t="shared" si="28"/>
        <v>10.378219257977491</v>
      </c>
      <c r="L49" s="261">
        <f t="shared" si="28"/>
        <v>10.378219257977491</v>
      </c>
      <c r="M49" s="261">
        <f t="shared" si="28"/>
        <v>10.378219257977491</v>
      </c>
      <c r="N49" s="261">
        <f t="shared" si="28"/>
        <v>10.378219257977491</v>
      </c>
      <c r="O49" s="261">
        <f t="shared" si="28"/>
        <v>10.378219257977491</v>
      </c>
      <c r="P49" s="312">
        <f t="shared" si="28"/>
        <v>10.378219257977491</v>
      </c>
    </row>
    <row r="50" spans="1:16" s="17" customFormat="1" ht="12" customHeight="1" x14ac:dyDescent="0.2">
      <c r="B50" s="306" t="s">
        <v>270</v>
      </c>
      <c r="C50" s="261">
        <f t="shared" ref="C50:P50" si="29">7-0.09*$C13^2</f>
        <v>2.5405842067970132</v>
      </c>
      <c r="D50" s="261">
        <f t="shared" si="29"/>
        <v>2.5405842067970132</v>
      </c>
      <c r="E50" s="261">
        <f t="shared" si="29"/>
        <v>2.5405842067970132</v>
      </c>
      <c r="F50" s="261">
        <f t="shared" si="29"/>
        <v>2.5405842067970132</v>
      </c>
      <c r="G50" s="261">
        <f t="shared" si="29"/>
        <v>2.5405842067970132</v>
      </c>
      <c r="H50" s="261">
        <f t="shared" si="29"/>
        <v>2.5405842067970132</v>
      </c>
      <c r="I50" s="261">
        <f t="shared" si="29"/>
        <v>2.5405842067970132</v>
      </c>
      <c r="J50" s="261">
        <f t="shared" si="29"/>
        <v>2.5405842067970132</v>
      </c>
      <c r="K50" s="261">
        <f t="shared" si="29"/>
        <v>2.5405842067970132</v>
      </c>
      <c r="L50" s="261">
        <f t="shared" si="29"/>
        <v>2.5405842067970132</v>
      </c>
      <c r="M50" s="261">
        <f t="shared" si="29"/>
        <v>2.5405842067970132</v>
      </c>
      <c r="N50" s="261">
        <f t="shared" si="29"/>
        <v>2.5405842067970132</v>
      </c>
      <c r="O50" s="261">
        <f t="shared" si="29"/>
        <v>2.5405842067970132</v>
      </c>
      <c r="P50" s="312">
        <f t="shared" si="29"/>
        <v>2.5405842067970132</v>
      </c>
    </row>
    <row r="51" spans="1:16" s="17" customFormat="1" ht="12" customHeight="1" x14ac:dyDescent="0.2">
      <c r="B51" s="306" t="s">
        <v>271</v>
      </c>
      <c r="C51" s="261">
        <f t="shared" ref="C51:P51" si="30">(5*$C12-2.5)^2</f>
        <v>0.66402531407562237</v>
      </c>
      <c r="D51" s="261">
        <f t="shared" si="30"/>
        <v>0.66402531407562237</v>
      </c>
      <c r="E51" s="261">
        <f t="shared" si="30"/>
        <v>0.66402531407562237</v>
      </c>
      <c r="F51" s="261">
        <f t="shared" si="30"/>
        <v>0.66402531407562237</v>
      </c>
      <c r="G51" s="261">
        <f t="shared" si="30"/>
        <v>0.66402531407562237</v>
      </c>
      <c r="H51" s="261">
        <f t="shared" si="30"/>
        <v>0.66402531407562237</v>
      </c>
      <c r="I51" s="261">
        <f t="shared" si="30"/>
        <v>0.66402531407562237</v>
      </c>
      <c r="J51" s="261">
        <f t="shared" si="30"/>
        <v>0.66402531407562237</v>
      </c>
      <c r="K51" s="261">
        <f t="shared" si="30"/>
        <v>0.66402531407562237</v>
      </c>
      <c r="L51" s="261">
        <f t="shared" si="30"/>
        <v>0.66402531407562237</v>
      </c>
      <c r="M51" s="261">
        <f t="shared" si="30"/>
        <v>0.66402531407562237</v>
      </c>
      <c r="N51" s="261">
        <f t="shared" si="30"/>
        <v>0.66402531407562237</v>
      </c>
      <c r="O51" s="261">
        <f t="shared" si="30"/>
        <v>0.66402531407562237</v>
      </c>
      <c r="P51" s="312">
        <f t="shared" si="30"/>
        <v>0.66402531407562237</v>
      </c>
    </row>
    <row r="52" spans="1:16" s="17" customFormat="1" ht="12" customHeight="1" x14ac:dyDescent="0.2">
      <c r="B52" s="306" t="s">
        <v>272</v>
      </c>
      <c r="C52" s="261">
        <f t="shared" ref="C52:P52" si="31">(600*(C22-0.315)^2+1)^1.5</f>
        <v>120.41225235680685</v>
      </c>
      <c r="D52" s="261">
        <f t="shared" si="31"/>
        <v>113.43967610109111</v>
      </c>
      <c r="E52" s="261">
        <f t="shared" si="31"/>
        <v>106.74747383092519</v>
      </c>
      <c r="F52" s="261">
        <f t="shared" si="31"/>
        <v>100.32977221350377</v>
      </c>
      <c r="G52" s="261">
        <f t="shared" si="31"/>
        <v>94.180698281290063</v>
      </c>
      <c r="H52" s="261">
        <f t="shared" si="31"/>
        <v>88.294379471815105</v>
      </c>
      <c r="I52" s="261">
        <f t="shared" si="31"/>
        <v>82.664943672748848</v>
      </c>
      <c r="J52" s="261">
        <f t="shared" si="31"/>
        <v>77.286519273064286</v>
      </c>
      <c r="K52" s="261">
        <f t="shared" si="31"/>
        <v>72.153235221273292</v>
      </c>
      <c r="L52" s="261">
        <f t="shared" si="31"/>
        <v>72.25353649791569</v>
      </c>
      <c r="M52" s="261">
        <f t="shared" si="31"/>
        <v>72.153235221273292</v>
      </c>
      <c r="N52" s="261">
        <f t="shared" si="31"/>
        <v>72.053029652576583</v>
      </c>
      <c r="O52" s="261">
        <f t="shared" si="31"/>
        <v>67.163741047977467</v>
      </c>
      <c r="P52" s="312">
        <f t="shared" si="31"/>
        <v>1.0225841652402019</v>
      </c>
    </row>
    <row r="53" spans="1:16" s="17" customFormat="1" ht="12" customHeight="1" x14ac:dyDescent="0.2">
      <c r="B53" s="306" t="s">
        <v>273</v>
      </c>
      <c r="C53" s="261">
        <f t="shared" ref="C53:P53" si="32">C50*C51/C52</f>
        <v>1.4010303709418045E-2</v>
      </c>
      <c r="D53" s="261">
        <f t="shared" si="32"/>
        <v>1.4871447837620599E-2</v>
      </c>
      <c r="E53" s="261">
        <f t="shared" si="32"/>
        <v>1.5803767202266273E-2</v>
      </c>
      <c r="F53" s="261">
        <f t="shared" si="32"/>
        <v>1.6814672142023375E-2</v>
      </c>
      <c r="G53" s="261">
        <f t="shared" si="32"/>
        <v>1.7912504968006747E-2</v>
      </c>
      <c r="H53" s="261">
        <f t="shared" si="32"/>
        <v>1.9106677411923737E-2</v>
      </c>
      <c r="I53" s="261">
        <f t="shared" si="32"/>
        <v>2.0407831311570705E-2</v>
      </c>
      <c r="J53" s="261">
        <f t="shared" si="32"/>
        <v>2.1828026953749826E-2</v>
      </c>
      <c r="K53" s="261">
        <f t="shared" si="32"/>
        <v>2.3380964424954329E-2</v>
      </c>
      <c r="L53" s="261">
        <f t="shared" si="32"/>
        <v>2.3348507320504901E-2</v>
      </c>
      <c r="M53" s="261">
        <f t="shared" si="32"/>
        <v>2.3380964424954329E-2</v>
      </c>
      <c r="N53" s="261">
        <f t="shared" si="32"/>
        <v>2.3413480793081764E-2</v>
      </c>
      <c r="O53" s="261">
        <f t="shared" si="32"/>
        <v>2.5117901408274135E-2</v>
      </c>
      <c r="P53" s="312">
        <f t="shared" si="32"/>
        <v>1.6497539109239763</v>
      </c>
    </row>
    <row r="54" spans="1:16" s="17" customFormat="1" ht="12" customHeight="1" x14ac:dyDescent="0.2">
      <c r="B54" s="306"/>
      <c r="C54" s="261">
        <f t="shared" ref="C54:P54" si="33">C22-(0.04+0.59*$C12)-0.015*($C13-5)</f>
        <v>-0.34416093106954754</v>
      </c>
      <c r="D54" s="261">
        <f t="shared" si="33"/>
        <v>-0.34010640498376082</v>
      </c>
      <c r="E54" s="261">
        <f t="shared" si="33"/>
        <v>-0.33605187889797405</v>
      </c>
      <c r="F54" s="261">
        <f t="shared" si="33"/>
        <v>-0.33199735281218734</v>
      </c>
      <c r="G54" s="261">
        <f t="shared" si="33"/>
        <v>-0.32794282672640063</v>
      </c>
      <c r="H54" s="261">
        <f t="shared" si="33"/>
        <v>-0.32388830064061391</v>
      </c>
      <c r="I54" s="261">
        <f t="shared" si="33"/>
        <v>-0.3198337745548272</v>
      </c>
      <c r="J54" s="261">
        <f t="shared" si="33"/>
        <v>-0.31577924846904049</v>
      </c>
      <c r="K54" s="261">
        <f t="shared" si="33"/>
        <v>-0.31172472238325377</v>
      </c>
      <c r="L54" s="261">
        <f t="shared" si="33"/>
        <v>-0.3118058129049695</v>
      </c>
      <c r="M54" s="261">
        <f t="shared" si="33"/>
        <v>-0.31172472238325377</v>
      </c>
      <c r="N54" s="261">
        <f t="shared" si="33"/>
        <v>-0.31164363186153798</v>
      </c>
      <c r="O54" s="261">
        <f t="shared" si="33"/>
        <v>-0.30758910577575127</v>
      </c>
      <c r="P54" s="312">
        <f t="shared" si="33"/>
        <v>-0.14174218755736243</v>
      </c>
    </row>
    <row r="55" spans="1:16" s="17" customFormat="1" ht="12" customHeight="1" x14ac:dyDescent="0.2">
      <c r="B55" s="306" t="s">
        <v>274</v>
      </c>
      <c r="C55" s="261">
        <f t="shared" ref="C55:P55" si="34">EXP(80*C54)</f>
        <v>1.1031245248016748E-12</v>
      </c>
      <c r="D55" s="261">
        <f t="shared" si="34"/>
        <v>1.5257845201565473E-12</v>
      </c>
      <c r="E55" s="261">
        <f t="shared" si="34"/>
        <v>2.1103858627092859E-12</v>
      </c>
      <c r="F55" s="261">
        <f t="shared" si="34"/>
        <v>2.9189760616173E-12</v>
      </c>
      <c r="G55" s="261">
        <f t="shared" si="34"/>
        <v>4.0373760073223947E-12</v>
      </c>
      <c r="H55" s="261">
        <f t="shared" si="34"/>
        <v>5.5842886959035398E-12</v>
      </c>
      <c r="I55" s="261">
        <f t="shared" si="34"/>
        <v>7.7238979432776694E-12</v>
      </c>
      <c r="J55" s="261">
        <f t="shared" si="34"/>
        <v>1.0683294272005083E-11</v>
      </c>
      <c r="K55" s="261">
        <f t="shared" si="34"/>
        <v>1.4776577492403255E-11</v>
      </c>
      <c r="L55" s="261">
        <f t="shared" si="34"/>
        <v>1.4681028521887888E-11</v>
      </c>
      <c r="M55" s="261">
        <f t="shared" si="34"/>
        <v>1.4776577492403255E-11</v>
      </c>
      <c r="N55" s="261">
        <f t="shared" si="34"/>
        <v>1.4872748327098944E-11</v>
      </c>
      <c r="O55" s="261">
        <f t="shared" si="34"/>
        <v>2.0571212641429999E-11</v>
      </c>
      <c r="P55" s="312">
        <f t="shared" si="34"/>
        <v>1.1895207089236834E-5</v>
      </c>
    </row>
    <row r="56" spans="1:16" s="17" customFormat="1" ht="12" customHeight="1" x14ac:dyDescent="0.2">
      <c r="B56" s="306"/>
      <c r="C56" s="261">
        <f t="shared" ref="C56:P56" si="35">20*$C12-16</f>
        <v>-2.7404900636430085</v>
      </c>
      <c r="D56" s="261">
        <f t="shared" si="35"/>
        <v>-2.7404900636430085</v>
      </c>
      <c r="E56" s="261">
        <f t="shared" si="35"/>
        <v>-2.7404900636430085</v>
      </c>
      <c r="F56" s="261">
        <f t="shared" si="35"/>
        <v>-2.7404900636430085</v>
      </c>
      <c r="G56" s="261">
        <f t="shared" si="35"/>
        <v>-2.7404900636430085</v>
      </c>
      <c r="H56" s="261">
        <f t="shared" si="35"/>
        <v>-2.7404900636430085</v>
      </c>
      <c r="I56" s="261">
        <f t="shared" si="35"/>
        <v>-2.7404900636430085</v>
      </c>
      <c r="J56" s="261">
        <f t="shared" si="35"/>
        <v>-2.7404900636430085</v>
      </c>
      <c r="K56" s="261">
        <f t="shared" si="35"/>
        <v>-2.7404900636430085</v>
      </c>
      <c r="L56" s="261">
        <f t="shared" si="35"/>
        <v>-2.7404900636430085</v>
      </c>
      <c r="M56" s="261">
        <f t="shared" si="35"/>
        <v>-2.7404900636430085</v>
      </c>
      <c r="N56" s="261">
        <f t="shared" si="35"/>
        <v>-2.7404900636430085</v>
      </c>
      <c r="O56" s="261">
        <f t="shared" si="35"/>
        <v>-2.7404900636430085</v>
      </c>
      <c r="P56" s="312">
        <f t="shared" si="35"/>
        <v>-2.7404900636430085</v>
      </c>
    </row>
    <row r="57" spans="1:16" s="17" customFormat="1" ht="12" customHeight="1" x14ac:dyDescent="0.2">
      <c r="B57" s="306" t="s">
        <v>275</v>
      </c>
      <c r="C57" s="261">
        <f t="shared" ref="C57:P57" si="36">180*C22^3.7*EXP(C56)</f>
        <v>4.2203041498183481E-3</v>
      </c>
      <c r="D57" s="261">
        <f t="shared" si="36"/>
        <v>4.7843153880326693E-3</v>
      </c>
      <c r="E57" s="261">
        <f t="shared" si="36"/>
        <v>5.4014383786222088E-3</v>
      </c>
      <c r="F57" s="261">
        <f t="shared" si="36"/>
        <v>6.07471739180149E-3</v>
      </c>
      <c r="G57" s="261">
        <f t="shared" si="36"/>
        <v>6.8072662329503267E-3</v>
      </c>
      <c r="H57" s="261">
        <f t="shared" si="36"/>
        <v>7.6022675831757093E-3</v>
      </c>
      <c r="I57" s="261">
        <f t="shared" si="36"/>
        <v>8.4629723661525658E-3</v>
      </c>
      <c r="J57" s="261">
        <f t="shared" si="36"/>
        <v>9.3926991394454699E-3</v>
      </c>
      <c r="K57" s="261">
        <f t="shared" si="36"/>
        <v>1.0394833508684082E-2</v>
      </c>
      <c r="L57" s="261">
        <f t="shared" si="36"/>
        <v>1.0374059007858323E-2</v>
      </c>
      <c r="M57" s="261">
        <f t="shared" si="36"/>
        <v>1.0394833508684082E-2</v>
      </c>
      <c r="N57" s="261">
        <f t="shared" si="36"/>
        <v>1.0415638351186913E-2</v>
      </c>
      <c r="O57" s="261">
        <f t="shared" si="36"/>
        <v>1.1495185264400631E-2</v>
      </c>
      <c r="P57" s="312">
        <f t="shared" si="36"/>
        <v>0.17145403589879846</v>
      </c>
    </row>
    <row r="58" spans="1:16" s="17" customFormat="1" ht="12" customHeight="1" x14ac:dyDescent="0.2">
      <c r="B58" s="306"/>
      <c r="C58" s="261">
        <f t="shared" ref="C58:P58" si="37">C47+1.5*C22^1.8+C48*C22^(C49)</f>
        <v>0.35742628442654872</v>
      </c>
      <c r="D58" s="261">
        <f t="shared" si="37"/>
        <v>0.35943387432047669</v>
      </c>
      <c r="E58" s="261">
        <f t="shared" si="37"/>
        <v>0.36149755267146932</v>
      </c>
      <c r="F58" s="261">
        <f t="shared" si="37"/>
        <v>0.36361758812426448</v>
      </c>
      <c r="G58" s="261">
        <f t="shared" si="37"/>
        <v>0.36579442973681048</v>
      </c>
      <c r="H58" s="261">
        <f t="shared" si="37"/>
        <v>0.36802874347606834</v>
      </c>
      <c r="I58" s="261">
        <f t="shared" si="37"/>
        <v>0.37032145563331637</v>
      </c>
      <c r="J58" s="261">
        <f t="shared" si="37"/>
        <v>0.37267380413222495</v>
      </c>
      <c r="K58" s="261">
        <f t="shared" si="37"/>
        <v>0.3750873988104183</v>
      </c>
      <c r="L58" s="261">
        <f t="shared" si="37"/>
        <v>0.37503851423674373</v>
      </c>
      <c r="M58" s="261">
        <f t="shared" si="37"/>
        <v>0.3750873988104183</v>
      </c>
      <c r="N58" s="261">
        <f t="shared" si="37"/>
        <v>0.37513630868603315</v>
      </c>
      <c r="O58" s="261">
        <f t="shared" si="37"/>
        <v>0.37761449209633235</v>
      </c>
      <c r="P58" s="312">
        <f t="shared" si="37"/>
        <v>0.93359617198525069</v>
      </c>
    </row>
    <row r="59" spans="1:16" s="17" customFormat="1" ht="12" customHeight="1" x14ac:dyDescent="0.2">
      <c r="B59" s="306"/>
      <c r="C59" s="261">
        <f t="shared" ref="C59:P59" si="38">0.98+2.5/($C13-2)^4</f>
        <v>0.98387725872053045</v>
      </c>
      <c r="D59" s="261">
        <f t="shared" si="38"/>
        <v>0.98387725872053045</v>
      </c>
      <c r="E59" s="261">
        <f t="shared" si="38"/>
        <v>0.98387725872053045</v>
      </c>
      <c r="F59" s="261">
        <f t="shared" si="38"/>
        <v>0.98387725872053045</v>
      </c>
      <c r="G59" s="261">
        <f t="shared" si="38"/>
        <v>0.98387725872053045</v>
      </c>
      <c r="H59" s="261">
        <f t="shared" si="38"/>
        <v>0.98387725872053045</v>
      </c>
      <c r="I59" s="261">
        <f t="shared" si="38"/>
        <v>0.98387725872053045</v>
      </c>
      <c r="J59" s="261">
        <f t="shared" si="38"/>
        <v>0.98387725872053045</v>
      </c>
      <c r="K59" s="261">
        <f t="shared" si="38"/>
        <v>0.98387725872053045</v>
      </c>
      <c r="L59" s="261">
        <f t="shared" si="38"/>
        <v>0.98387725872053045</v>
      </c>
      <c r="M59" s="261">
        <f t="shared" si="38"/>
        <v>0.98387725872053045</v>
      </c>
      <c r="N59" s="261">
        <f t="shared" si="38"/>
        <v>0.98387725872053045</v>
      </c>
      <c r="O59" s="261">
        <f t="shared" si="38"/>
        <v>0.98387725872053045</v>
      </c>
      <c r="P59" s="312">
        <f t="shared" si="38"/>
        <v>0.98387725872053045</v>
      </c>
    </row>
    <row r="60" spans="1:16" s="17" customFormat="1" ht="12" customHeight="1" x14ac:dyDescent="0.2">
      <c r="B60" s="306"/>
      <c r="C60" s="261">
        <f t="shared" ref="C60:P60" si="39">($C13-5)^4*(C22-0.1)^4</f>
        <v>1.6518170360163494E-6</v>
      </c>
      <c r="D60" s="261">
        <f t="shared" si="39"/>
        <v>3.788373023509833E-6</v>
      </c>
      <c r="E60" s="261">
        <f t="shared" si="39"/>
        <v>7.5307735838865737E-6</v>
      </c>
      <c r="F60" s="261">
        <f t="shared" si="39"/>
        <v>1.3533450648026722E-5</v>
      </c>
      <c r="G60" s="261">
        <f t="shared" si="39"/>
        <v>2.2562969275323522E-5</v>
      </c>
      <c r="H60" s="261">
        <f t="shared" si="39"/>
        <v>3.5498027653683432E-5</v>
      </c>
      <c r="I60" s="261">
        <f t="shared" si="39"/>
        <v>5.3329457099525538E-5</v>
      </c>
      <c r="J60" s="261">
        <f t="shared" si="39"/>
        <v>7.7160222057782847E-5</v>
      </c>
      <c r="K60" s="261">
        <f t="shared" si="39"/>
        <v>1.0820542010190052E-4</v>
      </c>
      <c r="L60" s="261">
        <f t="shared" si="39"/>
        <v>1.0750541511425068E-4</v>
      </c>
      <c r="M60" s="261">
        <f t="shared" si="39"/>
        <v>1.0820542010190052E-4</v>
      </c>
      <c r="N60" s="261">
        <f t="shared" si="39"/>
        <v>1.0890883801878989E-4</v>
      </c>
      <c r="O60" s="261">
        <f t="shared" si="39"/>
        <v>1.4868084100996977E-4</v>
      </c>
      <c r="P60" s="312">
        <f t="shared" si="39"/>
        <v>4.0499813666552295E-2</v>
      </c>
    </row>
    <row r="61" spans="1:16" s="17" customFormat="1" ht="12" customHeight="1" x14ac:dyDescent="0.2">
      <c r="B61" s="306" t="s">
        <v>276</v>
      </c>
      <c r="C61" s="261">
        <f t="shared" ref="C61:P61" si="40">C58*C59+C60</f>
        <v>0.35166524473329341</v>
      </c>
      <c r="D61" s="261">
        <f t="shared" si="40"/>
        <v>0.35364260333075376</v>
      </c>
      <c r="E61" s="261">
        <f t="shared" si="40"/>
        <v>0.35567675193016968</v>
      </c>
      <c r="F61" s="261">
        <f t="shared" si="40"/>
        <v>0.35776860927692028</v>
      </c>
      <c r="G61" s="261">
        <f t="shared" si="40"/>
        <v>0.35991938375396809</v>
      </c>
      <c r="H61" s="261">
        <f t="shared" si="40"/>
        <v>0.36213060928924912</v>
      </c>
      <c r="I61" s="261">
        <f t="shared" si="40"/>
        <v>0.36440418807100333</v>
      </c>
      <c r="J61" s="261">
        <f t="shared" si="40"/>
        <v>0.36674244102862313</v>
      </c>
      <c r="K61" s="261">
        <f t="shared" si="40"/>
        <v>0.36914816714231063</v>
      </c>
      <c r="L61" s="261">
        <f t="shared" si="40"/>
        <v>0.36909937071698229</v>
      </c>
      <c r="M61" s="261">
        <f t="shared" si="40"/>
        <v>0.36914816714231063</v>
      </c>
      <c r="N61" s="261">
        <f t="shared" si="40"/>
        <v>0.36919699187457178</v>
      </c>
      <c r="O61" s="261">
        <f t="shared" si="40"/>
        <v>0.3716749921778949</v>
      </c>
      <c r="P61" s="312">
        <f t="shared" si="40"/>
        <v>0.95904385611138165</v>
      </c>
    </row>
    <row r="62" spans="1:16" s="17" customFormat="1" ht="12" customHeight="1" x14ac:dyDescent="0.2">
      <c r="B62" s="306" t="s">
        <v>277</v>
      </c>
      <c r="C62" s="261">
        <f t="shared" ref="C62:P62" si="41">0.16*($C5/$C6-2.5)</f>
        <v>0.27358167089713248</v>
      </c>
      <c r="D62" s="261">
        <f t="shared" si="41"/>
        <v>0.27358167089713248</v>
      </c>
      <c r="E62" s="261">
        <f t="shared" si="41"/>
        <v>0.27358167089713248</v>
      </c>
      <c r="F62" s="261">
        <f t="shared" si="41"/>
        <v>0.27358167089713248</v>
      </c>
      <c r="G62" s="261">
        <f t="shared" si="41"/>
        <v>0.27358167089713248</v>
      </c>
      <c r="H62" s="261">
        <f t="shared" si="41"/>
        <v>0.27358167089713248</v>
      </c>
      <c r="I62" s="261">
        <f t="shared" si="41"/>
        <v>0.27358167089713248</v>
      </c>
      <c r="J62" s="261">
        <f t="shared" si="41"/>
        <v>0.27358167089713248</v>
      </c>
      <c r="K62" s="261">
        <f t="shared" si="41"/>
        <v>0.27358167089713248</v>
      </c>
      <c r="L62" s="261">
        <f t="shared" si="41"/>
        <v>0.27358167089713248</v>
      </c>
      <c r="M62" s="261">
        <f t="shared" si="41"/>
        <v>0.27358167089713248</v>
      </c>
      <c r="N62" s="261">
        <f t="shared" si="41"/>
        <v>0.27358167089713248</v>
      </c>
      <c r="O62" s="261">
        <f t="shared" si="41"/>
        <v>0.27358167089713248</v>
      </c>
      <c r="P62" s="312">
        <f t="shared" si="41"/>
        <v>0.27358167089713248</v>
      </c>
    </row>
    <row r="63" spans="1:16" s="17" customFormat="1" ht="12" customHeight="1" x14ac:dyDescent="0.2">
      <c r="B63" s="306" t="s">
        <v>278</v>
      </c>
      <c r="C63" s="261">
        <f t="shared" ref="C63:P63" si="42">($C15-$C14)/3*0.1</f>
        <v>0</v>
      </c>
      <c r="D63" s="261">
        <f t="shared" si="42"/>
        <v>0</v>
      </c>
      <c r="E63" s="261">
        <f t="shared" si="42"/>
        <v>0</v>
      </c>
      <c r="F63" s="261">
        <f t="shared" si="42"/>
        <v>0</v>
      </c>
      <c r="G63" s="261">
        <f t="shared" si="42"/>
        <v>0</v>
      </c>
      <c r="H63" s="261">
        <f t="shared" si="42"/>
        <v>0</v>
      </c>
      <c r="I63" s="261">
        <f t="shared" si="42"/>
        <v>0</v>
      </c>
      <c r="J63" s="261">
        <f t="shared" si="42"/>
        <v>0</v>
      </c>
      <c r="K63" s="261">
        <f t="shared" si="42"/>
        <v>0</v>
      </c>
      <c r="L63" s="261">
        <f t="shared" si="42"/>
        <v>0</v>
      </c>
      <c r="M63" s="261">
        <f t="shared" si="42"/>
        <v>0</v>
      </c>
      <c r="N63" s="261">
        <f t="shared" si="42"/>
        <v>0</v>
      </c>
      <c r="O63" s="261">
        <f t="shared" si="42"/>
        <v>0</v>
      </c>
      <c r="P63" s="312">
        <f t="shared" si="42"/>
        <v>0</v>
      </c>
    </row>
    <row r="64" spans="1:16" s="17" customFormat="1" ht="12" customHeight="1" x14ac:dyDescent="0.2">
      <c r="A64" s="113"/>
      <c r="B64" s="129" t="s">
        <v>279</v>
      </c>
      <c r="C64" s="129">
        <f>0.1*C5/C4+0.149</f>
        <v>0.16263002865717036</v>
      </c>
      <c r="D64" s="129" t="s">
        <v>280</v>
      </c>
      <c r="E64" s="129">
        <f>0.625*C5/C4+0.08</f>
        <v>0.16518767910731474</v>
      </c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35"/>
    </row>
    <row r="65" spans="1:16" s="17" customFormat="1" ht="12" customHeight="1" x14ac:dyDescent="0.2">
      <c r="A65" s="113"/>
      <c r="B65" s="129" t="s">
        <v>281</v>
      </c>
      <c r="C65" s="129">
        <f>0.05*C5/C4+0.449</f>
        <v>0.45581501432858518</v>
      </c>
      <c r="D65" s="129" t="s">
        <v>282</v>
      </c>
      <c r="E65" s="129">
        <f>0.165-0.25*C5/C4</f>
        <v>0.13092492835707412</v>
      </c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5"/>
    </row>
    <row r="66" spans="1:16" s="17" customFormat="1" ht="12" customHeight="1" x14ac:dyDescent="0.2">
      <c r="A66" s="113"/>
      <c r="B66" s="129" t="s">
        <v>283</v>
      </c>
      <c r="C66" s="129">
        <f>585-5027*C5/C4+11700*(C5/C4)^2</f>
        <v>117.17834640252971</v>
      </c>
      <c r="D66" s="129" t="s">
        <v>284</v>
      </c>
      <c r="E66" s="129">
        <f>825-8060*C5/C4+20300*(C5/C4)^2</f>
        <v>103.54838305849802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5"/>
    </row>
    <row r="67" spans="1:16" s="17" customFormat="1" ht="12" customHeight="1" x14ac:dyDescent="0.2">
      <c r="A67" s="113"/>
      <c r="B67" s="129" t="s">
        <v>285</v>
      </c>
      <c r="C67" s="93">
        <f>C64+C65/(C66*(0.98-C11)^3+1)</f>
        <v>0.24991880253088733</v>
      </c>
      <c r="D67" s="93" t="s">
        <v>286</v>
      </c>
      <c r="E67" s="93">
        <f>E64+E65/(E66*(0.98-C11)^3+1)</f>
        <v>0.19286248559132835</v>
      </c>
      <c r="F67" s="93"/>
      <c r="G67" s="93"/>
      <c r="H67" s="129"/>
      <c r="I67" s="129"/>
      <c r="J67" s="129"/>
      <c r="K67" s="129"/>
      <c r="L67" s="129"/>
      <c r="M67" s="129"/>
      <c r="N67" s="129"/>
      <c r="O67" s="129"/>
      <c r="P67" s="135"/>
    </row>
    <row r="68" spans="1:16" s="17" customFormat="1" ht="12" customHeight="1" x14ac:dyDescent="0.2">
      <c r="A68" s="113"/>
      <c r="B68" s="129" t="s">
        <v>287</v>
      </c>
      <c r="C68" s="93">
        <f>0.025*C15/(100*(C11-0.7)^2+1)</f>
        <v>0</v>
      </c>
      <c r="D68" s="93" t="s">
        <v>288</v>
      </c>
      <c r="E68" s="93">
        <f>-0.01*C15</f>
        <v>0</v>
      </c>
      <c r="F68" s="93"/>
      <c r="G68" s="93"/>
      <c r="H68" s="129"/>
      <c r="I68" s="129"/>
      <c r="J68" s="129"/>
      <c r="K68" s="129"/>
      <c r="L68" s="129"/>
      <c r="M68" s="129"/>
      <c r="N68" s="129"/>
      <c r="O68" s="129"/>
      <c r="P68" s="135"/>
    </row>
    <row r="69" spans="1:16" s="17" customFormat="1" ht="12" customHeight="1" x14ac:dyDescent="0.2">
      <c r="A69" s="113"/>
      <c r="B69" s="129" t="s">
        <v>289</v>
      </c>
      <c r="C69" s="93">
        <f>0.00756/(C18/C4+0.002)-0.18</f>
        <v>0.10623735526422862</v>
      </c>
      <c r="D69" s="93" t="s">
        <v>290</v>
      </c>
      <c r="E69" s="93">
        <f>2*(C18/C4-0.04)</f>
        <v>-3.1176705898352877E-2</v>
      </c>
      <c r="F69" s="93"/>
      <c r="G69" s="93"/>
      <c r="H69" s="129"/>
      <c r="I69" s="129"/>
      <c r="J69" s="129"/>
      <c r="K69" s="129"/>
      <c r="L69" s="129"/>
      <c r="M69" s="129"/>
      <c r="N69" s="129"/>
      <c r="O69" s="129"/>
      <c r="P69" s="135"/>
    </row>
    <row r="70" spans="1:16" s="17" customFormat="1" ht="12" customHeight="1" x14ac:dyDescent="0.2">
      <c r="A70" s="113"/>
      <c r="B70" s="129" t="s">
        <v>291</v>
      </c>
      <c r="C70" s="93">
        <f>MIN(0.1,C69)</f>
        <v>0.1</v>
      </c>
      <c r="D70" s="93"/>
      <c r="E70" s="93"/>
      <c r="F70" s="93"/>
      <c r="G70" s="93"/>
      <c r="H70" s="129"/>
      <c r="I70" s="129"/>
      <c r="J70" s="129"/>
      <c r="K70" s="129"/>
      <c r="L70" s="129"/>
      <c r="M70" s="129"/>
      <c r="N70" s="129"/>
      <c r="O70" s="129"/>
      <c r="P70" s="135"/>
    </row>
    <row r="71" spans="1:16" s="17" customFormat="1" ht="12" customHeight="1" x14ac:dyDescent="0.2">
      <c r="A71" s="113"/>
      <c r="B71" s="129" t="s">
        <v>292</v>
      </c>
      <c r="C71" s="93">
        <f>C67+C68+C70</f>
        <v>0.34991880253088736</v>
      </c>
      <c r="D71" s="93" t="s">
        <v>293</v>
      </c>
      <c r="E71" s="93">
        <f>E67+E68+E69</f>
        <v>0.16168577969297548</v>
      </c>
      <c r="F71" s="93" t="s">
        <v>294</v>
      </c>
      <c r="G71" s="93">
        <f>0.7*C11-0.2</f>
        <v>0.25480119081704478</v>
      </c>
      <c r="H71" s="129"/>
      <c r="I71" s="129"/>
      <c r="J71" s="129"/>
      <c r="K71" s="129"/>
      <c r="L71" s="129"/>
      <c r="M71" s="129"/>
      <c r="N71" s="129"/>
      <c r="O71" s="129"/>
      <c r="P71" s="135"/>
    </row>
    <row r="72" spans="1:16" s="17" customFormat="1" ht="12" customHeight="1" x14ac:dyDescent="0.2">
      <c r="A72" s="113"/>
      <c r="B72" s="129" t="s">
        <v>295</v>
      </c>
      <c r="C72" s="93">
        <f>1.133*C11^2-0.797*C11+0.215</f>
        <v>0.1754506269248913</v>
      </c>
      <c r="D72" s="93" t="s">
        <v>296</v>
      </c>
      <c r="E72" s="93">
        <f>0.0665+0.62833*C72</f>
        <v>0.17674089241571694</v>
      </c>
      <c r="F72" s="93" t="s">
        <v>297</v>
      </c>
      <c r="G72" s="93">
        <f>0.19</f>
        <v>0.19</v>
      </c>
      <c r="H72" s="129"/>
      <c r="I72" s="129"/>
      <c r="J72" s="129"/>
      <c r="K72" s="129"/>
      <c r="L72" s="129"/>
      <c r="M72" s="129"/>
      <c r="N72" s="129"/>
      <c r="O72" s="129"/>
      <c r="P72" s="135"/>
    </row>
    <row r="73" spans="1:16" x14ac:dyDescent="0.2">
      <c r="A73" s="136" t="s">
        <v>298</v>
      </c>
      <c r="B73" s="129" t="s">
        <v>299</v>
      </c>
      <c r="C73" s="129">
        <f t="shared" ref="C73:P73" si="43">IF(C22&gt;$J9,0,IF($C17=1,0.2,0.1))</f>
        <v>0.2</v>
      </c>
      <c r="D73" s="129">
        <f t="shared" si="43"/>
        <v>0.2</v>
      </c>
      <c r="E73" s="129">
        <f t="shared" si="43"/>
        <v>0.2</v>
      </c>
      <c r="F73" s="129">
        <f t="shared" si="43"/>
        <v>0.2</v>
      </c>
      <c r="G73" s="129">
        <f t="shared" si="43"/>
        <v>0.2</v>
      </c>
      <c r="H73" s="129">
        <f t="shared" si="43"/>
        <v>0.2</v>
      </c>
      <c r="I73" s="129">
        <f t="shared" si="43"/>
        <v>0.2</v>
      </c>
      <c r="J73" s="129">
        <f t="shared" si="43"/>
        <v>0.2</v>
      </c>
      <c r="K73" s="129">
        <f t="shared" si="43"/>
        <v>0.2</v>
      </c>
      <c r="L73" s="129">
        <f t="shared" si="43"/>
        <v>0.2</v>
      </c>
      <c r="M73" s="129">
        <f t="shared" si="43"/>
        <v>0.2</v>
      </c>
      <c r="N73" s="129">
        <f t="shared" si="43"/>
        <v>0.2</v>
      </c>
      <c r="O73" s="129">
        <f t="shared" si="43"/>
        <v>0.2</v>
      </c>
      <c r="P73" s="129">
        <f t="shared" si="43"/>
        <v>0.2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0"/>
  <dimension ref="A1:AD73"/>
  <sheetViews>
    <sheetView zoomScale="115" workbookViewId="0">
      <selection activeCell="K35" sqref="K35"/>
    </sheetView>
  </sheetViews>
  <sheetFormatPr defaultColWidth="8.85546875" defaultRowHeight="12.75" x14ac:dyDescent="0.2"/>
  <cols>
    <col min="1" max="1" width="26.42578125" style="136" customWidth="1"/>
    <col min="2" max="6" width="7.140625" style="136" customWidth="1"/>
    <col min="7" max="7" width="9" style="136" customWidth="1"/>
    <col min="8" max="8" width="6.42578125" style="136" customWidth="1"/>
    <col min="9" max="11" width="7.140625" style="136" customWidth="1"/>
    <col min="12" max="12" width="6.42578125" style="136" customWidth="1"/>
    <col min="13" max="13" width="7.140625" style="136" customWidth="1"/>
    <col min="14" max="14" width="7.42578125" style="136" customWidth="1"/>
    <col min="15" max="15" width="6.140625" style="136" customWidth="1"/>
    <col min="16" max="16" width="6.7109375" style="136" customWidth="1"/>
    <col min="17" max="30" width="9.140625" style="9" customWidth="1"/>
  </cols>
  <sheetData>
    <row r="1" spans="1:30" ht="21" thickBot="1" x14ac:dyDescent="0.35">
      <c r="A1" s="2" t="s">
        <v>411</v>
      </c>
      <c r="B1" s="3"/>
      <c r="C1" s="3"/>
      <c r="D1" s="3"/>
      <c r="E1" s="4"/>
      <c r="F1" s="3"/>
      <c r="G1" s="5"/>
      <c r="H1" s="6"/>
      <c r="I1" s="7"/>
      <c r="J1" s="6"/>
      <c r="K1" s="6"/>
      <c r="L1" s="6"/>
      <c r="M1" s="6"/>
      <c r="N1" s="6"/>
      <c r="O1" s="6"/>
      <c r="P1" s="8"/>
    </row>
    <row r="2" spans="1:30" s="18" customFormat="1" ht="13.5" thickTop="1" x14ac:dyDescent="0.2">
      <c r="A2" s="10" t="s">
        <v>199</v>
      </c>
      <c r="B2" s="11"/>
      <c r="C2" s="11"/>
      <c r="D2" s="11"/>
      <c r="E2" s="12"/>
      <c r="F2" s="12"/>
      <c r="G2" s="11"/>
      <c r="H2" s="13"/>
      <c r="I2" s="14"/>
      <c r="J2" s="15" t="s">
        <v>200</v>
      </c>
      <c r="K2" s="11"/>
      <c r="L2" s="11"/>
      <c r="M2" s="11"/>
      <c r="N2" s="11"/>
      <c r="O2" s="1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9" t="s">
        <v>201</v>
      </c>
      <c r="B3" s="20" t="s">
        <v>202</v>
      </c>
      <c r="C3" s="21">
        <v>1.0249999999999999</v>
      </c>
      <c r="D3" s="22"/>
      <c r="E3" s="23"/>
      <c r="F3" s="24"/>
      <c r="G3" s="25" t="s">
        <v>203</v>
      </c>
      <c r="H3" s="26"/>
      <c r="I3" s="26"/>
      <c r="J3" s="27">
        <v>1</v>
      </c>
      <c r="K3" s="28">
        <f>IF(J3=1,IF(C17=1,0.7*C71,IF(C16=1,C72,G71)),J3)</f>
        <v>0.26251393060397682</v>
      </c>
      <c r="L3" s="29"/>
      <c r="M3" s="29"/>
      <c r="N3" s="29"/>
      <c r="O3" s="29"/>
      <c r="P3" s="30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9" t="s">
        <v>204</v>
      </c>
      <c r="B4" s="20" t="s">
        <v>205</v>
      </c>
      <c r="C4" s="31">
        <f>'SHIP DATA'!E6</f>
        <v>410.19723000059423</v>
      </c>
      <c r="D4" s="32"/>
      <c r="E4" s="33"/>
      <c r="F4" s="34"/>
      <c r="G4" s="35" t="s">
        <v>206</v>
      </c>
      <c r="H4" s="36"/>
      <c r="I4" s="36"/>
      <c r="J4" s="27">
        <v>1</v>
      </c>
      <c r="K4" s="37">
        <f>IF(K15=1,0.25,IF(J4=1,IF(C17=1,E71,IF(C16=1,E72,G72)),J4))</f>
        <v>0.19</v>
      </c>
      <c r="L4" s="38"/>
      <c r="M4" s="38"/>
      <c r="N4" s="38"/>
      <c r="O4" s="38"/>
      <c r="P4" s="39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9" t="s">
        <v>207</v>
      </c>
      <c r="B5" s="20" t="s">
        <v>205</v>
      </c>
      <c r="C5" s="31">
        <f>'SHIP DATA'!E8</f>
        <v>55.91</v>
      </c>
      <c r="D5" s="32"/>
      <c r="E5" s="33"/>
      <c r="F5" s="34"/>
      <c r="G5" s="35" t="s">
        <v>208</v>
      </c>
      <c r="H5" s="36"/>
      <c r="I5" s="36"/>
      <c r="J5" s="40"/>
      <c r="K5" s="37">
        <f>(1-K4)/(1-K3)</f>
        <v>1.0983258309724593</v>
      </c>
      <c r="L5" s="38"/>
      <c r="M5" s="38"/>
      <c r="N5" s="38"/>
      <c r="O5" s="38"/>
      <c r="P5" s="39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41" t="s">
        <v>209</v>
      </c>
      <c r="B6" s="42" t="s">
        <v>205</v>
      </c>
      <c r="C6" s="43">
        <f>'SHIP DATA'!E10</f>
        <v>14.191460943493519</v>
      </c>
      <c r="D6" s="32"/>
      <c r="E6" s="33"/>
      <c r="F6" s="34"/>
      <c r="G6" s="35" t="s">
        <v>210</v>
      </c>
      <c r="H6" s="36"/>
      <c r="I6" s="36"/>
      <c r="J6" s="27">
        <f>'SHIP DATA'!E45/100</f>
        <v>0.98</v>
      </c>
      <c r="K6" s="44"/>
      <c r="L6" s="45"/>
      <c r="M6" s="46"/>
      <c r="N6" s="38"/>
      <c r="O6" s="38"/>
      <c r="P6" s="39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9" t="s">
        <v>211</v>
      </c>
      <c r="B7" s="20" t="s">
        <v>212</v>
      </c>
      <c r="C7" s="47">
        <f>'SHIP DATA'!E23</f>
        <v>220424.5511905785</v>
      </c>
      <c r="D7" s="32"/>
      <c r="E7" s="33"/>
      <c r="F7" s="34"/>
      <c r="G7" s="35" t="s">
        <v>213</v>
      </c>
      <c r="H7" s="36"/>
      <c r="I7" s="36"/>
      <c r="J7" s="27">
        <f>IF(C16=2,1.03,1.01)</f>
        <v>1.03</v>
      </c>
      <c r="K7" s="48"/>
      <c r="L7" s="38"/>
      <c r="M7" s="38"/>
      <c r="N7" s="38"/>
      <c r="O7" s="38"/>
      <c r="P7" s="39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9" t="s">
        <v>214</v>
      </c>
      <c r="B8" s="20" t="s">
        <v>215</v>
      </c>
      <c r="C8" s="47">
        <f>'SHIP DATA'!E33</f>
        <v>27864.745297694943</v>
      </c>
      <c r="D8" s="32"/>
      <c r="E8" s="33"/>
      <c r="F8" s="34"/>
      <c r="G8" s="49" t="s">
        <v>216</v>
      </c>
      <c r="H8" s="50"/>
      <c r="I8" s="50"/>
      <c r="J8" s="50"/>
      <c r="K8" s="51"/>
      <c r="L8" s="38"/>
      <c r="M8" s="38"/>
      <c r="N8" s="38"/>
      <c r="O8" s="38"/>
      <c r="P8" s="39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9" t="s">
        <v>217</v>
      </c>
      <c r="B9" s="20" t="s">
        <v>215</v>
      </c>
      <c r="C9" s="52">
        <f>IF(C8=0,0.995*(C7/C3/C6+1.9*C4*C6),C8)</f>
        <v>27864.745297694943</v>
      </c>
      <c r="D9" s="32"/>
      <c r="E9" s="33"/>
      <c r="F9" s="34"/>
      <c r="G9" s="25" t="s">
        <v>218</v>
      </c>
      <c r="H9" s="26"/>
      <c r="I9" s="26"/>
      <c r="J9" s="53">
        <v>0.32</v>
      </c>
      <c r="K9" s="54" t="str">
        <f>IF(J9&gt;0.32,"Too high"," ")</f>
        <v xml:space="preserve"> </v>
      </c>
      <c r="L9" s="38"/>
      <c r="M9" s="38"/>
      <c r="N9" s="38"/>
      <c r="O9" s="38"/>
      <c r="P9" s="39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9" t="s">
        <v>186</v>
      </c>
      <c r="B10" s="20" t="s">
        <v>193</v>
      </c>
      <c r="C10" s="21">
        <f>'SHIP DATA'!E29</f>
        <v>0.98</v>
      </c>
      <c r="D10" s="32"/>
      <c r="E10" s="33"/>
      <c r="F10" s="34"/>
      <c r="G10" s="55"/>
      <c r="H10" s="56"/>
      <c r="I10" s="56"/>
      <c r="J10" s="57">
        <v>0.95</v>
      </c>
      <c r="K10" s="58" t="str">
        <f>IF(J10&lt;0.9,"Too low"," ")</f>
        <v xml:space="preserve"> </v>
      </c>
      <c r="L10" s="38"/>
      <c r="M10" s="59" t="s">
        <v>219</v>
      </c>
      <c r="N10" s="60"/>
      <c r="O10" s="60"/>
      <c r="P10" s="61">
        <f>'SHIP DATA'!E35</f>
        <v>23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9" t="s">
        <v>220</v>
      </c>
      <c r="B11" s="20" t="s">
        <v>193</v>
      </c>
      <c r="C11" s="62">
        <f>C7/C3/C4/C5/C6</f>
        <v>0.66073418657710981</v>
      </c>
      <c r="D11" s="32"/>
      <c r="E11" s="33"/>
      <c r="F11" s="33"/>
      <c r="G11" s="33"/>
      <c r="H11" s="33"/>
      <c r="I11" s="33"/>
      <c r="J11" s="33"/>
      <c r="K11" s="33"/>
      <c r="L11" s="33"/>
      <c r="M11" s="38"/>
      <c r="N11" s="38"/>
      <c r="O11" s="38"/>
      <c r="P11" s="39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9" t="s">
        <v>221</v>
      </c>
      <c r="B12" s="20" t="s">
        <v>193</v>
      </c>
      <c r="C12" s="62">
        <f>C11/C10</f>
        <v>0.67421855773174466</v>
      </c>
      <c r="D12" s="32"/>
      <c r="E12" s="33"/>
      <c r="F12" s="34"/>
      <c r="G12" s="705" t="s">
        <v>222</v>
      </c>
      <c r="H12" s="706"/>
      <c r="I12" s="706"/>
      <c r="J12" s="708"/>
      <c r="K12" s="64">
        <f>'SHIP DATA'!E39</f>
        <v>15</v>
      </c>
      <c r="L12" s="65"/>
      <c r="M12" s="65"/>
      <c r="N12" s="65"/>
      <c r="O12" s="38"/>
      <c r="P12" s="39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9" t="s">
        <v>223</v>
      </c>
      <c r="B13" s="20" t="s">
        <v>193</v>
      </c>
      <c r="C13" s="66">
        <f>C4/(C7/C3)^(1/3)</f>
        <v>6.846690401111422</v>
      </c>
      <c r="D13" s="32"/>
      <c r="E13" s="33"/>
      <c r="F13" s="34"/>
      <c r="G13" s="67" t="s">
        <v>224</v>
      </c>
      <c r="H13" s="68"/>
      <c r="I13" s="67"/>
      <c r="J13" s="67"/>
      <c r="K13" s="64">
        <v>15</v>
      </c>
      <c r="L13" s="38"/>
      <c r="M13" s="605" t="s">
        <v>402</v>
      </c>
      <c r="N13" s="605"/>
      <c r="O13" s="606">
        <f>IF('SHIP DATA'!E2&lt;500,2+(500-'SHIP DATA'!E2)/125,IF('SHIP DATA'!E2&lt;9000,7,IF('SHIP DATA'!E2&lt;12000,8,9)))</f>
        <v>9</v>
      </c>
      <c r="P13" s="39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9" t="s">
        <v>225</v>
      </c>
      <c r="B14" s="20" t="s">
        <v>193</v>
      </c>
      <c r="C14" s="69">
        <v>0</v>
      </c>
      <c r="D14" s="32"/>
      <c r="E14" s="33"/>
      <c r="F14" s="34"/>
      <c r="G14" s="70" t="s">
        <v>226</v>
      </c>
      <c r="H14" s="71"/>
      <c r="I14" s="71"/>
      <c r="J14" s="71"/>
      <c r="K14" s="64">
        <v>1</v>
      </c>
      <c r="L14" s="38"/>
      <c r="M14" s="605" t="s">
        <v>403</v>
      </c>
      <c r="N14" s="605"/>
      <c r="O14" s="606">
        <f>IF('SHIP DATA'!E2&lt;2500,1.5,2)</f>
        <v>2</v>
      </c>
      <c r="P14" s="39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9" t="s">
        <v>227</v>
      </c>
      <c r="B15" s="20" t="s">
        <v>193</v>
      </c>
      <c r="C15" s="69">
        <v>0</v>
      </c>
      <c r="D15" s="32"/>
      <c r="E15" s="33"/>
      <c r="F15" s="34"/>
      <c r="G15" s="70" t="s">
        <v>228</v>
      </c>
      <c r="H15" s="71"/>
      <c r="I15" s="71"/>
      <c r="J15" s="71"/>
      <c r="K15" s="64">
        <v>2</v>
      </c>
      <c r="L15" s="38"/>
      <c r="M15" s="201"/>
      <c r="N15" s="201"/>
      <c r="O15" s="201"/>
      <c r="P15" s="39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9" t="s">
        <v>229</v>
      </c>
      <c r="B16" s="20" t="s">
        <v>193</v>
      </c>
      <c r="C16" s="1129">
        <f>'SHIP DATA'!E51</f>
        <v>2</v>
      </c>
      <c r="D16" s="32"/>
      <c r="E16" s="33"/>
      <c r="F16" s="34"/>
      <c r="G16" s="70" t="s">
        <v>230</v>
      </c>
      <c r="H16" s="71"/>
      <c r="I16" s="71"/>
      <c r="J16" s="71"/>
      <c r="K16" s="72"/>
      <c r="L16" s="38"/>
      <c r="M16" s="523" t="s">
        <v>73</v>
      </c>
      <c r="N16" s="523"/>
      <c r="O16" s="529">
        <f>'SHIP DATA'!E42</f>
        <v>0.8</v>
      </c>
      <c r="P16" s="39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9" t="s">
        <v>231</v>
      </c>
      <c r="B17" s="20" t="s">
        <v>193</v>
      </c>
      <c r="C17" s="1129">
        <f>'SHIP DATA'!E50</f>
        <v>2</v>
      </c>
      <c r="D17" s="32"/>
      <c r="E17" s="33"/>
      <c r="F17" s="34"/>
      <c r="G17" s="70" t="s">
        <v>232</v>
      </c>
      <c r="H17" s="71"/>
      <c r="I17" s="71"/>
      <c r="J17" s="71"/>
      <c r="K17" s="721">
        <f>'SHIP DATA'!E53</f>
        <v>1</v>
      </c>
      <c r="L17" s="38"/>
      <c r="M17" s="227" t="s">
        <v>74</v>
      </c>
      <c r="N17" s="227"/>
      <c r="O17" s="524">
        <f>C5*(('SHIP DATA'!E9-C6)+2+O13*2.6+2*O14)</f>
        <v>2538.7914186492771</v>
      </c>
      <c r="P17" s="39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9" t="s">
        <v>233</v>
      </c>
      <c r="B18" s="20" t="s">
        <v>205</v>
      </c>
      <c r="C18" s="31">
        <f>'SHIP DATA'!E52</f>
        <v>10.013590000000001</v>
      </c>
      <c r="D18" s="73">
        <f>C18/C6</f>
        <v>0.70560670531887815</v>
      </c>
      <c r="E18" s="74" t="s">
        <v>234</v>
      </c>
      <c r="F18" s="75"/>
      <c r="G18" s="70" t="s">
        <v>235</v>
      </c>
      <c r="H18" s="71"/>
      <c r="I18" s="71"/>
      <c r="J18" s="71"/>
      <c r="K18" s="64">
        <f>'SHIP DATA'!E46</f>
        <v>0</v>
      </c>
      <c r="L18" s="38"/>
      <c r="M18" s="227" t="s">
        <v>75</v>
      </c>
      <c r="N18" s="227"/>
      <c r="O18" s="525">
        <f>'SHIP DATA'!E43</f>
        <v>0</v>
      </c>
      <c r="P18" s="39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36" t="s">
        <v>236</v>
      </c>
      <c r="B19" s="76" t="s">
        <v>193</v>
      </c>
      <c r="C19" s="77">
        <v>4</v>
      </c>
      <c r="D19" s="78"/>
      <c r="E19" s="79"/>
      <c r="F19" s="65"/>
      <c r="G19" s="80" t="s">
        <v>237</v>
      </c>
      <c r="H19" s="81"/>
      <c r="I19" s="82"/>
      <c r="J19" s="81"/>
      <c r="K19" s="83">
        <v>100</v>
      </c>
      <c r="L19" s="84"/>
      <c r="M19" s="84"/>
      <c r="N19" s="84"/>
      <c r="O19" s="84"/>
      <c r="P19" s="85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0" t="s">
        <v>238</v>
      </c>
      <c r="B20" s="86"/>
      <c r="C20" s="11"/>
      <c r="D20" s="11"/>
      <c r="E20" s="11"/>
      <c r="F20" s="11"/>
      <c r="G20" s="11"/>
      <c r="H20" s="11"/>
      <c r="I20" s="11"/>
      <c r="J20" s="11"/>
      <c r="K20" s="87"/>
      <c r="L20" s="87"/>
      <c r="M20" s="87"/>
      <c r="N20" s="87"/>
      <c r="O20" s="87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88" t="s">
        <v>239</v>
      </c>
      <c r="B21" s="89" t="s">
        <v>240</v>
      </c>
      <c r="C21" s="90">
        <f t="shared" ref="C21:J21" si="0">D21-0.5</f>
        <v>19</v>
      </c>
      <c r="D21" s="90">
        <f t="shared" si="0"/>
        <v>19.5</v>
      </c>
      <c r="E21" s="90">
        <f t="shared" si="0"/>
        <v>20</v>
      </c>
      <c r="F21" s="90">
        <f t="shared" si="0"/>
        <v>20.5</v>
      </c>
      <c r="G21" s="90">
        <f t="shared" si="0"/>
        <v>21</v>
      </c>
      <c r="H21" s="90">
        <f t="shared" si="0"/>
        <v>21.5</v>
      </c>
      <c r="I21" s="90">
        <f t="shared" si="0"/>
        <v>22</v>
      </c>
      <c r="J21" s="90">
        <f t="shared" si="0"/>
        <v>22.5</v>
      </c>
      <c r="K21" s="90">
        <f>P10</f>
        <v>23</v>
      </c>
      <c r="L21" s="90">
        <f>K21+0.5</f>
        <v>23.5</v>
      </c>
      <c r="M21" s="90">
        <f>L21+0.5</f>
        <v>24</v>
      </c>
      <c r="N21" s="90">
        <f>M21+0.5</f>
        <v>24.5</v>
      </c>
      <c r="O21" s="90">
        <f>N21+0.5</f>
        <v>25</v>
      </c>
      <c r="P21" s="91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9" t="s">
        <v>241</v>
      </c>
      <c r="B22" s="76" t="s">
        <v>193</v>
      </c>
      <c r="C22" s="92">
        <f t="shared" ref="C22:O22" si="1">C21*0.5144/SQRT(9.81*$C4)</f>
        <v>0.15407199125989537</v>
      </c>
      <c r="D22" s="93">
        <f t="shared" si="1"/>
        <v>0.15812651734568206</v>
      </c>
      <c r="E22" s="93">
        <f t="shared" si="1"/>
        <v>0.1621810434314688</v>
      </c>
      <c r="F22" s="93">
        <f t="shared" si="1"/>
        <v>0.16623556951725552</v>
      </c>
      <c r="G22" s="93">
        <f t="shared" si="1"/>
        <v>0.17029009560304223</v>
      </c>
      <c r="H22" s="93">
        <f t="shared" si="1"/>
        <v>0.17434462168882897</v>
      </c>
      <c r="I22" s="93">
        <f t="shared" si="1"/>
        <v>0.17839914777461566</v>
      </c>
      <c r="J22" s="62">
        <f t="shared" si="1"/>
        <v>0.1824536738604024</v>
      </c>
      <c r="K22" s="62">
        <f t="shared" si="1"/>
        <v>0.18650819994618911</v>
      </c>
      <c r="L22" s="62">
        <f t="shared" si="1"/>
        <v>0.19056272603197585</v>
      </c>
      <c r="M22" s="62">
        <f t="shared" si="1"/>
        <v>0.19461725211776257</v>
      </c>
      <c r="N22" s="62">
        <f t="shared" si="1"/>
        <v>0.19867177820354925</v>
      </c>
      <c r="O22" s="94">
        <f t="shared" si="1"/>
        <v>0.202726304289336</v>
      </c>
      <c r="P22" s="95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9" t="s">
        <v>242</v>
      </c>
      <c r="B23" s="76" t="s">
        <v>193</v>
      </c>
      <c r="C23" s="92">
        <f t="shared" ref="C23:P23" si="2">75/(LOG10(C21*0.5144*$C4*1000000/((43.4233-31.38*$C3)*($K13+20)^(1.72*$C3-2.202)+4.7478-5.779*$C3))-2)^2</f>
        <v>1.3233929895820649</v>
      </c>
      <c r="D23" s="62">
        <f t="shared" si="2"/>
        <v>1.3194356322748522</v>
      </c>
      <c r="E23" s="62">
        <f t="shared" si="2"/>
        <v>1.3155955295656612</v>
      </c>
      <c r="F23" s="62">
        <f t="shared" si="2"/>
        <v>1.3118663798390429</v>
      </c>
      <c r="G23" s="62">
        <f t="shared" si="2"/>
        <v>1.3082423642617154</v>
      </c>
      <c r="H23" s="62">
        <f t="shared" si="2"/>
        <v>1.3047180992885405</v>
      </c>
      <c r="I23" s="62">
        <f t="shared" si="2"/>
        <v>1.3012885948261597</v>
      </c>
      <c r="J23" s="62">
        <f t="shared" si="2"/>
        <v>1.2979492172682627</v>
      </c>
      <c r="K23" s="62">
        <f t="shared" si="2"/>
        <v>1.294695656740557</v>
      </c>
      <c r="L23" s="62">
        <f t="shared" si="2"/>
        <v>1.2915238979957366</v>
      </c>
      <c r="M23" s="62">
        <f t="shared" si="2"/>
        <v>1.2884301944834013</v>
      </c>
      <c r="N23" s="62">
        <f t="shared" si="2"/>
        <v>1.2854110451902128</v>
      </c>
      <c r="O23" s="94">
        <f t="shared" si="2"/>
        <v>1.2824631739043149</v>
      </c>
      <c r="P23" s="96">
        <f t="shared" si="2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9" t="s">
        <v>243</v>
      </c>
      <c r="B24" s="76" t="s">
        <v>193</v>
      </c>
      <c r="C24" s="97">
        <f>C46</f>
        <v>0.66004356213551774</v>
      </c>
      <c r="D24" s="98">
        <f t="shared" ref="D24:O24" si="3">D46</f>
        <v>0.66639945876632434</v>
      </c>
      <c r="E24" s="98">
        <f t="shared" si="3"/>
        <v>0.67317633458539572</v>
      </c>
      <c r="F24" s="98">
        <f t="shared" si="3"/>
        <v>0.68041458655037412</v>
      </c>
      <c r="G24" s="98">
        <f t="shared" si="3"/>
        <v>0.68816027430093207</v>
      </c>
      <c r="H24" s="98">
        <f t="shared" si="3"/>
        <v>0.69646606631328989</v>
      </c>
      <c r="I24" s="98">
        <f t="shared" si="3"/>
        <v>0.70539236235885128</v>
      </c>
      <c r="J24" s="98">
        <f t="shared" si="3"/>
        <v>0.71500862831399825</v>
      </c>
      <c r="K24" s="98">
        <f t="shared" si="3"/>
        <v>0.72539498750157994</v>
      </c>
      <c r="L24" s="98">
        <f t="shared" si="3"/>
        <v>0.73664412281851843</v>
      </c>
      <c r="M24" s="98">
        <f t="shared" si="3"/>
        <v>0.74886355636060076</v>
      </c>
      <c r="N24" s="98">
        <f t="shared" si="3"/>
        <v>0.76217838860634146</v>
      </c>
      <c r="O24" s="99">
        <f t="shared" si="3"/>
        <v>0.77673459802982114</v>
      </c>
      <c r="P24" s="95">
        <f>P53+P55+P57+P61+P62+P63</f>
        <v>3.5507927380822282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9" t="s">
        <v>244</v>
      </c>
      <c r="B25" s="76" t="s">
        <v>193</v>
      </c>
      <c r="C25" s="266">
        <f>$K14*(IF($C16=2,0.52-2.6*C22,MAX(-50,(250*C22-90))/100*C24))</f>
        <v>0.11941282272427201</v>
      </c>
      <c r="D25" s="268">
        <f>$K14*(IF($C16=2,0.52-2.6*D22,MAX(-50,(250*D22-90))/100*D24))</f>
        <v>0.10887105490122667</v>
      </c>
      <c r="E25" s="268">
        <f t="shared" ref="E25:P25" si="4">$K14*(IF($C16=2,0.52-2.6*E22,MAX(-50,(250*E22-90))/100*E24))</f>
        <v>9.8329287078181116E-2</v>
      </c>
      <c r="F25" s="268">
        <f t="shared" si="4"/>
        <v>8.7787519255135671E-2</v>
      </c>
      <c r="G25" s="268">
        <f t="shared" si="4"/>
        <v>7.7245751432090226E-2</v>
      </c>
      <c r="H25" s="268">
        <f t="shared" si="4"/>
        <v>6.670398360904467E-2</v>
      </c>
      <c r="I25" s="268">
        <f t="shared" si="4"/>
        <v>5.6162215785999281E-2</v>
      </c>
      <c r="J25" s="268">
        <f t="shared" si="4"/>
        <v>4.5620447962953781E-2</v>
      </c>
      <c r="K25" s="268">
        <f t="shared" si="4"/>
        <v>3.5078680139908336E-2</v>
      </c>
      <c r="L25" s="268">
        <f t="shared" si="4"/>
        <v>2.453691231686278E-2</v>
      </c>
      <c r="M25" s="268">
        <f t="shared" si="4"/>
        <v>1.3995144493817335E-2</v>
      </c>
      <c r="N25" s="268">
        <f t="shared" si="4"/>
        <v>3.453376670771946E-3</v>
      </c>
      <c r="O25" s="268">
        <f t="shared" si="4"/>
        <v>-7.0883911522735543E-3</v>
      </c>
      <c r="P25" s="270">
        <f t="shared" si="4"/>
        <v>-0.31200000000000006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9" t="s">
        <v>245</v>
      </c>
      <c r="B26" s="76"/>
      <c r="C26" s="266">
        <f>IF($C17=2,IF($C16=1,0.3,0),0)</f>
        <v>0</v>
      </c>
      <c r="D26" s="268">
        <f t="shared" ref="D26:P26" si="5">IF($C17=2,IF($C16=1,0.3,0),0)</f>
        <v>0</v>
      </c>
      <c r="E26" s="268">
        <f t="shared" si="5"/>
        <v>0</v>
      </c>
      <c r="F26" s="268">
        <f t="shared" si="5"/>
        <v>0</v>
      </c>
      <c r="G26" s="268">
        <f t="shared" si="5"/>
        <v>0</v>
      </c>
      <c r="H26" s="268">
        <f t="shared" si="5"/>
        <v>0</v>
      </c>
      <c r="I26" s="268">
        <f t="shared" si="5"/>
        <v>0</v>
      </c>
      <c r="J26" s="268">
        <f t="shared" si="5"/>
        <v>0</v>
      </c>
      <c r="K26" s="268">
        <f t="shared" si="5"/>
        <v>0</v>
      </c>
      <c r="L26" s="268">
        <f t="shared" si="5"/>
        <v>0</v>
      </c>
      <c r="M26" s="268">
        <f t="shared" si="5"/>
        <v>0</v>
      </c>
      <c r="N26" s="268">
        <f t="shared" si="5"/>
        <v>0</v>
      </c>
      <c r="O26" s="269">
        <f t="shared" si="5"/>
        <v>0</v>
      </c>
      <c r="P26" s="270">
        <f t="shared" si="5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9" t="s">
        <v>246</v>
      </c>
      <c r="B27" s="76" t="s">
        <v>193</v>
      </c>
      <c r="C27" s="97">
        <f>MAX(0.09,0.28*'SHIP DATA'!E2^(-0.126))</f>
        <v>0.09</v>
      </c>
      <c r="D27" s="98">
        <f t="shared" ref="D27:P27" si="6">C27</f>
        <v>0.09</v>
      </c>
      <c r="E27" s="98">
        <f t="shared" si="6"/>
        <v>0.09</v>
      </c>
      <c r="F27" s="98">
        <f t="shared" si="6"/>
        <v>0.09</v>
      </c>
      <c r="G27" s="98">
        <f t="shared" si="6"/>
        <v>0.09</v>
      </c>
      <c r="H27" s="98">
        <f t="shared" si="6"/>
        <v>0.09</v>
      </c>
      <c r="I27" s="98">
        <f t="shared" si="6"/>
        <v>0.09</v>
      </c>
      <c r="J27" s="98">
        <f t="shared" si="6"/>
        <v>0.09</v>
      </c>
      <c r="K27" s="98">
        <f t="shared" si="6"/>
        <v>0.09</v>
      </c>
      <c r="L27" s="98">
        <f t="shared" si="6"/>
        <v>0.09</v>
      </c>
      <c r="M27" s="98">
        <f t="shared" si="6"/>
        <v>0.09</v>
      </c>
      <c r="N27" s="98">
        <f t="shared" si="6"/>
        <v>0.09</v>
      </c>
      <c r="O27" s="99">
        <f t="shared" si="6"/>
        <v>0.09</v>
      </c>
      <c r="P27" s="100">
        <f t="shared" si="6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9" t="s">
        <v>247</v>
      </c>
      <c r="B28" s="76" t="s">
        <v>193</v>
      </c>
      <c r="C28" s="92">
        <f t="shared" ref="C28:O28" si="7">0.5*LOG10($C7)-0.1*(LOG10($C7))^2</f>
        <v>-0.1834127229665441</v>
      </c>
      <c r="D28" s="62">
        <f t="shared" si="7"/>
        <v>-0.1834127229665441</v>
      </c>
      <c r="E28" s="62">
        <f t="shared" si="7"/>
        <v>-0.1834127229665441</v>
      </c>
      <c r="F28" s="62">
        <f t="shared" si="7"/>
        <v>-0.1834127229665441</v>
      </c>
      <c r="G28" s="62">
        <f t="shared" si="7"/>
        <v>-0.1834127229665441</v>
      </c>
      <c r="H28" s="62">
        <f t="shared" si="7"/>
        <v>-0.1834127229665441</v>
      </c>
      <c r="I28" s="62">
        <f t="shared" si="7"/>
        <v>-0.1834127229665441</v>
      </c>
      <c r="J28" s="62">
        <f t="shared" si="7"/>
        <v>-0.1834127229665441</v>
      </c>
      <c r="K28" s="62">
        <f t="shared" si="7"/>
        <v>-0.1834127229665441</v>
      </c>
      <c r="L28" s="62">
        <f t="shared" si="7"/>
        <v>-0.1834127229665441</v>
      </c>
      <c r="M28" s="62">
        <f t="shared" si="7"/>
        <v>-0.1834127229665441</v>
      </c>
      <c r="N28" s="62">
        <f t="shared" si="7"/>
        <v>-0.1834127229665441</v>
      </c>
      <c r="O28" s="94">
        <f t="shared" si="7"/>
        <v>-0.1834127229665441</v>
      </c>
      <c r="P28" s="96">
        <f>0.5*LOG10($C7)-0.1*(LOG10($C7))^2</f>
        <v>-0.1834127229665441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9" t="s">
        <v>248</v>
      </c>
      <c r="B29" s="76" t="s">
        <v>193</v>
      </c>
      <c r="C29" s="97">
        <f t="shared" ref="C29:O29" si="8">C23+C24+C25+C26+C27+C28</f>
        <v>2.0094366514753101</v>
      </c>
      <c r="D29" s="98">
        <f t="shared" si="8"/>
        <v>2.0012934229758592</v>
      </c>
      <c r="E29" s="98">
        <f t="shared" si="8"/>
        <v>1.9936884282626934</v>
      </c>
      <c r="F29" s="98">
        <f t="shared" si="8"/>
        <v>1.9866557626780086</v>
      </c>
      <c r="G29" s="98">
        <f t="shared" si="8"/>
        <v>1.9802356670281935</v>
      </c>
      <c r="H29" s="98">
        <f t="shared" si="8"/>
        <v>1.9744754262443309</v>
      </c>
      <c r="I29" s="98">
        <f t="shared" si="8"/>
        <v>1.9694304500044661</v>
      </c>
      <c r="J29" s="98">
        <f t="shared" si="8"/>
        <v>1.9651655705786708</v>
      </c>
      <c r="K29" s="98">
        <f t="shared" si="8"/>
        <v>1.9617566014155008</v>
      </c>
      <c r="L29" s="98">
        <f t="shared" si="8"/>
        <v>1.9592922101645738</v>
      </c>
      <c r="M29" s="98">
        <f t="shared" si="8"/>
        <v>1.9578761723712752</v>
      </c>
      <c r="N29" s="98">
        <f t="shared" si="8"/>
        <v>1.9576300875007817</v>
      </c>
      <c r="O29" s="99">
        <f t="shared" si="8"/>
        <v>1.958696657815318</v>
      </c>
      <c r="P29" s="96">
        <f>P23+P24+P25+P27+P28</f>
        <v>4.3638518449394912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8" customFormat="1" ht="12" customHeight="1" x14ac:dyDescent="0.2">
      <c r="A30" s="509" t="s">
        <v>69</v>
      </c>
      <c r="B30" s="518" t="s">
        <v>250</v>
      </c>
      <c r="C30" s="530">
        <f>0.00062*$O17*$O16*((C21*0.5144+$O18)^2-(C21*0.5144)^2)</f>
        <v>0</v>
      </c>
      <c r="D30" s="511">
        <f t="shared" ref="D30:O30" si="9">0.00062*$O17*$O16*((D21*0.5144+$O18)^2-(D21*0.5144)^2)</f>
        <v>0</v>
      </c>
      <c r="E30" s="511">
        <f t="shared" si="9"/>
        <v>0</v>
      </c>
      <c r="F30" s="511">
        <f t="shared" si="9"/>
        <v>0</v>
      </c>
      <c r="G30" s="511">
        <f t="shared" si="9"/>
        <v>0</v>
      </c>
      <c r="H30" s="511">
        <f t="shared" si="9"/>
        <v>0</v>
      </c>
      <c r="I30" s="511">
        <f t="shared" si="9"/>
        <v>0</v>
      </c>
      <c r="J30" s="511">
        <f t="shared" si="9"/>
        <v>0</v>
      </c>
      <c r="K30" s="511">
        <f t="shared" si="9"/>
        <v>0</v>
      </c>
      <c r="L30" s="511">
        <f t="shared" si="9"/>
        <v>0</v>
      </c>
      <c r="M30" s="511">
        <f t="shared" si="9"/>
        <v>0</v>
      </c>
      <c r="N30" s="511">
        <f t="shared" si="9"/>
        <v>0</v>
      </c>
      <c r="O30" s="519">
        <f t="shared" si="9"/>
        <v>0</v>
      </c>
      <c r="P30" s="51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s="18" customFormat="1" ht="12" customHeight="1" x14ac:dyDescent="0.2">
      <c r="A31" s="509" t="s">
        <v>70</v>
      </c>
      <c r="B31" s="518" t="s">
        <v>196</v>
      </c>
      <c r="C31" s="531">
        <f>C30/C32*100</f>
        <v>0</v>
      </c>
      <c r="D31" s="513">
        <f t="shared" ref="D31:O31" si="10">D30/D32*100</f>
        <v>0</v>
      </c>
      <c r="E31" s="513">
        <f t="shared" si="10"/>
        <v>0</v>
      </c>
      <c r="F31" s="513">
        <f t="shared" si="10"/>
        <v>0</v>
      </c>
      <c r="G31" s="513">
        <f t="shared" si="10"/>
        <v>0</v>
      </c>
      <c r="H31" s="513">
        <f t="shared" si="10"/>
        <v>0</v>
      </c>
      <c r="I31" s="513">
        <f t="shared" si="10"/>
        <v>0</v>
      </c>
      <c r="J31" s="513">
        <f t="shared" si="10"/>
        <v>0</v>
      </c>
      <c r="K31" s="513">
        <f t="shared" si="10"/>
        <v>0</v>
      </c>
      <c r="L31" s="513">
        <f t="shared" si="10"/>
        <v>0</v>
      </c>
      <c r="M31" s="513">
        <f t="shared" si="10"/>
        <v>0</v>
      </c>
      <c r="N31" s="513">
        <f t="shared" si="10"/>
        <v>0</v>
      </c>
      <c r="O31" s="520">
        <f t="shared" si="10"/>
        <v>0</v>
      </c>
      <c r="P31" s="5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s="18" customFormat="1" ht="12" customHeight="1" x14ac:dyDescent="0.2">
      <c r="A32" s="509" t="s">
        <v>71</v>
      </c>
      <c r="B32" s="518" t="s">
        <v>250</v>
      </c>
      <c r="C32" s="532">
        <f>($C9*$C3*C21^2*0.0001323*C29*$K19/100)+C30</f>
        <v>2741.0711491885427</v>
      </c>
      <c r="D32" s="514">
        <f t="shared" ref="D32:O32" si="11">($C9*$C3*D21^2*0.0001323*D29*$K19/100)+D30</f>
        <v>2875.5357948292944</v>
      </c>
      <c r="E32" s="514">
        <f t="shared" si="11"/>
        <v>3013.3950235734214</v>
      </c>
      <c r="F32" s="514">
        <f t="shared" si="11"/>
        <v>3154.7803762629878</v>
      </c>
      <c r="G32" s="514">
        <f t="shared" si="11"/>
        <v>3299.8504292228126</v>
      </c>
      <c r="H32" s="514">
        <f t="shared" si="11"/>
        <v>3448.7954754189032</v>
      </c>
      <c r="I32" s="514">
        <f t="shared" si="11"/>
        <v>3601.843155708933</v>
      </c>
      <c r="J32" s="514">
        <f t="shared" si="11"/>
        <v>3759.265250382166</v>
      </c>
      <c r="K32" s="514">
        <f t="shared" si="11"/>
        <v>3921.3858915680908</v>
      </c>
      <c r="L32" s="514">
        <f t="shared" si="11"/>
        <v>4088.5915204058988</v>
      </c>
      <c r="M32" s="514">
        <f t="shared" si="11"/>
        <v>4261.3429925067749</v>
      </c>
      <c r="N32" s="514">
        <f t="shared" si="11"/>
        <v>4440.1903354076012</v>
      </c>
      <c r="O32" s="522">
        <f t="shared" si="11"/>
        <v>4625.7907875036854</v>
      </c>
      <c r="P32" s="51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16" s="17" customFormat="1" ht="12" customHeight="1" x14ac:dyDescent="0.2">
      <c r="A33" s="19" t="s">
        <v>249</v>
      </c>
      <c r="B33" s="76" t="s">
        <v>250</v>
      </c>
      <c r="C33" s="101">
        <f>($C9*$C3*C21^2*0.0001323*C29*$K19/100)*(1+$K12/100)+C30</f>
        <v>3152.2318215668238</v>
      </c>
      <c r="D33" s="102">
        <f>($C9*$C3*D21^2*0.0001323*D29*$K19/100)*(1+$K12/100)+D30</f>
        <v>3306.8661640536884</v>
      </c>
      <c r="E33" s="102">
        <f t="shared" ref="E33:P33" si="12">($C9*$C3*E21^2*0.0001323*E29*$K19/100)*(1+$K12/100)+E30</f>
        <v>3465.4042771094346</v>
      </c>
      <c r="F33" s="102">
        <f t="shared" si="12"/>
        <v>3627.9974327024356</v>
      </c>
      <c r="G33" s="102">
        <f t="shared" si="12"/>
        <v>3794.827993606234</v>
      </c>
      <c r="H33" s="102">
        <f t="shared" si="12"/>
        <v>3966.1147967317384</v>
      </c>
      <c r="I33" s="102">
        <f t="shared" si="12"/>
        <v>4142.1196290652724</v>
      </c>
      <c r="J33" s="102">
        <f t="shared" si="12"/>
        <v>4323.1550379394903</v>
      </c>
      <c r="K33" s="102">
        <f t="shared" si="12"/>
        <v>4509.593775303304</v>
      </c>
      <c r="L33" s="102">
        <f t="shared" si="12"/>
        <v>4701.8802484667831</v>
      </c>
      <c r="M33" s="102">
        <f t="shared" si="12"/>
        <v>4900.5444413827909</v>
      </c>
      <c r="N33" s="102">
        <f t="shared" si="12"/>
        <v>5106.2188857187411</v>
      </c>
      <c r="O33" s="102">
        <f t="shared" si="12"/>
        <v>5319.6594056292379</v>
      </c>
      <c r="P33" s="103">
        <f t="shared" si="12"/>
        <v>29530.200300253684</v>
      </c>
    </row>
    <row r="34" spans="1:16" s="17" customFormat="1" ht="12" customHeight="1" x14ac:dyDescent="0.2">
      <c r="A34" s="19" t="s">
        <v>251</v>
      </c>
      <c r="B34" s="76" t="s">
        <v>252</v>
      </c>
      <c r="C34" s="104">
        <f t="shared" ref="C34:P34" si="13">C33*C21*0.5144</f>
        <v>30808.652931265508</v>
      </c>
      <c r="D34" s="105">
        <f t="shared" si="13"/>
        <v>33170.513118389739</v>
      </c>
      <c r="E34" s="105">
        <f t="shared" si="13"/>
        <v>35652.079202901863</v>
      </c>
      <c r="F34" s="105">
        <f t="shared" si="13"/>
        <v>38257.958527333722</v>
      </c>
      <c r="G34" s="105">
        <f t="shared" si="13"/>
        <v>40993.24991813198</v>
      </c>
      <c r="H34" s="105">
        <f t="shared" si="13"/>
        <v>43863.643205934328</v>
      </c>
      <c r="I34" s="105">
        <f t="shared" si="13"/>
        <v>46875.539418205874</v>
      </c>
      <c r="J34" s="52">
        <f t="shared" si="13"/>
        <v>50036.196409111661</v>
      </c>
      <c r="K34" s="52">
        <f t="shared" si="13"/>
        <v>53353.905874368451</v>
      </c>
      <c r="L34" s="52">
        <f t="shared" si="13"/>
        <v>56838.209195565854</v>
      </c>
      <c r="M34" s="52">
        <f t="shared" si="13"/>
        <v>60500.161455535381</v>
      </c>
      <c r="N34" s="52">
        <f t="shared" si="13"/>
        <v>64352.65537293614</v>
      </c>
      <c r="O34" s="106">
        <f t="shared" si="13"/>
        <v>68410.819956391992</v>
      </c>
      <c r="P34" s="103">
        <f t="shared" si="13"/>
        <v>599442.0936227584</v>
      </c>
    </row>
    <row r="35" spans="1:16" s="17" customFormat="1" ht="12" customHeight="1" x14ac:dyDescent="0.2">
      <c r="A35" s="19" t="s">
        <v>253</v>
      </c>
      <c r="B35" s="76" t="s">
        <v>193</v>
      </c>
      <c r="C35" s="92">
        <f t="shared" ref="C35:P35" si="14">C39*$J6*IF($K17=3,1,$K5*$J7)</f>
        <v>0.74327075094640693</v>
      </c>
      <c r="D35" s="93">
        <f t="shared" si="14"/>
        <v>0.74373256231163187</v>
      </c>
      <c r="E35" s="93">
        <f t="shared" si="14"/>
        <v>0.74416467543228748</v>
      </c>
      <c r="F35" s="93">
        <f t="shared" si="14"/>
        <v>0.74456498110909619</v>
      </c>
      <c r="G35" s="93">
        <f t="shared" si="14"/>
        <v>0.74493101813571416</v>
      </c>
      <c r="H35" s="93">
        <f t="shared" si="14"/>
        <v>0.7452599223784917</v>
      </c>
      <c r="I35" s="93">
        <f t="shared" si="14"/>
        <v>0.74554836613551834</v>
      </c>
      <c r="J35" s="62">
        <f t="shared" si="14"/>
        <v>0.74579248603033754</v>
      </c>
      <c r="K35" s="62">
        <f t="shared" si="14"/>
        <v>0.74598779733674658</v>
      </c>
      <c r="L35" s="62">
        <f t="shared" si="14"/>
        <v>0.74612909220652324</v>
      </c>
      <c r="M35" s="62">
        <f t="shared" si="14"/>
        <v>0.74621031877415245</v>
      </c>
      <c r="N35" s="62">
        <f t="shared" si="14"/>
        <v>0.74622443753746814</v>
      </c>
      <c r="O35" s="94">
        <f t="shared" si="14"/>
        <v>0.74616325076379042</v>
      </c>
      <c r="P35" s="95">
        <f t="shared" si="14"/>
        <v>0.638099211655625</v>
      </c>
    </row>
    <row r="36" spans="1:16" s="17" customFormat="1" ht="12" customHeight="1" x14ac:dyDescent="0.2">
      <c r="A36" s="107" t="s">
        <v>254</v>
      </c>
      <c r="B36" s="108" t="s">
        <v>252</v>
      </c>
      <c r="C36" s="109">
        <f t="shared" ref="C36:P36" si="15">C34/C35</f>
        <v>41450.108042105567</v>
      </c>
      <c r="D36" s="110">
        <f t="shared" si="15"/>
        <v>44600.054911258463</v>
      </c>
      <c r="E36" s="110">
        <f t="shared" si="15"/>
        <v>47908.85724613502</v>
      </c>
      <c r="F36" s="110">
        <f t="shared" si="15"/>
        <v>51382.9679047557</v>
      </c>
      <c r="G36" s="110">
        <f t="shared" si="15"/>
        <v>55029.591895264166</v>
      </c>
      <c r="H36" s="110">
        <f t="shared" si="15"/>
        <v>58856.83892130389</v>
      </c>
      <c r="I36" s="110">
        <f t="shared" si="15"/>
        <v>62873.908048623241</v>
      </c>
      <c r="J36" s="111">
        <f t="shared" si="15"/>
        <v>67091.312055772403</v>
      </c>
      <c r="K36" s="111">
        <f t="shared" si="15"/>
        <v>71521.150969020411</v>
      </c>
      <c r="L36" s="111">
        <f t="shared" si="15"/>
        <v>76177.446757207319</v>
      </c>
      <c r="M36" s="111">
        <f t="shared" si="15"/>
        <v>81076.5543351409</v>
      </c>
      <c r="N36" s="111">
        <f t="shared" si="15"/>
        <v>86237.668100630879</v>
      </c>
      <c r="O36" s="112">
        <f t="shared" si="15"/>
        <v>91683.448476409219</v>
      </c>
      <c r="P36" s="103">
        <f t="shared" si="15"/>
        <v>939418.32660697692</v>
      </c>
    </row>
    <row r="37" spans="1:16" s="17" customFormat="1" ht="12" customHeight="1" x14ac:dyDescent="0.2">
      <c r="A37" s="113" t="s">
        <v>255</v>
      </c>
      <c r="B37" s="76" t="s">
        <v>193</v>
      </c>
      <c r="C37" s="114">
        <f t="shared" ref="C37:P37" si="16">2.54648*C33/(1-$K4)/$C17/$C3/(C40*$C18)^2/$J7</f>
        <v>0.90091939944702237</v>
      </c>
      <c r="D37" s="115">
        <f t="shared" si="16"/>
        <v>0.89726842964715425</v>
      </c>
      <c r="E37" s="115">
        <f t="shared" si="16"/>
        <v>0.89385877387883028</v>
      </c>
      <c r="F37" s="115">
        <f t="shared" si="16"/>
        <v>0.89070571859320413</v>
      </c>
      <c r="G37" s="115">
        <f t="shared" si="16"/>
        <v>0.88782730552505551</v>
      </c>
      <c r="H37" s="115">
        <f t="shared" si="16"/>
        <v>0.88524473460207675</v>
      </c>
      <c r="I37" s="115">
        <f t="shared" si="16"/>
        <v>0.88298284843566976</v>
      </c>
      <c r="J37" s="66">
        <f t="shared" si="16"/>
        <v>0.8810707142023354</v>
      </c>
      <c r="K37" s="66">
        <f t="shared" si="16"/>
        <v>0.87954232242697861</v>
      </c>
      <c r="L37" s="66">
        <f t="shared" si="16"/>
        <v>0.87843742674183301</v>
      </c>
      <c r="M37" s="66">
        <f t="shared" si="16"/>
        <v>0.8778025543175666</v>
      </c>
      <c r="N37" s="66">
        <f t="shared" si="16"/>
        <v>0.87769222357707</v>
      </c>
      <c r="O37" s="116">
        <f t="shared" si="16"/>
        <v>0.87817041426127718</v>
      </c>
      <c r="P37" s="117">
        <f t="shared" si="16"/>
        <v>1.9565079498934255</v>
      </c>
    </row>
    <row r="38" spans="1:16" x14ac:dyDescent="0.2">
      <c r="A38" s="113" t="s">
        <v>256</v>
      </c>
      <c r="B38" s="118" t="s">
        <v>193</v>
      </c>
      <c r="C38" s="114">
        <f t="shared" ref="C38:P38" si="17">(1.3+0.3*$C19)*C33/(1-$K4)/$C17/(99.6+$C3*9.81*0.65*$C18)/$C18^2+C73</f>
        <v>0.39393642152141894</v>
      </c>
      <c r="D38" s="115">
        <f t="shared" si="17"/>
        <v>0.40835562285170501</v>
      </c>
      <c r="E38" s="115">
        <f t="shared" si="17"/>
        <v>0.42313883939927532</v>
      </c>
      <c r="F38" s="115">
        <f t="shared" si="17"/>
        <v>0.43830017683388278</v>
      </c>
      <c r="G38" s="115">
        <f t="shared" si="17"/>
        <v>0.45385663995216297</v>
      </c>
      <c r="H38" s="115">
        <f t="shared" si="17"/>
        <v>0.46982863465765679</v>
      </c>
      <c r="I38" s="115">
        <f t="shared" si="17"/>
        <v>0.48624057182314162</v>
      </c>
      <c r="J38" s="66">
        <f t="shared" si="17"/>
        <v>0.50312159557560943</v>
      </c>
      <c r="K38" s="66">
        <f t="shared" si="17"/>
        <v>0.52050646394688682</v>
      </c>
      <c r="L38" s="66">
        <f t="shared" si="17"/>
        <v>0.53843661662219167</v>
      </c>
      <c r="M38" s="66">
        <f t="shared" si="17"/>
        <v>0.5569614730590341</v>
      </c>
      <c r="N38" s="66">
        <f t="shared" si="17"/>
        <v>0.57614001499014966</v>
      </c>
      <c r="O38" s="116">
        <f t="shared" si="17"/>
        <v>0.59604272081302856</v>
      </c>
      <c r="P38" s="117">
        <f t="shared" si="17"/>
        <v>2.8536050311023398</v>
      </c>
    </row>
    <row r="39" spans="1:16" s="17" customFormat="1" ht="12" customHeight="1" thickBot="1" x14ac:dyDescent="0.25">
      <c r="A39" s="113" t="s">
        <v>257</v>
      </c>
      <c r="B39" s="119" t="s">
        <v>193</v>
      </c>
      <c r="C39" s="169">
        <f>(1+$K18/100)*IF($K17=3,1/(1+16.8/C21),IF($K17=1,0.81-0.014*C37,0.00098*C37^3-0.018542*C37^2+0.11195*C37+0.634)/(1+SQRT(1+C37))*2)</f>
        <v>0.67042861865439696</v>
      </c>
      <c r="D39" s="170">
        <f>(1+$K18/100)*IF($K17=3,1/(1+16.8/D21),IF($K17=1,0.81-0.014*D37,0.00098*D37^3-0.018542*D37^2+0.11195*D37+0.634)/(1+SQRT(1+D37))*2)</f>
        <v>0.67084517151252099</v>
      </c>
      <c r="E39" s="170">
        <f t="shared" ref="E39:O39" si="18">(1+$K18/100)*IF($K17=3,1/(1+16.8/E21),IF($K17=1,0.81-0.014*E37,0.00098*E37^3-0.018542*E37^2+0.11195*E37+0.634)/(1+SQRT(1+E37))*2)</f>
        <v>0.67123493661792122</v>
      </c>
      <c r="F39" s="170">
        <f t="shared" si="18"/>
        <v>0.67159601147738623</v>
      </c>
      <c r="G39" s="170">
        <f t="shared" si="18"/>
        <v>0.67192617608808747</v>
      </c>
      <c r="H39" s="170">
        <f t="shared" si="18"/>
        <v>0.67222284700763346</v>
      </c>
      <c r="I39" s="170">
        <f t="shared" si="18"/>
        <v>0.67248302265605853</v>
      </c>
      <c r="J39" s="170">
        <f t="shared" si="18"/>
        <v>0.67270321827610857</v>
      </c>
      <c r="K39" s="170">
        <f t="shared" si="18"/>
        <v>0.67287938865439489</v>
      </c>
      <c r="L39" s="170">
        <f t="shared" si="18"/>
        <v>0.67300683632302261</v>
      </c>
      <c r="M39" s="170">
        <f t="shared" si="18"/>
        <v>0.67308010251231409</v>
      </c>
      <c r="N39" s="170">
        <f t="shared" si="18"/>
        <v>0.67309283760645688</v>
      </c>
      <c r="O39" s="171">
        <f t="shared" si="18"/>
        <v>0.67303764726820603</v>
      </c>
      <c r="P39" s="120">
        <f>(1+$K18/100)*IF($K17=3,1/(1+16.8/P21),IF($K17=1,0.81-0.014*P37,0.00098*P37^3-0.018542*P37^2+0.11195*P37+0.634)/(1+SQRT(1+P37))*2)</f>
        <v>0.57556411642732141</v>
      </c>
    </row>
    <row r="40" spans="1:16" s="17" customFormat="1" ht="12" customHeight="1" thickTop="1" x14ac:dyDescent="0.2">
      <c r="A40" s="121" t="s">
        <v>258</v>
      </c>
      <c r="B40" s="122" t="s">
        <v>259</v>
      </c>
      <c r="C40" s="123">
        <f t="shared" ref="C40:P40" si="19">C21*0.5144*(1-$K3)</f>
        <v>7.2078938478489727</v>
      </c>
      <c r="D40" s="123">
        <f t="shared" si="19"/>
        <v>7.397575264897629</v>
      </c>
      <c r="E40" s="123">
        <f t="shared" si="19"/>
        <v>7.587256681946287</v>
      </c>
      <c r="F40" s="123">
        <f t="shared" si="19"/>
        <v>7.7769380989949441</v>
      </c>
      <c r="G40" s="123">
        <f t="shared" si="19"/>
        <v>7.9666195160436004</v>
      </c>
      <c r="H40" s="123">
        <f t="shared" si="19"/>
        <v>8.1563009330922576</v>
      </c>
      <c r="I40" s="123">
        <f t="shared" si="19"/>
        <v>8.3459823501409147</v>
      </c>
      <c r="J40" s="123">
        <f t="shared" si="19"/>
        <v>8.5356637671895736</v>
      </c>
      <c r="K40" s="123">
        <f t="shared" si="19"/>
        <v>8.725345184238229</v>
      </c>
      <c r="L40" s="123">
        <f t="shared" si="19"/>
        <v>8.915026601286888</v>
      </c>
      <c r="M40" s="123">
        <f t="shared" si="19"/>
        <v>9.1047080183355433</v>
      </c>
      <c r="N40" s="123">
        <f t="shared" si="19"/>
        <v>9.2943894353842005</v>
      </c>
      <c r="O40" s="123">
        <f t="shared" si="19"/>
        <v>9.4840708524328576</v>
      </c>
      <c r="P40" s="124">
        <f t="shared" si="19"/>
        <v>14.970443443032565</v>
      </c>
    </row>
    <row r="41" spans="1:16" s="17" customFormat="1" ht="12" customHeight="1" x14ac:dyDescent="0.2">
      <c r="A41" s="113" t="s">
        <v>260</v>
      </c>
      <c r="B41" s="76" t="s">
        <v>259</v>
      </c>
      <c r="C41" s="115">
        <f t="shared" ref="C41:P41" si="20">C40*SQRT(1+C37)</f>
        <v>9.9377995706085187</v>
      </c>
      <c r="D41" s="115">
        <f t="shared" si="20"/>
        <v>10.18952132518683</v>
      </c>
      <c r="E41" s="115">
        <f t="shared" si="20"/>
        <v>10.441396115823911</v>
      </c>
      <c r="F41" s="115">
        <f t="shared" si="20"/>
        <v>10.693518154046298</v>
      </c>
      <c r="G41" s="115">
        <f t="shared" si="20"/>
        <v>10.945994045882355</v>
      </c>
      <c r="H41" s="115">
        <f t="shared" si="20"/>
        <v>11.198944936326862</v>
      </c>
      <c r="I41" s="115">
        <f t="shared" si="20"/>
        <v>11.452509060279734</v>
      </c>
      <c r="J41" s="115">
        <f t="shared" si="20"/>
        <v>11.706844784114276</v>
      </c>
      <c r="K41" s="115">
        <f t="shared" si="20"/>
        <v>11.96213424059316</v>
      </c>
      <c r="L41" s="115">
        <f t="shared" si="20"/>
        <v>12.218587682688941</v>
      </c>
      <c r="M41" s="115">
        <f t="shared" si="20"/>
        <v>12.476448709890773</v>
      </c>
      <c r="N41" s="115">
        <f t="shared" si="20"/>
        <v>12.736000554804606</v>
      </c>
      <c r="O41" s="115">
        <f t="shared" si="20"/>
        <v>12.997573659332943</v>
      </c>
      <c r="P41" s="117">
        <f t="shared" si="20"/>
        <v>25.740927443132396</v>
      </c>
    </row>
    <row r="42" spans="1:16" s="17" customFormat="1" ht="12" customHeight="1" x14ac:dyDescent="0.2">
      <c r="A42" s="113" t="s">
        <v>261</v>
      </c>
      <c r="B42" s="76" t="s">
        <v>259</v>
      </c>
      <c r="C42" s="115">
        <f t="shared" ref="C42:P42" si="21">C41-C40</f>
        <v>2.729905722759546</v>
      </c>
      <c r="D42" s="115">
        <f t="shared" si="21"/>
        <v>2.7919460602892006</v>
      </c>
      <c r="E42" s="115">
        <f t="shared" si="21"/>
        <v>2.8541394338776245</v>
      </c>
      <c r="F42" s="115">
        <f t="shared" si="21"/>
        <v>2.9165800550513543</v>
      </c>
      <c r="G42" s="115">
        <f t="shared" si="21"/>
        <v>2.9793745298387542</v>
      </c>
      <c r="H42" s="115">
        <f t="shared" si="21"/>
        <v>3.0426440032346047</v>
      </c>
      <c r="I42" s="115">
        <f t="shared" si="21"/>
        <v>3.1065267101388194</v>
      </c>
      <c r="J42" s="115">
        <f t="shared" si="21"/>
        <v>3.1711810169247023</v>
      </c>
      <c r="K42" s="115">
        <f t="shared" si="21"/>
        <v>3.2367890563549313</v>
      </c>
      <c r="L42" s="115">
        <f t="shared" si="21"/>
        <v>3.3035610814020533</v>
      </c>
      <c r="M42" s="115">
        <f t="shared" si="21"/>
        <v>3.3717406915552299</v>
      </c>
      <c r="N42" s="115">
        <f t="shared" si="21"/>
        <v>3.441611119420406</v>
      </c>
      <c r="O42" s="115">
        <f t="shared" si="21"/>
        <v>3.5135028069000853</v>
      </c>
      <c r="P42" s="117">
        <f t="shared" si="21"/>
        <v>10.770484000099831</v>
      </c>
    </row>
    <row r="43" spans="1:16" s="17" customFormat="1" ht="12" customHeight="1" x14ac:dyDescent="0.2">
      <c r="A43" s="113" t="s">
        <v>262</v>
      </c>
      <c r="B43" s="76" t="s">
        <v>193</v>
      </c>
      <c r="C43" s="115">
        <f t="shared" ref="C43:P43" si="22">C41/C40</f>
        <v>1.3787383361055217</v>
      </c>
      <c r="D43" s="115">
        <f t="shared" si="22"/>
        <v>1.3774136741179661</v>
      </c>
      <c r="E43" s="115">
        <f t="shared" si="22"/>
        <v>1.3761754153736472</v>
      </c>
      <c r="F43" s="115">
        <f t="shared" si="22"/>
        <v>1.3750293519024255</v>
      </c>
      <c r="G43" s="115">
        <f t="shared" si="22"/>
        <v>1.3739822799166863</v>
      </c>
      <c r="H43" s="115">
        <f t="shared" si="22"/>
        <v>1.37304214596715</v>
      </c>
      <c r="I43" s="115">
        <f t="shared" si="22"/>
        <v>1.3722182218713137</v>
      </c>
      <c r="J43" s="115">
        <f t="shared" si="22"/>
        <v>1.3715213137980522</v>
      </c>
      <c r="K43" s="115">
        <f t="shared" si="22"/>
        <v>1.3709640120830957</v>
      </c>
      <c r="L43" s="115">
        <f t="shared" si="22"/>
        <v>1.3705609897928048</v>
      </c>
      <c r="M43" s="115">
        <f t="shared" si="22"/>
        <v>1.370329359795508</v>
      </c>
      <c r="N43" s="115">
        <f t="shared" si="22"/>
        <v>1.370289102188684</v>
      </c>
      <c r="O43" s="115">
        <f t="shared" si="22"/>
        <v>1.370463576408099</v>
      </c>
      <c r="P43" s="117">
        <f t="shared" si="22"/>
        <v>1.7194498974652985</v>
      </c>
    </row>
    <row r="44" spans="1:16" s="17" customFormat="1" ht="12" customHeight="1" x14ac:dyDescent="0.2">
      <c r="A44" s="113" t="s">
        <v>263</v>
      </c>
      <c r="B44" s="76" t="s">
        <v>259</v>
      </c>
      <c r="C44" s="115">
        <f t="shared" ref="C44:P44" si="23">C40+0.5*C42</f>
        <v>8.5728467092287453</v>
      </c>
      <c r="D44" s="115">
        <f t="shared" si="23"/>
        <v>8.7935482950422283</v>
      </c>
      <c r="E44" s="115">
        <f t="shared" si="23"/>
        <v>9.0143263988850997</v>
      </c>
      <c r="F44" s="115">
        <f t="shared" si="23"/>
        <v>9.2352281265206209</v>
      </c>
      <c r="G44" s="115">
        <f t="shared" si="23"/>
        <v>9.4563067809629775</v>
      </c>
      <c r="H44" s="115">
        <f t="shared" si="23"/>
        <v>9.6776229347095608</v>
      </c>
      <c r="I44" s="115">
        <f t="shared" si="23"/>
        <v>9.8992457052103244</v>
      </c>
      <c r="J44" s="115">
        <f t="shared" si="23"/>
        <v>10.121254275651925</v>
      </c>
      <c r="K44" s="115">
        <f t="shared" si="23"/>
        <v>10.343739712415694</v>
      </c>
      <c r="L44" s="115">
        <f t="shared" si="23"/>
        <v>10.566807141987915</v>
      </c>
      <c r="M44" s="115">
        <f t="shared" si="23"/>
        <v>10.790578364113159</v>
      </c>
      <c r="N44" s="115">
        <f t="shared" si="23"/>
        <v>11.015194995094404</v>
      </c>
      <c r="O44" s="115">
        <f t="shared" si="23"/>
        <v>11.2408222558829</v>
      </c>
      <c r="P44" s="117">
        <f t="shared" si="23"/>
        <v>20.355685443082479</v>
      </c>
    </row>
    <row r="45" spans="1:16" s="17" customFormat="1" ht="12" customHeight="1" x14ac:dyDescent="0.2">
      <c r="A45" s="113" t="s">
        <v>264</v>
      </c>
      <c r="B45" s="76" t="s">
        <v>265</v>
      </c>
      <c r="C45" s="125">
        <f t="shared" ref="C45:P45" si="24">0.785*$C18^2*C44</f>
        <v>674.79883785955258</v>
      </c>
      <c r="D45" s="125">
        <f t="shared" si="24"/>
        <v>692.17103389571582</v>
      </c>
      <c r="E45" s="125">
        <f t="shared" si="24"/>
        <v>709.54925293439601</v>
      </c>
      <c r="F45" s="125">
        <f t="shared" si="24"/>
        <v>726.93720283546531</v>
      </c>
      <c r="G45" s="125">
        <f t="shared" si="24"/>
        <v>744.33907926615655</v>
      </c>
      <c r="H45" s="125">
        <f t="shared" si="24"/>
        <v>761.75965010022617</v>
      </c>
      <c r="I45" s="125">
        <f t="shared" si="24"/>
        <v>779.20435581462289</v>
      </c>
      <c r="J45" s="125">
        <f t="shared" si="24"/>
        <v>796.67942919574136</v>
      </c>
      <c r="K45" s="125">
        <f t="shared" si="24"/>
        <v>814.19203839791533</v>
      </c>
      <c r="L45" s="125">
        <f t="shared" si="24"/>
        <v>831.75045829566193</v>
      </c>
      <c r="M45" s="125">
        <f t="shared" si="24"/>
        <v>849.36427617414711</v>
      </c>
      <c r="N45" s="125">
        <f t="shared" si="24"/>
        <v>867.04463914936559</v>
      </c>
      <c r="O45" s="125">
        <f t="shared" si="24"/>
        <v>884.80455234198223</v>
      </c>
      <c r="P45" s="103">
        <f t="shared" si="24"/>
        <v>1602.2674085656695</v>
      </c>
    </row>
    <row r="46" spans="1:16" s="17" customFormat="1" ht="12" customHeight="1" thickBot="1" x14ac:dyDescent="0.25">
      <c r="A46" s="56" t="s">
        <v>266</v>
      </c>
      <c r="B46" s="126" t="s">
        <v>193</v>
      </c>
      <c r="C46" s="127">
        <f t="shared" ref="C46:P46" si="25">C53+C55+C57+C61+C62+C63</f>
        <v>0.66004356213551774</v>
      </c>
      <c r="D46" s="127">
        <f t="shared" si="25"/>
        <v>0.66639945876632434</v>
      </c>
      <c r="E46" s="127">
        <f t="shared" si="25"/>
        <v>0.67317633458539572</v>
      </c>
      <c r="F46" s="127">
        <f t="shared" si="25"/>
        <v>0.68041458655037412</v>
      </c>
      <c r="G46" s="127">
        <f t="shared" si="25"/>
        <v>0.68816027430093207</v>
      </c>
      <c r="H46" s="127">
        <f t="shared" si="25"/>
        <v>0.69646606631328989</v>
      </c>
      <c r="I46" s="127">
        <f t="shared" si="25"/>
        <v>0.70539236235885128</v>
      </c>
      <c r="J46" s="127">
        <f t="shared" si="25"/>
        <v>0.71500862831399825</v>
      </c>
      <c r="K46" s="127">
        <f t="shared" si="25"/>
        <v>0.72539498750157994</v>
      </c>
      <c r="L46" s="127">
        <f t="shared" si="25"/>
        <v>0.73664412281851843</v>
      </c>
      <c r="M46" s="127">
        <f t="shared" si="25"/>
        <v>0.74886355636060076</v>
      </c>
      <c r="N46" s="127">
        <f t="shared" si="25"/>
        <v>0.76217838860634146</v>
      </c>
      <c r="O46" s="127">
        <f t="shared" si="25"/>
        <v>0.77673459802982114</v>
      </c>
      <c r="P46" s="128">
        <f t="shared" si="25"/>
        <v>3.5507927380822282</v>
      </c>
    </row>
    <row r="47" spans="1:16" s="17" customFormat="1" ht="12" customHeight="1" x14ac:dyDescent="0.2">
      <c r="A47" s="121"/>
      <c r="B47" s="131" t="s">
        <v>267</v>
      </c>
      <c r="C47" s="130">
        <f t="shared" ref="C47:P47" si="26">1.35-0.23*$C13+0.012*$C13^2</f>
        <v>0.33778724112842839</v>
      </c>
      <c r="D47" s="130">
        <f t="shared" si="26"/>
        <v>0.33778724112842839</v>
      </c>
      <c r="E47" s="130">
        <f t="shared" si="26"/>
        <v>0.33778724112842839</v>
      </c>
      <c r="F47" s="130">
        <f t="shared" si="26"/>
        <v>0.33778724112842839</v>
      </c>
      <c r="G47" s="130">
        <f t="shared" si="26"/>
        <v>0.33778724112842839</v>
      </c>
      <c r="H47" s="130">
        <f t="shared" si="26"/>
        <v>0.33778724112842839</v>
      </c>
      <c r="I47" s="130">
        <f t="shared" si="26"/>
        <v>0.33778724112842839</v>
      </c>
      <c r="J47" s="130">
        <f t="shared" si="26"/>
        <v>0.33778724112842839</v>
      </c>
      <c r="K47" s="130">
        <f t="shared" si="26"/>
        <v>0.33778724112842839</v>
      </c>
      <c r="L47" s="130">
        <f t="shared" si="26"/>
        <v>0.33778724112842839</v>
      </c>
      <c r="M47" s="130">
        <f t="shared" si="26"/>
        <v>0.33778724112842839</v>
      </c>
      <c r="N47" s="130">
        <f t="shared" si="26"/>
        <v>0.33778724112842839</v>
      </c>
      <c r="O47" s="130">
        <f t="shared" si="26"/>
        <v>0.33778724112842839</v>
      </c>
      <c r="P47" s="132">
        <f t="shared" si="26"/>
        <v>0.33778724112842839</v>
      </c>
    </row>
    <row r="48" spans="1:16" s="17" customFormat="1" ht="12" customHeight="1" x14ac:dyDescent="0.2">
      <c r="A48" s="113"/>
      <c r="B48" s="129" t="s">
        <v>268</v>
      </c>
      <c r="C48" s="105">
        <f t="shared" ref="C48:P48" si="27">0.0011*$C13^9.1</f>
        <v>44082.575969218087</v>
      </c>
      <c r="D48" s="105">
        <f t="shared" si="27"/>
        <v>44082.575969218087</v>
      </c>
      <c r="E48" s="105">
        <f t="shared" si="27"/>
        <v>44082.575969218087</v>
      </c>
      <c r="F48" s="105">
        <f t="shared" si="27"/>
        <v>44082.575969218087</v>
      </c>
      <c r="G48" s="105">
        <f t="shared" si="27"/>
        <v>44082.575969218087</v>
      </c>
      <c r="H48" s="105">
        <f t="shared" si="27"/>
        <v>44082.575969218087</v>
      </c>
      <c r="I48" s="105">
        <f t="shared" si="27"/>
        <v>44082.575969218087</v>
      </c>
      <c r="J48" s="105">
        <f t="shared" si="27"/>
        <v>44082.575969218087</v>
      </c>
      <c r="K48" s="105">
        <f t="shared" si="27"/>
        <v>44082.575969218087</v>
      </c>
      <c r="L48" s="105">
        <f t="shared" si="27"/>
        <v>44082.575969218087</v>
      </c>
      <c r="M48" s="105">
        <f t="shared" si="27"/>
        <v>44082.575969218087</v>
      </c>
      <c r="N48" s="105">
        <f t="shared" si="27"/>
        <v>44082.575969218087</v>
      </c>
      <c r="O48" s="105">
        <f t="shared" si="27"/>
        <v>44082.575969218087</v>
      </c>
      <c r="P48" s="133">
        <f t="shared" si="27"/>
        <v>44082.575969218087</v>
      </c>
    </row>
    <row r="49" spans="1:16" s="17" customFormat="1" ht="12" customHeight="1" x14ac:dyDescent="0.2">
      <c r="A49" s="113"/>
      <c r="B49" s="129" t="s">
        <v>269</v>
      </c>
      <c r="C49" s="93">
        <f t="shared" ref="C49:P49" si="28">2*$C13-3.7</f>
        <v>9.9933808022228447</v>
      </c>
      <c r="D49" s="93">
        <f t="shared" si="28"/>
        <v>9.9933808022228447</v>
      </c>
      <c r="E49" s="93">
        <f t="shared" si="28"/>
        <v>9.9933808022228447</v>
      </c>
      <c r="F49" s="93">
        <f t="shared" si="28"/>
        <v>9.9933808022228447</v>
      </c>
      <c r="G49" s="93">
        <f t="shared" si="28"/>
        <v>9.9933808022228447</v>
      </c>
      <c r="H49" s="93">
        <f t="shared" si="28"/>
        <v>9.9933808022228447</v>
      </c>
      <c r="I49" s="93">
        <f t="shared" si="28"/>
        <v>9.9933808022228447</v>
      </c>
      <c r="J49" s="93">
        <f t="shared" si="28"/>
        <v>9.9933808022228447</v>
      </c>
      <c r="K49" s="93">
        <f t="shared" si="28"/>
        <v>9.9933808022228447</v>
      </c>
      <c r="L49" s="93">
        <f t="shared" si="28"/>
        <v>9.9933808022228447</v>
      </c>
      <c r="M49" s="93">
        <f t="shared" si="28"/>
        <v>9.9933808022228447</v>
      </c>
      <c r="N49" s="93">
        <f t="shared" si="28"/>
        <v>9.9933808022228447</v>
      </c>
      <c r="O49" s="93">
        <f t="shared" si="28"/>
        <v>9.9933808022228447</v>
      </c>
      <c r="P49" s="134">
        <f t="shared" si="28"/>
        <v>9.9933808022228447</v>
      </c>
    </row>
    <row r="50" spans="1:16" s="17" customFormat="1" ht="12" customHeight="1" x14ac:dyDescent="0.2">
      <c r="A50" s="113"/>
      <c r="B50" s="129" t="s">
        <v>270</v>
      </c>
      <c r="C50" s="93">
        <f t="shared" ref="C50:P50" si="29">7-0.09*$C13^2</f>
        <v>2.7810547496195852</v>
      </c>
      <c r="D50" s="93">
        <f t="shared" si="29"/>
        <v>2.7810547496195852</v>
      </c>
      <c r="E50" s="93">
        <f t="shared" si="29"/>
        <v>2.7810547496195852</v>
      </c>
      <c r="F50" s="93">
        <f t="shared" si="29"/>
        <v>2.7810547496195852</v>
      </c>
      <c r="G50" s="93">
        <f t="shared" si="29"/>
        <v>2.7810547496195852</v>
      </c>
      <c r="H50" s="93">
        <f t="shared" si="29"/>
        <v>2.7810547496195852</v>
      </c>
      <c r="I50" s="93">
        <f t="shared" si="29"/>
        <v>2.7810547496195852</v>
      </c>
      <c r="J50" s="93">
        <f t="shared" si="29"/>
        <v>2.7810547496195852</v>
      </c>
      <c r="K50" s="93">
        <f t="shared" si="29"/>
        <v>2.7810547496195852</v>
      </c>
      <c r="L50" s="93">
        <f t="shared" si="29"/>
        <v>2.7810547496195852</v>
      </c>
      <c r="M50" s="93">
        <f t="shared" si="29"/>
        <v>2.7810547496195852</v>
      </c>
      <c r="N50" s="93">
        <f t="shared" si="29"/>
        <v>2.7810547496195852</v>
      </c>
      <c r="O50" s="93">
        <f t="shared" si="29"/>
        <v>2.7810547496195852</v>
      </c>
      <c r="P50" s="134">
        <f t="shared" si="29"/>
        <v>2.7810547496195852</v>
      </c>
    </row>
    <row r="51" spans="1:16" s="17" customFormat="1" ht="12" customHeight="1" x14ac:dyDescent="0.2">
      <c r="A51" s="113"/>
      <c r="B51" s="129" t="s">
        <v>271</v>
      </c>
      <c r="C51" s="93">
        <f t="shared" ref="C51:P51" si="30">(5*$C12-2.5)^2</f>
        <v>0.75880264645323103</v>
      </c>
      <c r="D51" s="93">
        <f t="shared" si="30"/>
        <v>0.75880264645323103</v>
      </c>
      <c r="E51" s="93">
        <f t="shared" si="30"/>
        <v>0.75880264645323103</v>
      </c>
      <c r="F51" s="93">
        <f t="shared" si="30"/>
        <v>0.75880264645323103</v>
      </c>
      <c r="G51" s="93">
        <f t="shared" si="30"/>
        <v>0.75880264645323103</v>
      </c>
      <c r="H51" s="93">
        <f t="shared" si="30"/>
        <v>0.75880264645323103</v>
      </c>
      <c r="I51" s="93">
        <f t="shared" si="30"/>
        <v>0.75880264645323103</v>
      </c>
      <c r="J51" s="93">
        <f t="shared" si="30"/>
        <v>0.75880264645323103</v>
      </c>
      <c r="K51" s="93">
        <f t="shared" si="30"/>
        <v>0.75880264645323103</v>
      </c>
      <c r="L51" s="93">
        <f t="shared" si="30"/>
        <v>0.75880264645323103</v>
      </c>
      <c r="M51" s="93">
        <f t="shared" si="30"/>
        <v>0.75880264645323103</v>
      </c>
      <c r="N51" s="93">
        <f t="shared" si="30"/>
        <v>0.75880264645323103</v>
      </c>
      <c r="O51" s="93">
        <f t="shared" si="30"/>
        <v>0.75880264645323103</v>
      </c>
      <c r="P51" s="134">
        <f t="shared" si="30"/>
        <v>0.75880264645323103</v>
      </c>
    </row>
    <row r="52" spans="1:16" s="17" customFormat="1" ht="12" customHeight="1" x14ac:dyDescent="0.2">
      <c r="A52" s="113"/>
      <c r="B52" s="129" t="s">
        <v>272</v>
      </c>
      <c r="C52" s="93">
        <f t="shared" ref="C52:P52" si="31">(600*(C22-0.315)^2+1)^1.5</f>
        <v>67.259221091883305</v>
      </c>
      <c r="D52" s="93">
        <f t="shared" si="31"/>
        <v>62.598607161448072</v>
      </c>
      <c r="E52" s="93">
        <f t="shared" si="31"/>
        <v>58.165524495848643</v>
      </c>
      <c r="F52" s="93">
        <f t="shared" si="31"/>
        <v>53.954105050761306</v>
      </c>
      <c r="G52" s="93">
        <f t="shared" si="31"/>
        <v>49.958481787665626</v>
      </c>
      <c r="H52" s="93">
        <f t="shared" si="31"/>
        <v>46.172788808229733</v>
      </c>
      <c r="I52" s="93">
        <f t="shared" si="31"/>
        <v>42.591161510508634</v>
      </c>
      <c r="J52" s="93">
        <f t="shared" si="31"/>
        <v>39.207736771132438</v>
      </c>
      <c r="K52" s="93">
        <f t="shared" si="31"/>
        <v>36.016653158585029</v>
      </c>
      <c r="L52" s="93">
        <f t="shared" si="31"/>
        <v>33.012051183827055</v>
      </c>
      <c r="M52" s="93">
        <f t="shared" si="31"/>
        <v>30.188073595967996</v>
      </c>
      <c r="N52" s="93">
        <f t="shared" si="31"/>
        <v>27.538865732521479</v>
      </c>
      <c r="O52" s="93">
        <f t="shared" si="31"/>
        <v>25.058575936100087</v>
      </c>
      <c r="P52" s="134">
        <f t="shared" si="31"/>
        <v>1.0225841652402019</v>
      </c>
    </row>
    <row r="53" spans="1:16" s="17" customFormat="1" ht="12" customHeight="1" x14ac:dyDescent="0.2">
      <c r="A53" s="113"/>
      <c r="B53" s="129" t="s">
        <v>273</v>
      </c>
      <c r="C53" s="93">
        <f t="shared" ref="C53:P53" si="32">C50*C51/C52</f>
        <v>3.1375202829955637E-2</v>
      </c>
      <c r="D53" s="93">
        <f t="shared" si="32"/>
        <v>3.371116067327292E-2</v>
      </c>
      <c r="E53" s="93">
        <f t="shared" si="32"/>
        <v>3.628045517054148E-2</v>
      </c>
      <c r="F53" s="93">
        <f t="shared" si="32"/>
        <v>3.9112347465633523E-2</v>
      </c>
      <c r="G53" s="93">
        <f t="shared" si="32"/>
        <v>4.2240509087361405E-2</v>
      </c>
      <c r="H53" s="93">
        <f t="shared" si="32"/>
        <v>4.5703795642652173E-2</v>
      </c>
      <c r="I53" s="93">
        <f t="shared" si="32"/>
        <v>4.9547174322118359E-2</v>
      </c>
      <c r="J53" s="93">
        <f t="shared" si="32"/>
        <v>5.3822839003969315E-2</v>
      </c>
      <c r="K53" s="93">
        <f t="shared" si="32"/>
        <v>5.8591554708065895E-2</v>
      </c>
      <c r="L53" s="93">
        <f t="shared" si="32"/>
        <v>6.3924283050200564E-2</v>
      </c>
      <c r="M53" s="93">
        <f t="shared" si="32"/>
        <v>6.9904152619547175E-2</v>
      </c>
      <c r="N53" s="93">
        <f t="shared" si="32"/>
        <v>7.6628853360891522E-2</v>
      </c>
      <c r="O53" s="93">
        <f t="shared" si="32"/>
        <v>8.4213552650553955E-2</v>
      </c>
      <c r="P53" s="134">
        <f t="shared" si="32"/>
        <v>2.0636655403782558</v>
      </c>
    </row>
    <row r="54" spans="1:16" s="17" customFormat="1" ht="12" customHeight="1" x14ac:dyDescent="0.2">
      <c r="A54" s="113"/>
      <c r="B54" s="129"/>
      <c r="C54" s="93">
        <f t="shared" ref="C54:P54" si="33">C22-(0.04+0.59*$C12)-0.015*($C13-5)</f>
        <v>-0.31141731381850524</v>
      </c>
      <c r="D54" s="93">
        <f t="shared" si="33"/>
        <v>-0.30736278773271858</v>
      </c>
      <c r="E54" s="93">
        <f t="shared" si="33"/>
        <v>-0.30330826164693181</v>
      </c>
      <c r="F54" s="93">
        <f t="shared" si="33"/>
        <v>-0.2992537355611451</v>
      </c>
      <c r="G54" s="93">
        <f t="shared" si="33"/>
        <v>-0.29519920947535838</v>
      </c>
      <c r="H54" s="93">
        <f t="shared" si="33"/>
        <v>-0.29114468338957167</v>
      </c>
      <c r="I54" s="93">
        <f t="shared" si="33"/>
        <v>-0.28709015730378495</v>
      </c>
      <c r="J54" s="93">
        <f t="shared" si="33"/>
        <v>-0.28303563121799824</v>
      </c>
      <c r="K54" s="93">
        <f t="shared" si="33"/>
        <v>-0.27898110513221153</v>
      </c>
      <c r="L54" s="93">
        <f t="shared" si="33"/>
        <v>-0.27492657904642481</v>
      </c>
      <c r="M54" s="93">
        <f t="shared" si="33"/>
        <v>-0.2708720529606381</v>
      </c>
      <c r="N54" s="93">
        <f t="shared" si="33"/>
        <v>-0.26681752687485139</v>
      </c>
      <c r="O54" s="93">
        <f t="shared" si="33"/>
        <v>-0.26276300078906467</v>
      </c>
      <c r="P54" s="134">
        <f t="shared" si="33"/>
        <v>-0.14548930507840066</v>
      </c>
    </row>
    <row r="55" spans="1:16" s="17" customFormat="1" ht="12" customHeight="1" x14ac:dyDescent="0.2">
      <c r="A55" s="113"/>
      <c r="B55" s="129" t="s">
        <v>274</v>
      </c>
      <c r="C55" s="93">
        <f t="shared" ref="C55:P55" si="34">EXP(80*C54)</f>
        <v>1.5144478505578053E-11</v>
      </c>
      <c r="D55" s="93">
        <f t="shared" si="34"/>
        <v>2.0947055704167939E-11</v>
      </c>
      <c r="E55" s="93">
        <f t="shared" si="34"/>
        <v>2.8972878961260071E-11</v>
      </c>
      <c r="F55" s="93">
        <f t="shared" si="34"/>
        <v>4.0073780638144692E-11</v>
      </c>
      <c r="G55" s="93">
        <f t="shared" si="34"/>
        <v>5.5427970992507024E-11</v>
      </c>
      <c r="H55" s="93">
        <f t="shared" si="34"/>
        <v>7.6665089228487571E-11</v>
      </c>
      <c r="I55" s="93">
        <f t="shared" si="34"/>
        <v>1.0603916761099751E-10</v>
      </c>
      <c r="J55" s="93">
        <f t="shared" si="34"/>
        <v>1.4666786644076602E-10</v>
      </c>
      <c r="K55" s="93">
        <f t="shared" si="34"/>
        <v>2.0286337144026569E-10</v>
      </c>
      <c r="L55" s="93">
        <f t="shared" si="34"/>
        <v>2.8059007382323697E-10</v>
      </c>
      <c r="M55" s="93">
        <f t="shared" si="34"/>
        <v>3.8809760958405609E-10</v>
      </c>
      <c r="N55" s="93">
        <f t="shared" si="34"/>
        <v>5.3679644654765723E-10</v>
      </c>
      <c r="O55" s="93">
        <f t="shared" si="34"/>
        <v>7.4246895087814962E-10</v>
      </c>
      <c r="P55" s="134">
        <f t="shared" si="34"/>
        <v>8.8142184600984531E-6</v>
      </c>
    </row>
    <row r="56" spans="1:16" s="17" customFormat="1" ht="12" customHeight="1" x14ac:dyDescent="0.2">
      <c r="A56" s="113"/>
      <c r="B56" s="129"/>
      <c r="C56" s="93">
        <f t="shared" ref="C56:P56" si="35">20*$C12-16</f>
        <v>-2.5156288453651072</v>
      </c>
      <c r="D56" s="93">
        <f t="shared" si="35"/>
        <v>-2.5156288453651072</v>
      </c>
      <c r="E56" s="93">
        <f t="shared" si="35"/>
        <v>-2.5156288453651072</v>
      </c>
      <c r="F56" s="93">
        <f t="shared" si="35"/>
        <v>-2.5156288453651072</v>
      </c>
      <c r="G56" s="93">
        <f t="shared" si="35"/>
        <v>-2.5156288453651072</v>
      </c>
      <c r="H56" s="93">
        <f t="shared" si="35"/>
        <v>-2.5156288453651072</v>
      </c>
      <c r="I56" s="93">
        <f t="shared" si="35"/>
        <v>-2.5156288453651072</v>
      </c>
      <c r="J56" s="93">
        <f t="shared" si="35"/>
        <v>-2.5156288453651072</v>
      </c>
      <c r="K56" s="93">
        <f t="shared" si="35"/>
        <v>-2.5156288453651072</v>
      </c>
      <c r="L56" s="93">
        <f t="shared" si="35"/>
        <v>-2.5156288453651072</v>
      </c>
      <c r="M56" s="93">
        <f t="shared" si="35"/>
        <v>-2.5156288453651072</v>
      </c>
      <c r="N56" s="93">
        <f t="shared" si="35"/>
        <v>-2.5156288453651072</v>
      </c>
      <c r="O56" s="93">
        <f t="shared" si="35"/>
        <v>-2.5156288453651072</v>
      </c>
      <c r="P56" s="134">
        <f t="shared" si="35"/>
        <v>-2.5156288453651072</v>
      </c>
    </row>
    <row r="57" spans="1:16" s="17" customFormat="1" ht="12" customHeight="1" x14ac:dyDescent="0.2">
      <c r="A57" s="113"/>
      <c r="B57" s="129" t="s">
        <v>275</v>
      </c>
      <c r="C57" s="93">
        <f t="shared" ref="C57:P57" si="36">180*C22^3.7*EXP(C56)</f>
        <v>1.4365688742869543E-2</v>
      </c>
      <c r="D57" s="93">
        <f t="shared" si="36"/>
        <v>1.5814890562436169E-2</v>
      </c>
      <c r="E57" s="93">
        <f t="shared" si="36"/>
        <v>1.7367972104251984E-2</v>
      </c>
      <c r="F57" s="93">
        <f t="shared" si="36"/>
        <v>1.9029501643048233E-2</v>
      </c>
      <c r="G57" s="93">
        <f t="shared" si="36"/>
        <v>2.0804128110032797E-2</v>
      </c>
      <c r="H57" s="93">
        <f t="shared" si="36"/>
        <v>2.2696580497455189E-2</v>
      </c>
      <c r="I57" s="93">
        <f t="shared" si="36"/>
        <v>2.4711667281766263E-2</v>
      </c>
      <c r="J57" s="93">
        <f t="shared" si="36"/>
        <v>2.685427586436958E-2</v>
      </c>
      <c r="K57" s="93">
        <f t="shared" si="36"/>
        <v>2.9129372029036021E-2</v>
      </c>
      <c r="L57" s="93">
        <f t="shared" si="36"/>
        <v>3.1541999415123811E-2</v>
      </c>
      <c r="M57" s="93">
        <f t="shared" si="36"/>
        <v>3.4097279005805919E-2</v>
      </c>
      <c r="N57" s="93">
        <f t="shared" si="36"/>
        <v>3.680040863056562E-2</v>
      </c>
      <c r="O57" s="93">
        <f t="shared" si="36"/>
        <v>3.9656662481270158E-2</v>
      </c>
      <c r="P57" s="134">
        <f t="shared" si="36"/>
        <v>0.21468598738024058</v>
      </c>
    </row>
    <row r="58" spans="1:16" s="17" customFormat="1" ht="12" customHeight="1" x14ac:dyDescent="0.2">
      <c r="A58" s="113"/>
      <c r="B58" s="129"/>
      <c r="C58" s="93">
        <f t="shared" ref="C58:P58" si="37">C47+1.5*C22^1.8+C48*C22^(C49)</f>
        <v>0.38988361763689655</v>
      </c>
      <c r="D58" s="93">
        <f t="shared" si="37"/>
        <v>0.39246087945366526</v>
      </c>
      <c r="E58" s="93">
        <f t="shared" si="37"/>
        <v>0.3951153405058026</v>
      </c>
      <c r="F58" s="93">
        <f t="shared" si="37"/>
        <v>0.39785253483462291</v>
      </c>
      <c r="G58" s="93">
        <f t="shared" si="37"/>
        <v>0.40067910991516548</v>
      </c>
      <c r="H58" s="93">
        <f t="shared" si="37"/>
        <v>0.40360300243198832</v>
      </c>
      <c r="I58" s="93">
        <f t="shared" si="37"/>
        <v>0.40663363688114607</v>
      </c>
      <c r="J58" s="93">
        <f t="shared" si="37"/>
        <v>0.40978214929598078</v>
      </c>
      <c r="K58" s="93">
        <f t="shared" si="37"/>
        <v>0.4130616385645301</v>
      </c>
      <c r="L58" s="93">
        <f t="shared" si="37"/>
        <v>0.41648744798465637</v>
      </c>
      <c r="M58" s="93">
        <f t="shared" si="37"/>
        <v>0.4200774798895851</v>
      </c>
      <c r="N58" s="93">
        <f t="shared" si="37"/>
        <v>0.42385254637164083</v>
      </c>
      <c r="O58" s="93">
        <f t="shared" si="37"/>
        <v>0.42783675933575871</v>
      </c>
      <c r="P58" s="134">
        <f t="shared" si="37"/>
        <v>1.0307833110751354</v>
      </c>
    </row>
    <row r="59" spans="1:16" s="17" customFormat="1" ht="12" customHeight="1" x14ac:dyDescent="0.2">
      <c r="A59" s="113"/>
      <c r="B59" s="129"/>
      <c r="C59" s="93">
        <f t="shared" ref="C59:P59" si="38">0.98+2.5/($C13-2)^4</f>
        <v>0.98453063310900901</v>
      </c>
      <c r="D59" s="93">
        <f t="shared" si="38"/>
        <v>0.98453063310900901</v>
      </c>
      <c r="E59" s="93">
        <f t="shared" si="38"/>
        <v>0.98453063310900901</v>
      </c>
      <c r="F59" s="93">
        <f t="shared" si="38"/>
        <v>0.98453063310900901</v>
      </c>
      <c r="G59" s="93">
        <f t="shared" si="38"/>
        <v>0.98453063310900901</v>
      </c>
      <c r="H59" s="93">
        <f t="shared" si="38"/>
        <v>0.98453063310900901</v>
      </c>
      <c r="I59" s="93">
        <f t="shared" si="38"/>
        <v>0.98453063310900901</v>
      </c>
      <c r="J59" s="93">
        <f t="shared" si="38"/>
        <v>0.98453063310900901</v>
      </c>
      <c r="K59" s="93">
        <f t="shared" si="38"/>
        <v>0.98453063310900901</v>
      </c>
      <c r="L59" s="93">
        <f t="shared" si="38"/>
        <v>0.98453063310900901</v>
      </c>
      <c r="M59" s="93">
        <f t="shared" si="38"/>
        <v>0.98453063310900901</v>
      </c>
      <c r="N59" s="93">
        <f t="shared" si="38"/>
        <v>0.98453063310900901</v>
      </c>
      <c r="O59" s="93">
        <f t="shared" si="38"/>
        <v>0.98453063310900901</v>
      </c>
      <c r="P59" s="134">
        <f t="shared" si="38"/>
        <v>0.98453063310900901</v>
      </c>
    </row>
    <row r="60" spans="1:16" s="17" customFormat="1" ht="12" customHeight="1" x14ac:dyDescent="0.2">
      <c r="A60" s="113"/>
      <c r="B60" s="129"/>
      <c r="C60" s="93">
        <f t="shared" ref="C60:P60" si="39">($C13-5)^4*(C22-0.1)^4</f>
        <v>9.9418182657970742E-5</v>
      </c>
      <c r="D60" s="93">
        <f t="shared" si="39"/>
        <v>1.3276193662706447E-4</v>
      </c>
      <c r="E60" s="93">
        <f t="shared" si="39"/>
        <v>1.7386348836427495E-4</v>
      </c>
      <c r="F60" s="93">
        <f t="shared" si="39"/>
        <v>2.2384194285769696E-4</v>
      </c>
      <c r="G60" s="93">
        <f t="shared" si="39"/>
        <v>2.8389183577222902E-4</v>
      </c>
      <c r="H60" s="93">
        <f t="shared" si="39"/>
        <v>3.5528313344957319E-4</v>
      </c>
      <c r="I60" s="93">
        <f t="shared" si="39"/>
        <v>4.3936123290823191E-4</v>
      </c>
      <c r="J60" s="93">
        <f t="shared" si="39"/>
        <v>5.3754696184351517E-4</v>
      </c>
      <c r="K60" s="93">
        <f t="shared" si="39"/>
        <v>6.5133657862753095E-4</v>
      </c>
      <c r="L60" s="93">
        <f t="shared" si="39"/>
        <v>7.8230177230919436E-4</v>
      </c>
      <c r="M60" s="93">
        <f t="shared" si="39"/>
        <v>9.3208966261421934E-4</v>
      </c>
      <c r="N60" s="93">
        <f t="shared" si="39"/>
        <v>1.1024227999451254E-3</v>
      </c>
      <c r="O60" s="93">
        <f t="shared" si="39"/>
        <v>1.2950991653812376E-3</v>
      </c>
      <c r="P60" s="134">
        <f t="shared" si="39"/>
        <v>2.7243762800263058E-2</v>
      </c>
    </row>
    <row r="61" spans="1:16" s="17" customFormat="1" ht="12" customHeight="1" x14ac:dyDescent="0.2">
      <c r="A61" s="113"/>
      <c r="B61" s="129" t="s">
        <v>276</v>
      </c>
      <c r="C61" s="93">
        <f t="shared" ref="C61:P61" si="40">C58*C59+C60</f>
        <v>0.3839517830935425</v>
      </c>
      <c r="D61" s="93">
        <f t="shared" si="40"/>
        <v>0.38652252005566262</v>
      </c>
      <c r="E61" s="93">
        <f t="shared" si="40"/>
        <v>0.38917701982762382</v>
      </c>
      <c r="F61" s="93">
        <f t="shared" si="40"/>
        <v>0.39192184994761303</v>
      </c>
      <c r="G61" s="93">
        <f t="shared" si="40"/>
        <v>0.39476474959410429</v>
      </c>
      <c r="H61" s="93">
        <f t="shared" si="40"/>
        <v>0.39771480264251191</v>
      </c>
      <c r="I61" s="93">
        <f t="shared" si="40"/>
        <v>0.40078263319492186</v>
      </c>
      <c r="J61" s="93">
        <f t="shared" si="40"/>
        <v>0.4039806258449859</v>
      </c>
      <c r="K61" s="93">
        <f t="shared" si="40"/>
        <v>0.40732317310760902</v>
      </c>
      <c r="L61" s="93">
        <f t="shared" si="40"/>
        <v>0.41082695261859842</v>
      </c>
      <c r="M61" s="93">
        <f t="shared" si="40"/>
        <v>0.41451123689314445</v>
      </c>
      <c r="N61" s="93">
        <f t="shared" si="40"/>
        <v>0.41839823862408226</v>
      </c>
      <c r="O61" s="93">
        <f t="shared" si="40"/>
        <v>0.4225134947015225</v>
      </c>
      <c r="P61" s="134">
        <f t="shared" si="40"/>
        <v>1.0420815086512667</v>
      </c>
    </row>
    <row r="62" spans="1:16" s="17" customFormat="1" ht="12" customHeight="1" x14ac:dyDescent="0.2">
      <c r="A62" s="113"/>
      <c r="B62" s="129" t="s">
        <v>277</v>
      </c>
      <c r="C62" s="93">
        <f t="shared" ref="C62:P62" si="41">0.16*($C5/$C6-2.5)</f>
        <v>0.23035088745400559</v>
      </c>
      <c r="D62" s="93">
        <f t="shared" si="41"/>
        <v>0.23035088745400559</v>
      </c>
      <c r="E62" s="93">
        <f t="shared" si="41"/>
        <v>0.23035088745400559</v>
      </c>
      <c r="F62" s="93">
        <f t="shared" si="41"/>
        <v>0.23035088745400559</v>
      </c>
      <c r="G62" s="93">
        <f t="shared" si="41"/>
        <v>0.23035088745400559</v>
      </c>
      <c r="H62" s="93">
        <f t="shared" si="41"/>
        <v>0.23035088745400559</v>
      </c>
      <c r="I62" s="93">
        <f t="shared" si="41"/>
        <v>0.23035088745400559</v>
      </c>
      <c r="J62" s="93">
        <f t="shared" si="41"/>
        <v>0.23035088745400559</v>
      </c>
      <c r="K62" s="93">
        <f t="shared" si="41"/>
        <v>0.23035088745400559</v>
      </c>
      <c r="L62" s="93">
        <f t="shared" si="41"/>
        <v>0.23035088745400559</v>
      </c>
      <c r="M62" s="93">
        <f t="shared" si="41"/>
        <v>0.23035088745400559</v>
      </c>
      <c r="N62" s="93">
        <f t="shared" si="41"/>
        <v>0.23035088745400559</v>
      </c>
      <c r="O62" s="93">
        <f t="shared" si="41"/>
        <v>0.23035088745400559</v>
      </c>
      <c r="P62" s="134">
        <f t="shared" si="41"/>
        <v>0.23035088745400559</v>
      </c>
    </row>
    <row r="63" spans="1:16" s="17" customFormat="1" ht="12" customHeight="1" x14ac:dyDescent="0.2">
      <c r="A63" s="113"/>
      <c r="B63" s="129" t="s">
        <v>278</v>
      </c>
      <c r="C63" s="93">
        <f t="shared" ref="C63:P63" si="42">($C15-$C14)/3*0.1</f>
        <v>0</v>
      </c>
      <c r="D63" s="93">
        <f t="shared" si="42"/>
        <v>0</v>
      </c>
      <c r="E63" s="93">
        <f t="shared" si="42"/>
        <v>0</v>
      </c>
      <c r="F63" s="93">
        <f t="shared" si="42"/>
        <v>0</v>
      </c>
      <c r="G63" s="93">
        <f t="shared" si="42"/>
        <v>0</v>
      </c>
      <c r="H63" s="93">
        <f t="shared" si="42"/>
        <v>0</v>
      </c>
      <c r="I63" s="93">
        <f t="shared" si="42"/>
        <v>0</v>
      </c>
      <c r="J63" s="93">
        <f t="shared" si="42"/>
        <v>0</v>
      </c>
      <c r="K63" s="93">
        <f t="shared" si="42"/>
        <v>0</v>
      </c>
      <c r="L63" s="93">
        <f t="shared" si="42"/>
        <v>0</v>
      </c>
      <c r="M63" s="93">
        <f t="shared" si="42"/>
        <v>0</v>
      </c>
      <c r="N63" s="93">
        <f t="shared" si="42"/>
        <v>0</v>
      </c>
      <c r="O63" s="93">
        <f t="shared" si="42"/>
        <v>0</v>
      </c>
      <c r="P63" s="134">
        <f t="shared" si="42"/>
        <v>0</v>
      </c>
    </row>
    <row r="64" spans="1:16" s="17" customFormat="1" ht="12" customHeight="1" x14ac:dyDescent="0.2">
      <c r="A64" s="113"/>
      <c r="B64" s="129" t="s">
        <v>279</v>
      </c>
      <c r="C64" s="129">
        <f>0.1*C5/C4+0.149</f>
        <v>0.16263002865717036</v>
      </c>
      <c r="D64" s="129" t="s">
        <v>280</v>
      </c>
      <c r="E64" s="129">
        <f>0.625*C5/C4+0.08</f>
        <v>0.16518767910731474</v>
      </c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35"/>
    </row>
    <row r="65" spans="1:16" s="17" customFormat="1" ht="12" customHeight="1" x14ac:dyDescent="0.2">
      <c r="A65" s="113"/>
      <c r="B65" s="129" t="s">
        <v>281</v>
      </c>
      <c r="C65" s="129">
        <f>0.05*C5/C4+0.449</f>
        <v>0.45581501432858518</v>
      </c>
      <c r="D65" s="129" t="s">
        <v>282</v>
      </c>
      <c r="E65" s="129">
        <f>0.165-0.25*C5/C4</f>
        <v>0.13092492835707412</v>
      </c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35"/>
    </row>
    <row r="66" spans="1:16" s="17" customFormat="1" ht="12" customHeight="1" x14ac:dyDescent="0.2">
      <c r="A66" s="113"/>
      <c r="B66" s="129" t="s">
        <v>283</v>
      </c>
      <c r="C66" s="129">
        <f>585-5027*C5/C4+11700*(C5/C4)^2</f>
        <v>117.17834640252971</v>
      </c>
      <c r="D66" s="129" t="s">
        <v>284</v>
      </c>
      <c r="E66" s="129">
        <f>825-8060*C5/C4+20300*(C5/C4)^2</f>
        <v>103.54838305849802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35"/>
    </row>
    <row r="67" spans="1:16" s="17" customFormat="1" ht="12" customHeight="1" x14ac:dyDescent="0.2">
      <c r="A67" s="113"/>
      <c r="B67" s="129" t="s">
        <v>285</v>
      </c>
      <c r="C67" s="93">
        <f>C64+C65/(C66*(0.98-C11)^3+1)</f>
        <v>0.25732846521760089</v>
      </c>
      <c r="D67" s="93" t="s">
        <v>286</v>
      </c>
      <c r="E67" s="93">
        <f>E64+E65/(E66*(0.98-C11)^3+1)</f>
        <v>0.19514917716124874</v>
      </c>
      <c r="F67" s="93"/>
      <c r="G67" s="93"/>
      <c r="H67" s="129"/>
      <c r="I67" s="129"/>
      <c r="J67" s="129"/>
      <c r="K67" s="129"/>
      <c r="L67" s="129"/>
      <c r="M67" s="129"/>
      <c r="N67" s="129"/>
      <c r="O67" s="129"/>
      <c r="P67" s="135"/>
    </row>
    <row r="68" spans="1:16" s="17" customFormat="1" ht="12" customHeight="1" x14ac:dyDescent="0.2">
      <c r="A68" s="113"/>
      <c r="B68" s="129" t="s">
        <v>287</v>
      </c>
      <c r="C68" s="93">
        <f>0.025*C15/(100*(C11-0.7)^2+1)</f>
        <v>0</v>
      </c>
      <c r="D68" s="93" t="s">
        <v>288</v>
      </c>
      <c r="E68" s="93">
        <f>-0.01*C15</f>
        <v>0</v>
      </c>
      <c r="F68" s="93"/>
      <c r="G68" s="93"/>
      <c r="H68" s="129"/>
      <c r="I68" s="129"/>
      <c r="J68" s="129"/>
      <c r="K68" s="129"/>
      <c r="L68" s="129"/>
      <c r="M68" s="129"/>
      <c r="N68" s="129"/>
      <c r="O68" s="129"/>
      <c r="P68" s="135"/>
    </row>
    <row r="69" spans="1:16" s="17" customFormat="1" ht="12" customHeight="1" x14ac:dyDescent="0.2">
      <c r="A69" s="113"/>
      <c r="B69" s="129" t="s">
        <v>289</v>
      </c>
      <c r="C69" s="93">
        <f>0.00756/(C18/C4+0.002)-0.18</f>
        <v>0.10623735526422862</v>
      </c>
      <c r="D69" s="93" t="s">
        <v>290</v>
      </c>
      <c r="E69" s="93">
        <f>2*(C18/C4-0.04)</f>
        <v>-3.1176705898352877E-2</v>
      </c>
      <c r="F69" s="93"/>
      <c r="G69" s="93"/>
      <c r="H69" s="129"/>
      <c r="I69" s="129"/>
      <c r="J69" s="129"/>
      <c r="K69" s="129"/>
      <c r="L69" s="129"/>
      <c r="M69" s="129"/>
      <c r="N69" s="129"/>
      <c r="O69" s="129"/>
      <c r="P69" s="135"/>
    </row>
    <row r="70" spans="1:16" s="17" customFormat="1" ht="12" customHeight="1" x14ac:dyDescent="0.2">
      <c r="A70" s="113"/>
      <c r="B70" s="129" t="s">
        <v>291</v>
      </c>
      <c r="C70" s="93">
        <f>MIN(0.1,C69)</f>
        <v>0.1</v>
      </c>
      <c r="D70" s="93"/>
      <c r="E70" s="93"/>
      <c r="F70" s="93"/>
      <c r="G70" s="93"/>
      <c r="H70" s="129"/>
      <c r="I70" s="129"/>
      <c r="J70" s="129"/>
      <c r="K70" s="129"/>
      <c r="L70" s="129"/>
      <c r="M70" s="129"/>
      <c r="N70" s="129"/>
      <c r="O70" s="129"/>
      <c r="P70" s="135"/>
    </row>
    <row r="71" spans="1:16" s="17" customFormat="1" ht="12" customHeight="1" x14ac:dyDescent="0.2">
      <c r="A71" s="113"/>
      <c r="B71" s="129" t="s">
        <v>292</v>
      </c>
      <c r="C71" s="93">
        <f>C67+C68+C70</f>
        <v>0.35732846521760087</v>
      </c>
      <c r="D71" s="93" t="s">
        <v>293</v>
      </c>
      <c r="E71" s="93">
        <f>E67+E68+E69</f>
        <v>0.16397247126289588</v>
      </c>
      <c r="F71" s="93" t="s">
        <v>294</v>
      </c>
      <c r="G71" s="93">
        <f>0.7*C11-0.2</f>
        <v>0.26251393060397682</v>
      </c>
      <c r="H71" s="129"/>
      <c r="I71" s="129"/>
      <c r="J71" s="129"/>
      <c r="K71" s="129"/>
      <c r="L71" s="129"/>
      <c r="M71" s="129"/>
      <c r="N71" s="129"/>
      <c r="O71" s="129"/>
      <c r="P71" s="135"/>
    </row>
    <row r="72" spans="1:16" s="17" customFormat="1" ht="12" customHeight="1" x14ac:dyDescent="0.2">
      <c r="A72" s="113"/>
      <c r="B72" s="129" t="s">
        <v>295</v>
      </c>
      <c r="C72" s="93">
        <f>1.133*C11^2-0.797*C11+0.215</f>
        <v>0.18302828409621644</v>
      </c>
      <c r="D72" s="93" t="s">
        <v>296</v>
      </c>
      <c r="E72" s="93">
        <f>0.0665+0.62833*C72</f>
        <v>0.18150216174617567</v>
      </c>
      <c r="F72" s="93" t="s">
        <v>297</v>
      </c>
      <c r="G72" s="93">
        <f>0.19</f>
        <v>0.19</v>
      </c>
      <c r="H72" s="129"/>
      <c r="I72" s="129"/>
      <c r="J72" s="129"/>
      <c r="K72" s="129"/>
      <c r="L72" s="129"/>
      <c r="M72" s="129"/>
      <c r="N72" s="129"/>
      <c r="O72" s="129"/>
      <c r="P72" s="135"/>
    </row>
    <row r="73" spans="1:16" x14ac:dyDescent="0.2">
      <c r="A73" s="136" t="s">
        <v>298</v>
      </c>
      <c r="B73" s="129" t="s">
        <v>299</v>
      </c>
      <c r="C73" s="129">
        <f t="shared" ref="C73:P73" si="43">IF(C22&gt;$J9,0,IF($C17=1,0.2,0.1))</f>
        <v>0.1</v>
      </c>
      <c r="D73" s="129">
        <f t="shared" si="43"/>
        <v>0.1</v>
      </c>
      <c r="E73" s="129">
        <f t="shared" si="43"/>
        <v>0.1</v>
      </c>
      <c r="F73" s="129">
        <f t="shared" si="43"/>
        <v>0.1</v>
      </c>
      <c r="G73" s="129">
        <f t="shared" si="43"/>
        <v>0.1</v>
      </c>
      <c r="H73" s="129">
        <f t="shared" si="43"/>
        <v>0.1</v>
      </c>
      <c r="I73" s="129">
        <f t="shared" si="43"/>
        <v>0.1</v>
      </c>
      <c r="J73" s="129">
        <f t="shared" si="43"/>
        <v>0.1</v>
      </c>
      <c r="K73" s="129">
        <f t="shared" si="43"/>
        <v>0.1</v>
      </c>
      <c r="L73" s="129">
        <f t="shared" si="43"/>
        <v>0.1</v>
      </c>
      <c r="M73" s="129">
        <f t="shared" si="43"/>
        <v>0.1</v>
      </c>
      <c r="N73" s="129">
        <f t="shared" si="43"/>
        <v>0.1</v>
      </c>
      <c r="O73" s="129">
        <f t="shared" si="43"/>
        <v>0.1</v>
      </c>
      <c r="P73" s="129">
        <f t="shared" si="43"/>
        <v>0.1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1"/>
  <dimension ref="A1:AD70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9" customWidth="1"/>
    <col min="2" max="6" width="7.140625" style="9" customWidth="1"/>
    <col min="7" max="7" width="9" style="9" customWidth="1"/>
    <col min="8" max="8" width="6.42578125" style="9" customWidth="1"/>
    <col min="9" max="11" width="7.140625" style="9" customWidth="1"/>
    <col min="12" max="12" width="6.42578125" style="9" customWidth="1"/>
    <col min="13" max="13" width="7.140625" style="9" customWidth="1"/>
    <col min="14" max="14" width="7.42578125" style="9" customWidth="1"/>
    <col min="15" max="15" width="6.140625" style="9" customWidth="1"/>
    <col min="16" max="16" width="6.7109375" style="9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21">
        <v>1.0249999999999999</v>
      </c>
      <c r="D3" s="191"/>
      <c r="E3" s="192"/>
      <c r="F3" s="193"/>
      <c r="G3" s="194" t="s">
        <v>203</v>
      </c>
      <c r="H3" s="195"/>
      <c r="I3" s="195"/>
      <c r="J3" s="27">
        <v>1</v>
      </c>
      <c r="K3" s="197">
        <f>IF(J3=1,IF(C17=1,0.7*C68,IF(C16=1,C69,G68)),J3)</f>
        <v>0.28015997871900239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31">
        <f>'SHIP DATA'!E6</f>
        <v>410.19723000059423</v>
      </c>
      <c r="D4" s="200"/>
      <c r="E4" s="201"/>
      <c r="F4" s="202"/>
      <c r="G4" s="203" t="s">
        <v>206</v>
      </c>
      <c r="H4" s="204"/>
      <c r="I4" s="204"/>
      <c r="J4" s="27">
        <v>1</v>
      </c>
      <c r="K4" s="205">
        <f>IF(K15=1,0.25,IF(J4=1,IF(C17=1,E68,IF(C16=1,E69,G69)),J4))</f>
        <v>0.19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31">
        <f>'SHIP DATA'!E8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1.1252500223015627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43">
        <f>'SHIP DATA'!E11</f>
        <v>16.330000000000002</v>
      </c>
      <c r="D6" s="200"/>
      <c r="E6" s="201"/>
      <c r="F6" s="202"/>
      <c r="G6" s="203" t="s">
        <v>210</v>
      </c>
      <c r="H6" s="204"/>
      <c r="I6" s="204"/>
      <c r="J6" s="27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47">
        <f>'SHIP DATA'!E24</f>
        <v>263317.77974012645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1.03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47">
        <f>'SHIP DATA'!E34</f>
        <v>30257.037735798112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30257.037735798112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21">
        <f>'SHIP DATA'!E29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61">
        <f>'SHIP DATA'!E35</f>
        <v>23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0.68594282674143203</v>
      </c>
      <c r="D11" s="200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0.69994165994023683</v>
      </c>
      <c r="D12" s="200"/>
      <c r="E12" s="201"/>
      <c r="F12" s="202"/>
      <c r="G12" s="699" t="s">
        <v>222</v>
      </c>
      <c r="H12" s="700"/>
      <c r="I12" s="700"/>
      <c r="J12" s="701"/>
      <c r="K12" s="64"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6.4526872616790323</v>
      </c>
      <c r="D13" s="200"/>
      <c r="E13" s="201"/>
      <c r="F13" s="202"/>
      <c r="G13" s="234" t="s">
        <v>224</v>
      </c>
      <c r="H13" s="235"/>
      <c r="I13" s="234"/>
      <c r="J13" s="234"/>
      <c r="K13" s="64">
        <v>15</v>
      </c>
      <c r="L13" s="201"/>
      <c r="M13" s="201"/>
      <c r="N13" s="201"/>
      <c r="O13" s="201"/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69">
        <v>0</v>
      </c>
      <c r="D14" s="200"/>
      <c r="E14" s="201"/>
      <c r="F14" s="202"/>
      <c r="G14" s="237" t="s">
        <v>226</v>
      </c>
      <c r="H14" s="238"/>
      <c r="I14" s="238"/>
      <c r="J14" s="238"/>
      <c r="K14" s="64">
        <v>1</v>
      </c>
      <c r="L14" s="201"/>
      <c r="M14" s="201"/>
      <c r="N14" s="201"/>
      <c r="O14" s="201"/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69">
        <v>0</v>
      </c>
      <c r="D15" s="200"/>
      <c r="E15" s="201"/>
      <c r="F15" s="202"/>
      <c r="G15" s="237" t="s">
        <v>228</v>
      </c>
      <c r="H15" s="238"/>
      <c r="I15" s="238"/>
      <c r="J15" s="238"/>
      <c r="K15" s="64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DATA'!E51</f>
        <v>2</v>
      </c>
      <c r="D16" s="200"/>
      <c r="E16" s="201"/>
      <c r="F16" s="202"/>
      <c r="G16" s="237" t="s">
        <v>230</v>
      </c>
      <c r="H16" s="238"/>
      <c r="I16" s="238"/>
      <c r="J16" s="238"/>
      <c r="K16" s="391"/>
      <c r="L16" s="201"/>
      <c r="M16" s="201"/>
      <c r="N16" s="201"/>
      <c r="O16" s="201"/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DATA'!E50</f>
        <v>2</v>
      </c>
      <c r="D17" s="200"/>
      <c r="E17" s="201"/>
      <c r="F17" s="202"/>
      <c r="G17" s="237" t="s">
        <v>232</v>
      </c>
      <c r="H17" s="238"/>
      <c r="I17" s="238"/>
      <c r="J17" s="238"/>
      <c r="K17" s="721">
        <f>'SHIP DATA'!E53</f>
        <v>1</v>
      </c>
      <c r="L17" s="201"/>
      <c r="M17" s="201"/>
      <c r="N17" s="201"/>
      <c r="O17" s="201"/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31">
        <f>'SHIP DATA'!E52</f>
        <v>10.013590000000001</v>
      </c>
      <c r="D18" s="240">
        <f>C18/C6</f>
        <v>0.61320208205756277</v>
      </c>
      <c r="E18" s="241" t="s">
        <v>234</v>
      </c>
      <c r="F18" s="242"/>
      <c r="G18" s="237" t="s">
        <v>235</v>
      </c>
      <c r="H18" s="238"/>
      <c r="I18" s="238"/>
      <c r="J18" s="238"/>
      <c r="K18" s="64">
        <f>'SHIP DATA'!E46</f>
        <v>0</v>
      </c>
      <c r="L18" s="201"/>
      <c r="M18" s="201"/>
      <c r="N18" s="201"/>
      <c r="O18" s="201"/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77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>D21-0.5</f>
        <v>22.5</v>
      </c>
      <c r="D21" s="257">
        <f>E21-0.5</f>
        <v>23</v>
      </c>
      <c r="E21" s="257">
        <f>F21-0.5</f>
        <v>23.5</v>
      </c>
      <c r="F21" s="369">
        <f>P10+1</f>
        <v>24</v>
      </c>
      <c r="G21" s="369">
        <f>P10+3</f>
        <v>26</v>
      </c>
      <c r="H21" s="369">
        <f>P10+5</f>
        <v>28</v>
      </c>
      <c r="I21" s="370">
        <f>K21-2</f>
        <v>22</v>
      </c>
      <c r="J21" s="370">
        <f>K21-1</f>
        <v>23</v>
      </c>
      <c r="K21" s="370">
        <f>P10+1</f>
        <v>24</v>
      </c>
      <c r="L21" s="258">
        <f>M21-0.01</f>
        <v>22.44495694166336</v>
      </c>
      <c r="M21" s="258">
        <f>V33</f>
        <v>22.454956941663362</v>
      </c>
      <c r="N21" s="258">
        <f>M21+0.01</f>
        <v>22.464956941663363</v>
      </c>
      <c r="O21" s="257">
        <f>N21+0.5</f>
        <v>22.964956941663363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0">C21*0.5144/SQRT(9.81*$C4)</f>
        <v>0.1824536738604024</v>
      </c>
      <c r="D22" s="261">
        <f t="shared" si="0"/>
        <v>0.18650819994618911</v>
      </c>
      <c r="E22" s="261">
        <f t="shared" si="0"/>
        <v>0.19056272603197585</v>
      </c>
      <c r="F22" s="372">
        <f t="shared" si="0"/>
        <v>0.19461725211776257</v>
      </c>
      <c r="G22" s="372">
        <f t="shared" si="0"/>
        <v>0.21083535646090945</v>
      </c>
      <c r="H22" s="372">
        <f t="shared" si="0"/>
        <v>0.22705346080405631</v>
      </c>
      <c r="I22" s="373">
        <f t="shared" si="0"/>
        <v>0.17839914777461566</v>
      </c>
      <c r="J22" s="374">
        <f t="shared" si="0"/>
        <v>0.18650819994618911</v>
      </c>
      <c r="K22" s="374">
        <f t="shared" si="0"/>
        <v>0.19461725211776257</v>
      </c>
      <c r="L22" s="262">
        <f t="shared" si="0"/>
        <v>0.18200732682866763</v>
      </c>
      <c r="M22" s="262">
        <f t="shared" si="0"/>
        <v>0.18208841735038336</v>
      </c>
      <c r="N22" s="262">
        <f t="shared" si="0"/>
        <v>0.1821695078720991</v>
      </c>
      <c r="O22" s="263">
        <f t="shared" si="0"/>
        <v>0.18622403395788584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1">75/(LOG10(C21*0.5144*$C4*1000000/((43.4233-31.38*$C3)*($K13+20)^(1.72*$C3-2.202)+4.7478-5.779*$C3))-2)^2</f>
        <v>1.2979492172682627</v>
      </c>
      <c r="D23" s="229">
        <f t="shared" si="1"/>
        <v>1.294695656740557</v>
      </c>
      <c r="E23" s="229">
        <f t="shared" si="1"/>
        <v>1.2915238979957366</v>
      </c>
      <c r="F23" s="375">
        <f t="shared" si="1"/>
        <v>1.2884301944834013</v>
      </c>
      <c r="G23" s="375">
        <f t="shared" si="1"/>
        <v>1.2767691747379315</v>
      </c>
      <c r="H23" s="375">
        <f t="shared" si="1"/>
        <v>1.2661133202027086</v>
      </c>
      <c r="I23" s="374">
        <f t="shared" si="1"/>
        <v>1.3012885948261597</v>
      </c>
      <c r="J23" s="374">
        <f t="shared" si="1"/>
        <v>1.294695656740557</v>
      </c>
      <c r="K23" s="374">
        <f t="shared" si="1"/>
        <v>1.2884301944834013</v>
      </c>
      <c r="L23" s="262">
        <f t="shared" si="1"/>
        <v>1.2983125572547578</v>
      </c>
      <c r="M23" s="262">
        <f t="shared" si="1"/>
        <v>1.2982464695793652</v>
      </c>
      <c r="N23" s="262">
        <f t="shared" si="1"/>
        <v>1.298180416371209</v>
      </c>
      <c r="O23" s="263">
        <f t="shared" si="1"/>
        <v>1.2949209753784203</v>
      </c>
      <c r="P23" s="265">
        <f t="shared" si="1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C43</f>
        <v>0.70960198488458381</v>
      </c>
      <c r="D24" s="268">
        <f t="shared" ref="D24:O24" si="2">D43</f>
        <v>0.72448862594746422</v>
      </c>
      <c r="E24" s="268">
        <f t="shared" si="2"/>
        <v>0.74070510323333671</v>
      </c>
      <c r="F24" s="375">
        <f t="shared" si="2"/>
        <v>0.75841783722011491</v>
      </c>
      <c r="G24" s="375">
        <f t="shared" si="2"/>
        <v>0.84860741963234532</v>
      </c>
      <c r="H24" s="375">
        <f t="shared" si="2"/>
        <v>0.98563688906452807</v>
      </c>
      <c r="I24" s="374">
        <f t="shared" si="2"/>
        <v>0.69590137147159337</v>
      </c>
      <c r="J24" s="374">
        <f t="shared" si="2"/>
        <v>0.72448862594746422</v>
      </c>
      <c r="K24" s="374">
        <f t="shared" si="2"/>
        <v>0.75841783722011491</v>
      </c>
      <c r="L24" s="262">
        <f t="shared" si="2"/>
        <v>0.70803805362435002</v>
      </c>
      <c r="M24" s="262">
        <f t="shared" si="2"/>
        <v>0.7083211232898905</v>
      </c>
      <c r="N24" s="262">
        <f t="shared" si="2"/>
        <v>0.70860466195243343</v>
      </c>
      <c r="O24" s="269">
        <f t="shared" si="2"/>
        <v>0.72340373337713082</v>
      </c>
      <c r="P24" s="264">
        <f>P50+P52+P54+P58+P59+P60</f>
        <v>4.9531108986779104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4.5620447962953781E-2</v>
      </c>
      <c r="D25" s="268">
        <f>$K14*(IF($C16=2,0.52-2.6*D22,MAX(-50,(250*D22-90))/100*D24))</f>
        <v>3.5078680139908336E-2</v>
      </c>
      <c r="E25" s="268">
        <f t="shared" ref="E25:P25" si="3">$K14*(IF($C16=2,0.52-2.6*E22,MAX(-50,(250*E22-90))/100*E24))</f>
        <v>2.453691231686278E-2</v>
      </c>
      <c r="F25" s="1132">
        <f t="shared" si="3"/>
        <v>1.3995144493817335E-2</v>
      </c>
      <c r="G25" s="1132">
        <f t="shared" si="3"/>
        <v>-2.8171926798364555E-2</v>
      </c>
      <c r="H25" s="1132">
        <f t="shared" si="3"/>
        <v>-7.0338998090546445E-2</v>
      </c>
      <c r="I25" s="374">
        <f t="shared" si="3"/>
        <v>5.6162215785999281E-2</v>
      </c>
      <c r="J25" s="374">
        <f t="shared" si="3"/>
        <v>3.5078680139908336E-2</v>
      </c>
      <c r="K25" s="374">
        <f t="shared" si="3"/>
        <v>1.3995144493817335E-2</v>
      </c>
      <c r="L25" s="262">
        <f t="shared" si="3"/>
        <v>4.6780950245464137E-2</v>
      </c>
      <c r="M25" s="262">
        <f t="shared" si="3"/>
        <v>4.6570114889003256E-2</v>
      </c>
      <c r="N25" s="262">
        <f t="shared" si="3"/>
        <v>4.6359279532542375E-2</v>
      </c>
      <c r="O25" s="268">
        <f t="shared" si="3"/>
        <v>3.5817511709496819E-2</v>
      </c>
      <c r="P25" s="270">
        <f t="shared" si="3"/>
        <v>-0.31200000000000006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4">IF($C17=2,IF($C16=1,0.3,0),0)</f>
        <v>0</v>
      </c>
      <c r="E26" s="268">
        <f t="shared" si="4"/>
        <v>0</v>
      </c>
      <c r="F26" s="375">
        <f t="shared" si="4"/>
        <v>0</v>
      </c>
      <c r="G26" s="375">
        <f t="shared" si="4"/>
        <v>0</v>
      </c>
      <c r="H26" s="375">
        <f t="shared" si="4"/>
        <v>0</v>
      </c>
      <c r="I26" s="374">
        <f t="shared" si="4"/>
        <v>0</v>
      </c>
      <c r="J26" s="374">
        <f t="shared" si="4"/>
        <v>0</v>
      </c>
      <c r="K26" s="374">
        <f t="shared" si="4"/>
        <v>0</v>
      </c>
      <c r="L26" s="262">
        <f t="shared" si="4"/>
        <v>0</v>
      </c>
      <c r="M26" s="262">
        <f t="shared" si="4"/>
        <v>0</v>
      </c>
      <c r="N26" s="262">
        <f t="shared" si="4"/>
        <v>0</v>
      </c>
      <c r="O26" s="269">
        <f t="shared" si="4"/>
        <v>0</v>
      </c>
      <c r="P26" s="270">
        <f t="shared" si="4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97">
        <f>MAX(0.09,0.28*'SHIP DATA'!E2^(-0.126))</f>
        <v>0.09</v>
      </c>
      <c r="D27" s="267">
        <f t="shared" ref="D27:P27" si="5">C27</f>
        <v>0.09</v>
      </c>
      <c r="E27" s="267">
        <f t="shared" si="5"/>
        <v>0.09</v>
      </c>
      <c r="F27" s="376">
        <v>0</v>
      </c>
      <c r="G27" s="376">
        <v>0</v>
      </c>
      <c r="H27" s="376">
        <v>0</v>
      </c>
      <c r="I27" s="373">
        <f>C27</f>
        <v>0.09</v>
      </c>
      <c r="J27" s="373">
        <f t="shared" si="5"/>
        <v>0.09</v>
      </c>
      <c r="K27" s="373">
        <f t="shared" si="5"/>
        <v>0.09</v>
      </c>
      <c r="L27" s="271">
        <f t="shared" si="5"/>
        <v>0.09</v>
      </c>
      <c r="M27" s="271">
        <f t="shared" si="5"/>
        <v>0.09</v>
      </c>
      <c r="N27" s="271">
        <f t="shared" si="5"/>
        <v>0.09</v>
      </c>
      <c r="O27" s="267">
        <f t="shared" si="5"/>
        <v>0.09</v>
      </c>
      <c r="P27" s="270">
        <f t="shared" si="5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6">0.5*LOG10($C7)-0.1*(LOG10($C7))^2</f>
        <v>-0.2279204508192656</v>
      </c>
      <c r="D28" s="229">
        <f t="shared" si="6"/>
        <v>-0.2279204508192656</v>
      </c>
      <c r="E28" s="229">
        <f t="shared" si="6"/>
        <v>-0.2279204508192656</v>
      </c>
      <c r="F28" s="375">
        <f t="shared" si="6"/>
        <v>-0.2279204508192656</v>
      </c>
      <c r="G28" s="375">
        <f t="shared" si="6"/>
        <v>-0.2279204508192656</v>
      </c>
      <c r="H28" s="375">
        <f t="shared" si="6"/>
        <v>-0.2279204508192656</v>
      </c>
      <c r="I28" s="374">
        <f t="shared" si="6"/>
        <v>-0.2279204508192656</v>
      </c>
      <c r="J28" s="374">
        <f t="shared" si="6"/>
        <v>-0.2279204508192656</v>
      </c>
      <c r="K28" s="374">
        <f t="shared" si="6"/>
        <v>-0.2279204508192656</v>
      </c>
      <c r="L28" s="262">
        <f t="shared" si="6"/>
        <v>-0.2279204508192656</v>
      </c>
      <c r="M28" s="262">
        <f t="shared" si="6"/>
        <v>-0.2279204508192656</v>
      </c>
      <c r="N28" s="262">
        <f t="shared" si="6"/>
        <v>-0.2279204508192656</v>
      </c>
      <c r="O28" s="263">
        <f t="shared" si="6"/>
        <v>-0.2279204508192656</v>
      </c>
      <c r="P28" s="265">
        <f>0.5*LOG10($C7)-0.1*(LOG10($C7))^2</f>
        <v>-0.2279204508192656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243" t="s">
        <v>193</v>
      </c>
      <c r="C29" s="266">
        <f t="shared" ref="C29:O29" si="7">C23+C24+C25+C26+C27+C28</f>
        <v>1.9152511992965349</v>
      </c>
      <c r="D29" s="268">
        <f t="shared" si="7"/>
        <v>1.9163425120086637</v>
      </c>
      <c r="E29" s="268">
        <f t="shared" si="7"/>
        <v>1.9188454627266704</v>
      </c>
      <c r="F29" s="375">
        <f t="shared" si="7"/>
        <v>1.8329227253780678</v>
      </c>
      <c r="G29" s="375">
        <f t="shared" si="7"/>
        <v>1.8692842167526464</v>
      </c>
      <c r="H29" s="375">
        <f t="shared" si="7"/>
        <v>1.9534907603574245</v>
      </c>
      <c r="I29" s="374">
        <f t="shared" si="7"/>
        <v>1.9154317312644866</v>
      </c>
      <c r="J29" s="374">
        <f t="shared" si="7"/>
        <v>1.9163425120086637</v>
      </c>
      <c r="K29" s="374">
        <f t="shared" si="7"/>
        <v>1.9229227253780676</v>
      </c>
      <c r="L29" s="262">
        <f t="shared" si="7"/>
        <v>1.915211110305306</v>
      </c>
      <c r="M29" s="262">
        <f t="shared" si="7"/>
        <v>1.9152172569389929</v>
      </c>
      <c r="N29" s="262">
        <f t="shared" si="7"/>
        <v>1.915223907036919</v>
      </c>
      <c r="O29" s="269">
        <f t="shared" si="7"/>
        <v>1.9162217696457819</v>
      </c>
      <c r="P29" s="265">
        <f>P23+P24+P25+P27+P28</f>
        <v>5.7216622776824524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7" customFormat="1" ht="12" customHeight="1" x14ac:dyDescent="0.2">
      <c r="A30" s="188" t="s">
        <v>249</v>
      </c>
      <c r="B30" s="243" t="s">
        <v>250</v>
      </c>
      <c r="C30" s="272">
        <f t="shared" ref="C30:P30" si="8">($C9*$C3*C21^2*0.0001323*C29*$K19/100)*(1+$K12/100)</f>
        <v>3978.3308328839166</v>
      </c>
      <c r="D30" s="273">
        <f t="shared" si="8"/>
        <v>4159.478871343922</v>
      </c>
      <c r="E30" s="273">
        <f t="shared" si="8"/>
        <v>4347.9630087025616</v>
      </c>
      <c r="F30" s="378">
        <f t="shared" si="8"/>
        <v>4331.8833739707334</v>
      </c>
      <c r="G30" s="378">
        <f t="shared" si="8"/>
        <v>5184.8017073538749</v>
      </c>
      <c r="H30" s="378">
        <f t="shared" si="8"/>
        <v>6284.0197396932235</v>
      </c>
      <c r="I30" s="379">
        <f t="shared" si="8"/>
        <v>3803.8392538874773</v>
      </c>
      <c r="J30" s="379">
        <f t="shared" si="8"/>
        <v>4159.478871343922</v>
      </c>
      <c r="K30" s="379">
        <f t="shared" si="8"/>
        <v>4544.587105698949</v>
      </c>
      <c r="L30" s="274">
        <f t="shared" si="8"/>
        <v>3958.8069324573007</v>
      </c>
      <c r="M30" s="274">
        <f t="shared" si="8"/>
        <v>3962.3480041032185</v>
      </c>
      <c r="N30" s="274">
        <f t="shared" si="8"/>
        <v>3965.8917125934968</v>
      </c>
      <c r="O30" s="273">
        <f t="shared" si="8"/>
        <v>4146.5523927398845</v>
      </c>
      <c r="P30" s="275">
        <f t="shared" si="8"/>
        <v>36558.814462248884</v>
      </c>
    </row>
    <row r="31" spans="1:30" s="17" customFormat="1" ht="12" customHeight="1" x14ac:dyDescent="0.2">
      <c r="A31" s="188" t="s">
        <v>251</v>
      </c>
      <c r="B31" s="243" t="s">
        <v>252</v>
      </c>
      <c r="C31" s="276">
        <f t="shared" ref="C31:P31" si="9">C30*C21*0.5144</f>
        <v>46045.201059798448</v>
      </c>
      <c r="D31" s="277">
        <f t="shared" si="9"/>
        <v>49211.626422644207</v>
      </c>
      <c r="E31" s="277">
        <f t="shared" si="9"/>
        <v>52559.916034400041</v>
      </c>
      <c r="F31" s="376">
        <f t="shared" si="9"/>
        <v>53479.699381693084</v>
      </c>
      <c r="G31" s="376">
        <f t="shared" si="9"/>
        <v>69343.611954833657</v>
      </c>
      <c r="H31" s="376">
        <f t="shared" si="9"/>
        <v>90509.993114749435</v>
      </c>
      <c r="I31" s="380">
        <f t="shared" si="9"/>
        <v>43047.288068393798</v>
      </c>
      <c r="J31" s="381">
        <f t="shared" si="9"/>
        <v>49211.626422644207</v>
      </c>
      <c r="K31" s="381">
        <f t="shared" si="9"/>
        <v>56105.654572116939</v>
      </c>
      <c r="L31" s="278">
        <f t="shared" si="9"/>
        <v>45707.141186088076</v>
      </c>
      <c r="M31" s="278">
        <f t="shared" si="9"/>
        <v>45768.407605020104</v>
      </c>
      <c r="N31" s="278">
        <f t="shared" si="9"/>
        <v>45829.7409258017</v>
      </c>
      <c r="O31" s="150">
        <f t="shared" si="9"/>
        <v>48983.944296852278</v>
      </c>
      <c r="P31" s="275">
        <f t="shared" si="9"/>
        <v>742117.96935993643</v>
      </c>
    </row>
    <row r="32" spans="1:30" s="17" customFormat="1" ht="12" customHeight="1" thickBot="1" x14ac:dyDescent="0.25">
      <c r="A32" s="188" t="s">
        <v>253</v>
      </c>
      <c r="B32" s="243" t="s">
        <v>193</v>
      </c>
      <c r="C32" s="260">
        <f t="shared" ref="C32:P32" si="10">C36*$J6*IF($K17=3,1,$K5*$J7)</f>
        <v>0.76803820964267444</v>
      </c>
      <c r="D32" s="261">
        <f t="shared" si="10"/>
        <v>0.76797370121431774</v>
      </c>
      <c r="E32" s="261">
        <f t="shared" si="10"/>
        <v>0.76782581508621695</v>
      </c>
      <c r="F32" s="372">
        <f t="shared" si="10"/>
        <v>0.77295534355441708</v>
      </c>
      <c r="G32" s="372">
        <f t="shared" si="10"/>
        <v>0.77077121219162248</v>
      </c>
      <c r="H32" s="372">
        <f t="shared" si="10"/>
        <v>0.76578811287484294</v>
      </c>
      <c r="I32" s="373">
        <f t="shared" si="10"/>
        <v>0.76802753704703319</v>
      </c>
      <c r="J32" s="374">
        <f t="shared" si="10"/>
        <v>0.76797370121431774</v>
      </c>
      <c r="K32" s="374">
        <f t="shared" si="10"/>
        <v>0.76758510608714003</v>
      </c>
      <c r="L32" s="262">
        <f t="shared" si="10"/>
        <v>0.76804057966732531</v>
      </c>
      <c r="M32" s="262">
        <f t="shared" si="10"/>
        <v>0.76804021628242125</v>
      </c>
      <c r="N32" s="262">
        <f t="shared" si="10"/>
        <v>0.76803982313366481</v>
      </c>
      <c r="O32" s="263">
        <f t="shared" si="10"/>
        <v>0.76798083754604241</v>
      </c>
      <c r="P32" s="264">
        <f t="shared" si="10"/>
        <v>0.61037744395166282</v>
      </c>
    </row>
    <row r="33" spans="1:22" s="17" customFormat="1" ht="12" customHeight="1" thickBot="1" x14ac:dyDescent="0.25">
      <c r="A33" s="279" t="s">
        <v>254</v>
      </c>
      <c r="B33" s="280" t="s">
        <v>252</v>
      </c>
      <c r="C33" s="281">
        <f t="shared" ref="C33:P33" si="11">C31/C32</f>
        <v>59951.706154334075</v>
      </c>
      <c r="D33" s="282">
        <f t="shared" si="11"/>
        <v>64079.832870358623</v>
      </c>
      <c r="E33" s="282">
        <f t="shared" si="11"/>
        <v>68452.916015200972</v>
      </c>
      <c r="F33" s="382">
        <f t="shared" si="11"/>
        <v>69188.601680102161</v>
      </c>
      <c r="G33" s="382">
        <f t="shared" si="11"/>
        <v>89966.530739596492</v>
      </c>
      <c r="H33" s="382">
        <f t="shared" si="11"/>
        <v>118191.95361359963</v>
      </c>
      <c r="I33" s="383">
        <f t="shared" si="11"/>
        <v>56049.14666719512</v>
      </c>
      <c r="J33" s="384">
        <f t="shared" si="11"/>
        <v>64079.832870358623</v>
      </c>
      <c r="K33" s="384">
        <f t="shared" si="11"/>
        <v>73093.724887553442</v>
      </c>
      <c r="L33" s="284">
        <f t="shared" si="11"/>
        <v>59511.362284901668</v>
      </c>
      <c r="M33" s="284">
        <f t="shared" si="11"/>
        <v>59591.160247512737</v>
      </c>
      <c r="N33" s="284">
        <f t="shared" si="11"/>
        <v>59671.047705329438</v>
      </c>
      <c r="O33" s="285">
        <f t="shared" si="11"/>
        <v>63782.768920865899</v>
      </c>
      <c r="P33" s="275">
        <f t="shared" si="11"/>
        <v>1215834.5245449576</v>
      </c>
      <c r="Q33" s="507" t="s">
        <v>307</v>
      </c>
      <c r="R33" s="325">
        <f>'SHIP DATA'!E47*0.75</f>
        <v>59600.959140850347</v>
      </c>
      <c r="S33" s="326">
        <f>S34*S35*R36-S34*S36*R35+S35*S36*R34</f>
        <v>22.926240480419665</v>
      </c>
      <c r="T33" s="508" t="s">
        <v>307</v>
      </c>
      <c r="U33" s="156">
        <f>'SHIP DATA'!E47*0.75</f>
        <v>59600.959140850347</v>
      </c>
      <c r="V33" s="157">
        <f>V34*V35*U36-V34*V36*U35+V35*V36*U34</f>
        <v>22.454956941663362</v>
      </c>
    </row>
    <row r="34" spans="1:22" s="17" customFormat="1" ht="12" customHeight="1" x14ac:dyDescent="0.2">
      <c r="A34" s="17" t="s">
        <v>255</v>
      </c>
      <c r="B34" s="243" t="s">
        <v>193</v>
      </c>
      <c r="C34" s="286">
        <f t="shared" ref="C34:P34" si="12">2.54648*C30/(1-$K4)/$C17/$C3/(C37*$C18)^2/$J7</f>
        <v>0.85103322614330112</v>
      </c>
      <c r="D34" s="287">
        <f t="shared" si="12"/>
        <v>0.85151814602142217</v>
      </c>
      <c r="E34" s="287">
        <f t="shared" si="12"/>
        <v>0.85263032087619073</v>
      </c>
      <c r="F34" s="385">
        <f t="shared" si="12"/>
        <v>0.81445094033764698</v>
      </c>
      <c r="G34" s="385">
        <f t="shared" si="12"/>
        <v>0.8306080049165675</v>
      </c>
      <c r="H34" s="385">
        <f t="shared" si="12"/>
        <v>0.86802480251088454</v>
      </c>
      <c r="I34" s="386">
        <f t="shared" si="12"/>
        <v>0.85111344470845074</v>
      </c>
      <c r="J34" s="387">
        <f t="shared" si="12"/>
        <v>0.85151814602142217</v>
      </c>
      <c r="K34" s="387">
        <f t="shared" si="12"/>
        <v>0.85444203413308717</v>
      </c>
      <c r="L34" s="288">
        <f t="shared" si="12"/>
        <v>0.85101541278098536</v>
      </c>
      <c r="M34" s="288">
        <f t="shared" si="12"/>
        <v>0.85101814400992226</v>
      </c>
      <c r="N34" s="288">
        <f t="shared" si="12"/>
        <v>0.85102109895092126</v>
      </c>
      <c r="O34" s="289">
        <f t="shared" si="12"/>
        <v>0.85146449469743246</v>
      </c>
      <c r="P34" s="290">
        <f t="shared" si="12"/>
        <v>2.5423948090292345</v>
      </c>
      <c r="Q34" s="153">
        <f>F33-G33</f>
        <v>-20777.92905949433</v>
      </c>
      <c r="R34" s="158">
        <f>F21/Q34/Q35</f>
        <v>2.3571281521003663E-8</v>
      </c>
      <c r="S34" s="154">
        <f>R33-F33</f>
        <v>-9587.642539251814</v>
      </c>
      <c r="T34" s="153">
        <f>I33-J33</f>
        <v>-8030.6862031635028</v>
      </c>
      <c r="U34" s="158">
        <f>I21/T34/T35</f>
        <v>1.6072512260871022E-7</v>
      </c>
      <c r="V34" s="154">
        <f>U33-I33</f>
        <v>3551.8124736552272</v>
      </c>
    </row>
    <row r="35" spans="1:22" x14ac:dyDescent="0.2">
      <c r="A35" s="17" t="s">
        <v>256</v>
      </c>
      <c r="B35" s="291" t="s">
        <v>193</v>
      </c>
      <c r="C35" s="286">
        <f t="shared" ref="C35:P35" si="13">(1.3+0.3*$C19)*C30/(1-$K4)/$C17/(99.6+$C3*9.81*0.65*$C18)/$C18^2+C70</f>
        <v>0.47096774439164923</v>
      </c>
      <c r="D35" s="287">
        <f t="shared" si="13"/>
        <v>0.48785927052442346</v>
      </c>
      <c r="E35" s="287">
        <f t="shared" si="13"/>
        <v>0.50543486647828073</v>
      </c>
      <c r="F35" s="385">
        <f t="shared" si="13"/>
        <v>0.50393548744780836</v>
      </c>
      <c r="G35" s="385">
        <f t="shared" si="13"/>
        <v>0.58346763386210365</v>
      </c>
      <c r="H35" s="385">
        <f t="shared" si="13"/>
        <v>0.68596650868693987</v>
      </c>
      <c r="I35" s="386">
        <f t="shared" si="13"/>
        <v>0.45469691368531451</v>
      </c>
      <c r="J35" s="387">
        <f t="shared" si="13"/>
        <v>0.48785927052442346</v>
      </c>
      <c r="K35" s="387">
        <f t="shared" si="13"/>
        <v>0.52376948992208294</v>
      </c>
      <c r="L35" s="288">
        <f t="shared" si="13"/>
        <v>0.46914719763291268</v>
      </c>
      <c r="M35" s="288">
        <f t="shared" si="13"/>
        <v>0.46947739223371288</v>
      </c>
      <c r="N35" s="288">
        <f t="shared" si="13"/>
        <v>0.46980783271255744</v>
      </c>
      <c r="O35" s="289">
        <f t="shared" si="13"/>
        <v>0.48665391410433145</v>
      </c>
      <c r="P35" s="290">
        <f t="shared" si="13"/>
        <v>3.5090027975028901</v>
      </c>
      <c r="Q35" s="149">
        <f>F33-H33</f>
        <v>-49003.35193349747</v>
      </c>
      <c r="R35" s="159">
        <f>G21/Q34/Q36</f>
        <v>4.4333358374868624E-8</v>
      </c>
      <c r="S35" s="150">
        <f>R33-G33</f>
        <v>-30365.571598746144</v>
      </c>
      <c r="T35" s="149">
        <f>I33-K33</f>
        <v>-17044.578220358322</v>
      </c>
      <c r="U35" s="159">
        <f>J21/T34/T36</f>
        <v>3.1773336967117627E-7</v>
      </c>
      <c r="V35" s="150">
        <f>U33-J33</f>
        <v>-4478.8737295082756</v>
      </c>
    </row>
    <row r="36" spans="1:22" s="17" customFormat="1" ht="12" customHeight="1" thickBot="1" x14ac:dyDescent="0.25">
      <c r="A36" s="17" t="s">
        <v>257</v>
      </c>
      <c r="B36" s="292" t="s">
        <v>193</v>
      </c>
      <c r="C36" s="293">
        <f>(1+$K18/100)*IF($K17=3,1/(1+16.8/C21),IF($K17=1,0.81-0.014*C34,0.00098*C34^3-0.018542*C34^2+0.11195*C34+0.634)/(1+SQRT(1+C34))*2)</f>
        <v>0.67619272807682129</v>
      </c>
      <c r="D36" s="294">
        <f t="shared" ref="D36:P36" si="14">(1+$K18/100)*IF($K17=3,1/(1+16.8/D21),IF($K17=1,0.81-0.014*D34,0.00098*D34^3-0.018542*D34^2+0.11195*D34+0.634)/(1+SQRT(1+D34))*2)</f>
        <v>0.67613593385798321</v>
      </c>
      <c r="E36" s="294">
        <f t="shared" si="14"/>
        <v>0.67600573262170383</v>
      </c>
      <c r="F36" s="388">
        <f t="shared" si="14"/>
        <v>0.68052184888403633</v>
      </c>
      <c r="G36" s="388">
        <f t="shared" si="14"/>
        <v>0.67859890582450633</v>
      </c>
      <c r="H36" s="388">
        <f t="shared" si="14"/>
        <v>0.67421170805363173</v>
      </c>
      <c r="I36" s="389">
        <f t="shared" si="14"/>
        <v>0.67618333175841971</v>
      </c>
      <c r="J36" s="389">
        <f t="shared" si="14"/>
        <v>0.67613593385798321</v>
      </c>
      <c r="K36" s="389">
        <f t="shared" si="14"/>
        <v>0.67579380869303085</v>
      </c>
      <c r="L36" s="295">
        <f t="shared" si="14"/>
        <v>0.67619481468320908</v>
      </c>
      <c r="M36" s="295">
        <f t="shared" si="14"/>
        <v>0.67619449475351479</v>
      </c>
      <c r="N36" s="295">
        <f t="shared" si="14"/>
        <v>0.67619414861926408</v>
      </c>
      <c r="O36" s="296">
        <f t="shared" si="14"/>
        <v>0.67614221679489539</v>
      </c>
      <c r="P36" s="297">
        <f t="shared" si="14"/>
        <v>0.53738574956349328</v>
      </c>
      <c r="Q36" s="151">
        <f>G33-H33</f>
        <v>-28225.422874003139</v>
      </c>
      <c r="R36" s="160">
        <f>H21/Q35/Q36</f>
        <v>2.0243788270226037E-8</v>
      </c>
      <c r="S36" s="152">
        <f>R33-H33</f>
        <v>-58590.994472749284</v>
      </c>
      <c r="T36" s="151">
        <f>J33-K33</f>
        <v>-9013.8920171948193</v>
      </c>
      <c r="U36" s="160">
        <f>K21/T35/T36</f>
        <v>1.562113666133855E-7</v>
      </c>
      <c r="V36" s="152">
        <f>U33-K33</f>
        <v>-13492.765746703095</v>
      </c>
    </row>
    <row r="37" spans="1:22" s="17" customFormat="1" ht="12" customHeight="1" thickTop="1" x14ac:dyDescent="0.2">
      <c r="A37" s="298" t="s">
        <v>258</v>
      </c>
      <c r="B37" s="299" t="s">
        <v>259</v>
      </c>
      <c r="C37" s="300">
        <f t="shared" ref="C37:P37" si="15">C21*0.5144*(1-$K3)</f>
        <v>8.3314284063062676</v>
      </c>
      <c r="D37" s="300">
        <f t="shared" si="15"/>
        <v>8.5165712597797381</v>
      </c>
      <c r="E37" s="300">
        <f t="shared" si="15"/>
        <v>8.7017141132532121</v>
      </c>
      <c r="F37" s="300">
        <f t="shared" si="15"/>
        <v>8.8868569667266843</v>
      </c>
      <c r="G37" s="300">
        <f t="shared" si="15"/>
        <v>9.6274283806205752</v>
      </c>
      <c r="H37" s="300">
        <f t="shared" si="15"/>
        <v>10.367999794514464</v>
      </c>
      <c r="I37" s="300">
        <f t="shared" si="15"/>
        <v>8.1462855528327935</v>
      </c>
      <c r="J37" s="300">
        <f t="shared" si="15"/>
        <v>8.5165712597797381</v>
      </c>
      <c r="K37" s="300">
        <f t="shared" si="15"/>
        <v>8.8868569667266843</v>
      </c>
      <c r="L37" s="300">
        <f t="shared" si="15"/>
        <v>8.3110467485375619</v>
      </c>
      <c r="M37" s="300">
        <f t="shared" si="15"/>
        <v>8.314749605607032</v>
      </c>
      <c r="N37" s="300">
        <f t="shared" si="15"/>
        <v>8.3184524626765022</v>
      </c>
      <c r="O37" s="300">
        <f t="shared" si="15"/>
        <v>8.5035953161499744</v>
      </c>
      <c r="P37" s="301">
        <f t="shared" si="15"/>
        <v>14.612241198595097</v>
      </c>
    </row>
    <row r="38" spans="1:22" s="17" customFormat="1" ht="12" customHeight="1" x14ac:dyDescent="0.2">
      <c r="A38" s="17" t="s">
        <v>260</v>
      </c>
      <c r="B38" s="243" t="s">
        <v>259</v>
      </c>
      <c r="C38" s="287">
        <f t="shared" ref="C38:P38" si="16">C37*SQRT(1+C34)</f>
        <v>11.335131790190436</v>
      </c>
      <c r="D38" s="287">
        <f t="shared" si="16"/>
        <v>11.588541249371426</v>
      </c>
      <c r="E38" s="287">
        <f t="shared" si="16"/>
        <v>11.84402170662187</v>
      </c>
      <c r="F38" s="287">
        <f t="shared" si="16"/>
        <v>11.970734684451065</v>
      </c>
      <c r="G38" s="287">
        <f t="shared" si="16"/>
        <v>13.025907058663385</v>
      </c>
      <c r="H38" s="287">
        <f t="shared" si="16"/>
        <v>14.170536695159687</v>
      </c>
      <c r="I38" s="287">
        <f t="shared" si="16"/>
        <v>11.083480128226693</v>
      </c>
      <c r="J38" s="287">
        <f t="shared" si="16"/>
        <v>11.588541249371426</v>
      </c>
      <c r="K38" s="287">
        <f t="shared" si="16"/>
        <v>12.101935158352621</v>
      </c>
      <c r="L38" s="287">
        <f t="shared" si="16"/>
        <v>11.307347589821887</v>
      </c>
      <c r="M38" s="287">
        <f t="shared" si="16"/>
        <v>11.312393747811734</v>
      </c>
      <c r="N38" s="287">
        <f t="shared" si="16"/>
        <v>11.31744059713464</v>
      </c>
      <c r="O38" s="287">
        <f t="shared" si="16"/>
        <v>11.570717172148527</v>
      </c>
      <c r="P38" s="290">
        <f t="shared" si="16"/>
        <v>27.502065604856014</v>
      </c>
    </row>
    <row r="39" spans="1:22" s="17" customFormat="1" ht="12" customHeight="1" x14ac:dyDescent="0.2">
      <c r="A39" s="17" t="s">
        <v>261</v>
      </c>
      <c r="B39" s="243" t="s">
        <v>259</v>
      </c>
      <c r="C39" s="287">
        <f t="shared" ref="C39:P39" si="17">C38-C37</f>
        <v>3.0037033838841687</v>
      </c>
      <c r="D39" s="287">
        <f t="shared" si="17"/>
        <v>3.0719699895916879</v>
      </c>
      <c r="E39" s="287">
        <f t="shared" si="17"/>
        <v>3.1423075933686579</v>
      </c>
      <c r="F39" s="287">
        <f t="shared" si="17"/>
        <v>3.0838777177243806</v>
      </c>
      <c r="G39" s="287">
        <f t="shared" si="17"/>
        <v>3.3984786780428102</v>
      </c>
      <c r="H39" s="287">
        <f t="shared" si="17"/>
        <v>3.8025369006452223</v>
      </c>
      <c r="I39" s="287">
        <f t="shared" si="17"/>
        <v>2.9371945753938995</v>
      </c>
      <c r="J39" s="287">
        <f t="shared" si="17"/>
        <v>3.0719699895916879</v>
      </c>
      <c r="K39" s="287">
        <f t="shared" si="17"/>
        <v>3.2150781916259366</v>
      </c>
      <c r="L39" s="287">
        <f t="shared" si="17"/>
        <v>2.9963008412843255</v>
      </c>
      <c r="M39" s="287">
        <f t="shared" si="17"/>
        <v>2.9976441422047024</v>
      </c>
      <c r="N39" s="287">
        <f t="shared" si="17"/>
        <v>2.9989881344581377</v>
      </c>
      <c r="O39" s="287">
        <f t="shared" si="17"/>
        <v>3.0671218559985522</v>
      </c>
      <c r="P39" s="290">
        <f t="shared" si="17"/>
        <v>12.889824406260917</v>
      </c>
    </row>
    <row r="40" spans="1:22" s="17" customFormat="1" ht="12" customHeight="1" x14ac:dyDescent="0.2">
      <c r="A40" s="17" t="s">
        <v>262</v>
      </c>
      <c r="B40" s="243" t="s">
        <v>193</v>
      </c>
      <c r="C40" s="287">
        <f t="shared" ref="C40:P40" si="18">C38/C37</f>
        <v>1.3605268193399573</v>
      </c>
      <c r="D40" s="287">
        <f t="shared" si="18"/>
        <v>1.3607050180040574</v>
      </c>
      <c r="E40" s="287">
        <f t="shared" si="18"/>
        <v>1.3611136326097799</v>
      </c>
      <c r="F40" s="287">
        <f t="shared" si="18"/>
        <v>1.3470155679641</v>
      </c>
      <c r="G40" s="287">
        <f t="shared" si="18"/>
        <v>1.3529996322677134</v>
      </c>
      <c r="H40" s="287">
        <f t="shared" si="18"/>
        <v>1.3667570385810657</v>
      </c>
      <c r="I40" s="287">
        <f t="shared" si="18"/>
        <v>1.3605562997202472</v>
      </c>
      <c r="J40" s="287">
        <f t="shared" si="18"/>
        <v>1.3607050180040574</v>
      </c>
      <c r="K40" s="287">
        <f t="shared" si="18"/>
        <v>1.3617789960684101</v>
      </c>
      <c r="L40" s="287">
        <f t="shared" si="18"/>
        <v>1.3605202728298411</v>
      </c>
      <c r="M40" s="287">
        <f t="shared" si="18"/>
        <v>1.3605212765737706</v>
      </c>
      <c r="N40" s="287">
        <f t="shared" si="18"/>
        <v>1.3605223625324654</v>
      </c>
      <c r="O40" s="287">
        <f t="shared" si="18"/>
        <v>1.3606853033296979</v>
      </c>
      <c r="P40" s="290">
        <f t="shared" si="18"/>
        <v>1.8821250779449368</v>
      </c>
    </row>
    <row r="41" spans="1:22" s="17" customFormat="1" ht="12" customHeight="1" x14ac:dyDescent="0.2">
      <c r="A41" s="17" t="s">
        <v>263</v>
      </c>
      <c r="B41" s="243" t="s">
        <v>259</v>
      </c>
      <c r="C41" s="287">
        <f t="shared" ref="C41:P41" si="19">C37+0.5*C39</f>
        <v>9.8332800982483519</v>
      </c>
      <c r="D41" s="287">
        <f t="shared" si="19"/>
        <v>10.052556254575581</v>
      </c>
      <c r="E41" s="287">
        <f t="shared" si="19"/>
        <v>10.272867909937542</v>
      </c>
      <c r="F41" s="287">
        <f t="shared" si="19"/>
        <v>10.428795825588875</v>
      </c>
      <c r="G41" s="287">
        <f t="shared" si="19"/>
        <v>11.32666771964198</v>
      </c>
      <c r="H41" s="287">
        <f t="shared" si="19"/>
        <v>12.269268244837075</v>
      </c>
      <c r="I41" s="287">
        <f t="shared" si="19"/>
        <v>9.6148828405297433</v>
      </c>
      <c r="J41" s="287">
        <f t="shared" si="19"/>
        <v>10.052556254575581</v>
      </c>
      <c r="K41" s="287">
        <f t="shared" si="19"/>
        <v>10.494396062539654</v>
      </c>
      <c r="L41" s="287">
        <f t="shared" si="19"/>
        <v>9.8091971691797255</v>
      </c>
      <c r="M41" s="287">
        <f t="shared" si="19"/>
        <v>9.8135716767093832</v>
      </c>
      <c r="N41" s="287">
        <f t="shared" si="19"/>
        <v>9.817946529905571</v>
      </c>
      <c r="O41" s="287">
        <f t="shared" si="19"/>
        <v>10.037156244149251</v>
      </c>
      <c r="P41" s="290">
        <f t="shared" si="19"/>
        <v>21.057153401725557</v>
      </c>
    </row>
    <row r="42" spans="1:22" s="17" customFormat="1" ht="12" customHeight="1" x14ac:dyDescent="0.2">
      <c r="A42" s="17" t="s">
        <v>264</v>
      </c>
      <c r="B42" s="243" t="s">
        <v>265</v>
      </c>
      <c r="C42" s="302">
        <f t="shared" ref="C42:P42" si="20">0.785*$C18^2*C41</f>
        <v>774.01197148460562</v>
      </c>
      <c r="D42" s="302">
        <f t="shared" si="20"/>
        <v>791.27196696552744</v>
      </c>
      <c r="E42" s="302">
        <f t="shared" si="20"/>
        <v>808.61347020798314</v>
      </c>
      <c r="F42" s="302">
        <f t="shared" si="20"/>
        <v>820.88710344093374</v>
      </c>
      <c r="G42" s="302">
        <f t="shared" si="20"/>
        <v>891.56174993864295</v>
      </c>
      <c r="H42" s="302">
        <f t="shared" si="20"/>
        <v>965.75714390068867</v>
      </c>
      <c r="I42" s="302">
        <f t="shared" si="20"/>
        <v>756.82115719632725</v>
      </c>
      <c r="J42" s="302">
        <f t="shared" si="20"/>
        <v>791.27196696552744</v>
      </c>
      <c r="K42" s="302">
        <f t="shared" si="20"/>
        <v>826.05072821565921</v>
      </c>
      <c r="L42" s="302">
        <f t="shared" si="20"/>
        <v>772.11631965517677</v>
      </c>
      <c r="M42" s="302">
        <f t="shared" si="20"/>
        <v>772.46065248852176</v>
      </c>
      <c r="N42" s="302">
        <f t="shared" si="20"/>
        <v>772.80501253049181</v>
      </c>
      <c r="O42" s="302">
        <f t="shared" si="20"/>
        <v>790.0597781219401</v>
      </c>
      <c r="P42" s="275">
        <f t="shared" si="20"/>
        <v>1657.4824123261469</v>
      </c>
    </row>
    <row r="43" spans="1:22" s="17" customFormat="1" ht="12" customHeight="1" thickBot="1" x14ac:dyDescent="0.25">
      <c r="A43" s="223" t="s">
        <v>266</v>
      </c>
      <c r="B43" s="303" t="s">
        <v>193</v>
      </c>
      <c r="C43" s="304">
        <f t="shared" ref="C43:P43" si="21">C50+C52+C54+C58+C59+C60</f>
        <v>0.70960198488458381</v>
      </c>
      <c r="D43" s="304">
        <f t="shared" si="21"/>
        <v>0.72448862594746422</v>
      </c>
      <c r="E43" s="304">
        <f t="shared" si="21"/>
        <v>0.74070510323333671</v>
      </c>
      <c r="F43" s="304">
        <f t="shared" si="21"/>
        <v>0.75841783722011491</v>
      </c>
      <c r="G43" s="304">
        <f t="shared" si="21"/>
        <v>0.84860741963234532</v>
      </c>
      <c r="H43" s="304">
        <f t="shared" si="21"/>
        <v>0.98563688906452807</v>
      </c>
      <c r="I43" s="304">
        <f t="shared" si="21"/>
        <v>0.69590137147159337</v>
      </c>
      <c r="J43" s="304">
        <f t="shared" si="21"/>
        <v>0.72448862594746422</v>
      </c>
      <c r="K43" s="304">
        <f t="shared" si="21"/>
        <v>0.75841783722011491</v>
      </c>
      <c r="L43" s="304">
        <f t="shared" si="21"/>
        <v>0.70803805362435002</v>
      </c>
      <c r="M43" s="304">
        <f t="shared" si="21"/>
        <v>0.7083211232898905</v>
      </c>
      <c r="N43" s="304">
        <f t="shared" si="21"/>
        <v>0.70860466195243343</v>
      </c>
      <c r="O43" s="304">
        <f t="shared" si="21"/>
        <v>0.72340373337713082</v>
      </c>
      <c r="P43" s="305">
        <f t="shared" si="21"/>
        <v>4.9531108986779104</v>
      </c>
    </row>
    <row r="44" spans="1:22" s="17" customFormat="1" ht="12" customHeight="1" x14ac:dyDescent="0.2">
      <c r="A44" s="298"/>
      <c r="B44" s="309" t="s">
        <v>267</v>
      </c>
      <c r="C44" s="308">
        <f t="shared" ref="C44:P44" si="22">1.35-0.23*$C13+0.012*$C13^2</f>
        <v>0.36552800457824075</v>
      </c>
      <c r="D44" s="308">
        <f t="shared" si="22"/>
        <v>0.36552800457824075</v>
      </c>
      <c r="E44" s="308">
        <f t="shared" si="22"/>
        <v>0.36552800457824075</v>
      </c>
      <c r="F44" s="308">
        <f t="shared" si="22"/>
        <v>0.36552800457824075</v>
      </c>
      <c r="G44" s="308">
        <f t="shared" si="22"/>
        <v>0.36552800457824075</v>
      </c>
      <c r="H44" s="308">
        <f t="shared" si="22"/>
        <v>0.36552800457824075</v>
      </c>
      <c r="I44" s="308">
        <f t="shared" si="22"/>
        <v>0.36552800457824075</v>
      </c>
      <c r="J44" s="308">
        <f t="shared" si="22"/>
        <v>0.36552800457824075</v>
      </c>
      <c r="K44" s="308">
        <f t="shared" si="22"/>
        <v>0.36552800457824075</v>
      </c>
      <c r="L44" s="308">
        <f t="shared" si="22"/>
        <v>0.36552800457824075</v>
      </c>
      <c r="M44" s="308">
        <f t="shared" si="22"/>
        <v>0.36552800457824075</v>
      </c>
      <c r="N44" s="308">
        <f t="shared" si="22"/>
        <v>0.36552800457824075</v>
      </c>
      <c r="O44" s="308">
        <f t="shared" si="22"/>
        <v>0.36552800457824075</v>
      </c>
      <c r="P44" s="310">
        <f t="shared" si="22"/>
        <v>0.36552800457824075</v>
      </c>
    </row>
    <row r="45" spans="1:22" s="17" customFormat="1" ht="12" customHeight="1" x14ac:dyDescent="0.2">
      <c r="B45" s="306" t="s">
        <v>268</v>
      </c>
      <c r="C45" s="277">
        <f t="shared" ref="C45:P45" si="23">0.0011*$C13^9.1</f>
        <v>25705.869551679498</v>
      </c>
      <c r="D45" s="277">
        <f t="shared" si="23"/>
        <v>25705.869551679498</v>
      </c>
      <c r="E45" s="277">
        <f t="shared" si="23"/>
        <v>25705.869551679498</v>
      </c>
      <c r="F45" s="277">
        <f t="shared" si="23"/>
        <v>25705.869551679498</v>
      </c>
      <c r="G45" s="277">
        <f t="shared" si="23"/>
        <v>25705.869551679498</v>
      </c>
      <c r="H45" s="277">
        <f t="shared" si="23"/>
        <v>25705.869551679498</v>
      </c>
      <c r="I45" s="277">
        <f t="shared" si="23"/>
        <v>25705.869551679498</v>
      </c>
      <c r="J45" s="277">
        <f t="shared" si="23"/>
        <v>25705.869551679498</v>
      </c>
      <c r="K45" s="277">
        <f t="shared" si="23"/>
        <v>25705.869551679498</v>
      </c>
      <c r="L45" s="277">
        <f t="shared" si="23"/>
        <v>25705.869551679498</v>
      </c>
      <c r="M45" s="277">
        <f t="shared" si="23"/>
        <v>25705.869551679498</v>
      </c>
      <c r="N45" s="277">
        <f t="shared" si="23"/>
        <v>25705.869551679498</v>
      </c>
      <c r="O45" s="277">
        <f t="shared" si="23"/>
        <v>25705.869551679498</v>
      </c>
      <c r="P45" s="311">
        <f t="shared" si="23"/>
        <v>25705.869551679498</v>
      </c>
    </row>
    <row r="46" spans="1:22" s="17" customFormat="1" ht="12" customHeight="1" x14ac:dyDescent="0.2">
      <c r="B46" s="306" t="s">
        <v>269</v>
      </c>
      <c r="C46" s="261">
        <f t="shared" ref="C46:P46" si="24">2*$C13-3.7</f>
        <v>9.2053745233580635</v>
      </c>
      <c r="D46" s="261">
        <f t="shared" si="24"/>
        <v>9.2053745233580635</v>
      </c>
      <c r="E46" s="261">
        <f t="shared" si="24"/>
        <v>9.2053745233580635</v>
      </c>
      <c r="F46" s="261">
        <f t="shared" si="24"/>
        <v>9.2053745233580635</v>
      </c>
      <c r="G46" s="261">
        <f t="shared" si="24"/>
        <v>9.2053745233580635</v>
      </c>
      <c r="H46" s="261">
        <f t="shared" si="24"/>
        <v>9.2053745233580635</v>
      </c>
      <c r="I46" s="261">
        <f t="shared" si="24"/>
        <v>9.2053745233580635</v>
      </c>
      <c r="J46" s="261">
        <f t="shared" si="24"/>
        <v>9.2053745233580635</v>
      </c>
      <c r="K46" s="261">
        <f t="shared" si="24"/>
        <v>9.2053745233580635</v>
      </c>
      <c r="L46" s="261">
        <f t="shared" si="24"/>
        <v>9.2053745233580635</v>
      </c>
      <c r="M46" s="261">
        <f t="shared" si="24"/>
        <v>9.2053745233580635</v>
      </c>
      <c r="N46" s="261">
        <f t="shared" si="24"/>
        <v>9.2053745233580635</v>
      </c>
      <c r="O46" s="261">
        <f t="shared" si="24"/>
        <v>9.2053745233580635</v>
      </c>
      <c r="P46" s="312">
        <f t="shared" si="24"/>
        <v>9.2053745233580635</v>
      </c>
    </row>
    <row r="47" spans="1:22" s="17" customFormat="1" ht="12" customHeight="1" x14ac:dyDescent="0.2">
      <c r="B47" s="306" t="s">
        <v>270</v>
      </c>
      <c r="C47" s="261">
        <f t="shared" ref="C47:P47" si="25">7-0.09*$C13^2</f>
        <v>3.2526544392668635</v>
      </c>
      <c r="D47" s="261">
        <f t="shared" si="25"/>
        <v>3.2526544392668635</v>
      </c>
      <c r="E47" s="261">
        <f t="shared" si="25"/>
        <v>3.2526544392668635</v>
      </c>
      <c r="F47" s="261">
        <f t="shared" si="25"/>
        <v>3.2526544392668635</v>
      </c>
      <c r="G47" s="261">
        <f t="shared" si="25"/>
        <v>3.2526544392668635</v>
      </c>
      <c r="H47" s="261">
        <f t="shared" si="25"/>
        <v>3.2526544392668635</v>
      </c>
      <c r="I47" s="261">
        <f t="shared" si="25"/>
        <v>3.2526544392668635</v>
      </c>
      <c r="J47" s="261">
        <f t="shared" si="25"/>
        <v>3.2526544392668635</v>
      </c>
      <c r="K47" s="261">
        <f t="shared" si="25"/>
        <v>3.2526544392668635</v>
      </c>
      <c r="L47" s="261">
        <f t="shared" si="25"/>
        <v>3.2526544392668635</v>
      </c>
      <c r="M47" s="261">
        <f t="shared" si="25"/>
        <v>3.2526544392668635</v>
      </c>
      <c r="N47" s="261">
        <f t="shared" si="25"/>
        <v>3.2526544392668635</v>
      </c>
      <c r="O47" s="261">
        <f t="shared" si="25"/>
        <v>3.2526544392668635</v>
      </c>
      <c r="P47" s="312">
        <f t="shared" si="25"/>
        <v>3.2526544392668635</v>
      </c>
    </row>
    <row r="48" spans="1:22" s="17" customFormat="1" ht="12" customHeight="1" x14ac:dyDescent="0.2">
      <c r="B48" s="306" t="s">
        <v>271</v>
      </c>
      <c r="C48" s="261">
        <f t="shared" ref="C48:P48" si="26">(5*$C12-2.5)^2</f>
        <v>0.99941668449143217</v>
      </c>
      <c r="D48" s="261">
        <f t="shared" si="26"/>
        <v>0.99941668449143217</v>
      </c>
      <c r="E48" s="261">
        <f t="shared" si="26"/>
        <v>0.99941668449143217</v>
      </c>
      <c r="F48" s="261">
        <f t="shared" si="26"/>
        <v>0.99941668449143217</v>
      </c>
      <c r="G48" s="261">
        <f t="shared" si="26"/>
        <v>0.99941668449143217</v>
      </c>
      <c r="H48" s="261">
        <f t="shared" si="26"/>
        <v>0.99941668449143217</v>
      </c>
      <c r="I48" s="261">
        <f t="shared" si="26"/>
        <v>0.99941668449143217</v>
      </c>
      <c r="J48" s="261">
        <f t="shared" si="26"/>
        <v>0.99941668449143217</v>
      </c>
      <c r="K48" s="261">
        <f t="shared" si="26"/>
        <v>0.99941668449143217</v>
      </c>
      <c r="L48" s="261">
        <f t="shared" si="26"/>
        <v>0.99941668449143217</v>
      </c>
      <c r="M48" s="261">
        <f t="shared" si="26"/>
        <v>0.99941668449143217</v>
      </c>
      <c r="N48" s="261">
        <f t="shared" si="26"/>
        <v>0.99941668449143217</v>
      </c>
      <c r="O48" s="261">
        <f t="shared" si="26"/>
        <v>0.99941668449143217</v>
      </c>
      <c r="P48" s="312">
        <f t="shared" si="26"/>
        <v>0.99941668449143217</v>
      </c>
    </row>
    <row r="49" spans="2:16" s="17" customFormat="1" ht="12" customHeight="1" x14ac:dyDescent="0.2">
      <c r="B49" s="306" t="s">
        <v>272</v>
      </c>
      <c r="C49" s="261">
        <f t="shared" ref="C49:P49" si="27">(600*(C22-0.315)^2+1)^1.5</f>
        <v>39.207736771132438</v>
      </c>
      <c r="D49" s="261">
        <f t="shared" si="27"/>
        <v>36.016653158585029</v>
      </c>
      <c r="E49" s="261">
        <f t="shared" si="27"/>
        <v>33.012051183827055</v>
      </c>
      <c r="F49" s="261">
        <f t="shared" si="27"/>
        <v>30.188073595967996</v>
      </c>
      <c r="G49" s="261">
        <f t="shared" si="27"/>
        <v>20.581362027833766</v>
      </c>
      <c r="H49" s="261">
        <f t="shared" si="27"/>
        <v>13.396951969832207</v>
      </c>
      <c r="I49" s="261">
        <f t="shared" si="27"/>
        <v>42.591161510508634</v>
      </c>
      <c r="J49" s="261">
        <f t="shared" si="27"/>
        <v>36.016653158585029</v>
      </c>
      <c r="K49" s="261">
        <f t="shared" si="27"/>
        <v>30.188073595967996</v>
      </c>
      <c r="L49" s="261">
        <f t="shared" si="27"/>
        <v>39.570677079697113</v>
      </c>
      <c r="M49" s="261">
        <f t="shared" si="27"/>
        <v>39.504565928997515</v>
      </c>
      <c r="N49" s="261">
        <f t="shared" si="27"/>
        <v>39.438531925868141</v>
      </c>
      <c r="O49" s="261">
        <f t="shared" si="27"/>
        <v>36.234158838111554</v>
      </c>
      <c r="P49" s="312">
        <f t="shared" si="27"/>
        <v>1.0225841652402019</v>
      </c>
    </row>
    <row r="50" spans="2:16" s="17" customFormat="1" ht="12" customHeight="1" x14ac:dyDescent="0.2">
      <c r="B50" s="306" t="s">
        <v>273</v>
      </c>
      <c r="C50" s="261">
        <f t="shared" ref="C50:P50" si="28">C47*C48/C49</f>
        <v>8.2911113550473245E-2</v>
      </c>
      <c r="D50" s="261">
        <f t="shared" si="28"/>
        <v>9.0257056955709042E-2</v>
      </c>
      <c r="E50" s="261">
        <f t="shared" si="28"/>
        <v>9.8471830707720656E-2</v>
      </c>
      <c r="F50" s="261">
        <f t="shared" si="28"/>
        <v>0.10768348981110895</v>
      </c>
      <c r="G50" s="261">
        <f t="shared" si="28"/>
        <v>0.15794664663554225</v>
      </c>
      <c r="H50" s="261">
        <f t="shared" si="28"/>
        <v>0.24264900873038972</v>
      </c>
      <c r="I50" s="261">
        <f t="shared" si="28"/>
        <v>7.6324688038534913E-2</v>
      </c>
      <c r="J50" s="261">
        <f t="shared" si="28"/>
        <v>9.0257056955709042E-2</v>
      </c>
      <c r="K50" s="261">
        <f t="shared" si="28"/>
        <v>0.10768348981110895</v>
      </c>
      <c r="L50" s="261">
        <f t="shared" si="28"/>
        <v>8.2150656885179321E-2</v>
      </c>
      <c r="M50" s="261">
        <f t="shared" si="28"/>
        <v>8.2288136549357085E-2</v>
      </c>
      <c r="N50" s="261">
        <f t="shared" si="28"/>
        <v>8.2425915893593937E-2</v>
      </c>
      <c r="O50" s="261">
        <f t="shared" si="28"/>
        <v>8.9715263710475293E-2</v>
      </c>
      <c r="P50" s="312">
        <f t="shared" si="28"/>
        <v>3.1789628922376614</v>
      </c>
    </row>
    <row r="51" spans="2:16" s="17" customFormat="1" ht="12" customHeight="1" x14ac:dyDescent="0.2">
      <c r="B51" s="306"/>
      <c r="C51" s="261">
        <f t="shared" ref="C51:P51" si="29">C22-(0.04+0.59*$C12)-0.015*($C13-5)</f>
        <v>-0.29230221442952276</v>
      </c>
      <c r="D51" s="261">
        <f t="shared" si="29"/>
        <v>-0.28824768834373604</v>
      </c>
      <c r="E51" s="261">
        <f t="shared" si="29"/>
        <v>-0.28419316225794927</v>
      </c>
      <c r="F51" s="261">
        <f t="shared" si="29"/>
        <v>-0.28013863617216256</v>
      </c>
      <c r="G51" s="261">
        <f t="shared" si="29"/>
        <v>-0.2639205318290157</v>
      </c>
      <c r="H51" s="261">
        <f t="shared" si="29"/>
        <v>-0.24770242748586888</v>
      </c>
      <c r="I51" s="261">
        <f t="shared" si="29"/>
        <v>-0.29635674051530952</v>
      </c>
      <c r="J51" s="261">
        <f t="shared" si="29"/>
        <v>-0.28824768834373604</v>
      </c>
      <c r="K51" s="261">
        <f t="shared" si="29"/>
        <v>-0.28013863617216256</v>
      </c>
      <c r="L51" s="261">
        <f t="shared" si="29"/>
        <v>-0.29274856146125755</v>
      </c>
      <c r="M51" s="261">
        <f t="shared" si="29"/>
        <v>-0.29266747093954176</v>
      </c>
      <c r="N51" s="261">
        <f t="shared" si="29"/>
        <v>-0.29258638041782609</v>
      </c>
      <c r="O51" s="261">
        <f t="shared" si="29"/>
        <v>-0.28853185433203932</v>
      </c>
      <c r="P51" s="312">
        <f t="shared" si="29"/>
        <v>-0.15475588828992518</v>
      </c>
    </row>
    <row r="52" spans="2:16" s="17" customFormat="1" ht="12" customHeight="1" x14ac:dyDescent="0.2">
      <c r="B52" s="306" t="s">
        <v>274</v>
      </c>
      <c r="C52" s="261">
        <f t="shared" ref="C52:P52" si="30">EXP(80*C51)</f>
        <v>6.988450574916027E-11</v>
      </c>
      <c r="D52" s="261">
        <f t="shared" si="30"/>
        <v>9.6660616887318839E-11</v>
      </c>
      <c r="E52" s="261">
        <f t="shared" si="30"/>
        <v>1.3369594242496731E-10</v>
      </c>
      <c r="F52" s="261">
        <f t="shared" si="30"/>
        <v>1.8492128021215979E-10</v>
      </c>
      <c r="G52" s="261">
        <f t="shared" si="30"/>
        <v>6.768018688607613E-10</v>
      </c>
      <c r="H52" s="261">
        <f t="shared" si="30"/>
        <v>2.4770581793933365E-9</v>
      </c>
      <c r="I52" s="261">
        <f t="shared" si="30"/>
        <v>5.0525687721377857E-11</v>
      </c>
      <c r="J52" s="261">
        <f t="shared" si="30"/>
        <v>9.6660616887318839E-11</v>
      </c>
      <c r="K52" s="261">
        <f t="shared" si="30"/>
        <v>1.8492128021215979E-10</v>
      </c>
      <c r="L52" s="261">
        <f t="shared" si="30"/>
        <v>6.7433113738548353E-11</v>
      </c>
      <c r="M52" s="261">
        <f t="shared" si="30"/>
        <v>6.7871990659655167E-11</v>
      </c>
      <c r="N52" s="261">
        <f t="shared" si="30"/>
        <v>6.8313723936358933E-11</v>
      </c>
      <c r="O52" s="261">
        <f t="shared" si="30"/>
        <v>9.4487993107654209E-11</v>
      </c>
      <c r="P52" s="312">
        <f t="shared" si="30"/>
        <v>4.1998108760781456E-6</v>
      </c>
    </row>
    <row r="53" spans="2:16" s="17" customFormat="1" ht="12" customHeight="1" x14ac:dyDescent="0.2">
      <c r="B53" s="306"/>
      <c r="C53" s="261">
        <f t="shared" ref="C53:P53" si="31">20*$C12-16</f>
        <v>-2.0011668011952644</v>
      </c>
      <c r="D53" s="261">
        <f t="shared" si="31"/>
        <v>-2.0011668011952644</v>
      </c>
      <c r="E53" s="261">
        <f t="shared" si="31"/>
        <v>-2.0011668011952644</v>
      </c>
      <c r="F53" s="261">
        <f t="shared" si="31"/>
        <v>-2.0011668011952644</v>
      </c>
      <c r="G53" s="261">
        <f t="shared" si="31"/>
        <v>-2.0011668011952644</v>
      </c>
      <c r="H53" s="261">
        <f t="shared" si="31"/>
        <v>-2.0011668011952644</v>
      </c>
      <c r="I53" s="261">
        <f t="shared" si="31"/>
        <v>-2.0011668011952644</v>
      </c>
      <c r="J53" s="261">
        <f t="shared" si="31"/>
        <v>-2.0011668011952644</v>
      </c>
      <c r="K53" s="261">
        <f t="shared" si="31"/>
        <v>-2.0011668011952644</v>
      </c>
      <c r="L53" s="261">
        <f t="shared" si="31"/>
        <v>-2.0011668011952644</v>
      </c>
      <c r="M53" s="261">
        <f t="shared" si="31"/>
        <v>-2.0011668011952644</v>
      </c>
      <c r="N53" s="261">
        <f t="shared" si="31"/>
        <v>-2.0011668011952644</v>
      </c>
      <c r="O53" s="261">
        <f t="shared" si="31"/>
        <v>-2.0011668011952644</v>
      </c>
      <c r="P53" s="312">
        <f t="shared" si="31"/>
        <v>-2.0011668011952644</v>
      </c>
    </row>
    <row r="54" spans="2:16" s="17" customFormat="1" ht="12" customHeight="1" x14ac:dyDescent="0.2">
      <c r="B54" s="306" t="s">
        <v>275</v>
      </c>
      <c r="C54" s="261">
        <f t="shared" ref="C54:P54" si="32">180*C22^3.7*EXP(C53)</f>
        <v>4.4920178451574977E-2</v>
      </c>
      <c r="D54" s="261">
        <f t="shared" si="32"/>
        <v>4.8725819170672043E-2</v>
      </c>
      <c r="E54" s="261">
        <f t="shared" si="32"/>
        <v>5.2761513645085849E-2</v>
      </c>
      <c r="F54" s="261">
        <f t="shared" si="32"/>
        <v>5.7035827940017311E-2</v>
      </c>
      <c r="G54" s="261">
        <f t="shared" si="32"/>
        <v>7.6695086812379465E-2</v>
      </c>
      <c r="H54" s="261">
        <f t="shared" si="32"/>
        <v>0.1008906388037023</v>
      </c>
      <c r="I54" s="261">
        <f t="shared" si="32"/>
        <v>4.1336154798562702E-2</v>
      </c>
      <c r="J54" s="261">
        <f t="shared" si="32"/>
        <v>4.8725819170672043E-2</v>
      </c>
      <c r="K54" s="261">
        <f t="shared" si="32"/>
        <v>5.7035827940017311E-2</v>
      </c>
      <c r="L54" s="261">
        <f t="shared" si="32"/>
        <v>4.4514923283579977E-2</v>
      </c>
      <c r="M54" s="261">
        <f t="shared" si="32"/>
        <v>4.4588349268343479E-2</v>
      </c>
      <c r="N54" s="261">
        <f t="shared" si="32"/>
        <v>4.4661863594132725E-2</v>
      </c>
      <c r="O54" s="261">
        <f t="shared" si="32"/>
        <v>4.8451698615976875E-2</v>
      </c>
      <c r="P54" s="312">
        <f t="shared" si="32"/>
        <v>0.35911349510520019</v>
      </c>
    </row>
    <row r="55" spans="2:16" s="17" customFormat="1" ht="12" customHeight="1" x14ac:dyDescent="0.2">
      <c r="B55" s="306"/>
      <c r="C55" s="261">
        <f t="shared" ref="C55:P55" si="33">C44+1.5*C22^1.8+C45*C22^(C46)</f>
        <v>0.43976164797013023</v>
      </c>
      <c r="D55" s="261">
        <f t="shared" si="33"/>
        <v>0.44350418061847346</v>
      </c>
      <c r="E55" s="261">
        <f t="shared" si="33"/>
        <v>0.44747419126297816</v>
      </c>
      <c r="F55" s="261">
        <f t="shared" si="33"/>
        <v>0.45170125195207866</v>
      </c>
      <c r="G55" s="261">
        <f t="shared" si="33"/>
        <v>0.47192919790362947</v>
      </c>
      <c r="H55" s="261">
        <f t="shared" si="33"/>
        <v>0.49995459908730472</v>
      </c>
      <c r="I55" s="261">
        <f t="shared" si="33"/>
        <v>0.43622078368158307</v>
      </c>
      <c r="J55" s="261">
        <f t="shared" si="33"/>
        <v>0.44350418061847346</v>
      </c>
      <c r="K55" s="261">
        <f t="shared" si="33"/>
        <v>0.45170125195207866</v>
      </c>
      <c r="L55" s="261">
        <f t="shared" si="33"/>
        <v>0.43936240384829267</v>
      </c>
      <c r="M55" s="261">
        <f t="shared" si="33"/>
        <v>0.43943475691760986</v>
      </c>
      <c r="N55" s="261">
        <f t="shared" si="33"/>
        <v>0.43950718968193181</v>
      </c>
      <c r="O55" s="261">
        <f t="shared" si="33"/>
        <v>0.44323478832486685</v>
      </c>
      <c r="P55" s="312">
        <f t="shared" si="33"/>
        <v>1.2741763139565354</v>
      </c>
    </row>
    <row r="56" spans="2:16" s="17" customFormat="1" ht="12" customHeight="1" x14ac:dyDescent="0.2">
      <c r="B56" s="306"/>
      <c r="C56" s="261">
        <f t="shared" ref="C56:P56" si="34">0.98+2.5/($C13-2)^4</f>
        <v>0.98635991389713451</v>
      </c>
      <c r="D56" s="261">
        <f t="shared" si="34"/>
        <v>0.98635991389713451</v>
      </c>
      <c r="E56" s="261">
        <f t="shared" si="34"/>
        <v>0.98635991389713451</v>
      </c>
      <c r="F56" s="261">
        <f t="shared" si="34"/>
        <v>0.98635991389713451</v>
      </c>
      <c r="G56" s="261">
        <f t="shared" si="34"/>
        <v>0.98635991389713451</v>
      </c>
      <c r="H56" s="261">
        <f t="shared" si="34"/>
        <v>0.98635991389713451</v>
      </c>
      <c r="I56" s="261">
        <f t="shared" si="34"/>
        <v>0.98635991389713451</v>
      </c>
      <c r="J56" s="261">
        <f t="shared" si="34"/>
        <v>0.98635991389713451</v>
      </c>
      <c r="K56" s="261">
        <f t="shared" si="34"/>
        <v>0.98635991389713451</v>
      </c>
      <c r="L56" s="261">
        <f t="shared" si="34"/>
        <v>0.98635991389713451</v>
      </c>
      <c r="M56" s="261">
        <f t="shared" si="34"/>
        <v>0.98635991389713451</v>
      </c>
      <c r="N56" s="261">
        <f t="shared" si="34"/>
        <v>0.98635991389713451</v>
      </c>
      <c r="O56" s="261">
        <f t="shared" si="34"/>
        <v>0.98635991389713451</v>
      </c>
      <c r="P56" s="312">
        <f t="shared" si="34"/>
        <v>0.98635991389713451</v>
      </c>
    </row>
    <row r="57" spans="2:16" s="17" customFormat="1" ht="12" customHeight="1" x14ac:dyDescent="0.2">
      <c r="B57" s="306"/>
      <c r="C57" s="261">
        <f t="shared" ref="C57:P57" si="35">($C13-5)^4*(C22-0.1)^4</f>
        <v>2.0583942390587311E-4</v>
      </c>
      <c r="D57" s="261">
        <f t="shared" si="35"/>
        <v>2.4941215490032408E-4</v>
      </c>
      <c r="E57" s="261">
        <f t="shared" si="35"/>
        <v>2.9956181982765065E-4</v>
      </c>
      <c r="F57" s="261">
        <f t="shared" si="35"/>
        <v>3.5691913972156909E-4</v>
      </c>
      <c r="G57" s="261">
        <f t="shared" si="35"/>
        <v>6.7205033618841889E-4</v>
      </c>
      <c r="H57" s="261">
        <f t="shared" si="35"/>
        <v>1.1604715834820198E-3</v>
      </c>
      <c r="I57" s="261">
        <f t="shared" si="35"/>
        <v>1.6824178999774888E-4</v>
      </c>
      <c r="J57" s="261">
        <f t="shared" si="35"/>
        <v>2.4941215490032408E-4</v>
      </c>
      <c r="K57" s="261">
        <f t="shared" si="35"/>
        <v>3.5691913972156909E-4</v>
      </c>
      <c r="L57" s="261">
        <f t="shared" si="35"/>
        <v>2.0141839705200876E-4</v>
      </c>
      <c r="M57" s="261">
        <f t="shared" si="35"/>
        <v>2.02216245990412E-4</v>
      </c>
      <c r="N57" s="261">
        <f t="shared" si="35"/>
        <v>2.0301646288566573E-4</v>
      </c>
      <c r="O57" s="261">
        <f t="shared" si="35"/>
        <v>2.4615114619478426E-4</v>
      </c>
      <c r="P57" s="312">
        <f t="shared" si="35"/>
        <v>1.0432280038570654E-2</v>
      </c>
    </row>
    <row r="58" spans="2:16" s="17" customFormat="1" ht="12" customHeight="1" x14ac:dyDescent="0.2">
      <c r="B58" s="306" t="s">
        <v>276</v>
      </c>
      <c r="C58" s="261">
        <f t="shared" ref="C58:P58" si="36">C55*C56+C57</f>
        <v>0.43396910065098554</v>
      </c>
      <c r="D58" s="261">
        <f t="shared" si="36"/>
        <v>0.43770415756275699</v>
      </c>
      <c r="E58" s="261">
        <f t="shared" si="36"/>
        <v>0.44167016658516867</v>
      </c>
      <c r="F58" s="261">
        <f t="shared" si="36"/>
        <v>0.44589692712240175</v>
      </c>
      <c r="G58" s="261">
        <f t="shared" si="36"/>
        <v>0.46616409334595615</v>
      </c>
      <c r="H58" s="261">
        <f t="shared" si="36"/>
        <v>0.49429564689171235</v>
      </c>
      <c r="I58" s="261">
        <f t="shared" si="36"/>
        <v>0.43043893642230457</v>
      </c>
      <c r="J58" s="261">
        <f t="shared" si="36"/>
        <v>0.43770415756275699</v>
      </c>
      <c r="K58" s="261">
        <f t="shared" si="36"/>
        <v>0.44589692712240175</v>
      </c>
      <c r="L58" s="261">
        <f t="shared" si="36"/>
        <v>0.43357088122649201</v>
      </c>
      <c r="M58" s="261">
        <f t="shared" si="36"/>
        <v>0.43364304524265235</v>
      </c>
      <c r="N58" s="261">
        <f t="shared" si="36"/>
        <v>0.43371529023472749</v>
      </c>
      <c r="O58" s="261">
        <f t="shared" si="36"/>
        <v>0.43743517879452509</v>
      </c>
      <c r="P58" s="312">
        <f t="shared" si="36"/>
        <v>1.2672287193625071</v>
      </c>
    </row>
    <row r="59" spans="2:16" s="17" customFormat="1" ht="12" customHeight="1" x14ac:dyDescent="0.2">
      <c r="B59" s="306" t="s">
        <v>277</v>
      </c>
      <c r="C59" s="261">
        <f t="shared" ref="C59:P59" si="37">0.16*($C5/$C6-2.5)</f>
        <v>0.14780159216166552</v>
      </c>
      <c r="D59" s="261">
        <f t="shared" si="37"/>
        <v>0.14780159216166552</v>
      </c>
      <c r="E59" s="261">
        <f t="shared" si="37"/>
        <v>0.14780159216166552</v>
      </c>
      <c r="F59" s="261">
        <f t="shared" si="37"/>
        <v>0.14780159216166552</v>
      </c>
      <c r="G59" s="261">
        <f t="shared" si="37"/>
        <v>0.14780159216166552</v>
      </c>
      <c r="H59" s="261">
        <f t="shared" si="37"/>
        <v>0.14780159216166552</v>
      </c>
      <c r="I59" s="261">
        <f t="shared" si="37"/>
        <v>0.14780159216166552</v>
      </c>
      <c r="J59" s="261">
        <f t="shared" si="37"/>
        <v>0.14780159216166552</v>
      </c>
      <c r="K59" s="261">
        <f t="shared" si="37"/>
        <v>0.14780159216166552</v>
      </c>
      <c r="L59" s="261">
        <f t="shared" si="37"/>
        <v>0.14780159216166552</v>
      </c>
      <c r="M59" s="261">
        <f t="shared" si="37"/>
        <v>0.14780159216166552</v>
      </c>
      <c r="N59" s="261">
        <f t="shared" si="37"/>
        <v>0.14780159216166552</v>
      </c>
      <c r="O59" s="261">
        <f t="shared" si="37"/>
        <v>0.14780159216166552</v>
      </c>
      <c r="P59" s="312">
        <f t="shared" si="37"/>
        <v>0.14780159216166552</v>
      </c>
    </row>
    <row r="60" spans="2:16" s="17" customFormat="1" ht="12" customHeight="1" x14ac:dyDescent="0.2">
      <c r="B60" s="306" t="s">
        <v>278</v>
      </c>
      <c r="C60" s="261">
        <f t="shared" ref="C60:P60" si="38">($C15-$C14)/3*0.1</f>
        <v>0</v>
      </c>
      <c r="D60" s="261">
        <f t="shared" si="38"/>
        <v>0</v>
      </c>
      <c r="E60" s="261">
        <f t="shared" si="38"/>
        <v>0</v>
      </c>
      <c r="F60" s="261">
        <f t="shared" si="38"/>
        <v>0</v>
      </c>
      <c r="G60" s="261">
        <f t="shared" si="38"/>
        <v>0</v>
      </c>
      <c r="H60" s="261">
        <f t="shared" si="38"/>
        <v>0</v>
      </c>
      <c r="I60" s="261">
        <f t="shared" si="38"/>
        <v>0</v>
      </c>
      <c r="J60" s="261">
        <f t="shared" si="38"/>
        <v>0</v>
      </c>
      <c r="K60" s="261">
        <f t="shared" si="38"/>
        <v>0</v>
      </c>
      <c r="L60" s="261">
        <f t="shared" si="38"/>
        <v>0</v>
      </c>
      <c r="M60" s="261">
        <f t="shared" si="38"/>
        <v>0</v>
      </c>
      <c r="N60" s="261">
        <f t="shared" si="38"/>
        <v>0</v>
      </c>
      <c r="O60" s="261">
        <f t="shared" si="38"/>
        <v>0</v>
      </c>
      <c r="P60" s="312">
        <f t="shared" si="38"/>
        <v>0</v>
      </c>
    </row>
    <row r="61" spans="2:16" s="17" customFormat="1" ht="12" customHeight="1" x14ac:dyDescent="0.2">
      <c r="B61" s="306" t="s">
        <v>279</v>
      </c>
      <c r="C61" s="306">
        <f>0.1*C5/C4+0.149</f>
        <v>0.16263002865717036</v>
      </c>
      <c r="D61" s="306" t="s">
        <v>280</v>
      </c>
      <c r="E61" s="306">
        <f>0.625*C5/C4+0.08</f>
        <v>0.16518767910731474</v>
      </c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13"/>
    </row>
    <row r="62" spans="2:16" s="17" customFormat="1" ht="12" customHeight="1" x14ac:dyDescent="0.2">
      <c r="B62" s="306" t="s">
        <v>281</v>
      </c>
      <c r="C62" s="306">
        <f>0.05*C5/C4+0.449</f>
        <v>0.45581501432858518</v>
      </c>
      <c r="D62" s="306" t="s">
        <v>282</v>
      </c>
      <c r="E62" s="306">
        <f>0.165-0.25*C5/C4</f>
        <v>0.13092492835707412</v>
      </c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13"/>
    </row>
    <row r="63" spans="2:16" s="17" customFormat="1" ht="12" customHeight="1" x14ac:dyDescent="0.2">
      <c r="B63" s="306" t="s">
        <v>283</v>
      </c>
      <c r="C63" s="306">
        <f>585-5027*C5/C4+11700*(C5/C4)^2</f>
        <v>117.17834640252971</v>
      </c>
      <c r="D63" s="306" t="s">
        <v>284</v>
      </c>
      <c r="E63" s="306">
        <f>825-8060*C5/C4+20300*(C5/C4)^2</f>
        <v>103.54838305849802</v>
      </c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13"/>
    </row>
    <row r="64" spans="2:16" s="17" customFormat="1" ht="12" customHeight="1" x14ac:dyDescent="0.2">
      <c r="B64" s="306" t="s">
        <v>285</v>
      </c>
      <c r="C64" s="261">
        <f>C61+C62/(C63*(0.98-C11)^3+1)</f>
        <v>0.27717094005320264</v>
      </c>
      <c r="D64" s="261" t="s">
        <v>286</v>
      </c>
      <c r="E64" s="261">
        <f>E61+E62/(E63*(0.98-C11)^3+1)</f>
        <v>0.20122610316549228</v>
      </c>
      <c r="F64" s="261"/>
      <c r="G64" s="261"/>
      <c r="H64" s="306"/>
      <c r="I64" s="306"/>
      <c r="J64" s="306"/>
      <c r="K64" s="306"/>
      <c r="L64" s="306"/>
      <c r="M64" s="306"/>
      <c r="N64" s="306"/>
      <c r="O64" s="306"/>
      <c r="P64" s="313"/>
    </row>
    <row r="65" spans="1:16" s="17" customFormat="1" ht="12" customHeight="1" x14ac:dyDescent="0.2">
      <c r="B65" s="306" t="s">
        <v>287</v>
      </c>
      <c r="C65" s="261">
        <f>0.025*C15/(100*(C11-0.7)^2+1)</f>
        <v>0</v>
      </c>
      <c r="D65" s="261" t="s">
        <v>288</v>
      </c>
      <c r="E65" s="261">
        <f>-0.01*C15</f>
        <v>0</v>
      </c>
      <c r="F65" s="261"/>
      <c r="G65" s="261"/>
      <c r="H65" s="306"/>
      <c r="I65" s="306"/>
      <c r="J65" s="306"/>
      <c r="K65" s="306"/>
      <c r="L65" s="306"/>
      <c r="M65" s="306"/>
      <c r="N65" s="306"/>
      <c r="O65" s="306"/>
      <c r="P65" s="313"/>
    </row>
    <row r="66" spans="1:16" s="17" customFormat="1" ht="12" customHeight="1" x14ac:dyDescent="0.2">
      <c r="B66" s="306" t="s">
        <v>289</v>
      </c>
      <c r="C66" s="261">
        <f>0.00756/(C18/C4+0.002)-0.18</f>
        <v>0.10623735526422862</v>
      </c>
      <c r="D66" s="261" t="s">
        <v>290</v>
      </c>
      <c r="E66" s="261">
        <f>2*(C18/C4-0.04)</f>
        <v>-3.1176705898352877E-2</v>
      </c>
      <c r="F66" s="261"/>
      <c r="G66" s="261"/>
      <c r="H66" s="306"/>
      <c r="I66" s="306"/>
      <c r="J66" s="306"/>
      <c r="K66" s="306"/>
      <c r="L66" s="306"/>
      <c r="M66" s="306"/>
      <c r="N66" s="306"/>
      <c r="O66" s="306"/>
      <c r="P66" s="313"/>
    </row>
    <row r="67" spans="1:16" s="17" customFormat="1" ht="12" customHeight="1" x14ac:dyDescent="0.2">
      <c r="B67" s="306" t="s">
        <v>291</v>
      </c>
      <c r="C67" s="261">
        <f>MIN(0.1,C66)</f>
        <v>0.1</v>
      </c>
      <c r="D67" s="261"/>
      <c r="E67" s="261"/>
      <c r="F67" s="261"/>
      <c r="G67" s="261"/>
      <c r="H67" s="306"/>
      <c r="I67" s="306"/>
      <c r="J67" s="306"/>
      <c r="K67" s="306"/>
      <c r="L67" s="306"/>
      <c r="M67" s="306"/>
      <c r="N67" s="306"/>
      <c r="O67" s="306"/>
      <c r="P67" s="313"/>
    </row>
    <row r="68" spans="1:16" s="17" customFormat="1" ht="12" customHeight="1" x14ac:dyDescent="0.2">
      <c r="B68" s="306" t="s">
        <v>292</v>
      </c>
      <c r="C68" s="261">
        <f>C64+C65+C67</f>
        <v>0.37717094005320262</v>
      </c>
      <c r="D68" s="261" t="s">
        <v>293</v>
      </c>
      <c r="E68" s="261">
        <f>E64+E65+E66</f>
        <v>0.17004939726713941</v>
      </c>
      <c r="F68" s="261" t="s">
        <v>294</v>
      </c>
      <c r="G68" s="261">
        <f>0.7*C11-0.2</f>
        <v>0.28015997871900239</v>
      </c>
      <c r="H68" s="306"/>
      <c r="I68" s="306"/>
      <c r="J68" s="306"/>
      <c r="K68" s="306"/>
      <c r="L68" s="306"/>
      <c r="M68" s="306"/>
      <c r="N68" s="306"/>
      <c r="O68" s="306"/>
      <c r="P68" s="313"/>
    </row>
    <row r="69" spans="1:16" s="17" customFormat="1" ht="12" customHeight="1" x14ac:dyDescent="0.2">
      <c r="B69" s="306" t="s">
        <v>295</v>
      </c>
      <c r="C69" s="261">
        <f>1.133*C11^2-0.797*C11+0.215</f>
        <v>0.20139996433232235</v>
      </c>
      <c r="D69" s="261" t="s">
        <v>296</v>
      </c>
      <c r="E69" s="261">
        <f>0.0665+0.62833*C69</f>
        <v>0.19304563958892812</v>
      </c>
      <c r="F69" s="261" t="s">
        <v>297</v>
      </c>
      <c r="G69" s="261">
        <f>0.19</f>
        <v>0.19</v>
      </c>
      <c r="H69" s="306"/>
      <c r="I69" s="306"/>
      <c r="J69" s="306"/>
      <c r="K69" s="306"/>
      <c r="L69" s="306"/>
      <c r="M69" s="306"/>
      <c r="N69" s="306"/>
      <c r="O69" s="306"/>
      <c r="P69" s="313"/>
    </row>
    <row r="70" spans="1:16" x14ac:dyDescent="0.2">
      <c r="A70" s="9" t="s">
        <v>298</v>
      </c>
      <c r="B70" s="306" t="s">
        <v>299</v>
      </c>
      <c r="C70" s="306">
        <f t="shared" ref="C70:P70" si="39">IF(C22&gt;$J9,0,IF($C17=1,0.2,0.1))</f>
        <v>0.1</v>
      </c>
      <c r="D70" s="306">
        <f t="shared" si="39"/>
        <v>0.1</v>
      </c>
      <c r="E70" s="306">
        <f t="shared" si="39"/>
        <v>0.1</v>
      </c>
      <c r="F70" s="306">
        <f t="shared" si="39"/>
        <v>0.1</v>
      </c>
      <c r="G70" s="306">
        <f t="shared" si="39"/>
        <v>0.1</v>
      </c>
      <c r="H70" s="306">
        <f t="shared" si="39"/>
        <v>0.1</v>
      </c>
      <c r="I70" s="306">
        <f t="shared" si="39"/>
        <v>0.1</v>
      </c>
      <c r="J70" s="306">
        <f t="shared" si="39"/>
        <v>0.1</v>
      </c>
      <c r="K70" s="306">
        <f t="shared" si="39"/>
        <v>0.1</v>
      </c>
      <c r="L70" s="306">
        <f t="shared" si="39"/>
        <v>0.1</v>
      </c>
      <c r="M70" s="306">
        <f t="shared" si="39"/>
        <v>0.1</v>
      </c>
      <c r="N70" s="306">
        <f t="shared" si="39"/>
        <v>0.1</v>
      </c>
      <c r="O70" s="306">
        <f t="shared" si="39"/>
        <v>0.1</v>
      </c>
      <c r="P70" s="306">
        <f t="shared" si="39"/>
        <v>0.1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2"/>
  <dimension ref="A1:AD76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9" customWidth="1"/>
    <col min="2" max="6" width="7.140625" style="9" customWidth="1"/>
    <col min="7" max="7" width="9" style="9" customWidth="1"/>
    <col min="8" max="8" width="6.42578125" style="9" customWidth="1"/>
    <col min="9" max="11" width="7.140625" style="9" customWidth="1"/>
    <col min="12" max="12" width="6.42578125" style="9" customWidth="1"/>
    <col min="13" max="13" width="7.140625" style="9" customWidth="1"/>
    <col min="14" max="14" width="7.42578125" style="9" customWidth="1"/>
    <col min="15" max="15" width="6.140625" style="9" customWidth="1"/>
    <col min="16" max="16" width="6.7109375" style="9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21">
        <v>1.0249999999999999</v>
      </c>
      <c r="D3" s="191"/>
      <c r="E3" s="192"/>
      <c r="F3" s="193"/>
      <c r="G3" s="194" t="s">
        <v>203</v>
      </c>
      <c r="H3" s="195"/>
      <c r="I3" s="195"/>
      <c r="J3" s="27">
        <v>1</v>
      </c>
      <c r="K3" s="197">
        <f>IF(J3=1,IF(C17=1,0.7*C68,IF(C16=1,C69,G68)),J3)</f>
        <v>0.25480119081704478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31">
        <f>'SHIP DATA'!E6</f>
        <v>410.19723000059423</v>
      </c>
      <c r="D4" s="200"/>
      <c r="E4" s="201"/>
      <c r="F4" s="202"/>
      <c r="G4" s="203" t="s">
        <v>206</v>
      </c>
      <c r="H4" s="204"/>
      <c r="I4" s="204"/>
      <c r="J4" s="27">
        <v>1</v>
      </c>
      <c r="K4" s="205">
        <f>IF(K15=1,0.25,IF(J4=1,IF(C17=1,E68,IF(C16=1,E69,G69)),J4))</f>
        <v>0.19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31">
        <f>'SHIP DATA'!E8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1.0869582586801148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43">
        <f>'SHIP DATA'!E95</f>
        <v>13.280646410828696</v>
      </c>
      <c r="D6" s="200"/>
      <c r="E6" s="201"/>
      <c r="F6" s="202"/>
      <c r="G6" s="203" t="s">
        <v>210</v>
      </c>
      <c r="H6" s="204"/>
      <c r="I6" s="204"/>
      <c r="J6" s="27">
        <f>'SHIP DATA'!C45/100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47">
        <f>'SHIP DATA'!E92</f>
        <v>202837.77974012643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1.03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47">
        <f>'SHIP DATA'!E96</f>
        <v>26845.855924419695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26845.855924419695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21">
        <f>'SHIP DATA'!E29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61">
        <f>'SHIP DATA'!E35</f>
        <v>23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0.64971598688149257</v>
      </c>
      <c r="D11" s="200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0.66297549681784962</v>
      </c>
      <c r="D12" s="200"/>
      <c r="E12" s="201"/>
      <c r="F12" s="202"/>
      <c r="G12" s="699" t="s">
        <v>222</v>
      </c>
      <c r="H12" s="700"/>
      <c r="I12" s="700"/>
      <c r="J12" s="701"/>
      <c r="K12" s="64"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7.0391096289887463</v>
      </c>
      <c r="D13" s="200"/>
      <c r="E13" s="201"/>
      <c r="F13" s="202"/>
      <c r="G13" s="234" t="s">
        <v>224</v>
      </c>
      <c r="H13" s="235"/>
      <c r="I13" s="234"/>
      <c r="J13" s="234"/>
      <c r="K13" s="64">
        <v>15</v>
      </c>
      <c r="L13" s="201"/>
      <c r="M13" s="201"/>
      <c r="N13" s="201"/>
      <c r="O13" s="201"/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69">
        <v>0</v>
      </c>
      <c r="D14" s="200"/>
      <c r="E14" s="201"/>
      <c r="F14" s="202"/>
      <c r="G14" s="237" t="s">
        <v>226</v>
      </c>
      <c r="H14" s="238"/>
      <c r="I14" s="238"/>
      <c r="J14" s="238"/>
      <c r="K14" s="64">
        <v>1</v>
      </c>
      <c r="L14" s="201"/>
      <c r="M14" s="201"/>
      <c r="N14" s="201"/>
      <c r="O14" s="201"/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69">
        <v>0</v>
      </c>
      <c r="D15" s="200"/>
      <c r="E15" s="201"/>
      <c r="F15" s="202"/>
      <c r="G15" s="237" t="s">
        <v>228</v>
      </c>
      <c r="H15" s="238"/>
      <c r="I15" s="238"/>
      <c r="J15" s="238"/>
      <c r="K15" s="64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DATA'!E51</f>
        <v>2</v>
      </c>
      <c r="D16" s="200"/>
      <c r="E16" s="201"/>
      <c r="F16" s="202"/>
      <c r="G16" s="237" t="s">
        <v>230</v>
      </c>
      <c r="H16" s="238"/>
      <c r="I16" s="238"/>
      <c r="J16" s="238"/>
      <c r="K16" s="391"/>
      <c r="L16" s="201"/>
      <c r="M16" s="201"/>
      <c r="N16" s="201"/>
      <c r="O16" s="201"/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DATA'!E50</f>
        <v>2</v>
      </c>
      <c r="D17" s="200"/>
      <c r="E17" s="201"/>
      <c r="F17" s="202"/>
      <c r="G17" s="237" t="s">
        <v>232</v>
      </c>
      <c r="H17" s="238"/>
      <c r="I17" s="238"/>
      <c r="J17" s="238"/>
      <c r="K17" s="721">
        <f>'SHIP DATA'!E53</f>
        <v>1</v>
      </c>
      <c r="L17" s="201"/>
      <c r="M17" s="201"/>
      <c r="N17" s="201"/>
      <c r="O17" s="201"/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31">
        <f>'SHIP DATA'!E52</f>
        <v>10.013590000000001</v>
      </c>
      <c r="D18" s="240">
        <f>C18/C6</f>
        <v>0.75399869029230215</v>
      </c>
      <c r="E18" s="241" t="s">
        <v>234</v>
      </c>
      <c r="F18" s="242"/>
      <c r="G18" s="237" t="s">
        <v>235</v>
      </c>
      <c r="H18" s="238"/>
      <c r="I18" s="238"/>
      <c r="J18" s="238"/>
      <c r="K18" s="64">
        <f>'SHIP DATA'!E46</f>
        <v>0</v>
      </c>
      <c r="L18" s="201"/>
      <c r="M18" s="201"/>
      <c r="N18" s="201"/>
      <c r="O18" s="201"/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77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>D21-0.5</f>
        <v>22.5</v>
      </c>
      <c r="D21" s="257">
        <f>E21-0.5</f>
        <v>23</v>
      </c>
      <c r="E21" s="257">
        <f>F21-0.5</f>
        <v>23.5</v>
      </c>
      <c r="F21" s="369">
        <f>P10+1</f>
        <v>24</v>
      </c>
      <c r="G21" s="369">
        <f>P10+3</f>
        <v>26</v>
      </c>
      <c r="H21" s="369">
        <f>P10+5</f>
        <v>28</v>
      </c>
      <c r="I21" s="370">
        <f>J21-1</f>
        <v>22</v>
      </c>
      <c r="J21" s="370">
        <f>P10</f>
        <v>23</v>
      </c>
      <c r="K21" s="370">
        <f>J21+1</f>
        <v>24</v>
      </c>
      <c r="L21" s="258">
        <f>M21-0.01</f>
        <v>22.934834140561648</v>
      </c>
      <c r="M21" s="258">
        <f>V33</f>
        <v>22.94483414056165</v>
      </c>
      <c r="N21" s="258">
        <f>M21+0.01</f>
        <v>22.954834140561651</v>
      </c>
      <c r="O21" s="257">
        <f>N21+0.5</f>
        <v>23.454834140561651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0">C21*0.5144/SQRT(9.81*$C4)</f>
        <v>0.1824536738604024</v>
      </c>
      <c r="D22" s="261">
        <f t="shared" si="0"/>
        <v>0.18650819994618911</v>
      </c>
      <c r="E22" s="261">
        <f t="shared" si="0"/>
        <v>0.19056272603197585</v>
      </c>
      <c r="F22" s="372">
        <f t="shared" si="0"/>
        <v>0.19461725211776257</v>
      </c>
      <c r="G22" s="372">
        <f t="shared" si="0"/>
        <v>0.21083535646090945</v>
      </c>
      <c r="H22" s="372">
        <f t="shared" si="0"/>
        <v>0.22705346080405631</v>
      </c>
      <c r="I22" s="373">
        <f t="shared" si="0"/>
        <v>0.17839914777461566</v>
      </c>
      <c r="J22" s="374">
        <f t="shared" si="0"/>
        <v>0.18650819994618911</v>
      </c>
      <c r="K22" s="374">
        <f t="shared" si="0"/>
        <v>0.19461725211776257</v>
      </c>
      <c r="L22" s="262">
        <f t="shared" si="0"/>
        <v>0.18597976659219809</v>
      </c>
      <c r="M22" s="262">
        <f t="shared" si="0"/>
        <v>0.18606085711391385</v>
      </c>
      <c r="N22" s="262">
        <f t="shared" si="0"/>
        <v>0.18614194763562961</v>
      </c>
      <c r="O22" s="263">
        <f t="shared" si="0"/>
        <v>0.19019647372141632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1">75/(LOG10(C21*0.5144*$C4*1000000/((43.4233-31.38*$C3)*($K13+20)^(1.72*$C3-2.202)+4.7478-5.779*$C3))-2)^2</f>
        <v>1.2979492172682627</v>
      </c>
      <c r="D23" s="229">
        <f t="shared" si="1"/>
        <v>1.294695656740557</v>
      </c>
      <c r="E23" s="229">
        <f t="shared" si="1"/>
        <v>1.2915238979957366</v>
      </c>
      <c r="F23" s="375">
        <f t="shared" si="1"/>
        <v>1.2884301944834013</v>
      </c>
      <c r="G23" s="375">
        <f t="shared" si="1"/>
        <v>1.2767691747379315</v>
      </c>
      <c r="H23" s="375">
        <f t="shared" si="1"/>
        <v>1.2661133202027086</v>
      </c>
      <c r="I23" s="374">
        <f t="shared" si="1"/>
        <v>1.3012885948261597</v>
      </c>
      <c r="J23" s="374">
        <f t="shared" si="1"/>
        <v>1.294695656740557</v>
      </c>
      <c r="K23" s="374">
        <f t="shared" si="1"/>
        <v>1.2884301944834013</v>
      </c>
      <c r="L23" s="262">
        <f t="shared" si="1"/>
        <v>1.2951149799988655</v>
      </c>
      <c r="M23" s="262">
        <f t="shared" si="1"/>
        <v>1.2950505423490684</v>
      </c>
      <c r="N23" s="262">
        <f t="shared" si="1"/>
        <v>1.2949861375827034</v>
      </c>
      <c r="O23" s="263">
        <f t="shared" si="1"/>
        <v>1.2918071473122807</v>
      </c>
      <c r="P23" s="265">
        <f t="shared" si="1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C43</f>
        <v>0.72943894074555815</v>
      </c>
      <c r="D24" s="268">
        <f t="shared" ref="D24:O24" si="2">D43</f>
        <v>0.73833065415585519</v>
      </c>
      <c r="E24" s="268">
        <f t="shared" si="2"/>
        <v>0.7479269554205662</v>
      </c>
      <c r="F24" s="375">
        <f t="shared" si="2"/>
        <v>0.75831433196106901</v>
      </c>
      <c r="G24" s="375">
        <f t="shared" si="2"/>
        <v>0.8100594407933065</v>
      </c>
      <c r="H24" s="375">
        <f t="shared" si="2"/>
        <v>0.88647016816461621</v>
      </c>
      <c r="I24" s="374">
        <f t="shared" si="2"/>
        <v>0.72117726328893705</v>
      </c>
      <c r="J24" s="374">
        <f t="shared" si="2"/>
        <v>0.73833065415585519</v>
      </c>
      <c r="K24" s="374">
        <f t="shared" si="2"/>
        <v>0.75831433196106901</v>
      </c>
      <c r="L24" s="262">
        <f t="shared" si="2"/>
        <v>0.73713355349756648</v>
      </c>
      <c r="M24" s="262">
        <f t="shared" si="2"/>
        <v>0.73731648482781742</v>
      </c>
      <c r="N24" s="262">
        <f t="shared" si="2"/>
        <v>0.73749969409449934</v>
      </c>
      <c r="O24" s="269">
        <f t="shared" si="2"/>
        <v>0.74702898808701912</v>
      </c>
      <c r="P24" s="264">
        <f>P50+P52+P54+P58+P59+P60</f>
        <v>3.0538453690383784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4.5620447962953781E-2</v>
      </c>
      <c r="D25" s="268">
        <f>$K14*(IF($C16=2,0.52-2.6*D22,MAX(-50,(250*D22-90))/100*D24))</f>
        <v>3.5078680139908336E-2</v>
      </c>
      <c r="E25" s="268">
        <f t="shared" ref="E25:P25" si="3">$K14*(IF($C16=2,0.52-2.6*E22,MAX(-50,(250*E22-90))/100*E24))</f>
        <v>2.453691231686278E-2</v>
      </c>
      <c r="F25" s="1132">
        <f t="shared" si="3"/>
        <v>1.3995144493817335E-2</v>
      </c>
      <c r="G25" s="1132">
        <f t="shared" si="3"/>
        <v>-2.8171926798364555E-2</v>
      </c>
      <c r="H25" s="1132">
        <f t="shared" si="3"/>
        <v>-7.0338998090546445E-2</v>
      </c>
      <c r="I25" s="374">
        <f t="shared" si="3"/>
        <v>5.6162215785999281E-2</v>
      </c>
      <c r="J25" s="374">
        <f t="shared" si="3"/>
        <v>3.5078680139908336E-2</v>
      </c>
      <c r="K25" s="374">
        <f t="shared" si="3"/>
        <v>1.3995144493817335E-2</v>
      </c>
      <c r="L25" s="262">
        <f t="shared" si="3"/>
        <v>3.6452606860284953E-2</v>
      </c>
      <c r="M25" s="262">
        <f t="shared" si="3"/>
        <v>3.6241771503824016E-2</v>
      </c>
      <c r="N25" s="262">
        <f t="shared" si="3"/>
        <v>3.6030936147363024E-2</v>
      </c>
      <c r="O25" s="268">
        <f t="shared" si="3"/>
        <v>2.5489168324317579E-2</v>
      </c>
      <c r="P25" s="270">
        <f t="shared" si="3"/>
        <v>-0.31200000000000006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4">IF($C17=2,IF($C16=1,0.3,0),0)</f>
        <v>0</v>
      </c>
      <c r="E26" s="268">
        <f t="shared" si="4"/>
        <v>0</v>
      </c>
      <c r="F26" s="375">
        <f t="shared" si="4"/>
        <v>0</v>
      </c>
      <c r="G26" s="375">
        <f t="shared" si="4"/>
        <v>0</v>
      </c>
      <c r="H26" s="375">
        <f t="shared" si="4"/>
        <v>0</v>
      </c>
      <c r="I26" s="374">
        <f t="shared" si="4"/>
        <v>0</v>
      </c>
      <c r="J26" s="374">
        <f t="shared" si="4"/>
        <v>0</v>
      </c>
      <c r="K26" s="374">
        <f t="shared" si="4"/>
        <v>0</v>
      </c>
      <c r="L26" s="262">
        <f t="shared" si="4"/>
        <v>0</v>
      </c>
      <c r="M26" s="262">
        <f t="shared" si="4"/>
        <v>0</v>
      </c>
      <c r="N26" s="262">
        <f t="shared" si="4"/>
        <v>0</v>
      </c>
      <c r="O26" s="269">
        <f t="shared" si="4"/>
        <v>0</v>
      </c>
      <c r="P26" s="270">
        <f t="shared" si="4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97">
        <f>MAX(0.09,0.28*'SHIP DATA'!E2^(-0.126))</f>
        <v>0.09</v>
      </c>
      <c r="D27" s="267">
        <f>C27</f>
        <v>0.09</v>
      </c>
      <c r="E27" s="267">
        <f>D27</f>
        <v>0.09</v>
      </c>
      <c r="F27" s="376">
        <v>0</v>
      </c>
      <c r="G27" s="376">
        <v>0</v>
      </c>
      <c r="H27" s="376">
        <v>0</v>
      </c>
      <c r="I27" s="373">
        <f>C27</f>
        <v>0.09</v>
      </c>
      <c r="J27" s="373">
        <f t="shared" ref="J27:P27" si="5">I27</f>
        <v>0.09</v>
      </c>
      <c r="K27" s="373">
        <f t="shared" si="5"/>
        <v>0.09</v>
      </c>
      <c r="L27" s="271">
        <f t="shared" si="5"/>
        <v>0.09</v>
      </c>
      <c r="M27" s="271">
        <f t="shared" si="5"/>
        <v>0.09</v>
      </c>
      <c r="N27" s="271">
        <f t="shared" si="5"/>
        <v>0.09</v>
      </c>
      <c r="O27" s="267">
        <f t="shared" si="5"/>
        <v>0.09</v>
      </c>
      <c r="P27" s="270">
        <f t="shared" si="5"/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6">0.5*LOG10($C7)-0.1*(LOG10($C7))^2</f>
        <v>-0.16300846554999193</v>
      </c>
      <c r="D28" s="229">
        <f t="shared" si="6"/>
        <v>-0.16300846554999193</v>
      </c>
      <c r="E28" s="229">
        <f t="shared" si="6"/>
        <v>-0.16300846554999193</v>
      </c>
      <c r="F28" s="375">
        <f t="shared" si="6"/>
        <v>-0.16300846554999193</v>
      </c>
      <c r="G28" s="375">
        <f t="shared" si="6"/>
        <v>-0.16300846554999193</v>
      </c>
      <c r="H28" s="375">
        <f t="shared" si="6"/>
        <v>-0.16300846554999193</v>
      </c>
      <c r="I28" s="374">
        <f t="shared" si="6"/>
        <v>-0.16300846554999193</v>
      </c>
      <c r="J28" s="374">
        <f t="shared" si="6"/>
        <v>-0.16300846554999193</v>
      </c>
      <c r="K28" s="374">
        <f t="shared" si="6"/>
        <v>-0.16300846554999193</v>
      </c>
      <c r="L28" s="262">
        <f t="shared" si="6"/>
        <v>-0.16300846554999193</v>
      </c>
      <c r="M28" s="262">
        <f t="shared" si="6"/>
        <v>-0.16300846554999193</v>
      </c>
      <c r="N28" s="262">
        <f t="shared" si="6"/>
        <v>-0.16300846554999193</v>
      </c>
      <c r="O28" s="263">
        <f t="shared" si="6"/>
        <v>-0.16300846554999193</v>
      </c>
      <c r="P28" s="265">
        <f>0.5*LOG10($C7)-0.1*(LOG10($C7))^2</f>
        <v>-0.16300846554999193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243" t="s">
        <v>193</v>
      </c>
      <c r="C29" s="266">
        <f t="shared" ref="C29:O29" si="7">C23+C24+C25+C26+C27+C28</f>
        <v>2.0000001404267826</v>
      </c>
      <c r="D29" s="268">
        <f t="shared" si="7"/>
        <v>1.9950965254863284</v>
      </c>
      <c r="E29" s="268">
        <f t="shared" si="7"/>
        <v>1.9909793001831737</v>
      </c>
      <c r="F29" s="375">
        <f t="shared" si="7"/>
        <v>1.897731205388296</v>
      </c>
      <c r="G29" s="375">
        <f t="shared" si="7"/>
        <v>1.8956482231828815</v>
      </c>
      <c r="H29" s="375">
        <f t="shared" si="7"/>
        <v>1.9192360247267866</v>
      </c>
      <c r="I29" s="374">
        <f t="shared" si="7"/>
        <v>2.005619608351104</v>
      </c>
      <c r="J29" s="374">
        <f t="shared" si="7"/>
        <v>1.9950965254863284</v>
      </c>
      <c r="K29" s="374">
        <f t="shared" si="7"/>
        <v>1.9877312053882958</v>
      </c>
      <c r="L29" s="262">
        <f t="shared" si="7"/>
        <v>1.9956926748067247</v>
      </c>
      <c r="M29" s="262">
        <f t="shared" si="7"/>
        <v>1.9956003331307177</v>
      </c>
      <c r="N29" s="262">
        <f t="shared" si="7"/>
        <v>1.9955083022745739</v>
      </c>
      <c r="O29" s="269">
        <f t="shared" si="7"/>
        <v>1.991316838173625</v>
      </c>
      <c r="P29" s="265">
        <f>P23+P24+P25+P27+P28</f>
        <v>3.8873087333121941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7" customFormat="1" ht="12" customHeight="1" x14ac:dyDescent="0.2">
      <c r="A30" s="188" t="s">
        <v>249</v>
      </c>
      <c r="B30" s="243" t="s">
        <v>250</v>
      </c>
      <c r="C30" s="272">
        <f t="shared" ref="C30:P30" si="8">($C9*$C3*C21^2*0.0001323*C29*$K19/100)*(1+$K12/100)</f>
        <v>3686.0059086685842</v>
      </c>
      <c r="D30" s="273">
        <f t="shared" si="8"/>
        <v>3842.205143076395</v>
      </c>
      <c r="E30" s="273">
        <f t="shared" si="8"/>
        <v>4002.7957868778012</v>
      </c>
      <c r="F30" s="378">
        <f t="shared" si="8"/>
        <v>3979.4050531441644</v>
      </c>
      <c r="G30" s="378">
        <f t="shared" si="8"/>
        <v>4665.1478134343952</v>
      </c>
      <c r="H30" s="378">
        <f t="shared" si="8"/>
        <v>5477.79044657753</v>
      </c>
      <c r="I30" s="379">
        <f t="shared" si="8"/>
        <v>3533.9051857797826</v>
      </c>
      <c r="J30" s="379">
        <f t="shared" si="8"/>
        <v>3842.205143076395</v>
      </c>
      <c r="K30" s="379">
        <f t="shared" si="8"/>
        <v>4168.1285424170792</v>
      </c>
      <c r="L30" s="274">
        <f t="shared" si="8"/>
        <v>3821.6053428664832</v>
      </c>
      <c r="M30" s="274">
        <f t="shared" si="8"/>
        <v>3824.7616648826556</v>
      </c>
      <c r="N30" s="274">
        <f t="shared" si="8"/>
        <v>3827.9197275965653</v>
      </c>
      <c r="O30" s="273">
        <f t="shared" si="8"/>
        <v>3988.100216924222</v>
      </c>
      <c r="P30" s="275">
        <f t="shared" si="8"/>
        <v>22037.877578848376</v>
      </c>
    </row>
    <row r="31" spans="1:30" s="17" customFormat="1" ht="12" customHeight="1" x14ac:dyDescent="0.2">
      <c r="A31" s="188" t="s">
        <v>251</v>
      </c>
      <c r="B31" s="243" t="s">
        <v>252</v>
      </c>
      <c r="C31" s="276">
        <f t="shared" ref="C31:P31" si="9">C30*C21*0.5144</f>
        <v>42661.832386930197</v>
      </c>
      <c r="D31" s="277">
        <f t="shared" si="9"/>
        <v>45457.89748876544</v>
      </c>
      <c r="E31" s="277">
        <f t="shared" si="9"/>
        <v>48387.396590093609</v>
      </c>
      <c r="F31" s="376">
        <f t="shared" si="9"/>
        <v>49128.143024096593</v>
      </c>
      <c r="G31" s="376">
        <f t="shared" si="9"/>
        <v>62393.552915996974</v>
      </c>
      <c r="H31" s="376">
        <f t="shared" si="9"/>
        <v>78897.711360145477</v>
      </c>
      <c r="I31" s="380">
        <f t="shared" si="9"/>
        <v>39992.498206432647</v>
      </c>
      <c r="J31" s="381">
        <f t="shared" si="9"/>
        <v>45457.89748876544</v>
      </c>
      <c r="K31" s="381">
        <f t="shared" si="9"/>
        <v>51458.047733264291</v>
      </c>
      <c r="L31" s="278">
        <f t="shared" si="9"/>
        <v>45086.07188418982</v>
      </c>
      <c r="M31" s="278">
        <f t="shared" si="9"/>
        <v>45142.983731157401</v>
      </c>
      <c r="N31" s="278">
        <f t="shared" si="9"/>
        <v>45199.948604466772</v>
      </c>
      <c r="O31" s="150">
        <f t="shared" si="9"/>
        <v>48117.093861331879</v>
      </c>
      <c r="P31" s="275">
        <f t="shared" si="9"/>
        <v>447353.26345732342</v>
      </c>
    </row>
    <row r="32" spans="1:30" s="17" customFormat="1" ht="12" customHeight="1" thickBot="1" x14ac:dyDescent="0.25">
      <c r="A32" s="188" t="s">
        <v>253</v>
      </c>
      <c r="B32" s="243" t="s">
        <v>193</v>
      </c>
      <c r="C32" s="260">
        <f t="shared" ref="C32:P32" si="10">C36*$J6*IF($K17=3,1,$K5*$J7)</f>
        <v>0.75721179726325905</v>
      </c>
      <c r="D32" s="261">
        <f t="shared" si="10"/>
        <v>0.75745953030770985</v>
      </c>
      <c r="E32" s="261">
        <f t="shared" si="10"/>
        <v>0.75766773769598739</v>
      </c>
      <c r="F32" s="372">
        <f t="shared" si="10"/>
        <v>0.76243364027226235</v>
      </c>
      <c r="G32" s="372">
        <f t="shared" si="10"/>
        <v>0.76254121805538277</v>
      </c>
      <c r="H32" s="372">
        <f t="shared" si="10"/>
        <v>0.7613258825936553</v>
      </c>
      <c r="I32" s="373">
        <f t="shared" si="10"/>
        <v>0.7569282217512503</v>
      </c>
      <c r="J32" s="374">
        <f t="shared" si="10"/>
        <v>0.75745953030770985</v>
      </c>
      <c r="K32" s="374">
        <f t="shared" si="10"/>
        <v>0.75783212436567271</v>
      </c>
      <c r="L32" s="262">
        <f t="shared" si="10"/>
        <v>0.75742939851448554</v>
      </c>
      <c r="M32" s="262">
        <f t="shared" si="10"/>
        <v>0.75743406558112492</v>
      </c>
      <c r="N32" s="262">
        <f t="shared" si="10"/>
        <v>0.75743871703132504</v>
      </c>
      <c r="O32" s="263">
        <f t="shared" si="10"/>
        <v>0.75765066147079274</v>
      </c>
      <c r="P32" s="264">
        <f t="shared" si="10"/>
        <v>0.67744749532832516</v>
      </c>
    </row>
    <row r="33" spans="1:22" s="17" customFormat="1" ht="12" customHeight="1" thickBot="1" x14ac:dyDescent="0.25">
      <c r="A33" s="279" t="s">
        <v>254</v>
      </c>
      <c r="B33" s="280" t="s">
        <v>252</v>
      </c>
      <c r="C33" s="281">
        <f t="shared" ref="C33:P33" si="11">C31/C32</f>
        <v>56340.686372188153</v>
      </c>
      <c r="D33" s="282">
        <f t="shared" si="11"/>
        <v>60013.631976217468</v>
      </c>
      <c r="E33" s="282">
        <f t="shared" si="11"/>
        <v>63863.609578040334</v>
      </c>
      <c r="F33" s="382">
        <f t="shared" si="11"/>
        <v>64435.959313853346</v>
      </c>
      <c r="G33" s="382">
        <f t="shared" si="11"/>
        <v>81823.187309286383</v>
      </c>
      <c r="H33" s="382">
        <f t="shared" si="11"/>
        <v>103631.98357497033</v>
      </c>
      <c r="I33" s="383">
        <f t="shared" si="11"/>
        <v>52835.258426360277</v>
      </c>
      <c r="J33" s="384">
        <f t="shared" si="11"/>
        <v>60013.631976217468</v>
      </c>
      <c r="K33" s="384">
        <f t="shared" si="11"/>
        <v>67901.644808652258</v>
      </c>
      <c r="L33" s="284">
        <f t="shared" si="11"/>
        <v>59525.114779826661</v>
      </c>
      <c r="M33" s="284">
        <f t="shared" si="11"/>
        <v>59599.88569635091</v>
      </c>
      <c r="N33" s="284">
        <f t="shared" si="11"/>
        <v>59674.726929224904</v>
      </c>
      <c r="O33" s="285">
        <f t="shared" si="11"/>
        <v>63508.284633348507</v>
      </c>
      <c r="P33" s="275">
        <f t="shared" si="11"/>
        <v>660351.19554248778</v>
      </c>
      <c r="Q33" s="507" t="s">
        <v>307</v>
      </c>
      <c r="R33" s="325">
        <f>'SHIP DATA'!E47*0.75</f>
        <v>59600.959140850347</v>
      </c>
      <c r="S33" s="326">
        <f>S34*S35*R36-S34*S36*R35+S35*S36*R34</f>
        <v>23.379917322301033</v>
      </c>
      <c r="T33" s="508" t="s">
        <v>307</v>
      </c>
      <c r="U33" s="156">
        <f>'SHIP DATA'!E47*0.75</f>
        <v>59600.959140850347</v>
      </c>
      <c r="V33" s="157">
        <f>V34*V35*U36-V34*V36*U35+V35*V36*U34</f>
        <v>22.94483414056165</v>
      </c>
    </row>
    <row r="34" spans="1:22" s="17" customFormat="1" ht="12" customHeight="1" x14ac:dyDescent="0.2">
      <c r="A34" s="17" t="s">
        <v>255</v>
      </c>
      <c r="B34" s="243" t="s">
        <v>193</v>
      </c>
      <c r="C34" s="286">
        <f t="shared" ref="C34:P34" si="12">2.54648*C30/(1-$K4)/$C17/$C3/(C37*$C18)^2/$J7</f>
        <v>0.7357483900443158</v>
      </c>
      <c r="D34" s="287">
        <f t="shared" si="12"/>
        <v>0.73394447677205654</v>
      </c>
      <c r="E34" s="287">
        <f t="shared" si="12"/>
        <v>0.73242985593428012</v>
      </c>
      <c r="F34" s="385">
        <f t="shared" si="12"/>
        <v>0.69812629053283448</v>
      </c>
      <c r="G34" s="385">
        <f t="shared" si="12"/>
        <v>0.69736001518457491</v>
      </c>
      <c r="H34" s="385">
        <f t="shared" si="12"/>
        <v>0.70603735808061574</v>
      </c>
      <c r="I34" s="386">
        <f t="shared" si="12"/>
        <v>0.7378156471382793</v>
      </c>
      <c r="J34" s="387">
        <f t="shared" si="12"/>
        <v>0.73394447677205654</v>
      </c>
      <c r="K34" s="387">
        <f t="shared" si="12"/>
        <v>0.73123496576015634</v>
      </c>
      <c r="L34" s="288">
        <f t="shared" si="12"/>
        <v>0.73416378470801236</v>
      </c>
      <c r="M34" s="288">
        <f t="shared" si="12"/>
        <v>0.73412981459066895</v>
      </c>
      <c r="N34" s="288">
        <f t="shared" si="12"/>
        <v>0.73409595881592504</v>
      </c>
      <c r="O34" s="289">
        <f t="shared" si="12"/>
        <v>0.73255402744208853</v>
      </c>
      <c r="P34" s="290">
        <f t="shared" si="12"/>
        <v>1.4300404706618377</v>
      </c>
      <c r="Q34" s="153">
        <f>F33-G33</f>
        <v>-17387.227995433037</v>
      </c>
      <c r="R34" s="158">
        <f>F21/Q34/Q35</f>
        <v>3.5215906725647202E-8</v>
      </c>
      <c r="S34" s="154">
        <f>R33-F33</f>
        <v>-4835.0001730029981</v>
      </c>
      <c r="T34" s="153">
        <f>I33-J33</f>
        <v>-7178.3735498571914</v>
      </c>
      <c r="U34" s="158">
        <f>I21/T34/T35</f>
        <v>2.0341713134689207E-7</v>
      </c>
      <c r="V34" s="154">
        <f>U33-I33</f>
        <v>6765.7007144900708</v>
      </c>
    </row>
    <row r="35" spans="1:22" x14ac:dyDescent="0.2">
      <c r="A35" s="17" t="s">
        <v>256</v>
      </c>
      <c r="B35" s="291" t="s">
        <v>193</v>
      </c>
      <c r="C35" s="286">
        <f t="shared" ref="C35:P35" si="13">(1.3+0.3*$C19)*C30/(1-$K4)/$C17/(99.6+$C3*9.81*0.65*$C18)/$C18^2+C70</f>
        <v>0.44370929799265768</v>
      </c>
      <c r="D35" s="287">
        <f t="shared" si="13"/>
        <v>0.45827442092939541</v>
      </c>
      <c r="E35" s="287">
        <f t="shared" si="13"/>
        <v>0.47324902998125873</v>
      </c>
      <c r="F35" s="385">
        <f t="shared" si="13"/>
        <v>0.47106791229715128</v>
      </c>
      <c r="G35" s="385">
        <f t="shared" si="13"/>
        <v>0.53501142421301739</v>
      </c>
      <c r="H35" s="385">
        <f t="shared" si="13"/>
        <v>0.61078797907410864</v>
      </c>
      <c r="I35" s="386">
        <f t="shared" si="13"/>
        <v>0.42952634929869615</v>
      </c>
      <c r="J35" s="387">
        <f t="shared" si="13"/>
        <v>0.45827442092939541</v>
      </c>
      <c r="K35" s="387">
        <f t="shared" si="13"/>
        <v>0.48866582711876605</v>
      </c>
      <c r="L35" s="288">
        <f t="shared" si="13"/>
        <v>0.45635354965453212</v>
      </c>
      <c r="M35" s="288">
        <f t="shared" si="13"/>
        <v>0.45664786747476849</v>
      </c>
      <c r="N35" s="288">
        <f t="shared" si="13"/>
        <v>0.45694234760999064</v>
      </c>
      <c r="O35" s="289">
        <f t="shared" si="13"/>
        <v>0.47187871095369882</v>
      </c>
      <c r="P35" s="290">
        <f t="shared" si="13"/>
        <v>2.1549677942893273</v>
      </c>
      <c r="Q35" s="149">
        <f>F33-H33</f>
        <v>-39196.024261116989</v>
      </c>
      <c r="R35" s="159">
        <f>G21/Q34/Q36</f>
        <v>6.8566392999336233E-8</v>
      </c>
      <c r="S35" s="150">
        <f>R33-G33</f>
        <v>-22222.228168436035</v>
      </c>
      <c r="T35" s="149">
        <f>I33-K33</f>
        <v>-15066.386382291981</v>
      </c>
      <c r="U35" s="159">
        <f>J21/T34/T36</f>
        <v>4.0619462573581499E-7</v>
      </c>
      <c r="V35" s="150">
        <f>U33-J33</f>
        <v>-412.67283536712057</v>
      </c>
    </row>
    <row r="36" spans="1:22" s="17" customFormat="1" ht="12" customHeight="1" thickBot="1" x14ac:dyDescent="0.25">
      <c r="A36" s="17" t="s">
        <v>257</v>
      </c>
      <c r="B36" s="292" t="s">
        <v>193</v>
      </c>
      <c r="C36" s="293">
        <f t="shared" ref="C36:P36" si="14">(1+$K18/100)*IF($K17=3,1/(1+16.8/C21),IF($K17=1,0.81-0.014*C34,0.00098*C34^3-0.018542*C34^2+0.11195*C34+0.634)/(1+SQRT(1+C34))*2)</f>
        <v>0.69014636444565014</v>
      </c>
      <c r="D36" s="294">
        <f t="shared" si="14"/>
        <v>0.69037215604134206</v>
      </c>
      <c r="E36" s="294">
        <f t="shared" si="14"/>
        <v>0.69056192272563011</v>
      </c>
      <c r="F36" s="388">
        <f t="shared" si="14"/>
        <v>0.69490571444705629</v>
      </c>
      <c r="G36" s="388">
        <f t="shared" si="14"/>
        <v>0.69500376418186494</v>
      </c>
      <c r="H36" s="388">
        <f t="shared" si="14"/>
        <v>0.69389606967218531</v>
      </c>
      <c r="I36" s="389">
        <f t="shared" si="14"/>
        <v>0.68988790491112362</v>
      </c>
      <c r="J36" s="389">
        <f t="shared" si="14"/>
        <v>0.69037215604134206</v>
      </c>
      <c r="K36" s="389">
        <f t="shared" si="14"/>
        <v>0.69071174984514505</v>
      </c>
      <c r="L36" s="295">
        <f t="shared" si="14"/>
        <v>0.69034469298856982</v>
      </c>
      <c r="M36" s="295">
        <f t="shared" si="14"/>
        <v>0.69034894669814684</v>
      </c>
      <c r="N36" s="295">
        <f t="shared" si="14"/>
        <v>0.69035318617441555</v>
      </c>
      <c r="O36" s="296">
        <f t="shared" si="14"/>
        <v>0.69054635892329752</v>
      </c>
      <c r="P36" s="297">
        <f t="shared" si="14"/>
        <v>0.61744670076912012</v>
      </c>
      <c r="Q36" s="151">
        <f>G33-H33</f>
        <v>-21808.796265683952</v>
      </c>
      <c r="R36" s="160">
        <f>H21/Q35/Q36</f>
        <v>3.2755506409107027E-8</v>
      </c>
      <c r="S36" s="152">
        <f>R33-H33</f>
        <v>-44031.024434119987</v>
      </c>
      <c r="T36" s="151">
        <f>J33-K33</f>
        <v>-7888.0128324347897</v>
      </c>
      <c r="U36" s="160">
        <f>K21/T35/T36</f>
        <v>2.0194566380439902E-7</v>
      </c>
      <c r="V36" s="152">
        <f>U33-K33</f>
        <v>-8300.6856678019103</v>
      </c>
    </row>
    <row r="37" spans="1:22" s="17" customFormat="1" ht="12" customHeight="1" thickTop="1" x14ac:dyDescent="0.2">
      <c r="A37" s="298" t="s">
        <v>258</v>
      </c>
      <c r="B37" s="299" t="s">
        <v>259</v>
      </c>
      <c r="C37" s="300">
        <f t="shared" ref="C37:P37" si="15">C21*0.5144*(1-$K3)</f>
        <v>8.6249310174835241</v>
      </c>
      <c r="D37" s="300">
        <f t="shared" si="15"/>
        <v>8.8165961512053794</v>
      </c>
      <c r="E37" s="300">
        <f t="shared" si="15"/>
        <v>9.0082612849272365</v>
      </c>
      <c r="F37" s="300">
        <f t="shared" si="15"/>
        <v>9.1999264186490919</v>
      </c>
      <c r="G37" s="300">
        <f t="shared" si="15"/>
        <v>9.9665869535365168</v>
      </c>
      <c r="H37" s="300">
        <f t="shared" si="15"/>
        <v>10.73324748842394</v>
      </c>
      <c r="I37" s="300">
        <f t="shared" si="15"/>
        <v>8.433265883761667</v>
      </c>
      <c r="J37" s="300">
        <f t="shared" si="15"/>
        <v>8.8165961512053794</v>
      </c>
      <c r="K37" s="300">
        <f t="shared" si="15"/>
        <v>9.1999264186490919</v>
      </c>
      <c r="L37" s="300">
        <f t="shared" si="15"/>
        <v>8.7916161048786758</v>
      </c>
      <c r="M37" s="300">
        <f t="shared" si="15"/>
        <v>8.7954494075531144</v>
      </c>
      <c r="N37" s="300">
        <f t="shared" si="15"/>
        <v>8.799282710227553</v>
      </c>
      <c r="O37" s="300">
        <f t="shared" si="15"/>
        <v>8.9909478439494084</v>
      </c>
      <c r="P37" s="301">
        <f t="shared" si="15"/>
        <v>15.127006583087065</v>
      </c>
    </row>
    <row r="38" spans="1:22" s="17" customFormat="1" ht="12" customHeight="1" x14ac:dyDescent="0.2">
      <c r="A38" s="17" t="s">
        <v>260</v>
      </c>
      <c r="B38" s="243" t="s">
        <v>259</v>
      </c>
      <c r="C38" s="287">
        <f t="shared" ref="C38:P38" si="16">C37*SQRT(1+C34)</f>
        <v>11.363157225673005</v>
      </c>
      <c r="D38" s="287">
        <f t="shared" si="16"/>
        <v>11.60963434516658</v>
      </c>
      <c r="E38" s="287">
        <f t="shared" si="16"/>
        <v>11.856835762833141</v>
      </c>
      <c r="F38" s="287">
        <f t="shared" si="16"/>
        <v>11.988624197631941</v>
      </c>
      <c r="G38" s="287">
        <f t="shared" si="16"/>
        <v>12.984745554838115</v>
      </c>
      <c r="H38" s="287">
        <f t="shared" si="16"/>
        <v>14.019270386120528</v>
      </c>
      <c r="I38" s="287">
        <f t="shared" si="16"/>
        <v>11.117256977944409</v>
      </c>
      <c r="J38" s="287">
        <f t="shared" si="16"/>
        <v>11.60963434516658</v>
      </c>
      <c r="K38" s="287">
        <f t="shared" si="16"/>
        <v>12.104932201286157</v>
      </c>
      <c r="L38" s="287">
        <f t="shared" si="16"/>
        <v>11.57747287404546</v>
      </c>
      <c r="M38" s="287">
        <f t="shared" si="16"/>
        <v>11.582407416191016</v>
      </c>
      <c r="N38" s="287">
        <f t="shared" si="16"/>
        <v>11.587342240363029</v>
      </c>
      <c r="O38" s="287">
        <f t="shared" si="16"/>
        <v>11.83447159366783</v>
      </c>
      <c r="P38" s="290">
        <f t="shared" si="16"/>
        <v>23.580865933915828</v>
      </c>
    </row>
    <row r="39" spans="1:22" s="17" customFormat="1" ht="12" customHeight="1" x14ac:dyDescent="0.2">
      <c r="A39" s="17" t="s">
        <v>261</v>
      </c>
      <c r="B39" s="243" t="s">
        <v>259</v>
      </c>
      <c r="C39" s="287">
        <f t="shared" ref="C39:P39" si="17">C38-C37</f>
        <v>2.7382262081894808</v>
      </c>
      <c r="D39" s="287">
        <f t="shared" si="17"/>
        <v>2.7930381939612001</v>
      </c>
      <c r="E39" s="287">
        <f t="shared" si="17"/>
        <v>2.8485744779059043</v>
      </c>
      <c r="F39" s="287">
        <f t="shared" si="17"/>
        <v>2.7886977789828489</v>
      </c>
      <c r="G39" s="287">
        <f t="shared" si="17"/>
        <v>3.0181586013015984</v>
      </c>
      <c r="H39" s="287">
        <f t="shared" si="17"/>
        <v>3.2860228976965882</v>
      </c>
      <c r="I39" s="287">
        <f t="shared" si="17"/>
        <v>2.6839910941827423</v>
      </c>
      <c r="J39" s="287">
        <f t="shared" si="17"/>
        <v>2.7930381939612001</v>
      </c>
      <c r="K39" s="287">
        <f t="shared" si="17"/>
        <v>2.9050057826370654</v>
      </c>
      <c r="L39" s="287">
        <f t="shared" si="17"/>
        <v>2.7858567691667844</v>
      </c>
      <c r="M39" s="287">
        <f t="shared" si="17"/>
        <v>2.7869580086379013</v>
      </c>
      <c r="N39" s="287">
        <f t="shared" si="17"/>
        <v>2.7880595301354756</v>
      </c>
      <c r="O39" s="287">
        <f t="shared" si="17"/>
        <v>2.8435237497184218</v>
      </c>
      <c r="P39" s="290">
        <f t="shared" si="17"/>
        <v>8.4538593508287629</v>
      </c>
    </row>
    <row r="40" spans="1:22" s="17" customFormat="1" ht="12" customHeight="1" x14ac:dyDescent="0.2">
      <c r="A40" s="17" t="s">
        <v>262</v>
      </c>
      <c r="B40" s="243" t="s">
        <v>193</v>
      </c>
      <c r="C40" s="287">
        <f t="shared" ref="C40:P40" si="18">C38/C37</f>
        <v>1.3174780415795611</v>
      </c>
      <c r="D40" s="287">
        <f t="shared" si="18"/>
        <v>1.3167932551361496</v>
      </c>
      <c r="E40" s="287">
        <f t="shared" si="18"/>
        <v>1.3162180123118967</v>
      </c>
      <c r="F40" s="287">
        <f t="shared" si="18"/>
        <v>1.3031217481620183</v>
      </c>
      <c r="G40" s="287">
        <f t="shared" si="18"/>
        <v>1.3028276997303117</v>
      </c>
      <c r="H40" s="287">
        <f t="shared" si="18"/>
        <v>1.3061536502573561</v>
      </c>
      <c r="I40" s="287">
        <f t="shared" si="18"/>
        <v>1.3182623589931859</v>
      </c>
      <c r="J40" s="287">
        <f t="shared" si="18"/>
        <v>1.3167932551361496</v>
      </c>
      <c r="K40" s="287">
        <f t="shared" si="18"/>
        <v>1.3157640235848358</v>
      </c>
      <c r="L40" s="287">
        <f t="shared" si="18"/>
        <v>1.3168765259917168</v>
      </c>
      <c r="M40" s="287">
        <f t="shared" si="18"/>
        <v>1.316863627939761</v>
      </c>
      <c r="N40" s="287">
        <f t="shared" si="18"/>
        <v>1.3168507731766439</v>
      </c>
      <c r="O40" s="287">
        <f t="shared" si="18"/>
        <v>1.3162651812769677</v>
      </c>
      <c r="P40" s="290">
        <f t="shared" si="18"/>
        <v>1.5588587077287785</v>
      </c>
    </row>
    <row r="41" spans="1:22" s="17" customFormat="1" ht="12" customHeight="1" x14ac:dyDescent="0.2">
      <c r="A41" s="17" t="s">
        <v>263</v>
      </c>
      <c r="B41" s="243" t="s">
        <v>259</v>
      </c>
      <c r="C41" s="287">
        <f t="shared" ref="C41:P41" si="19">C37+0.5*C39</f>
        <v>9.9940441215782645</v>
      </c>
      <c r="D41" s="287">
        <f t="shared" si="19"/>
        <v>10.213115248185979</v>
      </c>
      <c r="E41" s="287">
        <f t="shared" si="19"/>
        <v>10.43254852388019</v>
      </c>
      <c r="F41" s="287">
        <f t="shared" si="19"/>
        <v>10.594275308140517</v>
      </c>
      <c r="G41" s="287">
        <f t="shared" si="19"/>
        <v>11.475666254187317</v>
      </c>
      <c r="H41" s="287">
        <f t="shared" si="19"/>
        <v>12.376258937272233</v>
      </c>
      <c r="I41" s="287">
        <f t="shared" si="19"/>
        <v>9.775261430853039</v>
      </c>
      <c r="J41" s="287">
        <f t="shared" si="19"/>
        <v>10.213115248185979</v>
      </c>
      <c r="K41" s="287">
        <f t="shared" si="19"/>
        <v>10.652429309967625</v>
      </c>
      <c r="L41" s="287">
        <f t="shared" si="19"/>
        <v>10.184544489462068</v>
      </c>
      <c r="M41" s="287">
        <f t="shared" si="19"/>
        <v>10.188928411872066</v>
      </c>
      <c r="N41" s="287">
        <f t="shared" si="19"/>
        <v>10.19331247529529</v>
      </c>
      <c r="O41" s="287">
        <f t="shared" si="19"/>
        <v>10.412709718808619</v>
      </c>
      <c r="P41" s="290">
        <f t="shared" si="19"/>
        <v>19.353936258501445</v>
      </c>
    </row>
    <row r="42" spans="1:22" s="17" customFormat="1" ht="12" customHeight="1" x14ac:dyDescent="0.2">
      <c r="A42" s="17" t="s">
        <v>264</v>
      </c>
      <c r="B42" s="243" t="s">
        <v>265</v>
      </c>
      <c r="C42" s="302">
        <f t="shared" ref="C42:P42" si="20">0.785*$C18^2*C41</f>
        <v>786.66627171790708</v>
      </c>
      <c r="D42" s="302">
        <f t="shared" si="20"/>
        <v>803.91012859036573</v>
      </c>
      <c r="E42" s="302">
        <f t="shared" si="20"/>
        <v>821.18249148783434</v>
      </c>
      <c r="F42" s="302">
        <f t="shared" si="20"/>
        <v>833.91257401131497</v>
      </c>
      <c r="G42" s="302">
        <f t="shared" si="20"/>
        <v>903.28994727660927</v>
      </c>
      <c r="H42" s="302">
        <f t="shared" si="20"/>
        <v>974.17875662348615</v>
      </c>
      <c r="I42" s="302">
        <f t="shared" si="20"/>
        <v>769.44511864558649</v>
      </c>
      <c r="J42" s="302">
        <f t="shared" si="20"/>
        <v>803.91012859036573</v>
      </c>
      <c r="K42" s="302">
        <f t="shared" si="20"/>
        <v>838.49007949821123</v>
      </c>
      <c r="L42" s="302">
        <f t="shared" si="20"/>
        <v>801.66122394555202</v>
      </c>
      <c r="M42" s="302">
        <f t="shared" si="20"/>
        <v>802.0062978571558</v>
      </c>
      <c r="N42" s="302">
        <f t="shared" si="20"/>
        <v>802.35138286840527</v>
      </c>
      <c r="O42" s="302">
        <f t="shared" si="20"/>
        <v>819.62090954651649</v>
      </c>
      <c r="P42" s="275">
        <f t="shared" si="20"/>
        <v>1523.416216131033</v>
      </c>
    </row>
    <row r="43" spans="1:22" s="17" customFormat="1" ht="12" customHeight="1" thickBot="1" x14ac:dyDescent="0.25">
      <c r="A43" s="223" t="s">
        <v>266</v>
      </c>
      <c r="B43" s="303" t="s">
        <v>193</v>
      </c>
      <c r="C43" s="304">
        <f t="shared" ref="C43:P43" si="21">C50+C52+C54+C58+C59+C60</f>
        <v>0.72943894074555815</v>
      </c>
      <c r="D43" s="304">
        <f t="shared" si="21"/>
        <v>0.73833065415585519</v>
      </c>
      <c r="E43" s="304">
        <f t="shared" si="21"/>
        <v>0.7479269554205662</v>
      </c>
      <c r="F43" s="304">
        <f t="shared" si="21"/>
        <v>0.75831433196106901</v>
      </c>
      <c r="G43" s="304">
        <f t="shared" si="21"/>
        <v>0.8100594407933065</v>
      </c>
      <c r="H43" s="304">
        <f t="shared" si="21"/>
        <v>0.88647016816461621</v>
      </c>
      <c r="I43" s="304">
        <f t="shared" si="21"/>
        <v>0.72117726328893705</v>
      </c>
      <c r="J43" s="304">
        <f t="shared" si="21"/>
        <v>0.73833065415585519</v>
      </c>
      <c r="K43" s="304">
        <f t="shared" si="21"/>
        <v>0.75831433196106901</v>
      </c>
      <c r="L43" s="304">
        <f t="shared" si="21"/>
        <v>0.73713355349756648</v>
      </c>
      <c r="M43" s="304">
        <f t="shared" si="21"/>
        <v>0.73731648482781742</v>
      </c>
      <c r="N43" s="304">
        <f t="shared" si="21"/>
        <v>0.73749969409449934</v>
      </c>
      <c r="O43" s="304">
        <f t="shared" si="21"/>
        <v>0.74702898808701912</v>
      </c>
      <c r="P43" s="305">
        <f t="shared" si="21"/>
        <v>3.0538453690383784</v>
      </c>
    </row>
    <row r="44" spans="1:22" s="17" customFormat="1" ht="12" customHeight="1" x14ac:dyDescent="0.2">
      <c r="A44" s="298"/>
      <c r="B44" s="309" t="s">
        <v>267</v>
      </c>
      <c r="C44" s="308">
        <f t="shared" ref="C44:P44" si="22">1.35-0.23*$C13+0.012*$C13^2</f>
        <v>0.32559355775965326</v>
      </c>
      <c r="D44" s="308">
        <f t="shared" si="22"/>
        <v>0.32559355775965326</v>
      </c>
      <c r="E44" s="308">
        <f t="shared" si="22"/>
        <v>0.32559355775965326</v>
      </c>
      <c r="F44" s="308">
        <f t="shared" si="22"/>
        <v>0.32559355775965326</v>
      </c>
      <c r="G44" s="308">
        <f t="shared" si="22"/>
        <v>0.32559355775965326</v>
      </c>
      <c r="H44" s="308">
        <f t="shared" si="22"/>
        <v>0.32559355775965326</v>
      </c>
      <c r="I44" s="308">
        <f t="shared" si="22"/>
        <v>0.32559355775965326</v>
      </c>
      <c r="J44" s="308">
        <f t="shared" si="22"/>
        <v>0.32559355775965326</v>
      </c>
      <c r="K44" s="308">
        <f t="shared" si="22"/>
        <v>0.32559355775965326</v>
      </c>
      <c r="L44" s="308">
        <f t="shared" si="22"/>
        <v>0.32559355775965326</v>
      </c>
      <c r="M44" s="308">
        <f t="shared" si="22"/>
        <v>0.32559355775965326</v>
      </c>
      <c r="N44" s="308">
        <f t="shared" si="22"/>
        <v>0.32559355775965326</v>
      </c>
      <c r="O44" s="308">
        <f t="shared" si="22"/>
        <v>0.32559355775965326</v>
      </c>
      <c r="P44" s="310">
        <f t="shared" si="22"/>
        <v>0.32559355775965326</v>
      </c>
    </row>
    <row r="45" spans="1:22" s="17" customFormat="1" ht="12" customHeight="1" x14ac:dyDescent="0.2">
      <c r="B45" s="306" t="s">
        <v>268</v>
      </c>
      <c r="C45" s="277">
        <f t="shared" ref="C45:P45" si="23">0.0011*$C13^9.1</f>
        <v>56728.855231470181</v>
      </c>
      <c r="D45" s="277">
        <f t="shared" si="23"/>
        <v>56728.855231470181</v>
      </c>
      <c r="E45" s="277">
        <f t="shared" si="23"/>
        <v>56728.855231470181</v>
      </c>
      <c r="F45" s="277">
        <f t="shared" si="23"/>
        <v>56728.855231470181</v>
      </c>
      <c r="G45" s="277">
        <f t="shared" si="23"/>
        <v>56728.855231470181</v>
      </c>
      <c r="H45" s="277">
        <f t="shared" si="23"/>
        <v>56728.855231470181</v>
      </c>
      <c r="I45" s="277">
        <f t="shared" si="23"/>
        <v>56728.855231470181</v>
      </c>
      <c r="J45" s="277">
        <f t="shared" si="23"/>
        <v>56728.855231470181</v>
      </c>
      <c r="K45" s="277">
        <f t="shared" si="23"/>
        <v>56728.855231470181</v>
      </c>
      <c r="L45" s="277">
        <f t="shared" si="23"/>
        <v>56728.855231470181</v>
      </c>
      <c r="M45" s="277">
        <f t="shared" si="23"/>
        <v>56728.855231470181</v>
      </c>
      <c r="N45" s="277">
        <f t="shared" si="23"/>
        <v>56728.855231470181</v>
      </c>
      <c r="O45" s="277">
        <f t="shared" si="23"/>
        <v>56728.855231470181</v>
      </c>
      <c r="P45" s="311">
        <f t="shared" si="23"/>
        <v>56728.855231470181</v>
      </c>
    </row>
    <row r="46" spans="1:22" s="17" customFormat="1" ht="12" customHeight="1" x14ac:dyDescent="0.2">
      <c r="B46" s="306" t="s">
        <v>269</v>
      </c>
      <c r="C46" s="261">
        <f t="shared" ref="C46:P46" si="24">2*$C13-3.7</f>
        <v>10.378219257977491</v>
      </c>
      <c r="D46" s="261">
        <f t="shared" si="24"/>
        <v>10.378219257977491</v>
      </c>
      <c r="E46" s="261">
        <f t="shared" si="24"/>
        <v>10.378219257977491</v>
      </c>
      <c r="F46" s="261">
        <f t="shared" si="24"/>
        <v>10.378219257977491</v>
      </c>
      <c r="G46" s="261">
        <f t="shared" si="24"/>
        <v>10.378219257977491</v>
      </c>
      <c r="H46" s="261">
        <f t="shared" si="24"/>
        <v>10.378219257977491</v>
      </c>
      <c r="I46" s="261">
        <f t="shared" si="24"/>
        <v>10.378219257977491</v>
      </c>
      <c r="J46" s="261">
        <f t="shared" si="24"/>
        <v>10.378219257977491</v>
      </c>
      <c r="K46" s="261">
        <f t="shared" si="24"/>
        <v>10.378219257977491</v>
      </c>
      <c r="L46" s="261">
        <f t="shared" si="24"/>
        <v>10.378219257977491</v>
      </c>
      <c r="M46" s="261">
        <f t="shared" si="24"/>
        <v>10.378219257977491</v>
      </c>
      <c r="N46" s="261">
        <f t="shared" si="24"/>
        <v>10.378219257977491</v>
      </c>
      <c r="O46" s="261">
        <f t="shared" si="24"/>
        <v>10.378219257977491</v>
      </c>
      <c r="P46" s="312">
        <f t="shared" si="24"/>
        <v>10.378219257977491</v>
      </c>
    </row>
    <row r="47" spans="1:22" s="17" customFormat="1" ht="12" customHeight="1" x14ac:dyDescent="0.2">
      <c r="B47" s="306" t="s">
        <v>270</v>
      </c>
      <c r="C47" s="261">
        <f t="shared" ref="C47:P47" si="25">7-0.09*$C13^2</f>
        <v>2.5405842067970132</v>
      </c>
      <c r="D47" s="261">
        <f t="shared" si="25"/>
        <v>2.5405842067970132</v>
      </c>
      <c r="E47" s="261">
        <f t="shared" si="25"/>
        <v>2.5405842067970132</v>
      </c>
      <c r="F47" s="261">
        <f t="shared" si="25"/>
        <v>2.5405842067970132</v>
      </c>
      <c r="G47" s="261">
        <f t="shared" si="25"/>
        <v>2.5405842067970132</v>
      </c>
      <c r="H47" s="261">
        <f t="shared" si="25"/>
        <v>2.5405842067970132</v>
      </c>
      <c r="I47" s="261">
        <f t="shared" si="25"/>
        <v>2.5405842067970132</v>
      </c>
      <c r="J47" s="261">
        <f t="shared" si="25"/>
        <v>2.5405842067970132</v>
      </c>
      <c r="K47" s="261">
        <f t="shared" si="25"/>
        <v>2.5405842067970132</v>
      </c>
      <c r="L47" s="261">
        <f t="shared" si="25"/>
        <v>2.5405842067970132</v>
      </c>
      <c r="M47" s="261">
        <f t="shared" si="25"/>
        <v>2.5405842067970132</v>
      </c>
      <c r="N47" s="261">
        <f t="shared" si="25"/>
        <v>2.5405842067970132</v>
      </c>
      <c r="O47" s="261">
        <f t="shared" si="25"/>
        <v>2.5405842067970132</v>
      </c>
      <c r="P47" s="312">
        <f t="shared" si="25"/>
        <v>2.5405842067970132</v>
      </c>
    </row>
    <row r="48" spans="1:22" s="17" customFormat="1" ht="12" customHeight="1" x14ac:dyDescent="0.2">
      <c r="B48" s="306" t="s">
        <v>271</v>
      </c>
      <c r="C48" s="261">
        <f t="shared" ref="C48:P48" si="26">(5*$C12-2.5)^2</f>
        <v>0.66402531407562237</v>
      </c>
      <c r="D48" s="261">
        <f t="shared" si="26"/>
        <v>0.66402531407562237</v>
      </c>
      <c r="E48" s="261">
        <f t="shared" si="26"/>
        <v>0.66402531407562237</v>
      </c>
      <c r="F48" s="261">
        <f t="shared" si="26"/>
        <v>0.66402531407562237</v>
      </c>
      <c r="G48" s="261">
        <f t="shared" si="26"/>
        <v>0.66402531407562237</v>
      </c>
      <c r="H48" s="261">
        <f t="shared" si="26"/>
        <v>0.66402531407562237</v>
      </c>
      <c r="I48" s="261">
        <f t="shared" si="26"/>
        <v>0.66402531407562237</v>
      </c>
      <c r="J48" s="261">
        <f t="shared" si="26"/>
        <v>0.66402531407562237</v>
      </c>
      <c r="K48" s="261">
        <f t="shared" si="26"/>
        <v>0.66402531407562237</v>
      </c>
      <c r="L48" s="261">
        <f t="shared" si="26"/>
        <v>0.66402531407562237</v>
      </c>
      <c r="M48" s="261">
        <f t="shared" si="26"/>
        <v>0.66402531407562237</v>
      </c>
      <c r="N48" s="261">
        <f t="shared" si="26"/>
        <v>0.66402531407562237</v>
      </c>
      <c r="O48" s="261">
        <f t="shared" si="26"/>
        <v>0.66402531407562237</v>
      </c>
      <c r="P48" s="312">
        <f t="shared" si="26"/>
        <v>0.66402531407562237</v>
      </c>
    </row>
    <row r="49" spans="2:16" s="17" customFormat="1" ht="12" customHeight="1" x14ac:dyDescent="0.2">
      <c r="B49" s="306" t="s">
        <v>272</v>
      </c>
      <c r="C49" s="261">
        <f t="shared" ref="C49:P49" si="27">(600*(C22-0.315)^2+1)^1.5</f>
        <v>39.207736771132438</v>
      </c>
      <c r="D49" s="261">
        <f t="shared" si="27"/>
        <v>36.016653158585029</v>
      </c>
      <c r="E49" s="261">
        <f t="shared" si="27"/>
        <v>33.012051183827055</v>
      </c>
      <c r="F49" s="261">
        <f t="shared" si="27"/>
        <v>30.188073595967996</v>
      </c>
      <c r="G49" s="261">
        <f t="shared" si="27"/>
        <v>20.581362027833766</v>
      </c>
      <c r="H49" s="261">
        <f t="shared" si="27"/>
        <v>13.396951969832207</v>
      </c>
      <c r="I49" s="261">
        <f t="shared" si="27"/>
        <v>42.591161510508634</v>
      </c>
      <c r="J49" s="261">
        <f t="shared" si="27"/>
        <v>36.016653158585029</v>
      </c>
      <c r="K49" s="261">
        <f t="shared" si="27"/>
        <v>30.188073595967996</v>
      </c>
      <c r="L49" s="261">
        <f t="shared" si="27"/>
        <v>36.421859059972284</v>
      </c>
      <c r="M49" s="261">
        <f t="shared" si="27"/>
        <v>36.359472089286911</v>
      </c>
      <c r="N49" s="261">
        <f t="shared" si="27"/>
        <v>36.29715996973686</v>
      </c>
      <c r="O49" s="261">
        <f t="shared" si="27"/>
        <v>33.275953474553859</v>
      </c>
      <c r="P49" s="312">
        <f t="shared" si="27"/>
        <v>1.0225841652402019</v>
      </c>
    </row>
    <row r="50" spans="2:16" s="17" customFormat="1" ht="12" customHeight="1" x14ac:dyDescent="0.2">
      <c r="B50" s="306" t="s">
        <v>273</v>
      </c>
      <c r="C50" s="261">
        <f t="shared" ref="C50:P50" si="28">C47*C48/C49</f>
        <v>4.30275339712047E-2</v>
      </c>
      <c r="D50" s="261">
        <f t="shared" si="28"/>
        <v>4.6839783208780232E-2</v>
      </c>
      <c r="E50" s="261">
        <f t="shared" si="28"/>
        <v>5.110292045955743E-2</v>
      </c>
      <c r="F50" s="261">
        <f t="shared" si="28"/>
        <v>5.5883401121669278E-2</v>
      </c>
      <c r="G50" s="261">
        <f t="shared" si="28"/>
        <v>8.1967958367987287E-2</v>
      </c>
      <c r="H50" s="261">
        <f t="shared" si="28"/>
        <v>0.1259250783053365</v>
      </c>
      <c r="I50" s="261">
        <f t="shared" si="28"/>
        <v>3.9609443979068557E-2</v>
      </c>
      <c r="J50" s="261">
        <f t="shared" si="28"/>
        <v>4.6839783208780232E-2</v>
      </c>
      <c r="K50" s="261">
        <f t="shared" si="28"/>
        <v>5.5883401121669278E-2</v>
      </c>
      <c r="L50" s="261">
        <f t="shared" si="28"/>
        <v>4.6318674263060432E-2</v>
      </c>
      <c r="M50" s="261">
        <f t="shared" si="28"/>
        <v>4.6398149613151841E-2</v>
      </c>
      <c r="N50" s="261">
        <f t="shared" si="28"/>
        <v>4.6477802320085561E-2</v>
      </c>
      <c r="O50" s="261">
        <f t="shared" si="28"/>
        <v>5.069763747397988E-2</v>
      </c>
      <c r="P50" s="312">
        <f t="shared" si="28"/>
        <v>1.6497539109239763</v>
      </c>
    </row>
    <row r="51" spans="2:16" s="17" customFormat="1" ht="12" customHeight="1" x14ac:dyDescent="0.2">
      <c r="B51" s="306"/>
      <c r="C51" s="261">
        <f t="shared" ref="C51:P51" si="29">C22-(0.04+0.59*$C12)-0.015*($C13-5)</f>
        <v>-0.27928851369696001</v>
      </c>
      <c r="D51" s="261">
        <f t="shared" si="29"/>
        <v>-0.27523398761117329</v>
      </c>
      <c r="E51" s="261">
        <f t="shared" si="29"/>
        <v>-0.27117946152538658</v>
      </c>
      <c r="F51" s="261">
        <f t="shared" si="29"/>
        <v>-0.26712493543959986</v>
      </c>
      <c r="G51" s="261">
        <f t="shared" si="29"/>
        <v>-0.25090683109645295</v>
      </c>
      <c r="H51" s="261">
        <f t="shared" si="29"/>
        <v>-0.23468872675330613</v>
      </c>
      <c r="I51" s="261">
        <f t="shared" si="29"/>
        <v>-0.28334303978274678</v>
      </c>
      <c r="J51" s="261">
        <f t="shared" si="29"/>
        <v>-0.27523398761117329</v>
      </c>
      <c r="K51" s="261">
        <f t="shared" si="29"/>
        <v>-0.26712493543959986</v>
      </c>
      <c r="L51" s="261">
        <f t="shared" si="29"/>
        <v>-0.27576242096516435</v>
      </c>
      <c r="M51" s="261">
        <f t="shared" si="29"/>
        <v>-0.27568133044344856</v>
      </c>
      <c r="N51" s="261">
        <f t="shared" si="29"/>
        <v>-0.27560023992173283</v>
      </c>
      <c r="O51" s="261">
        <f t="shared" si="29"/>
        <v>-0.27154571383594611</v>
      </c>
      <c r="P51" s="312">
        <f t="shared" si="29"/>
        <v>-0.14174218755736243</v>
      </c>
    </row>
    <row r="52" spans="2:16" s="17" customFormat="1" ht="12" customHeight="1" x14ac:dyDescent="0.2">
      <c r="B52" s="306" t="s">
        <v>274</v>
      </c>
      <c r="C52" s="261">
        <f t="shared" ref="C52:P52" si="30">EXP(80*C51)</f>
        <v>1.9793526250198632E-10</v>
      </c>
      <c r="D52" s="261">
        <f t="shared" si="30"/>
        <v>2.7377376962310727E-10</v>
      </c>
      <c r="E52" s="261">
        <f t="shared" si="30"/>
        <v>3.786696518155478E-10</v>
      </c>
      <c r="F52" s="261">
        <f t="shared" si="30"/>
        <v>5.2375618527482789E-10</v>
      </c>
      <c r="G52" s="261">
        <f t="shared" si="30"/>
        <v>1.9169192675645266E-9</v>
      </c>
      <c r="H52" s="261">
        <f t="shared" si="30"/>
        <v>7.015820684641585E-9</v>
      </c>
      <c r="I52" s="261">
        <f t="shared" si="30"/>
        <v>1.4310490079332761E-10</v>
      </c>
      <c r="J52" s="261">
        <f t="shared" si="30"/>
        <v>2.7377376962310727E-10</v>
      </c>
      <c r="K52" s="261">
        <f t="shared" si="30"/>
        <v>5.2375618527482789E-10</v>
      </c>
      <c r="L52" s="261">
        <f t="shared" si="30"/>
        <v>2.6244130019363143E-10</v>
      </c>
      <c r="M52" s="261">
        <f t="shared" si="30"/>
        <v>2.6414935464069165E-10</v>
      </c>
      <c r="N52" s="261">
        <f t="shared" si="30"/>
        <v>2.6586852566883873E-10</v>
      </c>
      <c r="O52" s="261">
        <f t="shared" si="30"/>
        <v>3.6773552916456909E-10</v>
      </c>
      <c r="P52" s="312">
        <f t="shared" si="30"/>
        <v>1.1895207089236834E-5</v>
      </c>
    </row>
    <row r="53" spans="2:16" s="17" customFormat="1" ht="12" customHeight="1" x14ac:dyDescent="0.2">
      <c r="B53" s="306"/>
      <c r="C53" s="261">
        <f t="shared" ref="C53:P53" si="31">20*$C12-16</f>
        <v>-2.7404900636430085</v>
      </c>
      <c r="D53" s="261">
        <f t="shared" si="31"/>
        <v>-2.7404900636430085</v>
      </c>
      <c r="E53" s="261">
        <f t="shared" si="31"/>
        <v>-2.7404900636430085</v>
      </c>
      <c r="F53" s="261">
        <f t="shared" si="31"/>
        <v>-2.7404900636430085</v>
      </c>
      <c r="G53" s="261">
        <f t="shared" si="31"/>
        <v>-2.7404900636430085</v>
      </c>
      <c r="H53" s="261">
        <f t="shared" si="31"/>
        <v>-2.7404900636430085</v>
      </c>
      <c r="I53" s="261">
        <f t="shared" si="31"/>
        <v>-2.7404900636430085</v>
      </c>
      <c r="J53" s="261">
        <f t="shared" si="31"/>
        <v>-2.7404900636430085</v>
      </c>
      <c r="K53" s="261">
        <f t="shared" si="31"/>
        <v>-2.7404900636430085</v>
      </c>
      <c r="L53" s="261">
        <f t="shared" si="31"/>
        <v>-2.7404900636430085</v>
      </c>
      <c r="M53" s="261">
        <f t="shared" si="31"/>
        <v>-2.7404900636430085</v>
      </c>
      <c r="N53" s="261">
        <f t="shared" si="31"/>
        <v>-2.7404900636430085</v>
      </c>
      <c r="O53" s="261">
        <f t="shared" si="31"/>
        <v>-2.7404900636430085</v>
      </c>
      <c r="P53" s="312">
        <f t="shared" si="31"/>
        <v>-2.7404900636430085</v>
      </c>
    </row>
    <row r="54" spans="2:16" s="17" customFormat="1" ht="12" customHeight="1" x14ac:dyDescent="0.2">
      <c r="B54" s="306" t="s">
        <v>275</v>
      </c>
      <c r="C54" s="261">
        <f t="shared" ref="C54:P54" si="32">180*C22^3.7*EXP(C53)</f>
        <v>2.1446551003494279E-2</v>
      </c>
      <c r="D54" s="261">
        <f t="shared" si="32"/>
        <v>2.3263504332632894E-2</v>
      </c>
      <c r="E54" s="261">
        <f t="shared" si="32"/>
        <v>2.5190293814855023E-2</v>
      </c>
      <c r="F54" s="261">
        <f t="shared" si="32"/>
        <v>2.7231009205824226E-2</v>
      </c>
      <c r="G54" s="261">
        <f t="shared" si="32"/>
        <v>3.6617064930236191E-2</v>
      </c>
      <c r="H54" s="261">
        <f t="shared" si="32"/>
        <v>4.8168914404721284E-2</v>
      </c>
      <c r="I54" s="261">
        <f t="shared" si="32"/>
        <v>1.9735405840637908E-2</v>
      </c>
      <c r="J54" s="261">
        <f t="shared" si="32"/>
        <v>2.3263504332632894E-2</v>
      </c>
      <c r="K54" s="261">
        <f t="shared" si="32"/>
        <v>2.7231009205824226E-2</v>
      </c>
      <c r="L54" s="261">
        <f t="shared" si="32"/>
        <v>2.302055960058565E-2</v>
      </c>
      <c r="M54" s="261">
        <f t="shared" si="32"/>
        <v>2.3057719764505179E-2</v>
      </c>
      <c r="N54" s="261">
        <f t="shared" si="32"/>
        <v>2.3094923681844952E-2</v>
      </c>
      <c r="O54" s="261">
        <f t="shared" si="32"/>
        <v>2.5011624363562728E-2</v>
      </c>
      <c r="P54" s="312">
        <f t="shared" si="32"/>
        <v>0.17145403589879846</v>
      </c>
    </row>
    <row r="55" spans="2:16" s="17" customFormat="1" ht="12" customHeight="1" x14ac:dyDescent="0.2">
      <c r="B55" s="306"/>
      <c r="C55" s="261">
        <f t="shared" ref="C55:P55" si="33">C44+1.5*C22^1.8+C45*C22^(C46)</f>
        <v>0.39698456182120984</v>
      </c>
      <c r="D55" s="261">
        <f t="shared" si="33"/>
        <v>0.40012860675923445</v>
      </c>
      <c r="E55" s="261">
        <f t="shared" si="33"/>
        <v>0.40339292170770397</v>
      </c>
      <c r="F55" s="261">
        <f t="shared" si="33"/>
        <v>0.40679122148149133</v>
      </c>
      <c r="G55" s="261">
        <f t="shared" si="33"/>
        <v>0.4220889668054949</v>
      </c>
      <c r="H55" s="261">
        <f t="shared" si="33"/>
        <v>0.44140603272949036</v>
      </c>
      <c r="I55" s="261">
        <f t="shared" si="33"/>
        <v>0.39394914041113943</v>
      </c>
      <c r="J55" s="261">
        <f t="shared" si="33"/>
        <v>0.40012860675923445</v>
      </c>
      <c r="K55" s="261">
        <f t="shared" si="33"/>
        <v>0.40679122148149133</v>
      </c>
      <c r="L55" s="261">
        <f t="shared" si="33"/>
        <v>0.39971229007453296</v>
      </c>
      <c r="M55" s="261">
        <f t="shared" si="33"/>
        <v>0.39977604438075981</v>
      </c>
      <c r="N55" s="261">
        <f t="shared" si="33"/>
        <v>0.39983984617473495</v>
      </c>
      <c r="O55" s="261">
        <f t="shared" si="33"/>
        <v>0.40309276637946651</v>
      </c>
      <c r="P55" s="312">
        <f t="shared" si="33"/>
        <v>0.93359617198525069</v>
      </c>
    </row>
    <row r="56" spans="2:16" s="17" customFormat="1" ht="12" customHeight="1" x14ac:dyDescent="0.2">
      <c r="B56" s="306"/>
      <c r="C56" s="261">
        <f t="shared" ref="C56:P56" si="34">0.98+2.5/($C13-2)^4</f>
        <v>0.98387725872053045</v>
      </c>
      <c r="D56" s="261">
        <f t="shared" si="34"/>
        <v>0.98387725872053045</v>
      </c>
      <c r="E56" s="261">
        <f t="shared" si="34"/>
        <v>0.98387725872053045</v>
      </c>
      <c r="F56" s="261">
        <f t="shared" si="34"/>
        <v>0.98387725872053045</v>
      </c>
      <c r="G56" s="261">
        <f t="shared" si="34"/>
        <v>0.98387725872053045</v>
      </c>
      <c r="H56" s="261">
        <f t="shared" si="34"/>
        <v>0.98387725872053045</v>
      </c>
      <c r="I56" s="261">
        <f t="shared" si="34"/>
        <v>0.98387725872053045</v>
      </c>
      <c r="J56" s="261">
        <f t="shared" si="34"/>
        <v>0.98387725872053045</v>
      </c>
      <c r="K56" s="261">
        <f t="shared" si="34"/>
        <v>0.98387725872053045</v>
      </c>
      <c r="L56" s="261">
        <f t="shared" si="34"/>
        <v>0.98387725872053045</v>
      </c>
      <c r="M56" s="261">
        <f t="shared" si="34"/>
        <v>0.98387725872053045</v>
      </c>
      <c r="N56" s="261">
        <f t="shared" si="34"/>
        <v>0.98387725872053045</v>
      </c>
      <c r="O56" s="261">
        <f t="shared" si="34"/>
        <v>0.98387725872053045</v>
      </c>
      <c r="P56" s="312">
        <f t="shared" si="34"/>
        <v>0.98387725872053045</v>
      </c>
    </row>
    <row r="57" spans="2:16" s="17" customFormat="1" ht="12" customHeight="1" x14ac:dyDescent="0.2">
      <c r="B57" s="306"/>
      <c r="C57" s="261">
        <f t="shared" ref="C57:P57" si="35">($C13-5)^4*(C22-0.1)^4</f>
        <v>7.9910223676861003E-4</v>
      </c>
      <c r="D57" s="261">
        <f t="shared" si="35"/>
        <v>9.6825868959518255E-4</v>
      </c>
      <c r="E57" s="261">
        <f t="shared" si="35"/>
        <v>1.1629478733102929E-3</v>
      </c>
      <c r="F57" s="261">
        <f t="shared" si="35"/>
        <v>1.3856183499010269E-3</v>
      </c>
      <c r="G57" s="261">
        <f t="shared" si="35"/>
        <v>2.6090090842599708E-3</v>
      </c>
      <c r="H57" s="261">
        <f t="shared" si="35"/>
        <v>4.5051400770094834E-3</v>
      </c>
      <c r="I57" s="261">
        <f t="shared" si="35"/>
        <v>6.5314208597199591E-4</v>
      </c>
      <c r="J57" s="261">
        <f t="shared" si="35"/>
        <v>9.6825868959518255E-4</v>
      </c>
      <c r="K57" s="261">
        <f t="shared" si="35"/>
        <v>1.3856183499010269E-3</v>
      </c>
      <c r="L57" s="261">
        <f t="shared" si="35"/>
        <v>9.4481623890964761E-4</v>
      </c>
      <c r="M57" s="261">
        <f t="shared" si="35"/>
        <v>9.4838564139947676E-4</v>
      </c>
      <c r="N57" s="261">
        <f t="shared" si="35"/>
        <v>9.5196514793113374E-4</v>
      </c>
      <c r="O57" s="261">
        <f t="shared" si="35"/>
        <v>1.1442489891037712E-3</v>
      </c>
      <c r="P57" s="312">
        <f t="shared" si="35"/>
        <v>4.0499813666552295E-2</v>
      </c>
    </row>
    <row r="58" spans="2:16" s="17" customFormat="1" ht="12" customHeight="1" x14ac:dyDescent="0.2">
      <c r="B58" s="306" t="s">
        <v>276</v>
      </c>
      <c r="C58" s="261">
        <f t="shared" ref="C58:P58" si="36">C55*C56+C57</f>
        <v>0.39138318467579147</v>
      </c>
      <c r="D58" s="261">
        <f t="shared" si="36"/>
        <v>0.39464569544353584</v>
      </c>
      <c r="E58" s="261">
        <f t="shared" si="36"/>
        <v>0.39805206987035163</v>
      </c>
      <c r="F58" s="261">
        <f t="shared" si="36"/>
        <v>0.40161825021268688</v>
      </c>
      <c r="G58" s="261">
        <f t="shared" si="36"/>
        <v>0.41789274468103127</v>
      </c>
      <c r="H58" s="261">
        <f t="shared" si="36"/>
        <v>0.43879449754160521</v>
      </c>
      <c r="I58" s="261">
        <f t="shared" si="36"/>
        <v>0.38825074242899321</v>
      </c>
      <c r="J58" s="261">
        <f t="shared" si="36"/>
        <v>0.39464569544353584</v>
      </c>
      <c r="K58" s="261">
        <f t="shared" si="36"/>
        <v>0.40161825021268688</v>
      </c>
      <c r="L58" s="261">
        <f t="shared" si="36"/>
        <v>0.39421264847434662</v>
      </c>
      <c r="M58" s="261">
        <f t="shared" si="36"/>
        <v>0.39427894428887855</v>
      </c>
      <c r="N58" s="261">
        <f t="shared" si="36"/>
        <v>0.39434529692956788</v>
      </c>
      <c r="O58" s="261">
        <f t="shared" si="36"/>
        <v>0.39773805498460846</v>
      </c>
      <c r="P58" s="312">
        <f t="shared" si="36"/>
        <v>0.95904385611138165</v>
      </c>
    </row>
    <row r="59" spans="2:16" s="17" customFormat="1" ht="12" customHeight="1" x14ac:dyDescent="0.2">
      <c r="B59" s="306" t="s">
        <v>277</v>
      </c>
      <c r="C59" s="261">
        <f t="shared" ref="C59:P59" si="37">0.16*($C5/$C6-2.5)</f>
        <v>0.27358167089713248</v>
      </c>
      <c r="D59" s="261">
        <f t="shared" si="37"/>
        <v>0.27358167089713248</v>
      </c>
      <c r="E59" s="261">
        <f t="shared" si="37"/>
        <v>0.27358167089713248</v>
      </c>
      <c r="F59" s="261">
        <f t="shared" si="37"/>
        <v>0.27358167089713248</v>
      </c>
      <c r="G59" s="261">
        <f t="shared" si="37"/>
        <v>0.27358167089713248</v>
      </c>
      <c r="H59" s="261">
        <f t="shared" si="37"/>
        <v>0.27358167089713248</v>
      </c>
      <c r="I59" s="261">
        <f t="shared" si="37"/>
        <v>0.27358167089713248</v>
      </c>
      <c r="J59" s="261">
        <f t="shared" si="37"/>
        <v>0.27358167089713248</v>
      </c>
      <c r="K59" s="261">
        <f t="shared" si="37"/>
        <v>0.27358167089713248</v>
      </c>
      <c r="L59" s="261">
        <f t="shared" si="37"/>
        <v>0.27358167089713248</v>
      </c>
      <c r="M59" s="261">
        <f t="shared" si="37"/>
        <v>0.27358167089713248</v>
      </c>
      <c r="N59" s="261">
        <f t="shared" si="37"/>
        <v>0.27358167089713248</v>
      </c>
      <c r="O59" s="261">
        <f t="shared" si="37"/>
        <v>0.27358167089713248</v>
      </c>
      <c r="P59" s="312">
        <f t="shared" si="37"/>
        <v>0.27358167089713248</v>
      </c>
    </row>
    <row r="60" spans="2:16" s="17" customFormat="1" ht="12" customHeight="1" x14ac:dyDescent="0.2">
      <c r="B60" s="306" t="s">
        <v>278</v>
      </c>
      <c r="C60" s="261">
        <f t="shared" ref="C60:P60" si="38">($C15-$C14)/3*0.1</f>
        <v>0</v>
      </c>
      <c r="D60" s="261">
        <f t="shared" si="38"/>
        <v>0</v>
      </c>
      <c r="E60" s="261">
        <f t="shared" si="38"/>
        <v>0</v>
      </c>
      <c r="F60" s="261">
        <f t="shared" si="38"/>
        <v>0</v>
      </c>
      <c r="G60" s="261">
        <f t="shared" si="38"/>
        <v>0</v>
      </c>
      <c r="H60" s="261">
        <f t="shared" si="38"/>
        <v>0</v>
      </c>
      <c r="I60" s="261">
        <f t="shared" si="38"/>
        <v>0</v>
      </c>
      <c r="J60" s="261">
        <f t="shared" si="38"/>
        <v>0</v>
      </c>
      <c r="K60" s="261">
        <f t="shared" si="38"/>
        <v>0</v>
      </c>
      <c r="L60" s="261">
        <f t="shared" si="38"/>
        <v>0</v>
      </c>
      <c r="M60" s="261">
        <f t="shared" si="38"/>
        <v>0</v>
      </c>
      <c r="N60" s="261">
        <f t="shared" si="38"/>
        <v>0</v>
      </c>
      <c r="O60" s="261">
        <f t="shared" si="38"/>
        <v>0</v>
      </c>
      <c r="P60" s="312">
        <f t="shared" si="38"/>
        <v>0</v>
      </c>
    </row>
    <row r="61" spans="2:16" s="17" customFormat="1" ht="12" customHeight="1" x14ac:dyDescent="0.2">
      <c r="B61" s="306" t="s">
        <v>279</v>
      </c>
      <c r="C61" s="306">
        <f>0.1*C5/C4+0.149</f>
        <v>0.16263002865717036</v>
      </c>
      <c r="D61" s="306" t="s">
        <v>280</v>
      </c>
      <c r="E61" s="306">
        <f>0.625*C5/C4+0.08</f>
        <v>0.16518767910731474</v>
      </c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13"/>
    </row>
    <row r="62" spans="2:16" s="17" customFormat="1" ht="12" customHeight="1" x14ac:dyDescent="0.2">
      <c r="B62" s="306" t="s">
        <v>281</v>
      </c>
      <c r="C62" s="306">
        <f>0.05*C5/C4+0.449</f>
        <v>0.45581501432858518</v>
      </c>
      <c r="D62" s="306" t="s">
        <v>282</v>
      </c>
      <c r="E62" s="306">
        <f>0.165-0.25*C5/C4</f>
        <v>0.13092492835707412</v>
      </c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13"/>
    </row>
    <row r="63" spans="2:16" s="17" customFormat="1" ht="12" customHeight="1" x14ac:dyDescent="0.2">
      <c r="B63" s="306" t="s">
        <v>283</v>
      </c>
      <c r="C63" s="306">
        <f>585-5027*C5/C4+11700*(C5/C4)^2</f>
        <v>117.17834640252971</v>
      </c>
      <c r="D63" s="306" t="s">
        <v>284</v>
      </c>
      <c r="E63" s="306">
        <f>825-8060*C5/C4+20300*(C5/C4)^2</f>
        <v>103.54838305849802</v>
      </c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13"/>
    </row>
    <row r="64" spans="2:16" s="17" customFormat="1" ht="12" customHeight="1" x14ac:dyDescent="0.2">
      <c r="B64" s="306" t="s">
        <v>285</v>
      </c>
      <c r="C64" s="261">
        <f>C61+C62/(C63*(0.98-C11)^3+1)</f>
        <v>0.24991880253088733</v>
      </c>
      <c r="D64" s="261" t="s">
        <v>286</v>
      </c>
      <c r="E64" s="261">
        <f>E61+E62/(E63*(0.98-C11)^3+1)</f>
        <v>0.19286248559132835</v>
      </c>
      <c r="F64" s="261"/>
      <c r="G64" s="261"/>
      <c r="H64" s="306"/>
      <c r="I64" s="306"/>
      <c r="J64" s="306"/>
      <c r="K64" s="306"/>
      <c r="L64" s="306"/>
      <c r="M64" s="306"/>
      <c r="N64" s="306"/>
      <c r="O64" s="306"/>
      <c r="P64" s="313"/>
    </row>
    <row r="65" spans="1:16" s="17" customFormat="1" ht="12" customHeight="1" x14ac:dyDescent="0.2">
      <c r="B65" s="306" t="s">
        <v>287</v>
      </c>
      <c r="C65" s="261">
        <f>0.025*C15/(100*(C11-0.7)^2+1)</f>
        <v>0</v>
      </c>
      <c r="D65" s="261" t="s">
        <v>288</v>
      </c>
      <c r="E65" s="261">
        <f>-0.01*C15</f>
        <v>0</v>
      </c>
      <c r="F65" s="261"/>
      <c r="G65" s="261"/>
      <c r="H65" s="306"/>
      <c r="I65" s="306"/>
      <c r="J65" s="306"/>
      <c r="K65" s="306"/>
      <c r="L65" s="306"/>
      <c r="M65" s="306"/>
      <c r="N65" s="306"/>
      <c r="O65" s="306"/>
      <c r="P65" s="313"/>
    </row>
    <row r="66" spans="1:16" s="17" customFormat="1" ht="12" customHeight="1" x14ac:dyDescent="0.2">
      <c r="B66" s="306" t="s">
        <v>289</v>
      </c>
      <c r="C66" s="261">
        <f>0.00756/(C18/C4+0.002)-0.18</f>
        <v>0.10623735526422862</v>
      </c>
      <c r="D66" s="261" t="s">
        <v>290</v>
      </c>
      <c r="E66" s="261">
        <f>2*(C18/C4-0.04)</f>
        <v>-3.1176705898352877E-2</v>
      </c>
      <c r="F66" s="261"/>
      <c r="G66" s="261"/>
      <c r="H66" s="306"/>
      <c r="I66" s="306"/>
      <c r="J66" s="306"/>
      <c r="K66" s="306"/>
      <c r="L66" s="306"/>
      <c r="M66" s="306"/>
      <c r="N66" s="306"/>
      <c r="O66" s="306"/>
      <c r="P66" s="313"/>
    </row>
    <row r="67" spans="1:16" s="17" customFormat="1" ht="12" customHeight="1" x14ac:dyDescent="0.2">
      <c r="B67" s="306" t="s">
        <v>291</v>
      </c>
      <c r="C67" s="261">
        <f>MIN(0.1,C66)</f>
        <v>0.1</v>
      </c>
      <c r="D67" s="261"/>
      <c r="E67" s="261"/>
      <c r="F67" s="261"/>
      <c r="G67" s="261"/>
      <c r="H67" s="306"/>
      <c r="I67" s="306"/>
      <c r="J67" s="306"/>
      <c r="K67" s="306"/>
      <c r="L67" s="306"/>
      <c r="M67" s="306"/>
      <c r="N67" s="306"/>
      <c r="O67" s="306"/>
      <c r="P67" s="313"/>
    </row>
    <row r="68" spans="1:16" s="17" customFormat="1" ht="12" customHeight="1" x14ac:dyDescent="0.2">
      <c r="B68" s="306" t="s">
        <v>292</v>
      </c>
      <c r="C68" s="261">
        <f>C64+C65+C67</f>
        <v>0.34991880253088736</v>
      </c>
      <c r="D68" s="261" t="s">
        <v>293</v>
      </c>
      <c r="E68" s="261">
        <f>E64+E65+E66</f>
        <v>0.16168577969297548</v>
      </c>
      <c r="F68" s="261" t="s">
        <v>294</v>
      </c>
      <c r="G68" s="261">
        <f>0.7*C11-0.2</f>
        <v>0.25480119081704478</v>
      </c>
      <c r="H68" s="306"/>
      <c r="I68" s="306"/>
      <c r="J68" s="306"/>
      <c r="K68" s="306"/>
      <c r="L68" s="306"/>
      <c r="M68" s="306"/>
      <c r="N68" s="306"/>
      <c r="O68" s="306"/>
      <c r="P68" s="313"/>
    </row>
    <row r="69" spans="1:16" s="17" customFormat="1" ht="12" customHeight="1" x14ac:dyDescent="0.2">
      <c r="B69" s="306" t="s">
        <v>295</v>
      </c>
      <c r="C69" s="261">
        <f>1.133*C11^2-0.797*C11+0.215</f>
        <v>0.1754506269248913</v>
      </c>
      <c r="D69" s="261" t="s">
        <v>296</v>
      </c>
      <c r="E69" s="261">
        <f>0.0665+0.62833*C69</f>
        <v>0.17674089241571694</v>
      </c>
      <c r="F69" s="261" t="s">
        <v>297</v>
      </c>
      <c r="G69" s="261">
        <f>0.19</f>
        <v>0.19</v>
      </c>
      <c r="H69" s="306"/>
      <c r="I69" s="306"/>
      <c r="J69" s="306"/>
      <c r="K69" s="306"/>
      <c r="L69" s="306"/>
      <c r="M69" s="306"/>
      <c r="N69" s="306"/>
      <c r="O69" s="306"/>
      <c r="P69" s="313"/>
    </row>
    <row r="70" spans="1:16" x14ac:dyDescent="0.2">
      <c r="A70" s="9" t="s">
        <v>298</v>
      </c>
      <c r="B70" s="306" t="s">
        <v>299</v>
      </c>
      <c r="C70" s="306">
        <f t="shared" ref="C70:P70" si="39">IF(C22&gt;$J9,0,IF($C17=1,0.2,0.1))</f>
        <v>0.1</v>
      </c>
      <c r="D70" s="306">
        <f t="shared" si="39"/>
        <v>0.1</v>
      </c>
      <c r="E70" s="306">
        <f t="shared" si="39"/>
        <v>0.1</v>
      </c>
      <c r="F70" s="306">
        <f t="shared" si="39"/>
        <v>0.1</v>
      </c>
      <c r="G70" s="306">
        <f t="shared" si="39"/>
        <v>0.1</v>
      </c>
      <c r="H70" s="306">
        <f t="shared" si="39"/>
        <v>0.1</v>
      </c>
      <c r="I70" s="306">
        <f t="shared" si="39"/>
        <v>0.1</v>
      </c>
      <c r="J70" s="306">
        <f t="shared" si="39"/>
        <v>0.1</v>
      </c>
      <c r="K70" s="306">
        <f t="shared" si="39"/>
        <v>0.1</v>
      </c>
      <c r="L70" s="306">
        <f t="shared" si="39"/>
        <v>0.1</v>
      </c>
      <c r="M70" s="306">
        <f t="shared" si="39"/>
        <v>0.1</v>
      </c>
      <c r="N70" s="306">
        <f t="shared" si="39"/>
        <v>0.1</v>
      </c>
      <c r="O70" s="306">
        <f t="shared" si="39"/>
        <v>0.1</v>
      </c>
      <c r="P70" s="306">
        <f t="shared" si="39"/>
        <v>0.1</v>
      </c>
    </row>
    <row r="72" spans="1:16" x14ac:dyDescent="0.2">
      <c r="A72" s="314"/>
    </row>
    <row r="73" spans="1:16" x14ac:dyDescent="0.2">
      <c r="A73" s="315"/>
    </row>
    <row r="74" spans="1:16" x14ac:dyDescent="0.2">
      <c r="A74" s="315"/>
    </row>
    <row r="75" spans="1:16" x14ac:dyDescent="0.2">
      <c r="A75" s="315"/>
    </row>
    <row r="76" spans="1:16" x14ac:dyDescent="0.2">
      <c r="A76" s="315"/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allowBlank="1" showInputMessage="1" showErrorMessage="1" error="Wetted surface is too high_x000a_" sqref="C8"/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3"/>
  <dimension ref="A1:AD73"/>
  <sheetViews>
    <sheetView workbookViewId="0">
      <selection activeCell="J7" sqref="J7"/>
    </sheetView>
  </sheetViews>
  <sheetFormatPr defaultColWidth="8.85546875" defaultRowHeight="12.75" x14ac:dyDescent="0.2"/>
  <cols>
    <col min="1" max="1" width="26.42578125" style="9" customWidth="1"/>
    <col min="2" max="6" width="7.140625" style="9" customWidth="1"/>
    <col min="7" max="7" width="9" style="9" customWidth="1"/>
    <col min="8" max="8" width="6.42578125" style="9" customWidth="1"/>
    <col min="9" max="11" width="7.140625" style="9" customWidth="1"/>
    <col min="12" max="12" width="6.42578125" style="9" customWidth="1"/>
    <col min="13" max="13" width="7.140625" style="9" customWidth="1"/>
    <col min="14" max="14" width="7.42578125" style="9" customWidth="1"/>
    <col min="15" max="15" width="6.140625" style="9" customWidth="1"/>
    <col min="16" max="16" width="6.7109375" style="9" customWidth="1"/>
    <col min="17" max="30" width="9.140625" style="9" customWidth="1"/>
  </cols>
  <sheetData>
    <row r="1" spans="1:30" ht="21" thickBot="1" x14ac:dyDescent="0.35">
      <c r="A1" s="175" t="s">
        <v>411</v>
      </c>
      <c r="B1" s="176"/>
      <c r="C1" s="176"/>
      <c r="D1" s="176"/>
      <c r="E1" s="177"/>
      <c r="F1" s="176"/>
      <c r="G1" s="178"/>
      <c r="H1" s="179"/>
      <c r="I1" s="180"/>
      <c r="J1" s="179"/>
      <c r="K1" s="179"/>
      <c r="L1" s="179"/>
      <c r="M1" s="179"/>
      <c r="N1" s="179"/>
      <c r="O1" s="179"/>
      <c r="P1" s="181"/>
    </row>
    <row r="2" spans="1:30" s="18" customFormat="1" ht="13.5" thickTop="1" x14ac:dyDescent="0.2">
      <c r="A2" s="182" t="s">
        <v>199</v>
      </c>
      <c r="B2" s="183"/>
      <c r="C2" s="183"/>
      <c r="D2" s="183"/>
      <c r="E2" s="183"/>
      <c r="F2" s="183"/>
      <c r="G2" s="183"/>
      <c r="H2" s="184"/>
      <c r="I2" s="185"/>
      <c r="J2" s="186" t="s">
        <v>200</v>
      </c>
      <c r="K2" s="183"/>
      <c r="L2" s="183"/>
      <c r="M2" s="183"/>
      <c r="N2" s="183"/>
      <c r="O2" s="183"/>
      <c r="P2" s="18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s="18" customFormat="1" ht="12" customHeight="1" x14ac:dyDescent="0.2">
      <c r="A3" s="188" t="s">
        <v>201</v>
      </c>
      <c r="B3" s="189" t="s">
        <v>202</v>
      </c>
      <c r="C3" s="190">
        <v>1.0249999999999999</v>
      </c>
      <c r="D3" s="191"/>
      <c r="E3" s="192"/>
      <c r="F3" s="193"/>
      <c r="G3" s="194" t="s">
        <v>203</v>
      </c>
      <c r="H3" s="195"/>
      <c r="I3" s="195"/>
      <c r="J3" s="196">
        <v>1</v>
      </c>
      <c r="K3" s="197">
        <f>IF(J3=1,IF(C17=1,0.7*C71,IF(C16=1,C72,G71)),J3)</f>
        <v>0.25480119081704478</v>
      </c>
      <c r="L3" s="192"/>
      <c r="M3" s="192"/>
      <c r="N3" s="192"/>
      <c r="O3" s="192"/>
      <c r="P3" s="19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18" customFormat="1" ht="12" customHeight="1" x14ac:dyDescent="0.2">
      <c r="A4" s="188" t="s">
        <v>204</v>
      </c>
      <c r="B4" s="189" t="s">
        <v>205</v>
      </c>
      <c r="C4" s="199">
        <f>'SHIP DATA'!E6</f>
        <v>410.19723000059423</v>
      </c>
      <c r="D4" s="200"/>
      <c r="E4" s="201"/>
      <c r="F4" s="202"/>
      <c r="G4" s="203" t="s">
        <v>206</v>
      </c>
      <c r="H4" s="204"/>
      <c r="I4" s="204"/>
      <c r="J4" s="196">
        <v>1</v>
      </c>
      <c r="K4" s="205">
        <f>IF(K15=1,0.25,IF(J4=1,IF(C17=1,E71,IF(C16=1,E72,G72)),J4))</f>
        <v>0.19</v>
      </c>
      <c r="L4" s="201"/>
      <c r="M4" s="201"/>
      <c r="N4" s="201"/>
      <c r="O4" s="201"/>
      <c r="P4" s="20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8" customFormat="1" ht="12" customHeight="1" x14ac:dyDescent="0.2">
      <c r="A5" s="188" t="s">
        <v>207</v>
      </c>
      <c r="B5" s="189" t="s">
        <v>205</v>
      </c>
      <c r="C5" s="199">
        <f>'SHIP DATA'!E8</f>
        <v>55.91</v>
      </c>
      <c r="D5" s="200"/>
      <c r="E5" s="201"/>
      <c r="F5" s="202"/>
      <c r="G5" s="203" t="s">
        <v>208</v>
      </c>
      <c r="H5" s="204"/>
      <c r="I5" s="204"/>
      <c r="J5" s="207"/>
      <c r="K5" s="205">
        <f>(1-K4)/(1-K3)</f>
        <v>1.0869582586801148</v>
      </c>
      <c r="L5" s="201"/>
      <c r="M5" s="201"/>
      <c r="N5" s="201"/>
      <c r="O5" s="201"/>
      <c r="P5" s="20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8" customFormat="1" ht="12" customHeight="1" x14ac:dyDescent="0.2">
      <c r="A6" s="208" t="s">
        <v>209</v>
      </c>
      <c r="B6" s="209" t="s">
        <v>205</v>
      </c>
      <c r="C6" s="210">
        <f>'SHIP DATA'!E77</f>
        <v>13.280646410828696</v>
      </c>
      <c r="D6" s="200"/>
      <c r="E6" s="201"/>
      <c r="F6" s="202"/>
      <c r="G6" s="203" t="s">
        <v>210</v>
      </c>
      <c r="H6" s="204"/>
      <c r="I6" s="204"/>
      <c r="J6" s="196">
        <f>'SHIP DATA'!E45/100</f>
        <v>0.98</v>
      </c>
      <c r="K6" s="211"/>
      <c r="L6" s="212"/>
      <c r="M6" s="213"/>
      <c r="N6" s="201"/>
      <c r="O6" s="201"/>
      <c r="P6" s="20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8" customFormat="1" ht="12" customHeight="1" x14ac:dyDescent="0.2">
      <c r="A7" s="188" t="s">
        <v>211</v>
      </c>
      <c r="B7" s="189" t="s">
        <v>212</v>
      </c>
      <c r="C7" s="214">
        <f>'SHIP DATA'!E75</f>
        <v>202837.77974012643</v>
      </c>
      <c r="D7" s="200"/>
      <c r="E7" s="201"/>
      <c r="F7" s="202"/>
      <c r="G7" s="203" t="s">
        <v>213</v>
      </c>
      <c r="H7" s="204"/>
      <c r="I7" s="204"/>
      <c r="J7" s="27">
        <f>IF(C16=2,1.03,1.01)</f>
        <v>1.03</v>
      </c>
      <c r="K7" s="215"/>
      <c r="L7" s="201"/>
      <c r="M7" s="201"/>
      <c r="N7" s="201"/>
      <c r="O7" s="201"/>
      <c r="P7" s="20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8" customFormat="1" ht="12" customHeight="1" x14ac:dyDescent="0.2">
      <c r="A8" s="188" t="s">
        <v>214</v>
      </c>
      <c r="B8" s="189" t="s">
        <v>215</v>
      </c>
      <c r="C8" s="214">
        <f>'SHIP DATA'!E78</f>
        <v>26845.855924419695</v>
      </c>
      <c r="D8" s="200"/>
      <c r="E8" s="201"/>
      <c r="F8" s="202"/>
      <c r="G8" s="216" t="s">
        <v>216</v>
      </c>
      <c r="H8" s="217"/>
      <c r="I8" s="217"/>
      <c r="J8" s="217"/>
      <c r="K8" s="218"/>
      <c r="L8" s="201"/>
      <c r="M8" s="201"/>
      <c r="N8" s="201"/>
      <c r="O8" s="201"/>
      <c r="P8" s="20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8" customFormat="1" ht="12" customHeight="1" x14ac:dyDescent="0.2">
      <c r="A9" s="188" t="s">
        <v>217</v>
      </c>
      <c r="B9" s="189" t="s">
        <v>215</v>
      </c>
      <c r="C9" s="219">
        <f>IF(C8=0,0.995*(C7/C3/C6+1.9*C4*C6),C8)</f>
        <v>26845.855924419695</v>
      </c>
      <c r="D9" s="200"/>
      <c r="E9" s="201"/>
      <c r="F9" s="202"/>
      <c r="G9" s="194" t="s">
        <v>218</v>
      </c>
      <c r="H9" s="195"/>
      <c r="I9" s="195"/>
      <c r="J9" s="220">
        <v>0.32</v>
      </c>
      <c r="K9" s="221" t="str">
        <f>IF(J9&gt;0.32,"Too high"," ")</f>
        <v xml:space="preserve"> </v>
      </c>
      <c r="L9" s="201"/>
      <c r="M9" s="201"/>
      <c r="N9" s="201"/>
      <c r="O9" s="201"/>
      <c r="P9" s="20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8" customFormat="1" ht="12" customHeight="1" x14ac:dyDescent="0.2">
      <c r="A10" s="188" t="s">
        <v>186</v>
      </c>
      <c r="B10" s="189" t="s">
        <v>193</v>
      </c>
      <c r="C10" s="190">
        <f>'SHIP DATA'!E29</f>
        <v>0.98</v>
      </c>
      <c r="D10" s="200"/>
      <c r="E10" s="201"/>
      <c r="F10" s="202"/>
      <c r="G10" s="222"/>
      <c r="H10" s="223"/>
      <c r="I10" s="223"/>
      <c r="J10" s="224">
        <v>0.95</v>
      </c>
      <c r="K10" s="225" t="str">
        <f>IF(J10&lt;0.9,"Too low"," ")</f>
        <v xml:space="preserve"> </v>
      </c>
      <c r="L10" s="201"/>
      <c r="M10" s="226" t="s">
        <v>219</v>
      </c>
      <c r="N10" s="227"/>
      <c r="O10" s="227"/>
      <c r="P10" s="228">
        <f>'SHIP DATA'!E79</f>
        <v>18.5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8" customFormat="1" ht="12" customHeight="1" x14ac:dyDescent="0.2">
      <c r="A11" s="188" t="s">
        <v>220</v>
      </c>
      <c r="B11" s="189" t="s">
        <v>193</v>
      </c>
      <c r="C11" s="229">
        <f>C7/C3/C4/C5/C6</f>
        <v>0.64971598688149257</v>
      </c>
      <c r="D11" s="200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8" customFormat="1" ht="12" customHeight="1" x14ac:dyDescent="0.2">
      <c r="A12" s="188" t="s">
        <v>221</v>
      </c>
      <c r="B12" s="189" t="s">
        <v>193</v>
      </c>
      <c r="C12" s="229">
        <f>C11/C10</f>
        <v>0.66297549681784962</v>
      </c>
      <c r="D12" s="200"/>
      <c r="E12" s="201"/>
      <c r="F12" s="202"/>
      <c r="G12" s="699" t="s">
        <v>222</v>
      </c>
      <c r="H12" s="700"/>
      <c r="I12" s="700"/>
      <c r="J12" s="701"/>
      <c r="K12" s="722">
        <f>'SHIP DATA'!E80</f>
        <v>0</v>
      </c>
      <c r="L12" s="232"/>
      <c r="M12" s="232"/>
      <c r="N12" s="232"/>
      <c r="O12" s="201"/>
      <c r="P12" s="20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8" customFormat="1" ht="12" customHeight="1" x14ac:dyDescent="0.2">
      <c r="A13" s="188" t="s">
        <v>223</v>
      </c>
      <c r="B13" s="189" t="s">
        <v>193</v>
      </c>
      <c r="C13" s="233">
        <f>C4/(C7/C3)^(1/3)</f>
        <v>7.0391096289887463</v>
      </c>
      <c r="D13" s="200"/>
      <c r="E13" s="201"/>
      <c r="F13" s="202"/>
      <c r="G13" s="234" t="s">
        <v>224</v>
      </c>
      <c r="H13" s="235"/>
      <c r="I13" s="234"/>
      <c r="J13" s="234"/>
      <c r="K13" s="231">
        <v>15</v>
      </c>
      <c r="L13" s="201"/>
      <c r="M13" s="227" t="s">
        <v>402</v>
      </c>
      <c r="N13" s="227"/>
      <c r="O13" s="1111">
        <f>IF('SHIP DATA'!E2&lt;500,2+(500-'SHIP DATA'!E2)/125,IF('SHIP DATA'!E2&lt;9000,7,IF('SHIP DATA'!E2&lt;12000,8,9)))</f>
        <v>9</v>
      </c>
      <c r="P13" s="20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2" customHeight="1" x14ac:dyDescent="0.2">
      <c r="A14" s="188" t="s">
        <v>225</v>
      </c>
      <c r="B14" s="189" t="s">
        <v>193</v>
      </c>
      <c r="C14" s="236">
        <v>0</v>
      </c>
      <c r="D14" s="200"/>
      <c r="E14" s="201"/>
      <c r="F14" s="202"/>
      <c r="G14" s="237" t="s">
        <v>226</v>
      </c>
      <c r="H14" s="238"/>
      <c r="I14" s="238"/>
      <c r="J14" s="238"/>
      <c r="K14" s="231">
        <v>1</v>
      </c>
      <c r="L14" s="201"/>
      <c r="M14" s="227" t="s">
        <v>403</v>
      </c>
      <c r="N14" s="227"/>
      <c r="O14" s="1111">
        <f>IF('SHIP DATA'!E2&lt;2500,1.5,2)</f>
        <v>2</v>
      </c>
      <c r="P14" s="20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8" customFormat="1" ht="12" customHeight="1" x14ac:dyDescent="0.2">
      <c r="A15" s="188" t="s">
        <v>227</v>
      </c>
      <c r="B15" s="189" t="s">
        <v>193</v>
      </c>
      <c r="C15" s="236">
        <v>0</v>
      </c>
      <c r="D15" s="200"/>
      <c r="E15" s="201"/>
      <c r="F15" s="202"/>
      <c r="G15" s="237" t="s">
        <v>228</v>
      </c>
      <c r="H15" s="238"/>
      <c r="I15" s="238"/>
      <c r="J15" s="238"/>
      <c r="K15" s="231">
        <v>2</v>
      </c>
      <c r="L15" s="201"/>
      <c r="M15" s="201"/>
      <c r="N15" s="201"/>
      <c r="O15" s="201"/>
      <c r="P15" s="20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8" customFormat="1" ht="12" customHeight="1" x14ac:dyDescent="0.2">
      <c r="A16" s="188" t="s">
        <v>229</v>
      </c>
      <c r="B16" s="189" t="s">
        <v>193</v>
      </c>
      <c r="C16" s="1129">
        <f>'SHIP DATA'!E51</f>
        <v>2</v>
      </c>
      <c r="D16" s="200"/>
      <c r="E16" s="201"/>
      <c r="F16" s="202"/>
      <c r="G16" s="237" t="s">
        <v>230</v>
      </c>
      <c r="H16" s="238"/>
      <c r="I16" s="238"/>
      <c r="J16" s="238"/>
      <c r="K16" s="239"/>
      <c r="L16" s="201"/>
      <c r="M16" s="523" t="s">
        <v>73</v>
      </c>
      <c r="N16" s="523"/>
      <c r="O16" s="529">
        <f>'SHIP DATA'!E42</f>
        <v>0.8</v>
      </c>
      <c r="P16" s="20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8" customFormat="1" ht="12" customHeight="1" x14ac:dyDescent="0.2">
      <c r="A17" s="188" t="s">
        <v>231</v>
      </c>
      <c r="B17" s="189" t="s">
        <v>193</v>
      </c>
      <c r="C17" s="1129">
        <f>'SHIP DATA'!E50</f>
        <v>2</v>
      </c>
      <c r="D17" s="200"/>
      <c r="E17" s="201"/>
      <c r="F17" s="202"/>
      <c r="G17" s="237" t="s">
        <v>232</v>
      </c>
      <c r="H17" s="238"/>
      <c r="I17" s="238"/>
      <c r="J17" s="238"/>
      <c r="K17" s="722">
        <f>'SHIP DATA'!E53</f>
        <v>1</v>
      </c>
      <c r="L17" s="201"/>
      <c r="M17" s="227" t="s">
        <v>74</v>
      </c>
      <c r="N17" s="227"/>
      <c r="O17" s="524">
        <f>C5*(('SHIP DATA'!E9-C6)+2+O13*2.6+2*O14)</f>
        <v>2589.7150591705672</v>
      </c>
      <c r="P17" s="20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s="18" customFormat="1" ht="12" customHeight="1" x14ac:dyDescent="0.2">
      <c r="A18" s="188" t="s">
        <v>233</v>
      </c>
      <c r="B18" s="189" t="s">
        <v>205</v>
      </c>
      <c r="C18" s="199">
        <f>'SHIP DATA'!E52</f>
        <v>10.013590000000001</v>
      </c>
      <c r="D18" s="240">
        <f>C18/C6</f>
        <v>0.75399869029230215</v>
      </c>
      <c r="E18" s="241" t="s">
        <v>234</v>
      </c>
      <c r="F18" s="242"/>
      <c r="G18" s="237" t="s">
        <v>235</v>
      </c>
      <c r="H18" s="238"/>
      <c r="I18" s="238"/>
      <c r="J18" s="238"/>
      <c r="K18" s="231">
        <f>'SHIP DATA'!E46</f>
        <v>0</v>
      </c>
      <c r="L18" s="201"/>
      <c r="M18" s="227" t="s">
        <v>75</v>
      </c>
      <c r="N18" s="227"/>
      <c r="O18" s="525">
        <f>'SHIP DATA'!E43</f>
        <v>0</v>
      </c>
      <c r="P18" s="20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s="18" customFormat="1" ht="12" customHeight="1" thickBot="1" x14ac:dyDescent="0.25">
      <c r="A19" s="204" t="s">
        <v>236</v>
      </c>
      <c r="B19" s="243" t="s">
        <v>193</v>
      </c>
      <c r="C19" s="244">
        <v>4</v>
      </c>
      <c r="D19" s="245"/>
      <c r="E19" s="246"/>
      <c r="F19" s="232"/>
      <c r="G19" s="247" t="s">
        <v>237</v>
      </c>
      <c r="H19" s="248"/>
      <c r="I19" s="249"/>
      <c r="J19" s="248"/>
      <c r="K19" s="250">
        <v>100</v>
      </c>
      <c r="L19" s="251"/>
      <c r="M19" s="251"/>
      <c r="N19" s="251"/>
      <c r="O19" s="251"/>
      <c r="P19" s="252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s="18" customFormat="1" ht="14.25" thickTop="1" thickBot="1" x14ac:dyDescent="0.25">
      <c r="A20" s="182" t="s">
        <v>238</v>
      </c>
      <c r="B20" s="253"/>
      <c r="C20" s="183"/>
      <c r="D20" s="183"/>
      <c r="E20" s="183"/>
      <c r="F20" s="183"/>
      <c r="G20" s="183"/>
      <c r="H20" s="183"/>
      <c r="I20" s="183"/>
      <c r="J20" s="183"/>
      <c r="K20" s="254"/>
      <c r="L20" s="254"/>
      <c r="M20" s="254"/>
      <c r="N20" s="254"/>
      <c r="O20" s="254"/>
      <c r="P20" s="18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s="18" customFormat="1" ht="12" customHeight="1" x14ac:dyDescent="0.2">
      <c r="A21" s="255" t="s">
        <v>239</v>
      </c>
      <c r="B21" s="256" t="s">
        <v>240</v>
      </c>
      <c r="C21" s="257">
        <f t="shared" ref="C21:J21" si="0">D21-0.5</f>
        <v>14.5</v>
      </c>
      <c r="D21" s="257">
        <f t="shared" si="0"/>
        <v>15</v>
      </c>
      <c r="E21" s="257">
        <f t="shared" si="0"/>
        <v>15.5</v>
      </c>
      <c r="F21" s="257">
        <f t="shared" si="0"/>
        <v>16</v>
      </c>
      <c r="G21" s="257">
        <f t="shared" si="0"/>
        <v>16.5</v>
      </c>
      <c r="H21" s="257">
        <f t="shared" si="0"/>
        <v>17</v>
      </c>
      <c r="I21" s="257">
        <f t="shared" si="0"/>
        <v>17.5</v>
      </c>
      <c r="J21" s="257">
        <f t="shared" si="0"/>
        <v>18</v>
      </c>
      <c r="K21" s="257">
        <f>P10</f>
        <v>18.5</v>
      </c>
      <c r="L21" s="258">
        <f>M21-0.01</f>
        <v>18.489999999999998</v>
      </c>
      <c r="M21" s="258">
        <f>P10</f>
        <v>18.5</v>
      </c>
      <c r="N21" s="258">
        <f>M21+0.01</f>
        <v>18.510000000000002</v>
      </c>
      <c r="O21" s="257">
        <f>N21+0.5</f>
        <v>19.010000000000002</v>
      </c>
      <c r="P21" s="259">
        <f>P22*SQRT(9.81*C4)/0.5144</f>
        <v>39.462071920288167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s="18" customFormat="1" ht="12" customHeight="1" x14ac:dyDescent="0.2">
      <c r="A22" s="188" t="s">
        <v>241</v>
      </c>
      <c r="B22" s="243" t="s">
        <v>193</v>
      </c>
      <c r="C22" s="260">
        <f t="shared" ref="C22:O22" si="1">C21*0.5144/SQRT(9.81*$C4)</f>
        <v>0.11758125648781487</v>
      </c>
      <c r="D22" s="261">
        <f t="shared" si="1"/>
        <v>0.12163578257360159</v>
      </c>
      <c r="E22" s="261">
        <f t="shared" si="1"/>
        <v>0.12569030865938832</v>
      </c>
      <c r="F22" s="261">
        <f t="shared" si="1"/>
        <v>0.12974483474517504</v>
      </c>
      <c r="G22" s="261">
        <f t="shared" si="1"/>
        <v>0.13379936083096175</v>
      </c>
      <c r="H22" s="261">
        <f t="shared" si="1"/>
        <v>0.13785388691674849</v>
      </c>
      <c r="I22" s="261">
        <f t="shared" si="1"/>
        <v>0.14190841300253518</v>
      </c>
      <c r="J22" s="229">
        <f t="shared" si="1"/>
        <v>0.14596293908832192</v>
      </c>
      <c r="K22" s="229">
        <f t="shared" si="1"/>
        <v>0.15001746517410863</v>
      </c>
      <c r="L22" s="262">
        <f>L21*0.5144/SQRT(9.81*$C4)</f>
        <v>0.1499363746523929</v>
      </c>
      <c r="M22" s="262">
        <f>M21*0.5144/SQRT(9.81*$C4)</f>
        <v>0.15001746517410863</v>
      </c>
      <c r="N22" s="262">
        <f>N21*0.5144/SQRT(9.81*$C4)</f>
        <v>0.15009855569582439</v>
      </c>
      <c r="O22" s="263">
        <f t="shared" si="1"/>
        <v>0.15415308178161111</v>
      </c>
      <c r="P22" s="264">
        <f>J9</f>
        <v>0.32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s="18" customFormat="1" ht="12" customHeight="1" x14ac:dyDescent="0.2">
      <c r="A23" s="188" t="s">
        <v>242</v>
      </c>
      <c r="B23" s="243" t="s">
        <v>193</v>
      </c>
      <c r="C23" s="260">
        <f t="shared" ref="C23:P23" si="2">75/(LOG10(C21*0.5144*$C4*1000000/((43.4233-31.38*$C3)*($K13+20)^(1.72*$C3-2.202)+4.7478-5.779*$C3))-2)^2</f>
        <v>1.3656500001900558</v>
      </c>
      <c r="D23" s="229">
        <f t="shared" si="2"/>
        <v>1.3602397218075259</v>
      </c>
      <c r="E23" s="229">
        <f t="shared" si="2"/>
        <v>1.3550373906537054</v>
      </c>
      <c r="F23" s="229">
        <f t="shared" si="2"/>
        <v>1.3500286277034745</v>
      </c>
      <c r="G23" s="229">
        <f t="shared" si="2"/>
        <v>1.3452004611304975</v>
      </c>
      <c r="H23" s="229">
        <f t="shared" si="2"/>
        <v>1.3405411506456146</v>
      </c>
      <c r="I23" s="229">
        <f t="shared" si="2"/>
        <v>1.3360400382224913</v>
      </c>
      <c r="J23" s="229">
        <f t="shared" si="2"/>
        <v>1.331687420614837</v>
      </c>
      <c r="K23" s="229">
        <f t="shared" si="2"/>
        <v>1.3274744399739113</v>
      </c>
      <c r="L23" s="262">
        <f>75/(LOG10(L21*0.5144*$C4*1000000/((43.4233-31.38*$C3)*($K13+20)^(1.72*$C3-2.202)+4.7478-5.779*$C3))-2)^2</f>
        <v>1.3275573847335862</v>
      </c>
      <c r="M23" s="262">
        <f>75/(LOG10(M21*0.5144*$C4*1000000/((43.4233-31.38*$C3)*($K13+20)^(1.72*$C3-2.202)+4.7478-5.779*$C3))-2)^2</f>
        <v>1.3274744399739113</v>
      </c>
      <c r="N23" s="262">
        <f>75/(LOG10(N21*0.5144*$C4*1000000/((43.4233-31.38*$C3)*($K13+20)^(1.72*$C3-2.202)+4.7478-5.779*$C3))-2)^2</f>
        <v>1.3273915478040736</v>
      </c>
      <c r="O23" s="263">
        <f t="shared" si="2"/>
        <v>1.323312650052977</v>
      </c>
      <c r="P23" s="265">
        <f t="shared" si="2"/>
        <v>1.2184718298238078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s="18" customFormat="1" ht="12" customHeight="1" x14ac:dyDescent="0.2">
      <c r="A24" s="188" t="s">
        <v>243</v>
      </c>
      <c r="B24" s="243" t="s">
        <v>193</v>
      </c>
      <c r="C24" s="266">
        <f>C46</f>
        <v>0.64347752349076548</v>
      </c>
      <c r="D24" s="268">
        <f t="shared" ref="D24:O24" si="3">D46</f>
        <v>0.64688003745506528</v>
      </c>
      <c r="E24" s="268">
        <f t="shared" si="3"/>
        <v>0.65046362841030103</v>
      </c>
      <c r="F24" s="268">
        <f t="shared" si="3"/>
        <v>0.65423966971079661</v>
      </c>
      <c r="G24" s="268">
        <f t="shared" si="3"/>
        <v>0.65822082585609509</v>
      </c>
      <c r="H24" s="268">
        <f t="shared" si="3"/>
        <v>0.66242122518706537</v>
      </c>
      <c r="I24" s="268">
        <f t="shared" si="3"/>
        <v>0.66685666265358301</v>
      </c>
      <c r="J24" s="268">
        <f t="shared" si="3"/>
        <v>0.67154483802963427</v>
      </c>
      <c r="K24" s="268">
        <f t="shared" si="3"/>
        <v>0.67650563598785807</v>
      </c>
      <c r="L24" s="262">
        <f t="shared" si="3"/>
        <v>0.67640360795715904</v>
      </c>
      <c r="M24" s="262">
        <f t="shared" si="3"/>
        <v>0.67650563598785807</v>
      </c>
      <c r="N24" s="262">
        <f t="shared" si="3"/>
        <v>0.6766077819308457</v>
      </c>
      <c r="O24" s="269">
        <f t="shared" si="3"/>
        <v>0.6818697497682733</v>
      </c>
      <c r="P24" s="264">
        <f>P53+P55+P57+P61+P62+P63</f>
        <v>3.0538453690383784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s="18" customFormat="1" ht="12" customHeight="1" x14ac:dyDescent="0.2">
      <c r="A25" s="188" t="s">
        <v>244</v>
      </c>
      <c r="B25" s="243" t="s">
        <v>193</v>
      </c>
      <c r="C25" s="266">
        <f>$K14*(IF($C16=2,0.52-2.6*C22,MAX(-50,(250*C22-90))/100*C24))</f>
        <v>0.21428873313168134</v>
      </c>
      <c r="D25" s="268">
        <f>$K14*(IF($C16=2,0.52-2.6*D22,MAX(-50,(250*D22-90))/100*D24))</f>
        <v>0.20374696530863584</v>
      </c>
      <c r="E25" s="268">
        <f t="shared" ref="E25:P25" si="4">$K14*(IF($C16=2,0.52-2.6*E22,MAX(-50,(250*E22-90))/100*E24))</f>
        <v>0.19320519748559034</v>
      </c>
      <c r="F25" s="268">
        <f t="shared" si="4"/>
        <v>0.1826634296625449</v>
      </c>
      <c r="G25" s="268">
        <f t="shared" si="4"/>
        <v>0.17212166183949945</v>
      </c>
      <c r="H25" s="268">
        <f t="shared" si="4"/>
        <v>0.16157989401645395</v>
      </c>
      <c r="I25" s="268">
        <f t="shared" si="4"/>
        <v>0.15103812619340856</v>
      </c>
      <c r="J25" s="268">
        <f t="shared" si="4"/>
        <v>0.14049635837036301</v>
      </c>
      <c r="K25" s="268">
        <f t="shared" si="4"/>
        <v>0.12995459054731756</v>
      </c>
      <c r="L25" s="262">
        <f t="shared" si="4"/>
        <v>0.13016542590377844</v>
      </c>
      <c r="M25" s="262">
        <f t="shared" si="4"/>
        <v>0.12995459054731756</v>
      </c>
      <c r="N25" s="262">
        <f t="shared" si="4"/>
        <v>0.12974375519085657</v>
      </c>
      <c r="O25" s="268">
        <f t="shared" si="4"/>
        <v>0.11920198736781112</v>
      </c>
      <c r="P25" s="270">
        <f t="shared" si="4"/>
        <v>-0.31200000000000006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s="18" customFormat="1" ht="12" customHeight="1" x14ac:dyDescent="0.2">
      <c r="A26" s="188" t="s">
        <v>245</v>
      </c>
      <c r="B26" s="243"/>
      <c r="C26" s="266">
        <f>IF($C17=2,IF($C16=1,0.3,0),0)</f>
        <v>0</v>
      </c>
      <c r="D26" s="268">
        <f t="shared" ref="D26:P26" si="5">IF($C17=2,IF($C16=1,0.3,0),0)</f>
        <v>0</v>
      </c>
      <c r="E26" s="268">
        <f t="shared" si="5"/>
        <v>0</v>
      </c>
      <c r="F26" s="268">
        <f t="shared" si="5"/>
        <v>0</v>
      </c>
      <c r="G26" s="268">
        <f t="shared" si="5"/>
        <v>0</v>
      </c>
      <c r="H26" s="268">
        <f t="shared" si="5"/>
        <v>0</v>
      </c>
      <c r="I26" s="268">
        <f t="shared" si="5"/>
        <v>0</v>
      </c>
      <c r="J26" s="268">
        <f t="shared" si="5"/>
        <v>0</v>
      </c>
      <c r="K26" s="268">
        <f t="shared" si="5"/>
        <v>0</v>
      </c>
      <c r="L26" s="262">
        <f t="shared" si="5"/>
        <v>0</v>
      </c>
      <c r="M26" s="262">
        <f t="shared" si="5"/>
        <v>0</v>
      </c>
      <c r="N26" s="262">
        <f t="shared" si="5"/>
        <v>0</v>
      </c>
      <c r="O26" s="269">
        <f t="shared" si="5"/>
        <v>0</v>
      </c>
      <c r="P26" s="270">
        <f t="shared" si="5"/>
        <v>0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s="18" customFormat="1" ht="11.25" customHeight="1" x14ac:dyDescent="0.2">
      <c r="A27" s="188" t="s">
        <v>246</v>
      </c>
      <c r="B27" s="243" t="s">
        <v>193</v>
      </c>
      <c r="C27" s="266">
        <f>MAX(0.09,0.28*'SHIP DATA'!E2^(-0.126))</f>
        <v>0.09</v>
      </c>
      <c r="D27" s="268">
        <f t="shared" ref="D27:O27" si="6">C27</f>
        <v>0.09</v>
      </c>
      <c r="E27" s="268">
        <f t="shared" si="6"/>
        <v>0.09</v>
      </c>
      <c r="F27" s="268">
        <f t="shared" si="6"/>
        <v>0.09</v>
      </c>
      <c r="G27" s="268">
        <f t="shared" si="6"/>
        <v>0.09</v>
      </c>
      <c r="H27" s="268">
        <f t="shared" si="6"/>
        <v>0.09</v>
      </c>
      <c r="I27" s="268">
        <f t="shared" si="6"/>
        <v>0.09</v>
      </c>
      <c r="J27" s="268">
        <f t="shared" si="6"/>
        <v>0.09</v>
      </c>
      <c r="K27" s="268">
        <f t="shared" si="6"/>
        <v>0.09</v>
      </c>
      <c r="L27" s="262">
        <f>K27</f>
        <v>0.09</v>
      </c>
      <c r="M27" s="262">
        <f>L27</f>
        <v>0.09</v>
      </c>
      <c r="N27" s="262">
        <f>M27</f>
        <v>0.09</v>
      </c>
      <c r="O27" s="269">
        <f t="shared" si="6"/>
        <v>0.09</v>
      </c>
      <c r="P27" s="270">
        <f>O27</f>
        <v>0.09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s="18" customFormat="1" ht="12" customHeight="1" x14ac:dyDescent="0.2">
      <c r="A28" s="188" t="s">
        <v>247</v>
      </c>
      <c r="B28" s="243" t="s">
        <v>193</v>
      </c>
      <c r="C28" s="260">
        <f t="shared" ref="C28:O28" si="7">0.5*LOG10($C7)-0.1*(LOG10($C7))^2</f>
        <v>-0.16300846554999193</v>
      </c>
      <c r="D28" s="229">
        <f t="shared" si="7"/>
        <v>-0.16300846554999193</v>
      </c>
      <c r="E28" s="229">
        <f t="shared" si="7"/>
        <v>-0.16300846554999193</v>
      </c>
      <c r="F28" s="229">
        <f t="shared" si="7"/>
        <v>-0.16300846554999193</v>
      </c>
      <c r="G28" s="229">
        <f t="shared" si="7"/>
        <v>-0.16300846554999193</v>
      </c>
      <c r="H28" s="229">
        <f t="shared" si="7"/>
        <v>-0.16300846554999193</v>
      </c>
      <c r="I28" s="229">
        <f t="shared" si="7"/>
        <v>-0.16300846554999193</v>
      </c>
      <c r="J28" s="229">
        <f t="shared" si="7"/>
        <v>-0.16300846554999193</v>
      </c>
      <c r="K28" s="229">
        <f t="shared" si="7"/>
        <v>-0.16300846554999193</v>
      </c>
      <c r="L28" s="262">
        <f t="shared" si="7"/>
        <v>-0.16300846554999193</v>
      </c>
      <c r="M28" s="262">
        <f t="shared" si="7"/>
        <v>-0.16300846554999193</v>
      </c>
      <c r="N28" s="262">
        <f t="shared" si="7"/>
        <v>-0.16300846554999193</v>
      </c>
      <c r="O28" s="263">
        <f t="shared" si="7"/>
        <v>-0.16300846554999193</v>
      </c>
      <c r="P28" s="265">
        <f>0.5*LOG10($C7)-0.1*(LOG10($C7))^2</f>
        <v>-0.16300846554999193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s="18" customFormat="1" ht="12" customHeight="1" x14ac:dyDescent="0.2">
      <c r="A29" s="188" t="s">
        <v>248</v>
      </c>
      <c r="B29" s="517" t="s">
        <v>193</v>
      </c>
      <c r="C29" s="266">
        <f t="shared" ref="C29:O29" si="8">C23+C24+C25+C26+C27+C28</f>
        <v>2.1504077912625106</v>
      </c>
      <c r="D29" s="268">
        <f t="shared" si="8"/>
        <v>2.1378582590212352</v>
      </c>
      <c r="E29" s="268">
        <f t="shared" si="8"/>
        <v>2.1256977509996049</v>
      </c>
      <c r="F29" s="268">
        <f t="shared" si="8"/>
        <v>2.113923261526824</v>
      </c>
      <c r="G29" s="268">
        <f t="shared" si="8"/>
        <v>2.1025344832760999</v>
      </c>
      <c r="H29" s="268">
        <f t="shared" si="8"/>
        <v>2.0915338042991416</v>
      </c>
      <c r="I29" s="268">
        <f t="shared" si="8"/>
        <v>2.0809263615194906</v>
      </c>
      <c r="J29" s="268">
        <f t="shared" si="8"/>
        <v>2.0707201514648421</v>
      </c>
      <c r="K29" s="268">
        <f t="shared" si="8"/>
        <v>2.060926200959095</v>
      </c>
      <c r="L29" s="262">
        <f>L23+L24+L25+L26+L27+L28</f>
        <v>2.0611179530445316</v>
      </c>
      <c r="M29" s="262">
        <f>M23+M24+M25+M26+M27+M28</f>
        <v>2.060926200959095</v>
      </c>
      <c r="N29" s="262">
        <f>N23+N24+N25+N26+N27+N28</f>
        <v>2.0607346193757836</v>
      </c>
      <c r="O29" s="269">
        <f t="shared" si="8"/>
        <v>2.0513759216390692</v>
      </c>
      <c r="P29" s="265">
        <f>P23+P24+P25+P27+P28</f>
        <v>3.8873087333121941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s="18" customFormat="1" ht="12" customHeight="1" x14ac:dyDescent="0.2">
      <c r="A30" s="509" t="s">
        <v>69</v>
      </c>
      <c r="B30" s="518" t="s">
        <v>250</v>
      </c>
      <c r="C30" s="530">
        <f>0.00062*$O17*$O16*((C21*0.5144+$O18)^2-(C21*0.5144)^2)</f>
        <v>0</v>
      </c>
      <c r="D30" s="511">
        <f t="shared" ref="D30:O30" si="9">0.00062*$O17*$O16*((D21*0.5144+$O18)^2-(D21*0.5144)^2)</f>
        <v>0</v>
      </c>
      <c r="E30" s="511">
        <f t="shared" si="9"/>
        <v>0</v>
      </c>
      <c r="F30" s="511">
        <f t="shared" si="9"/>
        <v>0</v>
      </c>
      <c r="G30" s="511">
        <f t="shared" si="9"/>
        <v>0</v>
      </c>
      <c r="H30" s="511">
        <f t="shared" si="9"/>
        <v>0</v>
      </c>
      <c r="I30" s="511">
        <f t="shared" si="9"/>
        <v>0</v>
      </c>
      <c r="J30" s="511">
        <f t="shared" si="9"/>
        <v>0</v>
      </c>
      <c r="K30" s="511">
        <f t="shared" si="9"/>
        <v>0</v>
      </c>
      <c r="L30" s="511">
        <f t="shared" si="9"/>
        <v>0</v>
      </c>
      <c r="M30" s="511">
        <f t="shared" si="9"/>
        <v>0</v>
      </c>
      <c r="N30" s="511">
        <f t="shared" si="9"/>
        <v>0</v>
      </c>
      <c r="O30" s="519">
        <f t="shared" si="9"/>
        <v>0</v>
      </c>
      <c r="P30" s="265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s="18" customFormat="1" ht="12" customHeight="1" x14ac:dyDescent="0.2">
      <c r="A31" s="509" t="s">
        <v>70</v>
      </c>
      <c r="B31" s="518" t="s">
        <v>196</v>
      </c>
      <c r="C31" s="531">
        <f>C30/C32*100</f>
        <v>0</v>
      </c>
      <c r="D31" s="513">
        <f t="shared" ref="D31:O31" si="10">D30/D32*100</f>
        <v>0</v>
      </c>
      <c r="E31" s="513">
        <f t="shared" si="10"/>
        <v>0</v>
      </c>
      <c r="F31" s="513">
        <f t="shared" si="10"/>
        <v>0</v>
      </c>
      <c r="G31" s="513">
        <f t="shared" si="10"/>
        <v>0</v>
      </c>
      <c r="H31" s="513">
        <f t="shared" si="10"/>
        <v>0</v>
      </c>
      <c r="I31" s="513">
        <f t="shared" si="10"/>
        <v>0</v>
      </c>
      <c r="J31" s="513">
        <f t="shared" si="10"/>
        <v>0</v>
      </c>
      <c r="K31" s="513">
        <f t="shared" si="10"/>
        <v>0</v>
      </c>
      <c r="L31" s="513">
        <f t="shared" si="10"/>
        <v>0</v>
      </c>
      <c r="M31" s="513">
        <f t="shared" si="10"/>
        <v>0</v>
      </c>
      <c r="N31" s="513">
        <f t="shared" si="10"/>
        <v>0</v>
      </c>
      <c r="O31" s="520">
        <f t="shared" si="10"/>
        <v>0</v>
      </c>
      <c r="P31" s="265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s="18" customFormat="1" ht="12" customHeight="1" x14ac:dyDescent="0.2">
      <c r="A32" s="509" t="s">
        <v>71</v>
      </c>
      <c r="B32" s="518" t="s">
        <v>250</v>
      </c>
      <c r="C32" s="532">
        <f>($C9*$C3*C21^2*0.0001323*C29*$K19/100)+C30</f>
        <v>1645.9543803634979</v>
      </c>
      <c r="D32" s="514">
        <f t="shared" ref="D32:O32" si="11">($C9*$C3*D21^2*0.0001323*D29*$K19/100)+D30</f>
        <v>1751.1461380790256</v>
      </c>
      <c r="E32" s="514">
        <f t="shared" si="11"/>
        <v>1859.1989869628333</v>
      </c>
      <c r="F32" s="514">
        <f t="shared" si="11"/>
        <v>1970.1085134346854</v>
      </c>
      <c r="G32" s="514">
        <f t="shared" si="11"/>
        <v>2083.8765158011929</v>
      </c>
      <c r="H32" s="514">
        <f t="shared" si="11"/>
        <v>2200.5117691281089</v>
      </c>
      <c r="I32" s="514">
        <f t="shared" si="11"/>
        <v>2320.0309256162668</v>
      </c>
      <c r="J32" s="514">
        <f t="shared" si="11"/>
        <v>2442.4595768261547</v>
      </c>
      <c r="K32" s="514">
        <f t="shared" si="11"/>
        <v>2567.833509806208</v>
      </c>
      <c r="L32" s="514">
        <f t="shared" si="11"/>
        <v>2565.2968812473109</v>
      </c>
      <c r="M32" s="514">
        <f t="shared" si="11"/>
        <v>2567.833509806208</v>
      </c>
      <c r="N32" s="514">
        <f t="shared" si="11"/>
        <v>2570.3713350196576</v>
      </c>
      <c r="O32" s="522">
        <f t="shared" si="11"/>
        <v>2698.7984497582324</v>
      </c>
      <c r="P32" s="265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16" s="17" customFormat="1" ht="12" customHeight="1" x14ac:dyDescent="0.2">
      <c r="A33" s="188" t="s">
        <v>249</v>
      </c>
      <c r="B33" s="243" t="s">
        <v>250</v>
      </c>
      <c r="C33" s="272">
        <f>($C9*$C3*C21^2*0.0001323*C29*$K19/100)*(1+$K12/100)+C30</f>
        <v>1645.9543803634979</v>
      </c>
      <c r="D33" s="273">
        <f t="shared" ref="D33:P33" si="12">($C9*$C3*D21^2*0.0001323*D29*$K19/100)*(1+$K12/100)+D30</f>
        <v>1751.1461380790256</v>
      </c>
      <c r="E33" s="273">
        <f t="shared" si="12"/>
        <v>1859.1989869628333</v>
      </c>
      <c r="F33" s="273">
        <f t="shared" si="12"/>
        <v>1970.1085134346854</v>
      </c>
      <c r="G33" s="273">
        <f t="shared" si="12"/>
        <v>2083.8765158011929</v>
      </c>
      <c r="H33" s="273">
        <f t="shared" si="12"/>
        <v>2200.5117691281089</v>
      </c>
      <c r="I33" s="273">
        <f t="shared" si="12"/>
        <v>2320.0309256162668</v>
      </c>
      <c r="J33" s="273">
        <f t="shared" si="12"/>
        <v>2442.4595768261547</v>
      </c>
      <c r="K33" s="273">
        <f t="shared" si="12"/>
        <v>2567.833509806208</v>
      </c>
      <c r="L33" s="533">
        <f t="shared" si="12"/>
        <v>2565.2968812473109</v>
      </c>
      <c r="M33" s="533">
        <f t="shared" si="12"/>
        <v>2567.833509806208</v>
      </c>
      <c r="N33" s="533">
        <f t="shared" si="12"/>
        <v>2570.3713350196576</v>
      </c>
      <c r="O33" s="393">
        <f t="shared" si="12"/>
        <v>2698.7984497582324</v>
      </c>
      <c r="P33" s="275">
        <f t="shared" si="12"/>
        <v>22037.877578848376</v>
      </c>
    </row>
    <row r="34" spans="1:16" s="17" customFormat="1" ht="12" customHeight="1" x14ac:dyDescent="0.2">
      <c r="A34" s="188" t="s">
        <v>251</v>
      </c>
      <c r="B34" s="243" t="s">
        <v>252</v>
      </c>
      <c r="C34" s="276">
        <f t="shared" ref="C34:P34" si="13">C33*C21*0.5144</f>
        <v>12276.844532255258</v>
      </c>
      <c r="D34" s="277">
        <f t="shared" si="13"/>
        <v>13511.843601417762</v>
      </c>
      <c r="E34" s="277">
        <f t="shared" si="13"/>
        <v>14823.765362852062</v>
      </c>
      <c r="F34" s="277">
        <f t="shared" si="13"/>
        <v>16214.781108972833</v>
      </c>
      <c r="G34" s="277">
        <f t="shared" si="13"/>
        <v>17687.110315514205</v>
      </c>
      <c r="H34" s="277">
        <f t="shared" si="13"/>
        <v>19243.035318671486</v>
      </c>
      <c r="I34" s="277">
        <f t="shared" si="13"/>
        <v>20884.918392397634</v>
      </c>
      <c r="J34" s="219">
        <f t="shared" si="13"/>
        <v>22615.221713748728</v>
      </c>
      <c r="K34" s="219">
        <f t="shared" si="13"/>
        <v>24436.530812719797</v>
      </c>
      <c r="L34" s="278">
        <f>L33*L21*0.5144</f>
        <v>24399.195353544768</v>
      </c>
      <c r="M34" s="278">
        <f>M33*M21*0.5144</f>
        <v>24436.530812719797</v>
      </c>
      <c r="N34" s="278">
        <f>N33*N21*0.5144</f>
        <v>24473.903762728412</v>
      </c>
      <c r="O34" s="150">
        <f t="shared" si="13"/>
        <v>26390.859147782616</v>
      </c>
      <c r="P34" s="275">
        <f t="shared" si="13"/>
        <v>447353.26345732342</v>
      </c>
    </row>
    <row r="35" spans="1:16" s="17" customFormat="1" ht="12" customHeight="1" x14ac:dyDescent="0.2">
      <c r="A35" s="188" t="s">
        <v>253</v>
      </c>
      <c r="B35" s="243" t="s">
        <v>193</v>
      </c>
      <c r="C35" s="260">
        <f t="shared" ref="C35:P35" si="14">C39*$J6*IF($K17=3,1,$K5*$J7)</f>
        <v>0.7497381698201957</v>
      </c>
      <c r="D35" s="261">
        <f t="shared" si="14"/>
        <v>0.75035266133909295</v>
      </c>
      <c r="E35" s="261">
        <f t="shared" si="14"/>
        <v>0.75094965545137027</v>
      </c>
      <c r="F35" s="261">
        <f t="shared" si="14"/>
        <v>0.75152916082049004</v>
      </c>
      <c r="G35" s="261">
        <f t="shared" si="14"/>
        <v>0.75209105762294526</v>
      </c>
      <c r="H35" s="261">
        <f t="shared" si="14"/>
        <v>0.75263509612741464</v>
      </c>
      <c r="I35" s="261">
        <f t="shared" si="14"/>
        <v>0.7531608926143738</v>
      </c>
      <c r="J35" s="229">
        <f t="shared" si="14"/>
        <v>0.75366792256148418</v>
      </c>
      <c r="K35" s="229">
        <f t="shared" si="14"/>
        <v>0.75415551093147715</v>
      </c>
      <c r="L35" s="262">
        <f>L39*$J6*IF($K17=3,1,$K5*$J7)</f>
        <v>0.75414595483008817</v>
      </c>
      <c r="M35" s="262">
        <f>M39*$J6*IF($K17=3,1,$K5*$J7)</f>
        <v>0.75415551093147715</v>
      </c>
      <c r="N35" s="262">
        <f>N39*$J6*IF($K17=3,1,$K5*$J7)</f>
        <v>0.75416505892684049</v>
      </c>
      <c r="O35" s="263">
        <f t="shared" si="14"/>
        <v>0.7546319519494249</v>
      </c>
      <c r="P35" s="264">
        <f t="shared" si="14"/>
        <v>0.67744749532832516</v>
      </c>
    </row>
    <row r="36" spans="1:16" s="17" customFormat="1" ht="12" customHeight="1" x14ac:dyDescent="0.2">
      <c r="A36" s="279" t="s">
        <v>254</v>
      </c>
      <c r="B36" s="280" t="s">
        <v>252</v>
      </c>
      <c r="C36" s="281">
        <f t="shared" ref="C36:P36" si="15">C34/C35</f>
        <v>16374.842613654744</v>
      </c>
      <c r="D36" s="282">
        <f t="shared" si="15"/>
        <v>18007.32415249155</v>
      </c>
      <c r="E36" s="282">
        <f t="shared" si="15"/>
        <v>19740.025520009061</v>
      </c>
      <c r="F36" s="282">
        <f t="shared" si="15"/>
        <v>21575.717822140356</v>
      </c>
      <c r="G36" s="282">
        <f t="shared" si="15"/>
        <v>23517.245865701403</v>
      </c>
      <c r="H36" s="282">
        <f t="shared" si="15"/>
        <v>25567.549822861045</v>
      </c>
      <c r="I36" s="282">
        <f t="shared" si="15"/>
        <v>27729.690424979261</v>
      </c>
      <c r="J36" s="283">
        <f t="shared" si="15"/>
        <v>30006.878409905763</v>
      </c>
      <c r="K36" s="283">
        <f t="shared" si="15"/>
        <v>32402.509109212238</v>
      </c>
      <c r="L36" s="284">
        <f>L34/L35</f>
        <v>32353.412754222085</v>
      </c>
      <c r="M36" s="284">
        <f>M34/M35</f>
        <v>32402.509109212238</v>
      </c>
      <c r="N36" s="284">
        <f>N34/N35</f>
        <v>32451.654280502222</v>
      </c>
      <c r="O36" s="285">
        <f t="shared" si="15"/>
        <v>34971.828425244472</v>
      </c>
      <c r="P36" s="275">
        <f t="shared" si="15"/>
        <v>660351.19554248778</v>
      </c>
    </row>
    <row r="37" spans="1:16" s="17" customFormat="1" ht="12" customHeight="1" x14ac:dyDescent="0.2">
      <c r="A37" s="17" t="s">
        <v>255</v>
      </c>
      <c r="B37" s="243" t="s">
        <v>193</v>
      </c>
      <c r="C37" s="286">
        <f t="shared" ref="C37:P37" si="16">2.54648*C33/(1-$K4)/$C17/$C3/(C40*$C18)^2/$J7</f>
        <v>0.79107947963570002</v>
      </c>
      <c r="D37" s="287">
        <f t="shared" si="16"/>
        <v>0.7864628308886864</v>
      </c>
      <c r="E37" s="287">
        <f t="shared" si="16"/>
        <v>0.78198929410327123</v>
      </c>
      <c r="F37" s="287">
        <f t="shared" si="16"/>
        <v>0.77765776357080629</v>
      </c>
      <c r="G37" s="287">
        <f t="shared" si="16"/>
        <v>0.77346812623370398</v>
      </c>
      <c r="H37" s="287">
        <f t="shared" si="16"/>
        <v>0.76942126059450233</v>
      </c>
      <c r="I37" s="287">
        <f t="shared" si="16"/>
        <v>0.76551905639468176</v>
      </c>
      <c r="J37" s="233">
        <f t="shared" si="16"/>
        <v>0.76176445535022408</v>
      </c>
      <c r="K37" s="233">
        <f t="shared" si="16"/>
        <v>0.75816151394481035</v>
      </c>
      <c r="L37" s="288">
        <f t="shared" si="16"/>
        <v>0.75823205458393128</v>
      </c>
      <c r="M37" s="288">
        <f t="shared" si="16"/>
        <v>0.75816151394481035</v>
      </c>
      <c r="N37" s="288">
        <f t="shared" si="16"/>
        <v>0.75809103602901662</v>
      </c>
      <c r="O37" s="289">
        <f t="shared" si="16"/>
        <v>0.75464821287439998</v>
      </c>
      <c r="P37" s="290">
        <f t="shared" si="16"/>
        <v>1.4300404706618377</v>
      </c>
    </row>
    <row r="38" spans="1:16" x14ac:dyDescent="0.2">
      <c r="A38" s="17" t="s">
        <v>256</v>
      </c>
      <c r="B38" s="291" t="s">
        <v>193</v>
      </c>
      <c r="C38" s="286">
        <f t="shared" ref="C38:P38" si="17">(1.3+0.3*$C19)*C33/(1-$K4)/$C17/(99.6+$C3*9.81*0.65*$C18)/$C18^2+C73</f>
        <v>0.25348044431296751</v>
      </c>
      <c r="D38" s="287">
        <f t="shared" si="17"/>
        <v>0.26328926884957204</v>
      </c>
      <c r="E38" s="287">
        <f t="shared" si="17"/>
        <v>0.27336488179110829</v>
      </c>
      <c r="F38" s="287">
        <f t="shared" si="17"/>
        <v>0.2837068715840948</v>
      </c>
      <c r="G38" s="287">
        <f t="shared" si="17"/>
        <v>0.29431540591537686</v>
      </c>
      <c r="H38" s="287">
        <f t="shared" si="17"/>
        <v>0.30519130303423703</v>
      </c>
      <c r="I38" s="287">
        <f t="shared" si="17"/>
        <v>0.31633611570982434</v>
      </c>
      <c r="J38" s="233">
        <f t="shared" si="17"/>
        <v>0.32775223028049738</v>
      </c>
      <c r="K38" s="233">
        <f t="shared" si="17"/>
        <v>0.33944298378412324</v>
      </c>
      <c r="L38" s="288">
        <f t="shared" si="17"/>
        <v>0.33920645057097881</v>
      </c>
      <c r="M38" s="288">
        <f t="shared" si="17"/>
        <v>0.33944298378412324</v>
      </c>
      <c r="N38" s="288">
        <f t="shared" si="17"/>
        <v>0.33967962858181372</v>
      </c>
      <c r="O38" s="289">
        <f t="shared" si="17"/>
        <v>0.35165508237753551</v>
      </c>
      <c r="P38" s="290">
        <f t="shared" si="17"/>
        <v>2.1549677942893273</v>
      </c>
    </row>
    <row r="39" spans="1:16" s="17" customFormat="1" ht="12" customHeight="1" thickBot="1" x14ac:dyDescent="0.25">
      <c r="A39" s="17" t="s">
        <v>257</v>
      </c>
      <c r="B39" s="292" t="s">
        <v>193</v>
      </c>
      <c r="C39" s="293">
        <f>(1+$K18/100)*IF($K17=3,1/(1+16.8/C21),IF($K17=1,0.81-0.014*C37,0.00098*C37^3-0.018542*C37^2+0.11195*C37+0.634)/(1+SQRT(1+C37))*2)</f>
        <v>0.68333466813070465</v>
      </c>
      <c r="D39" s="294">
        <f t="shared" ref="D39:P39" si="18">(1+$K18/100)*IF($K17=3,1/(1+16.8/D21),IF($K17=1,0.81-0.014*D37,0.00098*D37^3-0.018542*D37^2+0.11195*D37+0.634)/(1+SQRT(1+D37))*2)</f>
        <v>0.68389473479802598</v>
      </c>
      <c r="E39" s="294">
        <f t="shared" si="18"/>
        <v>0.68443885378517433</v>
      </c>
      <c r="F39" s="294">
        <f t="shared" si="18"/>
        <v>0.68496703298829853</v>
      </c>
      <c r="G39" s="294">
        <f t="shared" si="18"/>
        <v>0.68547916319653035</v>
      </c>
      <c r="H39" s="294">
        <f t="shared" si="18"/>
        <v>0.68597501679698281</v>
      </c>
      <c r="I39" s="294">
        <f t="shared" si="18"/>
        <v>0.68645424405575595</v>
      </c>
      <c r="J39" s="294">
        <f t="shared" si="18"/>
        <v>0.68691636690688962</v>
      </c>
      <c r="K39" s="294">
        <f t="shared" si="18"/>
        <v>0.68736077010043828</v>
      </c>
      <c r="L39" s="295">
        <f t="shared" si="18"/>
        <v>0.68735206037265062</v>
      </c>
      <c r="M39" s="295">
        <f t="shared" si="18"/>
        <v>0.68736077010043828</v>
      </c>
      <c r="N39" s="295">
        <f t="shared" si="18"/>
        <v>0.68736947244014246</v>
      </c>
      <c r="O39" s="296">
        <f t="shared" si="18"/>
        <v>0.68779501325089876</v>
      </c>
      <c r="P39" s="297">
        <f t="shared" si="18"/>
        <v>0.61744670076912012</v>
      </c>
    </row>
    <row r="40" spans="1:16" s="17" customFormat="1" ht="12" customHeight="1" thickTop="1" x14ac:dyDescent="0.2">
      <c r="A40" s="298" t="s">
        <v>258</v>
      </c>
      <c r="B40" s="299" t="s">
        <v>259</v>
      </c>
      <c r="C40" s="300">
        <f t="shared" ref="C40:P40" si="19">C21*0.5144*(1-$K3)</f>
        <v>5.5582888779338262</v>
      </c>
      <c r="D40" s="300">
        <f t="shared" si="19"/>
        <v>5.7499540116556824</v>
      </c>
      <c r="E40" s="300">
        <f t="shared" si="19"/>
        <v>5.9416191453775378</v>
      </c>
      <c r="F40" s="300">
        <f t="shared" si="19"/>
        <v>6.133284279099394</v>
      </c>
      <c r="G40" s="300">
        <f t="shared" si="19"/>
        <v>6.3249494128212502</v>
      </c>
      <c r="H40" s="300">
        <f t="shared" si="19"/>
        <v>6.5166145465431065</v>
      </c>
      <c r="I40" s="300">
        <f t="shared" si="19"/>
        <v>6.7082796802649618</v>
      </c>
      <c r="J40" s="300">
        <f t="shared" si="19"/>
        <v>6.8999448139868189</v>
      </c>
      <c r="K40" s="300">
        <f t="shared" si="19"/>
        <v>7.0916099477086743</v>
      </c>
      <c r="L40" s="300">
        <f>L21*0.5144*(1-$K3)</f>
        <v>7.0877766450342374</v>
      </c>
      <c r="M40" s="300">
        <f>M21*0.5144*(1-$K3)</f>
        <v>7.0916099477086743</v>
      </c>
      <c r="N40" s="300">
        <f>N21*0.5144*(1-$K3)</f>
        <v>7.0954432503831129</v>
      </c>
      <c r="O40" s="300">
        <f>O21*0.5144*(1-$K3)</f>
        <v>7.2871083841049682</v>
      </c>
      <c r="P40" s="301">
        <f t="shared" si="19"/>
        <v>15.127006583087065</v>
      </c>
    </row>
    <row r="41" spans="1:16" s="17" customFormat="1" ht="12" customHeight="1" x14ac:dyDescent="0.2">
      <c r="A41" s="17" t="s">
        <v>260</v>
      </c>
      <c r="B41" s="243" t="s">
        <v>259</v>
      </c>
      <c r="C41" s="287">
        <f t="shared" ref="C41:P41" si="20">C40*SQRT(1+C37)</f>
        <v>7.4387256814150726</v>
      </c>
      <c r="D41" s="287">
        <f t="shared" si="20"/>
        <v>7.6853095286173092</v>
      </c>
      <c r="E41" s="287">
        <f t="shared" si="20"/>
        <v>7.9315370193875356</v>
      </c>
      <c r="F41" s="287">
        <f t="shared" si="20"/>
        <v>8.177436337005469</v>
      </c>
      <c r="G41" s="287">
        <f t="shared" si="20"/>
        <v>8.4230378083278499</v>
      </c>
      <c r="H41" s="287">
        <f t="shared" si="20"/>
        <v>8.6683742657604999</v>
      </c>
      <c r="I41" s="287">
        <f t="shared" si="20"/>
        <v>8.9134814623377583</v>
      </c>
      <c r="J41" s="287">
        <f t="shared" si="20"/>
        <v>9.1583985512179229</v>
      </c>
      <c r="K41" s="287">
        <f t="shared" si="20"/>
        <v>9.4031686429752863</v>
      </c>
      <c r="L41" s="287">
        <f t="shared" si="20"/>
        <v>9.3982743813757654</v>
      </c>
      <c r="M41" s="287">
        <f t="shared" si="20"/>
        <v>9.4031686429752863</v>
      </c>
      <c r="N41" s="287">
        <f t="shared" si="20"/>
        <v>9.4080628646851547</v>
      </c>
      <c r="O41" s="287">
        <f t="shared" si="20"/>
        <v>9.6527322149797943</v>
      </c>
      <c r="P41" s="290">
        <f t="shared" si="20"/>
        <v>23.580865933915828</v>
      </c>
    </row>
    <row r="42" spans="1:16" s="17" customFormat="1" ht="12" customHeight="1" x14ac:dyDescent="0.2">
      <c r="A42" s="17" t="s">
        <v>261</v>
      </c>
      <c r="B42" s="243" t="s">
        <v>259</v>
      </c>
      <c r="C42" s="287">
        <f t="shared" ref="C42:P42" si="21">C41-C40</f>
        <v>1.8804368034812464</v>
      </c>
      <c r="D42" s="287">
        <f t="shared" si="21"/>
        <v>1.9353555169616268</v>
      </c>
      <c r="E42" s="287">
        <f t="shared" si="21"/>
        <v>1.9899178740099979</v>
      </c>
      <c r="F42" s="287">
        <f t="shared" si="21"/>
        <v>2.044152057906075</v>
      </c>
      <c r="G42" s="287">
        <f t="shared" si="21"/>
        <v>2.0980883955065996</v>
      </c>
      <c r="H42" s="287">
        <f t="shared" si="21"/>
        <v>2.1517597192173934</v>
      </c>
      <c r="I42" s="287">
        <f t="shared" si="21"/>
        <v>2.2052017820727965</v>
      </c>
      <c r="J42" s="287">
        <f t="shared" si="21"/>
        <v>2.258453737231104</v>
      </c>
      <c r="K42" s="287">
        <f t="shared" si="21"/>
        <v>2.3115586952666121</v>
      </c>
      <c r="L42" s="287">
        <f t="shared" si="21"/>
        <v>2.310497736341528</v>
      </c>
      <c r="M42" s="287">
        <f t="shared" si="21"/>
        <v>2.3115586952666121</v>
      </c>
      <c r="N42" s="287">
        <f t="shared" si="21"/>
        <v>2.3126196143020419</v>
      </c>
      <c r="O42" s="287">
        <f t="shared" si="21"/>
        <v>2.3656238308748261</v>
      </c>
      <c r="P42" s="290">
        <f t="shared" si="21"/>
        <v>8.4538593508287629</v>
      </c>
    </row>
    <row r="43" spans="1:16" s="17" customFormat="1" ht="12" customHeight="1" x14ac:dyDescent="0.2">
      <c r="A43" s="17" t="s">
        <v>262</v>
      </c>
      <c r="B43" s="243" t="s">
        <v>193</v>
      </c>
      <c r="C43" s="287">
        <f t="shared" ref="C43:P43" si="22">C41/C40</f>
        <v>1.3383121757032999</v>
      </c>
      <c r="D43" s="287">
        <f t="shared" si="22"/>
        <v>1.3365862601750351</v>
      </c>
      <c r="E43" s="287">
        <f t="shared" si="22"/>
        <v>1.3349117177189176</v>
      </c>
      <c r="F43" s="287">
        <f t="shared" si="22"/>
        <v>1.3332883272461384</v>
      </c>
      <c r="G43" s="287">
        <f t="shared" si="22"/>
        <v>1.3317162333747021</v>
      </c>
      <c r="H43" s="287">
        <f t="shared" si="22"/>
        <v>1.3301959481950403</v>
      </c>
      <c r="I43" s="287">
        <f t="shared" si="22"/>
        <v>1.3287283606496407</v>
      </c>
      <c r="J43" s="287">
        <f t="shared" si="22"/>
        <v>1.3273147536851326</v>
      </c>
      <c r="K43" s="287">
        <f t="shared" si="22"/>
        <v>1.3259568295931849</v>
      </c>
      <c r="L43" s="287">
        <f t="shared" si="22"/>
        <v>1.3259834292267498</v>
      </c>
      <c r="M43" s="287">
        <f t="shared" si="22"/>
        <v>1.3259568295931849</v>
      </c>
      <c r="N43" s="287">
        <f t="shared" si="22"/>
        <v>1.3259302530785759</v>
      </c>
      <c r="O43" s="287">
        <f t="shared" si="22"/>
        <v>1.3246313498005398</v>
      </c>
      <c r="P43" s="290">
        <f t="shared" si="22"/>
        <v>1.5588587077287785</v>
      </c>
    </row>
    <row r="44" spans="1:16" s="17" customFormat="1" ht="12" customHeight="1" x14ac:dyDescent="0.2">
      <c r="A44" s="17" t="s">
        <v>263</v>
      </c>
      <c r="B44" s="243" t="s">
        <v>259</v>
      </c>
      <c r="C44" s="287">
        <f t="shared" ref="C44:P44" si="23">C40+0.5*C42</f>
        <v>6.498507279674449</v>
      </c>
      <c r="D44" s="287">
        <f t="shared" si="23"/>
        <v>6.7176317701364958</v>
      </c>
      <c r="E44" s="287">
        <f t="shared" si="23"/>
        <v>6.9365780823825371</v>
      </c>
      <c r="F44" s="287">
        <f t="shared" si="23"/>
        <v>7.1553603080524315</v>
      </c>
      <c r="G44" s="287">
        <f t="shared" si="23"/>
        <v>7.3739936105745496</v>
      </c>
      <c r="H44" s="287">
        <f t="shared" si="23"/>
        <v>7.5924944061518032</v>
      </c>
      <c r="I44" s="287">
        <f t="shared" si="23"/>
        <v>7.81088057130136</v>
      </c>
      <c r="J44" s="287">
        <f t="shared" si="23"/>
        <v>8.0291716826023709</v>
      </c>
      <c r="K44" s="287">
        <f t="shared" si="23"/>
        <v>8.2473892953419803</v>
      </c>
      <c r="L44" s="287">
        <f t="shared" si="23"/>
        <v>8.2430255132050014</v>
      </c>
      <c r="M44" s="287">
        <f t="shared" si="23"/>
        <v>8.2473892953419803</v>
      </c>
      <c r="N44" s="287">
        <f t="shared" si="23"/>
        <v>8.2517530575341347</v>
      </c>
      <c r="O44" s="287">
        <f t="shared" si="23"/>
        <v>8.4699202995423803</v>
      </c>
      <c r="P44" s="290">
        <f t="shared" si="23"/>
        <v>19.353936258501445</v>
      </c>
    </row>
    <row r="45" spans="1:16" s="17" customFormat="1" ht="12" customHeight="1" x14ac:dyDescent="0.2">
      <c r="A45" s="17" t="s">
        <v>264</v>
      </c>
      <c r="B45" s="243" t="s">
        <v>265</v>
      </c>
      <c r="C45" s="302">
        <f t="shared" ref="C45:P45" si="24">0.785*$C18^2*C44</f>
        <v>511.52030461777298</v>
      </c>
      <c r="D45" s="302">
        <f t="shared" si="24"/>
        <v>528.76836194640555</v>
      </c>
      <c r="E45" s="302">
        <f t="shared" si="24"/>
        <v>546.00239424261054</v>
      </c>
      <c r="F45" s="302">
        <f t="shared" si="24"/>
        <v>563.22351070879461</v>
      </c>
      <c r="G45" s="302">
        <f t="shared" si="24"/>
        <v>580.4329049115978</v>
      </c>
      <c r="H45" s="302">
        <f t="shared" si="24"/>
        <v>597.63186902793893</v>
      </c>
      <c r="I45" s="302">
        <f t="shared" si="24"/>
        <v>614.82181018119479</v>
      </c>
      <c r="J45" s="302">
        <f t="shared" si="24"/>
        <v>632.0042693125846</v>
      </c>
      <c r="K45" s="302">
        <f t="shared" si="24"/>
        <v>649.18094311437494</v>
      </c>
      <c r="L45" s="302">
        <f t="shared" si="24"/>
        <v>648.83745451431218</v>
      </c>
      <c r="M45" s="302">
        <f t="shared" si="24"/>
        <v>649.18094311437494</v>
      </c>
      <c r="N45" s="302">
        <f t="shared" si="24"/>
        <v>649.52443014451057</v>
      </c>
      <c r="O45" s="302">
        <f t="shared" si="24"/>
        <v>666.69713908933579</v>
      </c>
      <c r="P45" s="275">
        <f t="shared" si="24"/>
        <v>1523.416216131033</v>
      </c>
    </row>
    <row r="46" spans="1:16" s="17" customFormat="1" ht="12" customHeight="1" thickBot="1" x14ac:dyDescent="0.25">
      <c r="A46" s="223" t="s">
        <v>266</v>
      </c>
      <c r="B46" s="303" t="s">
        <v>193</v>
      </c>
      <c r="C46" s="304">
        <f t="shared" ref="C46:P46" si="25">C53+C55+C57+C61+C62+C63</f>
        <v>0.64347752349076548</v>
      </c>
      <c r="D46" s="304">
        <f t="shared" si="25"/>
        <v>0.64688003745506528</v>
      </c>
      <c r="E46" s="304">
        <f t="shared" si="25"/>
        <v>0.65046362841030103</v>
      </c>
      <c r="F46" s="304">
        <f t="shared" si="25"/>
        <v>0.65423966971079661</v>
      </c>
      <c r="G46" s="304">
        <f t="shared" si="25"/>
        <v>0.65822082585609509</v>
      </c>
      <c r="H46" s="304">
        <f t="shared" si="25"/>
        <v>0.66242122518706537</v>
      </c>
      <c r="I46" s="304">
        <f t="shared" si="25"/>
        <v>0.66685666265358301</v>
      </c>
      <c r="J46" s="304">
        <f t="shared" si="25"/>
        <v>0.67154483802963427</v>
      </c>
      <c r="K46" s="304">
        <f t="shared" si="25"/>
        <v>0.67650563598785807</v>
      </c>
      <c r="L46" s="304">
        <f t="shared" si="25"/>
        <v>0.67640360795715904</v>
      </c>
      <c r="M46" s="304">
        <f t="shared" si="25"/>
        <v>0.67650563598785807</v>
      </c>
      <c r="N46" s="304">
        <f t="shared" si="25"/>
        <v>0.6766077819308457</v>
      </c>
      <c r="O46" s="304">
        <f t="shared" si="25"/>
        <v>0.6818697497682733</v>
      </c>
      <c r="P46" s="305">
        <f t="shared" si="25"/>
        <v>3.0538453690383784</v>
      </c>
    </row>
    <row r="47" spans="1:16" s="17" customFormat="1" ht="12" customHeight="1" x14ac:dyDescent="0.2">
      <c r="A47" s="298"/>
      <c r="B47" s="309" t="s">
        <v>267</v>
      </c>
      <c r="C47" s="308">
        <f t="shared" ref="C47:P47" si="26">1.35-0.23*$C13+0.012*$C13^2</f>
        <v>0.32559355775965326</v>
      </c>
      <c r="D47" s="308">
        <f t="shared" si="26"/>
        <v>0.32559355775965326</v>
      </c>
      <c r="E47" s="308">
        <f t="shared" si="26"/>
        <v>0.32559355775965326</v>
      </c>
      <c r="F47" s="308">
        <f t="shared" si="26"/>
        <v>0.32559355775965326</v>
      </c>
      <c r="G47" s="308">
        <f t="shared" si="26"/>
        <v>0.32559355775965326</v>
      </c>
      <c r="H47" s="308">
        <f t="shared" si="26"/>
        <v>0.32559355775965326</v>
      </c>
      <c r="I47" s="308">
        <f t="shared" si="26"/>
        <v>0.32559355775965326</v>
      </c>
      <c r="J47" s="308">
        <f t="shared" si="26"/>
        <v>0.32559355775965326</v>
      </c>
      <c r="K47" s="308">
        <f t="shared" si="26"/>
        <v>0.32559355775965326</v>
      </c>
      <c r="L47" s="308">
        <f t="shared" si="26"/>
        <v>0.32559355775965326</v>
      </c>
      <c r="M47" s="308">
        <f t="shared" si="26"/>
        <v>0.32559355775965326</v>
      </c>
      <c r="N47" s="308">
        <f t="shared" si="26"/>
        <v>0.32559355775965326</v>
      </c>
      <c r="O47" s="308">
        <f t="shared" si="26"/>
        <v>0.32559355775965326</v>
      </c>
      <c r="P47" s="310">
        <f t="shared" si="26"/>
        <v>0.32559355775965326</v>
      </c>
    </row>
    <row r="48" spans="1:16" s="17" customFormat="1" ht="12" customHeight="1" x14ac:dyDescent="0.2">
      <c r="B48" s="306" t="s">
        <v>268</v>
      </c>
      <c r="C48" s="277">
        <f t="shared" ref="C48:P48" si="27">0.0011*$C13^9.1</f>
        <v>56728.855231470181</v>
      </c>
      <c r="D48" s="277">
        <f t="shared" si="27"/>
        <v>56728.855231470181</v>
      </c>
      <c r="E48" s="277">
        <f t="shared" si="27"/>
        <v>56728.855231470181</v>
      </c>
      <c r="F48" s="277">
        <f t="shared" si="27"/>
        <v>56728.855231470181</v>
      </c>
      <c r="G48" s="277">
        <f t="shared" si="27"/>
        <v>56728.855231470181</v>
      </c>
      <c r="H48" s="277">
        <f t="shared" si="27"/>
        <v>56728.855231470181</v>
      </c>
      <c r="I48" s="277">
        <f t="shared" si="27"/>
        <v>56728.855231470181</v>
      </c>
      <c r="J48" s="277">
        <f t="shared" si="27"/>
        <v>56728.855231470181</v>
      </c>
      <c r="K48" s="277">
        <f t="shared" si="27"/>
        <v>56728.855231470181</v>
      </c>
      <c r="L48" s="277">
        <f t="shared" si="27"/>
        <v>56728.855231470181</v>
      </c>
      <c r="M48" s="277">
        <f t="shared" si="27"/>
        <v>56728.855231470181</v>
      </c>
      <c r="N48" s="277">
        <f t="shared" si="27"/>
        <v>56728.855231470181</v>
      </c>
      <c r="O48" s="277">
        <f t="shared" si="27"/>
        <v>56728.855231470181</v>
      </c>
      <c r="P48" s="311">
        <f t="shared" si="27"/>
        <v>56728.855231470181</v>
      </c>
    </row>
    <row r="49" spans="2:16" s="17" customFormat="1" ht="12" customHeight="1" x14ac:dyDescent="0.2">
      <c r="B49" s="306" t="s">
        <v>269</v>
      </c>
      <c r="C49" s="261">
        <f t="shared" ref="C49:P49" si="28">2*$C13-3.7</f>
        <v>10.378219257977491</v>
      </c>
      <c r="D49" s="261">
        <f t="shared" si="28"/>
        <v>10.378219257977491</v>
      </c>
      <c r="E49" s="261">
        <f t="shared" si="28"/>
        <v>10.378219257977491</v>
      </c>
      <c r="F49" s="261">
        <f t="shared" si="28"/>
        <v>10.378219257977491</v>
      </c>
      <c r="G49" s="261">
        <f t="shared" si="28"/>
        <v>10.378219257977491</v>
      </c>
      <c r="H49" s="261">
        <f t="shared" si="28"/>
        <v>10.378219257977491</v>
      </c>
      <c r="I49" s="261">
        <f t="shared" si="28"/>
        <v>10.378219257977491</v>
      </c>
      <c r="J49" s="261">
        <f t="shared" si="28"/>
        <v>10.378219257977491</v>
      </c>
      <c r="K49" s="261">
        <f t="shared" si="28"/>
        <v>10.378219257977491</v>
      </c>
      <c r="L49" s="261">
        <f t="shared" si="28"/>
        <v>10.378219257977491</v>
      </c>
      <c r="M49" s="261">
        <f t="shared" si="28"/>
        <v>10.378219257977491</v>
      </c>
      <c r="N49" s="261">
        <f t="shared" si="28"/>
        <v>10.378219257977491</v>
      </c>
      <c r="O49" s="261">
        <f t="shared" si="28"/>
        <v>10.378219257977491</v>
      </c>
      <c r="P49" s="312">
        <f t="shared" si="28"/>
        <v>10.378219257977491</v>
      </c>
    </row>
    <row r="50" spans="2:16" s="17" customFormat="1" ht="12" customHeight="1" x14ac:dyDescent="0.2">
      <c r="B50" s="306" t="s">
        <v>270</v>
      </c>
      <c r="C50" s="261">
        <f t="shared" ref="C50:P50" si="29">7-0.09*$C13^2</f>
        <v>2.5405842067970132</v>
      </c>
      <c r="D50" s="261">
        <f t="shared" si="29"/>
        <v>2.5405842067970132</v>
      </c>
      <c r="E50" s="261">
        <f t="shared" si="29"/>
        <v>2.5405842067970132</v>
      </c>
      <c r="F50" s="261">
        <f t="shared" si="29"/>
        <v>2.5405842067970132</v>
      </c>
      <c r="G50" s="261">
        <f t="shared" si="29"/>
        <v>2.5405842067970132</v>
      </c>
      <c r="H50" s="261">
        <f t="shared" si="29"/>
        <v>2.5405842067970132</v>
      </c>
      <c r="I50" s="261">
        <f t="shared" si="29"/>
        <v>2.5405842067970132</v>
      </c>
      <c r="J50" s="261">
        <f t="shared" si="29"/>
        <v>2.5405842067970132</v>
      </c>
      <c r="K50" s="261">
        <f t="shared" si="29"/>
        <v>2.5405842067970132</v>
      </c>
      <c r="L50" s="261">
        <f t="shared" si="29"/>
        <v>2.5405842067970132</v>
      </c>
      <c r="M50" s="261">
        <f t="shared" si="29"/>
        <v>2.5405842067970132</v>
      </c>
      <c r="N50" s="261">
        <f t="shared" si="29"/>
        <v>2.5405842067970132</v>
      </c>
      <c r="O50" s="261">
        <f t="shared" si="29"/>
        <v>2.5405842067970132</v>
      </c>
      <c r="P50" s="312">
        <f t="shared" si="29"/>
        <v>2.5405842067970132</v>
      </c>
    </row>
    <row r="51" spans="2:16" s="17" customFormat="1" ht="12" customHeight="1" x14ac:dyDescent="0.2">
      <c r="B51" s="306" t="s">
        <v>271</v>
      </c>
      <c r="C51" s="261">
        <f t="shared" ref="C51:P51" si="30">(5*$C12-2.5)^2</f>
        <v>0.66402531407562237</v>
      </c>
      <c r="D51" s="261">
        <f t="shared" si="30"/>
        <v>0.66402531407562237</v>
      </c>
      <c r="E51" s="261">
        <f t="shared" si="30"/>
        <v>0.66402531407562237</v>
      </c>
      <c r="F51" s="261">
        <f t="shared" si="30"/>
        <v>0.66402531407562237</v>
      </c>
      <c r="G51" s="261">
        <f t="shared" si="30"/>
        <v>0.66402531407562237</v>
      </c>
      <c r="H51" s="261">
        <f t="shared" si="30"/>
        <v>0.66402531407562237</v>
      </c>
      <c r="I51" s="261">
        <f t="shared" si="30"/>
        <v>0.66402531407562237</v>
      </c>
      <c r="J51" s="261">
        <f t="shared" si="30"/>
        <v>0.66402531407562237</v>
      </c>
      <c r="K51" s="261">
        <f t="shared" si="30"/>
        <v>0.66402531407562237</v>
      </c>
      <c r="L51" s="261">
        <f t="shared" si="30"/>
        <v>0.66402531407562237</v>
      </c>
      <c r="M51" s="261">
        <f t="shared" si="30"/>
        <v>0.66402531407562237</v>
      </c>
      <c r="N51" s="261">
        <f t="shared" si="30"/>
        <v>0.66402531407562237</v>
      </c>
      <c r="O51" s="261">
        <f t="shared" si="30"/>
        <v>0.66402531407562237</v>
      </c>
      <c r="P51" s="312">
        <f t="shared" si="30"/>
        <v>0.66402531407562237</v>
      </c>
    </row>
    <row r="52" spans="2:16" s="17" customFormat="1" ht="12" customHeight="1" x14ac:dyDescent="0.2">
      <c r="B52" s="306" t="s">
        <v>272</v>
      </c>
      <c r="C52" s="261">
        <f t="shared" ref="C52:P52" si="31">(600*(C22-0.315)^2+1)^1.5</f>
        <v>120.41225235680685</v>
      </c>
      <c r="D52" s="261">
        <f t="shared" si="31"/>
        <v>113.43967610109111</v>
      </c>
      <c r="E52" s="261">
        <f t="shared" si="31"/>
        <v>106.74747383092519</v>
      </c>
      <c r="F52" s="261">
        <f t="shared" si="31"/>
        <v>100.32977221350377</v>
      </c>
      <c r="G52" s="261">
        <f t="shared" si="31"/>
        <v>94.180698281290063</v>
      </c>
      <c r="H52" s="261">
        <f t="shared" si="31"/>
        <v>88.294379471815105</v>
      </c>
      <c r="I52" s="261">
        <f t="shared" si="31"/>
        <v>82.664943672748848</v>
      </c>
      <c r="J52" s="261">
        <f t="shared" si="31"/>
        <v>77.286519273064286</v>
      </c>
      <c r="K52" s="261">
        <f t="shared" si="31"/>
        <v>72.153235221273292</v>
      </c>
      <c r="L52" s="261">
        <f>(600*(L22-0.315)^2+1)^1.5</f>
        <v>72.25353649791569</v>
      </c>
      <c r="M52" s="261">
        <f>(600*(M22-0.315)^2+1)^1.5</f>
        <v>72.153235221273292</v>
      </c>
      <c r="N52" s="261">
        <f>(600*(N22-0.315)^2+1)^1.5</f>
        <v>72.053029652576583</v>
      </c>
      <c r="O52" s="261">
        <f>(600*(O22-0.315)^2+1)^1.5</f>
        <v>67.163741047977467</v>
      </c>
      <c r="P52" s="312">
        <f t="shared" si="31"/>
        <v>1.0225841652402019</v>
      </c>
    </row>
    <row r="53" spans="2:16" s="17" customFormat="1" ht="12" customHeight="1" x14ac:dyDescent="0.2">
      <c r="B53" s="306" t="s">
        <v>273</v>
      </c>
      <c r="C53" s="261">
        <f t="shared" ref="C53:P53" si="32">C50*C51/C52</f>
        <v>1.4010303709418045E-2</v>
      </c>
      <c r="D53" s="261">
        <f t="shared" si="32"/>
        <v>1.4871447837620599E-2</v>
      </c>
      <c r="E53" s="261">
        <f t="shared" si="32"/>
        <v>1.5803767202266273E-2</v>
      </c>
      <c r="F53" s="261">
        <f t="shared" si="32"/>
        <v>1.6814672142023375E-2</v>
      </c>
      <c r="G53" s="261">
        <f t="shared" si="32"/>
        <v>1.7912504968006747E-2</v>
      </c>
      <c r="H53" s="261">
        <f t="shared" si="32"/>
        <v>1.9106677411923737E-2</v>
      </c>
      <c r="I53" s="261">
        <f t="shared" si="32"/>
        <v>2.0407831311570705E-2</v>
      </c>
      <c r="J53" s="261">
        <f t="shared" si="32"/>
        <v>2.1828026953749826E-2</v>
      </c>
      <c r="K53" s="261">
        <f t="shared" si="32"/>
        <v>2.3380964424954329E-2</v>
      </c>
      <c r="L53" s="261">
        <f t="shared" si="32"/>
        <v>2.3348507320504901E-2</v>
      </c>
      <c r="M53" s="261">
        <f t="shared" si="32"/>
        <v>2.3380964424954329E-2</v>
      </c>
      <c r="N53" s="261">
        <f t="shared" si="32"/>
        <v>2.3413480793081764E-2</v>
      </c>
      <c r="O53" s="261">
        <f t="shared" si="32"/>
        <v>2.5117901408274135E-2</v>
      </c>
      <c r="P53" s="312">
        <f t="shared" si="32"/>
        <v>1.6497539109239763</v>
      </c>
    </row>
    <row r="54" spans="2:16" s="17" customFormat="1" ht="12" customHeight="1" x14ac:dyDescent="0.2">
      <c r="B54" s="306"/>
      <c r="C54" s="261">
        <f t="shared" ref="C54:P54" si="33">C22-(0.04+0.59*$C12)-0.015*($C13-5)</f>
        <v>-0.34416093106954754</v>
      </c>
      <c r="D54" s="261">
        <f t="shared" si="33"/>
        <v>-0.34010640498376082</v>
      </c>
      <c r="E54" s="261">
        <f t="shared" si="33"/>
        <v>-0.33605187889797405</v>
      </c>
      <c r="F54" s="261">
        <f t="shared" si="33"/>
        <v>-0.33199735281218734</v>
      </c>
      <c r="G54" s="261">
        <f t="shared" si="33"/>
        <v>-0.32794282672640063</v>
      </c>
      <c r="H54" s="261">
        <f t="shared" si="33"/>
        <v>-0.32388830064061391</v>
      </c>
      <c r="I54" s="261">
        <f t="shared" si="33"/>
        <v>-0.3198337745548272</v>
      </c>
      <c r="J54" s="261">
        <f t="shared" si="33"/>
        <v>-0.31577924846904049</v>
      </c>
      <c r="K54" s="261">
        <f t="shared" si="33"/>
        <v>-0.31172472238325377</v>
      </c>
      <c r="L54" s="261">
        <f>L22-(0.04+0.59*$C12)-0.015*($C13-5)</f>
        <v>-0.3118058129049695</v>
      </c>
      <c r="M54" s="261">
        <f>M22-(0.04+0.59*$C12)-0.015*($C13-5)</f>
        <v>-0.31172472238325377</v>
      </c>
      <c r="N54" s="261">
        <f>N22-(0.04+0.59*$C12)-0.015*($C13-5)</f>
        <v>-0.31164363186153798</v>
      </c>
      <c r="O54" s="261">
        <f>O22-(0.04+0.59*$C12)-0.015*($C13-5)</f>
        <v>-0.30758910577575127</v>
      </c>
      <c r="P54" s="312">
        <f t="shared" si="33"/>
        <v>-0.14174218755736243</v>
      </c>
    </row>
    <row r="55" spans="2:16" s="17" customFormat="1" ht="12" customHeight="1" x14ac:dyDescent="0.2">
      <c r="B55" s="306" t="s">
        <v>274</v>
      </c>
      <c r="C55" s="261">
        <f t="shared" ref="C55:P55" si="34">EXP(80*C54)</f>
        <v>1.1031245248016748E-12</v>
      </c>
      <c r="D55" s="261">
        <f t="shared" si="34"/>
        <v>1.5257845201565473E-12</v>
      </c>
      <c r="E55" s="261">
        <f t="shared" si="34"/>
        <v>2.1103858627092859E-12</v>
      </c>
      <c r="F55" s="261">
        <f t="shared" si="34"/>
        <v>2.9189760616173E-12</v>
      </c>
      <c r="G55" s="261">
        <f t="shared" si="34"/>
        <v>4.0373760073223947E-12</v>
      </c>
      <c r="H55" s="261">
        <f t="shared" si="34"/>
        <v>5.5842886959035398E-12</v>
      </c>
      <c r="I55" s="261">
        <f t="shared" si="34"/>
        <v>7.7238979432776694E-12</v>
      </c>
      <c r="J55" s="261">
        <f t="shared" si="34"/>
        <v>1.0683294272005083E-11</v>
      </c>
      <c r="K55" s="261">
        <f t="shared" si="34"/>
        <v>1.4776577492403255E-11</v>
      </c>
      <c r="L55" s="261">
        <f t="shared" si="34"/>
        <v>1.4681028521887888E-11</v>
      </c>
      <c r="M55" s="261">
        <f t="shared" si="34"/>
        <v>1.4776577492403255E-11</v>
      </c>
      <c r="N55" s="261">
        <f t="shared" si="34"/>
        <v>1.4872748327098944E-11</v>
      </c>
      <c r="O55" s="261">
        <f t="shared" si="34"/>
        <v>2.0571212641429999E-11</v>
      </c>
      <c r="P55" s="312">
        <f t="shared" si="34"/>
        <v>1.1895207089236834E-5</v>
      </c>
    </row>
    <row r="56" spans="2:16" s="17" customFormat="1" ht="12" customHeight="1" x14ac:dyDescent="0.2">
      <c r="B56" s="306"/>
      <c r="C56" s="261">
        <f t="shared" ref="C56:P56" si="35">20*$C12-16</f>
        <v>-2.7404900636430085</v>
      </c>
      <c r="D56" s="261">
        <f t="shared" si="35"/>
        <v>-2.7404900636430085</v>
      </c>
      <c r="E56" s="261">
        <f t="shared" si="35"/>
        <v>-2.7404900636430085</v>
      </c>
      <c r="F56" s="261">
        <f t="shared" si="35"/>
        <v>-2.7404900636430085</v>
      </c>
      <c r="G56" s="261">
        <f t="shared" si="35"/>
        <v>-2.7404900636430085</v>
      </c>
      <c r="H56" s="261">
        <f t="shared" si="35"/>
        <v>-2.7404900636430085</v>
      </c>
      <c r="I56" s="261">
        <f t="shared" si="35"/>
        <v>-2.7404900636430085</v>
      </c>
      <c r="J56" s="261">
        <f t="shared" si="35"/>
        <v>-2.7404900636430085</v>
      </c>
      <c r="K56" s="261">
        <f t="shared" si="35"/>
        <v>-2.7404900636430085</v>
      </c>
      <c r="L56" s="261">
        <f t="shared" si="35"/>
        <v>-2.7404900636430085</v>
      </c>
      <c r="M56" s="261">
        <f t="shared" si="35"/>
        <v>-2.7404900636430085</v>
      </c>
      <c r="N56" s="261">
        <f t="shared" si="35"/>
        <v>-2.7404900636430085</v>
      </c>
      <c r="O56" s="261">
        <f t="shared" si="35"/>
        <v>-2.7404900636430085</v>
      </c>
      <c r="P56" s="312">
        <f t="shared" si="35"/>
        <v>-2.7404900636430085</v>
      </c>
    </row>
    <row r="57" spans="2:16" s="17" customFormat="1" ht="12" customHeight="1" x14ac:dyDescent="0.2">
      <c r="B57" s="306" t="s">
        <v>275</v>
      </c>
      <c r="C57" s="261">
        <f t="shared" ref="C57:P57" si="36">180*C22^3.7*EXP(C56)</f>
        <v>4.2203041498183481E-3</v>
      </c>
      <c r="D57" s="261">
        <f t="shared" si="36"/>
        <v>4.7843153880326693E-3</v>
      </c>
      <c r="E57" s="261">
        <f t="shared" si="36"/>
        <v>5.4014383786222088E-3</v>
      </c>
      <c r="F57" s="261">
        <f t="shared" si="36"/>
        <v>6.07471739180149E-3</v>
      </c>
      <c r="G57" s="261">
        <f t="shared" si="36"/>
        <v>6.8072662329503267E-3</v>
      </c>
      <c r="H57" s="261">
        <f t="shared" si="36"/>
        <v>7.6022675831757093E-3</v>
      </c>
      <c r="I57" s="261">
        <f t="shared" si="36"/>
        <v>8.4629723661525658E-3</v>
      </c>
      <c r="J57" s="261">
        <f t="shared" si="36"/>
        <v>9.3926991394454699E-3</v>
      </c>
      <c r="K57" s="261">
        <f t="shared" si="36"/>
        <v>1.0394833508684082E-2</v>
      </c>
      <c r="L57" s="261">
        <f t="shared" si="36"/>
        <v>1.0374059007858323E-2</v>
      </c>
      <c r="M57" s="261">
        <f t="shared" si="36"/>
        <v>1.0394833508684082E-2</v>
      </c>
      <c r="N57" s="261">
        <f t="shared" si="36"/>
        <v>1.0415638351186913E-2</v>
      </c>
      <c r="O57" s="261">
        <f t="shared" si="36"/>
        <v>1.1495185264400631E-2</v>
      </c>
      <c r="P57" s="312">
        <f t="shared" si="36"/>
        <v>0.17145403589879846</v>
      </c>
    </row>
    <row r="58" spans="2:16" s="17" customFormat="1" ht="12" customHeight="1" x14ac:dyDescent="0.2">
      <c r="B58" s="306"/>
      <c r="C58" s="261">
        <f t="shared" ref="C58:P58" si="37">C47+1.5*C22^1.8+C48*C22^(C49)</f>
        <v>0.35742628442654872</v>
      </c>
      <c r="D58" s="261">
        <f t="shared" si="37"/>
        <v>0.35943387432047669</v>
      </c>
      <c r="E58" s="261">
        <f t="shared" si="37"/>
        <v>0.36149755267146932</v>
      </c>
      <c r="F58" s="261">
        <f t="shared" si="37"/>
        <v>0.36361758812426448</v>
      </c>
      <c r="G58" s="261">
        <f t="shared" si="37"/>
        <v>0.36579442973681048</v>
      </c>
      <c r="H58" s="261">
        <f t="shared" si="37"/>
        <v>0.36802874347606834</v>
      </c>
      <c r="I58" s="261">
        <f t="shared" si="37"/>
        <v>0.37032145563331637</v>
      </c>
      <c r="J58" s="261">
        <f t="shared" si="37"/>
        <v>0.37267380413222495</v>
      </c>
      <c r="K58" s="261">
        <f t="shared" si="37"/>
        <v>0.3750873988104183</v>
      </c>
      <c r="L58" s="261">
        <f t="shared" si="37"/>
        <v>0.37503851423674373</v>
      </c>
      <c r="M58" s="261">
        <f t="shared" si="37"/>
        <v>0.3750873988104183</v>
      </c>
      <c r="N58" s="261">
        <f t="shared" si="37"/>
        <v>0.37513630868603315</v>
      </c>
      <c r="O58" s="261">
        <f t="shared" si="37"/>
        <v>0.37761449209633235</v>
      </c>
      <c r="P58" s="312">
        <f t="shared" si="37"/>
        <v>0.93359617198525069</v>
      </c>
    </row>
    <row r="59" spans="2:16" s="17" customFormat="1" ht="12" customHeight="1" x14ac:dyDescent="0.2">
      <c r="B59" s="306"/>
      <c r="C59" s="261">
        <f t="shared" ref="C59:P59" si="38">0.98+2.5/($C13-2)^4</f>
        <v>0.98387725872053045</v>
      </c>
      <c r="D59" s="261">
        <f t="shared" si="38"/>
        <v>0.98387725872053045</v>
      </c>
      <c r="E59" s="261">
        <f t="shared" si="38"/>
        <v>0.98387725872053045</v>
      </c>
      <c r="F59" s="261">
        <f t="shared" si="38"/>
        <v>0.98387725872053045</v>
      </c>
      <c r="G59" s="261">
        <f t="shared" si="38"/>
        <v>0.98387725872053045</v>
      </c>
      <c r="H59" s="261">
        <f t="shared" si="38"/>
        <v>0.98387725872053045</v>
      </c>
      <c r="I59" s="261">
        <f t="shared" si="38"/>
        <v>0.98387725872053045</v>
      </c>
      <c r="J59" s="261">
        <f t="shared" si="38"/>
        <v>0.98387725872053045</v>
      </c>
      <c r="K59" s="261">
        <f t="shared" si="38"/>
        <v>0.98387725872053045</v>
      </c>
      <c r="L59" s="261">
        <f t="shared" si="38"/>
        <v>0.98387725872053045</v>
      </c>
      <c r="M59" s="261">
        <f t="shared" si="38"/>
        <v>0.98387725872053045</v>
      </c>
      <c r="N59" s="261">
        <f t="shared" si="38"/>
        <v>0.98387725872053045</v>
      </c>
      <c r="O59" s="261">
        <f t="shared" si="38"/>
        <v>0.98387725872053045</v>
      </c>
      <c r="P59" s="312">
        <f t="shared" si="38"/>
        <v>0.98387725872053045</v>
      </c>
    </row>
    <row r="60" spans="2:16" s="17" customFormat="1" ht="12" customHeight="1" x14ac:dyDescent="0.2">
      <c r="B60" s="306"/>
      <c r="C60" s="261">
        <f t="shared" ref="C60:P60" si="39">($C13-5)^4*(C22-0.1)^4</f>
        <v>1.6518170360163494E-6</v>
      </c>
      <c r="D60" s="261">
        <f t="shared" si="39"/>
        <v>3.788373023509833E-6</v>
      </c>
      <c r="E60" s="261">
        <f t="shared" si="39"/>
        <v>7.5307735838865737E-6</v>
      </c>
      <c r="F60" s="261">
        <f t="shared" si="39"/>
        <v>1.3533450648026722E-5</v>
      </c>
      <c r="G60" s="261">
        <f t="shared" si="39"/>
        <v>2.2562969275323522E-5</v>
      </c>
      <c r="H60" s="261">
        <f t="shared" si="39"/>
        <v>3.5498027653683432E-5</v>
      </c>
      <c r="I60" s="261">
        <f t="shared" si="39"/>
        <v>5.3329457099525538E-5</v>
      </c>
      <c r="J60" s="261">
        <f t="shared" si="39"/>
        <v>7.7160222057782847E-5</v>
      </c>
      <c r="K60" s="261">
        <f t="shared" si="39"/>
        <v>1.0820542010190052E-4</v>
      </c>
      <c r="L60" s="261">
        <f>($C13-5)^4*(L22-0.1)^4</f>
        <v>1.0750541511425068E-4</v>
      </c>
      <c r="M60" s="261">
        <f>($C13-5)^4*(M22-0.1)^4</f>
        <v>1.0820542010190052E-4</v>
      </c>
      <c r="N60" s="261">
        <f>($C13-5)^4*(N22-0.1)^4</f>
        <v>1.0890883801878989E-4</v>
      </c>
      <c r="O60" s="261">
        <f>($C13-5)^4*(O22-0.1)^4</f>
        <v>1.4868084100996977E-4</v>
      </c>
      <c r="P60" s="312">
        <f t="shared" si="39"/>
        <v>4.0499813666552295E-2</v>
      </c>
    </row>
    <row r="61" spans="2:16" s="17" customFormat="1" ht="12" customHeight="1" x14ac:dyDescent="0.2">
      <c r="B61" s="306" t="s">
        <v>276</v>
      </c>
      <c r="C61" s="261">
        <f t="shared" ref="C61:P61" si="40">C58*C59+C60</f>
        <v>0.35166524473329341</v>
      </c>
      <c r="D61" s="261">
        <f t="shared" si="40"/>
        <v>0.35364260333075376</v>
      </c>
      <c r="E61" s="261">
        <f t="shared" si="40"/>
        <v>0.35567675193016968</v>
      </c>
      <c r="F61" s="261">
        <f t="shared" si="40"/>
        <v>0.35776860927692028</v>
      </c>
      <c r="G61" s="261">
        <f t="shared" si="40"/>
        <v>0.35991938375396809</v>
      </c>
      <c r="H61" s="261">
        <f t="shared" si="40"/>
        <v>0.36213060928924912</v>
      </c>
      <c r="I61" s="261">
        <f t="shared" si="40"/>
        <v>0.36440418807100333</v>
      </c>
      <c r="J61" s="261">
        <f t="shared" si="40"/>
        <v>0.36674244102862313</v>
      </c>
      <c r="K61" s="261">
        <f t="shared" si="40"/>
        <v>0.36914816714231063</v>
      </c>
      <c r="L61" s="261">
        <f t="shared" si="40"/>
        <v>0.36909937071698229</v>
      </c>
      <c r="M61" s="261">
        <f t="shared" si="40"/>
        <v>0.36914816714231063</v>
      </c>
      <c r="N61" s="261">
        <f t="shared" si="40"/>
        <v>0.36919699187457178</v>
      </c>
      <c r="O61" s="261">
        <f t="shared" si="40"/>
        <v>0.3716749921778949</v>
      </c>
      <c r="P61" s="312">
        <f t="shared" si="40"/>
        <v>0.95904385611138165</v>
      </c>
    </row>
    <row r="62" spans="2:16" s="17" customFormat="1" ht="12" customHeight="1" x14ac:dyDescent="0.2">
      <c r="B62" s="306" t="s">
        <v>277</v>
      </c>
      <c r="C62" s="261">
        <f t="shared" ref="C62:P62" si="41">0.16*($C5/$C6-2.5)</f>
        <v>0.27358167089713248</v>
      </c>
      <c r="D62" s="261">
        <f t="shared" si="41"/>
        <v>0.27358167089713248</v>
      </c>
      <c r="E62" s="261">
        <f t="shared" si="41"/>
        <v>0.27358167089713248</v>
      </c>
      <c r="F62" s="261">
        <f t="shared" si="41"/>
        <v>0.27358167089713248</v>
      </c>
      <c r="G62" s="261">
        <f t="shared" si="41"/>
        <v>0.27358167089713248</v>
      </c>
      <c r="H62" s="261">
        <f t="shared" si="41"/>
        <v>0.27358167089713248</v>
      </c>
      <c r="I62" s="261">
        <f t="shared" si="41"/>
        <v>0.27358167089713248</v>
      </c>
      <c r="J62" s="261">
        <f t="shared" si="41"/>
        <v>0.27358167089713248</v>
      </c>
      <c r="K62" s="261">
        <f t="shared" si="41"/>
        <v>0.27358167089713248</v>
      </c>
      <c r="L62" s="261">
        <f t="shared" si="41"/>
        <v>0.27358167089713248</v>
      </c>
      <c r="M62" s="261">
        <f t="shared" si="41"/>
        <v>0.27358167089713248</v>
      </c>
      <c r="N62" s="261">
        <f t="shared" si="41"/>
        <v>0.27358167089713248</v>
      </c>
      <c r="O62" s="261">
        <f t="shared" si="41"/>
        <v>0.27358167089713248</v>
      </c>
      <c r="P62" s="312">
        <f t="shared" si="41"/>
        <v>0.27358167089713248</v>
      </c>
    </row>
    <row r="63" spans="2:16" s="17" customFormat="1" ht="12" customHeight="1" x14ac:dyDescent="0.2">
      <c r="B63" s="306" t="s">
        <v>278</v>
      </c>
      <c r="C63" s="261">
        <f t="shared" ref="C63:P63" si="42">($C15-$C14)/3*0.1</f>
        <v>0</v>
      </c>
      <c r="D63" s="261">
        <f t="shared" si="42"/>
        <v>0</v>
      </c>
      <c r="E63" s="261">
        <f t="shared" si="42"/>
        <v>0</v>
      </c>
      <c r="F63" s="261">
        <f t="shared" si="42"/>
        <v>0</v>
      </c>
      <c r="G63" s="261">
        <f t="shared" si="42"/>
        <v>0</v>
      </c>
      <c r="H63" s="261">
        <f t="shared" si="42"/>
        <v>0</v>
      </c>
      <c r="I63" s="261">
        <f t="shared" si="42"/>
        <v>0</v>
      </c>
      <c r="J63" s="261">
        <f t="shared" si="42"/>
        <v>0</v>
      </c>
      <c r="K63" s="261">
        <f t="shared" si="42"/>
        <v>0</v>
      </c>
      <c r="L63" s="261">
        <f t="shared" si="42"/>
        <v>0</v>
      </c>
      <c r="M63" s="261">
        <f t="shared" si="42"/>
        <v>0</v>
      </c>
      <c r="N63" s="261">
        <f t="shared" si="42"/>
        <v>0</v>
      </c>
      <c r="O63" s="261">
        <f t="shared" si="42"/>
        <v>0</v>
      </c>
      <c r="P63" s="312">
        <f t="shared" si="42"/>
        <v>0</v>
      </c>
    </row>
    <row r="64" spans="2:16" s="17" customFormat="1" ht="12" customHeight="1" x14ac:dyDescent="0.2">
      <c r="B64" s="306" t="s">
        <v>279</v>
      </c>
      <c r="C64" s="306">
        <f>0.1*C5/C4+0.149</f>
        <v>0.16263002865717036</v>
      </c>
      <c r="D64" s="306" t="s">
        <v>280</v>
      </c>
      <c r="E64" s="306">
        <f>0.625*C5/C4+0.08</f>
        <v>0.16518767910731474</v>
      </c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13"/>
    </row>
    <row r="65" spans="1:16" s="17" customFormat="1" ht="12" customHeight="1" x14ac:dyDescent="0.2">
      <c r="B65" s="306" t="s">
        <v>281</v>
      </c>
      <c r="C65" s="306">
        <f>0.05*C5/C4+0.449</f>
        <v>0.45581501432858518</v>
      </c>
      <c r="D65" s="306" t="s">
        <v>282</v>
      </c>
      <c r="E65" s="306">
        <f>0.165-0.25*C5/C4</f>
        <v>0.13092492835707412</v>
      </c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13"/>
    </row>
    <row r="66" spans="1:16" s="17" customFormat="1" ht="12" customHeight="1" x14ac:dyDescent="0.2">
      <c r="B66" s="306" t="s">
        <v>283</v>
      </c>
      <c r="C66" s="306">
        <f>585-5027*C5/C4+11700*(C5/C4)^2</f>
        <v>117.17834640252971</v>
      </c>
      <c r="D66" s="306" t="s">
        <v>284</v>
      </c>
      <c r="E66" s="306">
        <f>825-8060*C5/C4+20300*(C5/C4)^2</f>
        <v>103.54838305849802</v>
      </c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13"/>
    </row>
    <row r="67" spans="1:16" s="17" customFormat="1" ht="12" customHeight="1" x14ac:dyDescent="0.2">
      <c r="B67" s="306" t="s">
        <v>285</v>
      </c>
      <c r="C67" s="261">
        <f>C64+C65/(C66*(0.98-C11)^3+1)</f>
        <v>0.24991880253088733</v>
      </c>
      <c r="D67" s="261" t="s">
        <v>286</v>
      </c>
      <c r="E67" s="261">
        <f>E64+E65/(E66*(0.98-C11)^3+1)</f>
        <v>0.19286248559132835</v>
      </c>
      <c r="F67" s="261"/>
      <c r="G67" s="261"/>
      <c r="H67" s="306"/>
      <c r="I67" s="306"/>
      <c r="J67" s="306"/>
      <c r="K67" s="306"/>
      <c r="L67" s="306"/>
      <c r="M67" s="306"/>
      <c r="N67" s="306"/>
      <c r="O67" s="306"/>
      <c r="P67" s="313"/>
    </row>
    <row r="68" spans="1:16" s="17" customFormat="1" ht="12" customHeight="1" x14ac:dyDescent="0.2">
      <c r="B68" s="306" t="s">
        <v>287</v>
      </c>
      <c r="C68" s="261">
        <f>0.025*C15/(100*(C11-0.7)^2+1)</f>
        <v>0</v>
      </c>
      <c r="D68" s="261" t="s">
        <v>288</v>
      </c>
      <c r="E68" s="261">
        <f>-0.01*C15</f>
        <v>0</v>
      </c>
      <c r="F68" s="261"/>
      <c r="G68" s="261"/>
      <c r="H68" s="306"/>
      <c r="I68" s="306"/>
      <c r="J68" s="306"/>
      <c r="K68" s="306"/>
      <c r="L68" s="306"/>
      <c r="M68" s="306"/>
      <c r="N68" s="306"/>
      <c r="O68" s="306"/>
      <c r="P68" s="313"/>
    </row>
    <row r="69" spans="1:16" s="17" customFormat="1" ht="12" customHeight="1" x14ac:dyDescent="0.2">
      <c r="B69" s="306" t="s">
        <v>289</v>
      </c>
      <c r="C69" s="261">
        <f>0.00756/(C18/C4+0.002)-0.18</f>
        <v>0.10623735526422862</v>
      </c>
      <c r="D69" s="261" t="s">
        <v>290</v>
      </c>
      <c r="E69" s="261">
        <f>2*(C18/C4-0.04)</f>
        <v>-3.1176705898352877E-2</v>
      </c>
      <c r="F69" s="261"/>
      <c r="G69" s="261"/>
      <c r="H69" s="306"/>
      <c r="I69" s="306"/>
      <c r="J69" s="306"/>
      <c r="K69" s="306"/>
      <c r="L69" s="306"/>
      <c r="M69" s="306"/>
      <c r="N69" s="306"/>
      <c r="O69" s="306"/>
      <c r="P69" s="313"/>
    </row>
    <row r="70" spans="1:16" s="17" customFormat="1" ht="12" customHeight="1" x14ac:dyDescent="0.2">
      <c r="B70" s="306" t="s">
        <v>291</v>
      </c>
      <c r="C70" s="261">
        <f>MIN(0.1,C69)</f>
        <v>0.1</v>
      </c>
      <c r="D70" s="261"/>
      <c r="E70" s="261"/>
      <c r="F70" s="261"/>
      <c r="G70" s="261"/>
      <c r="H70" s="306"/>
      <c r="I70" s="306"/>
      <c r="J70" s="306"/>
      <c r="K70" s="306"/>
      <c r="L70" s="306"/>
      <c r="M70" s="306"/>
      <c r="N70" s="306"/>
      <c r="O70" s="306"/>
      <c r="P70" s="313"/>
    </row>
    <row r="71" spans="1:16" s="17" customFormat="1" ht="12" customHeight="1" x14ac:dyDescent="0.2">
      <c r="B71" s="306" t="s">
        <v>292</v>
      </c>
      <c r="C71" s="261">
        <f>C67+C68+C70</f>
        <v>0.34991880253088736</v>
      </c>
      <c r="D71" s="261" t="s">
        <v>293</v>
      </c>
      <c r="E71" s="261">
        <f>E67+E68+E69</f>
        <v>0.16168577969297548</v>
      </c>
      <c r="F71" s="261" t="s">
        <v>294</v>
      </c>
      <c r="G71" s="261">
        <f>0.7*C11-0.2</f>
        <v>0.25480119081704478</v>
      </c>
      <c r="H71" s="306"/>
      <c r="I71" s="306"/>
      <c r="J71" s="306"/>
      <c r="K71" s="306"/>
      <c r="L71" s="306"/>
      <c r="M71" s="306"/>
      <c r="N71" s="306"/>
      <c r="O71" s="306"/>
      <c r="P71" s="313"/>
    </row>
    <row r="72" spans="1:16" s="17" customFormat="1" ht="12" customHeight="1" x14ac:dyDescent="0.2">
      <c r="B72" s="306" t="s">
        <v>295</v>
      </c>
      <c r="C72" s="261">
        <f>1.133*C11^2-0.797*C11+0.215</f>
        <v>0.1754506269248913</v>
      </c>
      <c r="D72" s="261" t="s">
        <v>296</v>
      </c>
      <c r="E72" s="261">
        <f>0.0665+0.62833*C72</f>
        <v>0.17674089241571694</v>
      </c>
      <c r="F72" s="261" t="s">
        <v>297</v>
      </c>
      <c r="G72" s="261">
        <f>0.19</f>
        <v>0.19</v>
      </c>
      <c r="H72" s="306"/>
      <c r="I72" s="306"/>
      <c r="J72" s="306"/>
      <c r="K72" s="306"/>
      <c r="L72" s="306"/>
      <c r="M72" s="306"/>
      <c r="N72" s="306"/>
      <c r="O72" s="306"/>
      <c r="P72" s="313"/>
    </row>
    <row r="73" spans="1:16" x14ac:dyDescent="0.2">
      <c r="A73" s="9" t="s">
        <v>298</v>
      </c>
      <c r="B73" s="306" t="s">
        <v>299</v>
      </c>
      <c r="C73" s="306">
        <f t="shared" ref="C73:P73" si="43">IF(C22&gt;$J9,0,IF($C17=1,0.2,0.1))</f>
        <v>0.1</v>
      </c>
      <c r="D73" s="306">
        <f t="shared" si="43"/>
        <v>0.1</v>
      </c>
      <c r="E73" s="306">
        <f t="shared" si="43"/>
        <v>0.1</v>
      </c>
      <c r="F73" s="306">
        <f t="shared" si="43"/>
        <v>0.1</v>
      </c>
      <c r="G73" s="306">
        <f t="shared" si="43"/>
        <v>0.1</v>
      </c>
      <c r="H73" s="306">
        <f t="shared" si="43"/>
        <v>0.1</v>
      </c>
      <c r="I73" s="306">
        <f t="shared" si="43"/>
        <v>0.1</v>
      </c>
      <c r="J73" s="306">
        <f t="shared" si="43"/>
        <v>0.1</v>
      </c>
      <c r="K73" s="306">
        <f t="shared" si="43"/>
        <v>0.1</v>
      </c>
      <c r="L73" s="306">
        <f>IF(L22&gt;$J9,0,IF($C17=1,0.2,0.1))</f>
        <v>0.1</v>
      </c>
      <c r="M73" s="306">
        <f>IF(M22&gt;$J9,0,IF($C17=1,0.2,0.1))</f>
        <v>0.1</v>
      </c>
      <c r="N73" s="306">
        <f>IF(N22&gt;$J9,0,IF($C17=1,0.2,0.1))</f>
        <v>0.1</v>
      </c>
      <c r="O73" s="306">
        <f>IF(O22&gt;$J9,0,IF($C17=1,0.2,0.1))</f>
        <v>0.1</v>
      </c>
      <c r="P73" s="306">
        <f t="shared" si="43"/>
        <v>0.1</v>
      </c>
    </row>
  </sheetData>
  <sheetProtection password="CC7C" sheet="1"/>
  <phoneticPr fontId="17" type="noConversion"/>
  <dataValidations count="23">
    <dataValidation type="decimal" errorStyle="warning" allowBlank="1" showInputMessage="1" showErrorMessage="1" errorTitle="L/B out of range" error="Length/breadth ratio out of range (3&lt;L/B&lt;10)" sqref="C5">
      <formula1>C4/10</formula1>
      <formula2>C4/3</formula2>
    </dataValidation>
    <dataValidation type="decimal" allowBlank="1" showInputMessage="1" showErrorMessage="1" errorTitle="B/T ratio out of range" error="B/T ratio out of range (2&lt;B/T&lt;6,5) " sqref="C6">
      <formula1>C5/6.5</formula1>
      <formula2>C5/2</formula2>
    </dataValidation>
    <dataValidation type="decimal" allowBlank="1" showInputMessage="1" showErrorMessage="1" error="Wetted surface is too high_x000a_" sqref="C8">
      <formula1>0</formula1>
      <formula2>2*C6*(C4+C5)+C4*C5</formula2>
    </dataValidation>
    <dataValidation type="decimal" allowBlank="1" showInputMessage="1" showErrorMessage="1" error="Speed out of valid range" sqref="C21:O21">
      <formula1>0</formula1>
      <formula2>2.7/0.5144*(9.81*($C7/$C3)^(1/3))^0.5</formula2>
    </dataValidation>
    <dataValidation type="decimal" allowBlank="1" showInputMessage="1" showErrorMessage="1" error="Propeller diameter out of valid range" sqref="C18">
      <formula1>C6/4</formula1>
      <formula2>C6*1.2</formula2>
    </dataValidation>
    <dataValidation type="decimal" allowBlank="1" showInputMessage="1" showErrorMessage="1" error="Froude number out of valid range (0,9 - 2,7)" sqref="J10">
      <formula1>0.9</formula1>
      <formula2>2.7</formula2>
    </dataValidation>
    <dataValidation type="decimal" operator="lessThan" allowBlank="1" showInputMessage="1" showErrorMessage="1" error="Froude number is too high" sqref="J9">
      <formula1>0.321</formula1>
    </dataValidation>
    <dataValidation type="decimal" allowBlank="1" showInputMessage="1" showErrorMessage="1" error="Wake fraction out of valid range_x000a_" sqref="J3">
      <formula1>0</formula1>
      <formula2>1</formula2>
    </dataValidation>
    <dataValidation type="decimal" allowBlank="1" showInputMessage="1" showErrorMessage="1" error="Thrust deduction out of valid range" sqref="J4">
      <formula1>0</formula1>
      <formula2>1</formula2>
    </dataValidation>
    <dataValidation type="whole" allowBlank="1" showInputMessage="1" showErrorMessage="1" error="Value to be either 1 or 2" sqref="K15">
      <formula1>1</formula1>
      <formula2>2</formula2>
    </dataValidation>
    <dataValidation type="decimal" allowBlank="1" showInputMessage="1" showErrorMessage="1" error="Transmission efficiency out of range" sqref="J6">
      <formula1>0.9</formula1>
      <formula2>1</formula2>
    </dataValidation>
    <dataValidation type="decimal" allowBlank="1" showInputMessage="1" showErrorMessage="1" error="Relative rotative efficiency out of valid range_x000a__x000a_" sqref="J7">
      <formula1>0.9</formula1>
      <formula2>1.1</formula2>
    </dataValidation>
    <dataValidation type="whole" allowBlank="1" showInputMessage="1" showErrorMessage="1" error="Value to be either 1 or 2" sqref="K17">
      <formula1>1</formula1>
      <formula2>3</formula2>
    </dataValidation>
    <dataValidation errorStyle="warning" allowBlank="1" showInputMessage="1" error="Block coefficient might be out of valid range_x000a_High speed ships: 0,3 &lt; Cb &lt; 0,6_x000a_Conventional ships: 0,5 &lt; Cb &lt; 0,8" sqref="C7"/>
    <dataValidation type="decimal" allowBlank="1" showInputMessage="1" showErrorMessage="1" error="Cr correction is out of range_x000a_" sqref="P27">
      <formula1>0.1</formula1>
      <formula2>0.3</formula2>
    </dataValidation>
    <dataValidation type="decimal" allowBlank="1" showInputMessage="1" showErrorMessage="1" error="Water density to be between 1,00 and 1,03" sqref="C3">
      <formula1>1</formula1>
      <formula2>1.03</formula2>
    </dataValidation>
    <dataValidation type="decimal" allowBlank="1" showInputMessage="1" showErrorMessage="1" error="Midship section coefficient is out of range_x000a_(0,6 &lt; Cm &lt; 1,0)" sqref="C10">
      <formula1>0.6</formula1>
      <formula2>1</formula2>
    </dataValidation>
    <dataValidation type="decimal" allowBlank="1" showInputMessage="1" showErrorMessage="1" error="Value to be between -3 and 3" sqref="C14">
      <formula1>-3</formula1>
      <formula2>3</formula2>
    </dataValidation>
    <dataValidation type="decimal" allowBlank="1" showInputMessage="1" showErrorMessage="1" error="Value to be between -3 and 3_x000a_" sqref="C15">
      <formula1>-3</formula1>
      <formula2>3</formula2>
    </dataValidation>
    <dataValidation type="whole" allowBlank="1" showInputMessage="1" showErrorMessage="1" error="Value to be either 1 or 2_x000a_" sqref="C16">
      <formula1>1</formula1>
      <formula2>2</formula2>
    </dataValidation>
    <dataValidation type="decimal" allowBlank="1" showInputMessage="1" showErrorMessage="1" error="Number of propellers to be 1, 2, 3 or 4_x000a_" sqref="C17">
      <formula1>1</formula1>
      <formula2>4</formula2>
    </dataValidation>
    <dataValidation type="whole" allowBlank="1" showInputMessage="1" showErrorMessage="1" error="Number of blades to be either 2, 3, 4, 5 or 6_x000a_" sqref="C19">
      <formula1>2</formula1>
      <formula2>6</formula2>
    </dataValidation>
    <dataValidation allowBlank="1" showInputMessage="1" showErrorMessage="1" error="Cr correction is out of range_x000a_" sqref="C25:P25"/>
  </dataValidations>
  <printOptions gridLines="1" gridLinesSet="0"/>
  <pageMargins left="0.74803149606299213" right="0.74803149606299213" top="0.98425196850393704" bottom="0.78740157480314965" header="0.51181102362204722" footer="0.51181102362204722"/>
  <pageSetup paperSize="9" orientation="landscape" horizontalDpi="4294967292" verticalDpi="4294967292" r:id="rId1"/>
  <headerFooter alignWithMargins="0">
    <oddHeader>&amp;F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Low load SFOC</vt:lpstr>
      <vt:lpstr>Normal SFOC</vt:lpstr>
      <vt:lpstr>Up date log</vt:lpstr>
      <vt:lpstr>Truck data</vt:lpstr>
      <vt:lpstr>SHIP DATA</vt:lpstr>
      <vt:lpstr>Emission factors</vt:lpstr>
      <vt:lpstr>Emissions in harbor</vt:lpstr>
      <vt:lpstr>Emissions-TEU</vt:lpstr>
      <vt:lpstr>Emissions-ton</vt:lpstr>
      <vt:lpstr>WEIGHT</vt:lpstr>
      <vt:lpstr>PS1</vt:lpstr>
      <vt:lpstr>PT1-1</vt:lpstr>
      <vt:lpstr>PT1-2</vt:lpstr>
      <vt:lpstr>PAS1</vt:lpstr>
      <vt:lpstr>PS2</vt:lpstr>
      <vt:lpstr>PT2-1</vt:lpstr>
      <vt:lpstr>PT2-2</vt:lpstr>
      <vt:lpstr>PAS2</vt:lpstr>
      <vt:lpstr>PS3</vt:lpstr>
      <vt:lpstr>PT3-1</vt:lpstr>
      <vt:lpstr>PT3-2</vt:lpstr>
      <vt:lpstr>PAS3</vt:lpstr>
      <vt:lpstr>'SHIP DATA'!OLE_LINK4</vt:lpstr>
      <vt:lpstr>WEIGHT!Print_Area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Otto Kristensen</dc:creator>
  <cp:lastModifiedBy>xlParse</cp:lastModifiedBy>
  <cp:lastPrinted>2016-04-25T18:28:32Z</cp:lastPrinted>
  <dcterms:created xsi:type="dcterms:W3CDTF">2008-09-19T11:03:53Z</dcterms:created>
  <dcterms:modified xsi:type="dcterms:W3CDTF">2017-10-15T13:10:43Z</dcterms:modified>
</cp:coreProperties>
</file>