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203"/>
  <workbookPr hidePivotFieldList="1" autoCompressPictures="0"/>
  <bookViews>
    <workbookView xWindow="3160" yWindow="1380" windowWidth="25600" windowHeight="16060" tabRatio="777"/>
  </bookViews>
  <sheets>
    <sheet name="DC Portfolio" sheetId="6" r:id="rId1"/>
    <sheet name="EMEA COLOs" sheetId="13" r:id="rId2"/>
    <sheet name="DC 2014 MQ" sheetId="19" r:id="rId3"/>
    <sheet name="Reports" sheetId="3" r:id="rId4"/>
    <sheet name="Contact Lits" sheetId="7" r:id="rId5"/>
    <sheet name="Data Center Distance Table" sheetId="11" r:id="rId6"/>
    <sheet name="Q9" sheetId="5" r:id="rId7"/>
    <sheet name="SqFT Tables" sheetId="8" r:id="rId8"/>
    <sheet name="Background" sheetId="10" r:id="rId9"/>
    <sheet name="lists" sheetId="15" r:id="rId10"/>
    <sheet name="Cloud" sheetId="16" r:id="rId11"/>
    <sheet name="PUE" sheetId="17" r:id="rId12"/>
    <sheet name="Sheet1" sheetId="18" r:id="rId13"/>
  </sheets>
  <definedNames>
    <definedName name="_xlnm._FilterDatabase" localSheetId="0" hidden="1">'DC Portfolio'!$A$1:$AO$78</definedName>
    <definedName name="_xlnm._FilterDatabase" localSheetId="3" hidden="1">'DC Portfolio'!$B$1:$P$78</definedName>
    <definedName name="_xlnm.Print_Area" localSheetId="3">Reports!$B$1:$L$58</definedName>
  </definedNames>
  <calcPr calcId="140001" concurrentCalc="0"/>
  <pivotCaches>
    <pivotCache cacheId="20" r:id="rId14"/>
  </pivotCaches>
  <extLst>
    <ext xmlns:mx="http://schemas.microsoft.com/office/mac/excel/2008/main" uri="{7523E5D3-25F3-A5E0-1632-64F254C22452}">
      <mx:ArchID Flags="2"/>
    </ext>
  </extLst>
</workbook>
</file>

<file path=xl/calcChain.xml><?xml version="1.0" encoding="utf-8"?>
<calcChain xmlns="http://schemas.openxmlformats.org/spreadsheetml/2006/main">
  <c r="T20" i="6" l="1"/>
  <c r="A34" i="17"/>
  <c r="P71" i="11"/>
  <c r="M71" i="11"/>
  <c r="L71" i="11"/>
  <c r="P70" i="11"/>
  <c r="M70" i="11"/>
  <c r="L70" i="11"/>
  <c r="P69" i="11"/>
  <c r="M69" i="11"/>
  <c r="L69" i="11"/>
  <c r="P68" i="11"/>
  <c r="M68" i="11"/>
  <c r="L68" i="11"/>
  <c r="P67" i="11"/>
  <c r="M67" i="11"/>
  <c r="L67" i="11"/>
  <c r="P66" i="11"/>
  <c r="M66" i="11"/>
  <c r="L66" i="11"/>
  <c r="P65" i="11"/>
  <c r="M65" i="11"/>
  <c r="L65" i="11"/>
  <c r="P64" i="11"/>
  <c r="M64" i="11"/>
  <c r="L64" i="11"/>
  <c r="P63" i="11"/>
  <c r="M63" i="11"/>
  <c r="L63" i="11"/>
  <c r="P62" i="11"/>
  <c r="M62" i="11"/>
  <c r="L62" i="11"/>
  <c r="P61" i="11"/>
  <c r="M61" i="11"/>
  <c r="L61" i="11"/>
  <c r="P60" i="11"/>
  <c r="M60" i="11"/>
  <c r="L60" i="11"/>
  <c r="P59" i="11"/>
  <c r="M59" i="11"/>
  <c r="L59" i="11"/>
  <c r="P58" i="11"/>
  <c r="M58" i="11"/>
  <c r="L58" i="11"/>
  <c r="P57" i="11"/>
  <c r="M57" i="11"/>
  <c r="L57" i="11"/>
  <c r="P56" i="11"/>
  <c r="M56" i="11"/>
  <c r="L56" i="11"/>
  <c r="P55" i="11"/>
  <c r="M55" i="11"/>
  <c r="L55" i="11"/>
  <c r="P54" i="11"/>
  <c r="M54" i="11"/>
  <c r="L54" i="11"/>
  <c r="P53" i="11"/>
  <c r="M53" i="11"/>
  <c r="L53" i="11"/>
  <c r="P52" i="11"/>
  <c r="M52" i="11"/>
  <c r="L52" i="11"/>
  <c r="P51" i="11"/>
  <c r="M51" i="11"/>
  <c r="L51" i="11"/>
  <c r="P50" i="11"/>
  <c r="M50" i="11"/>
  <c r="L50" i="11"/>
  <c r="P49" i="11"/>
  <c r="M49" i="11"/>
  <c r="L49" i="11"/>
  <c r="P48" i="11"/>
  <c r="M48" i="11"/>
  <c r="L48" i="11"/>
  <c r="P47" i="11"/>
  <c r="M47" i="11"/>
  <c r="L47" i="11"/>
  <c r="P46" i="11"/>
  <c r="M46" i="11"/>
  <c r="L46" i="11"/>
  <c r="P45" i="11"/>
  <c r="M45" i="11"/>
  <c r="L45" i="11"/>
  <c r="P44" i="11"/>
  <c r="M44" i="11"/>
  <c r="L44" i="11"/>
  <c r="P43" i="11"/>
  <c r="M43" i="11"/>
  <c r="L43" i="11"/>
  <c r="P42" i="11"/>
  <c r="M42" i="11"/>
  <c r="L42" i="11"/>
  <c r="P41" i="11"/>
  <c r="M41" i="11"/>
  <c r="L41" i="11"/>
  <c r="P40" i="11"/>
  <c r="M40" i="11"/>
  <c r="L40" i="11"/>
  <c r="P39" i="11"/>
  <c r="M39" i="11"/>
  <c r="L39" i="11"/>
  <c r="P38" i="11"/>
  <c r="M38" i="11"/>
  <c r="L38" i="11"/>
  <c r="P37" i="11"/>
  <c r="M37" i="11"/>
  <c r="L37" i="11"/>
  <c r="P36" i="11"/>
  <c r="M36" i="11"/>
  <c r="L36" i="11"/>
  <c r="P35" i="11"/>
  <c r="M35" i="11"/>
  <c r="L35" i="11"/>
  <c r="P34" i="11"/>
  <c r="M34" i="11"/>
  <c r="L34" i="11"/>
  <c r="P33" i="11"/>
  <c r="M33" i="11"/>
  <c r="L33" i="11"/>
  <c r="P32" i="11"/>
  <c r="M32" i="11"/>
  <c r="L32" i="11"/>
  <c r="P31" i="11"/>
  <c r="M31" i="11"/>
  <c r="L31" i="11"/>
  <c r="P30" i="11"/>
  <c r="M30" i="11"/>
  <c r="L30" i="11"/>
  <c r="P29" i="11"/>
  <c r="M29" i="11"/>
  <c r="L29" i="11"/>
  <c r="P28" i="11"/>
  <c r="M28" i="11"/>
  <c r="L28" i="11"/>
  <c r="P27" i="11"/>
  <c r="M27" i="11"/>
  <c r="L27" i="11"/>
  <c r="P26" i="11"/>
  <c r="M26" i="11"/>
  <c r="L26" i="11"/>
  <c r="P25" i="11"/>
  <c r="M25" i="11"/>
  <c r="L25" i="11"/>
  <c r="P24" i="11"/>
  <c r="M24" i="11"/>
  <c r="L24" i="11"/>
  <c r="P23" i="11"/>
  <c r="M23" i="11"/>
  <c r="L23" i="11"/>
  <c r="CD2" i="11"/>
  <c r="P3" i="11"/>
  <c r="P4" i="11"/>
  <c r="P5" i="11"/>
  <c r="P6" i="11"/>
  <c r="P7" i="11"/>
  <c r="P8" i="11"/>
  <c r="P9" i="11"/>
  <c r="P10" i="11"/>
  <c r="P11" i="11"/>
  <c r="P12" i="11"/>
  <c r="P13" i="11"/>
  <c r="P14" i="11"/>
  <c r="P15" i="11"/>
  <c r="P16" i="11"/>
  <c r="P17" i="11"/>
  <c r="P18" i="11"/>
  <c r="P19" i="11"/>
  <c r="P20" i="11"/>
  <c r="P21" i="11"/>
  <c r="P22" i="11"/>
  <c r="CD23" i="11"/>
  <c r="M22" i="11"/>
  <c r="L22" i="11"/>
  <c r="M21" i="11"/>
  <c r="L21" i="11"/>
  <c r="M20" i="11"/>
  <c r="L20" i="11"/>
  <c r="M19" i="11"/>
  <c r="L19" i="11"/>
  <c r="M18" i="11"/>
  <c r="L18" i="11"/>
  <c r="CE2" i="11"/>
  <c r="CE18" i="11"/>
  <c r="M17" i="11"/>
  <c r="L17" i="11"/>
  <c r="M16" i="11"/>
  <c r="L16" i="11"/>
  <c r="M15" i="11"/>
  <c r="L15" i="11"/>
  <c r="M14" i="11"/>
  <c r="L14" i="11"/>
  <c r="BO2" i="11"/>
  <c r="BO14" i="11"/>
  <c r="M13" i="11"/>
  <c r="L13" i="11"/>
  <c r="M12" i="11"/>
  <c r="L12" i="11"/>
  <c r="M11" i="11"/>
  <c r="L11" i="11"/>
  <c r="M10" i="11"/>
  <c r="L10" i="11"/>
  <c r="M9" i="11"/>
  <c r="L9" i="11"/>
  <c r="M8" i="11"/>
  <c r="L8" i="11"/>
  <c r="M7" i="11"/>
  <c r="L7" i="11"/>
  <c r="CB2" i="11"/>
  <c r="CB7" i="11"/>
  <c r="M6" i="11"/>
  <c r="L6" i="11"/>
  <c r="M5" i="11"/>
  <c r="L5" i="11"/>
  <c r="CB5" i="11"/>
  <c r="CF2" i="11"/>
  <c r="CF5" i="11"/>
  <c r="M4" i="11"/>
  <c r="L4" i="11"/>
  <c r="BV2" i="11"/>
  <c r="BV28" i="11"/>
  <c r="M3" i="11"/>
  <c r="L3" i="11"/>
  <c r="CF3" i="11"/>
  <c r="CG2" i="11"/>
  <c r="CC2" i="11"/>
  <c r="CB10" i="11"/>
  <c r="CA2" i="11"/>
  <c r="CA29" i="11"/>
  <c r="BZ2" i="11"/>
  <c r="BY2" i="11"/>
  <c r="BX2" i="11"/>
  <c r="BW2" i="11"/>
  <c r="BW4" i="11"/>
  <c r="BU2" i="11"/>
  <c r="BT2" i="11"/>
  <c r="BS2" i="11"/>
  <c r="BR2" i="11"/>
  <c r="BQ2" i="11"/>
  <c r="BP2" i="11"/>
  <c r="BP7" i="11"/>
  <c r="BO15" i="11"/>
  <c r="BN2" i="11"/>
  <c r="BM2" i="11"/>
  <c r="BL2" i="11"/>
  <c r="BK2" i="11"/>
  <c r="BJ2" i="11"/>
  <c r="BI2" i="11"/>
  <c r="BH2" i="11"/>
  <c r="BG2" i="11"/>
  <c r="BG10" i="11"/>
  <c r="BF2" i="11"/>
  <c r="BE2" i="11"/>
  <c r="BD2" i="11"/>
  <c r="BC2" i="11"/>
  <c r="BB2" i="11"/>
  <c r="BA2" i="11"/>
  <c r="AZ2" i="11"/>
  <c r="AZ7" i="11"/>
  <c r="AY2" i="11"/>
  <c r="AY19" i="11"/>
  <c r="AX2" i="11"/>
  <c r="AW2" i="11"/>
  <c r="AV2" i="11"/>
  <c r="AU2" i="11"/>
  <c r="AU29" i="11"/>
  <c r="AT2" i="11"/>
  <c r="AS2" i="11"/>
  <c r="AR2" i="11"/>
  <c r="AQ2" i="11"/>
  <c r="AP2" i="11"/>
  <c r="AO2" i="11"/>
  <c r="AN2" i="11"/>
  <c r="AM2" i="11"/>
  <c r="AM8" i="11"/>
  <c r="AL2" i="11"/>
  <c r="AK2" i="11"/>
  <c r="AJ2" i="11"/>
  <c r="AJ31" i="11"/>
  <c r="AI2" i="11"/>
  <c r="AH2" i="11"/>
  <c r="AG2" i="11"/>
  <c r="AF2" i="11"/>
  <c r="AE2" i="11"/>
  <c r="AE8" i="11"/>
  <c r="AD2" i="11"/>
  <c r="AC2" i="11"/>
  <c r="AB2" i="11"/>
  <c r="AB31" i="11"/>
  <c r="AA2" i="11"/>
  <c r="Z2" i="11"/>
  <c r="Y2" i="11"/>
  <c r="X2" i="11"/>
  <c r="W2" i="11"/>
  <c r="W24" i="11"/>
  <c r="V2" i="11"/>
  <c r="U2" i="11"/>
  <c r="T2" i="11"/>
  <c r="T8" i="11"/>
  <c r="S2" i="11"/>
  <c r="R2" i="11"/>
  <c r="Q2" i="11"/>
  <c r="X69" i="11"/>
  <c r="X65" i="11"/>
  <c r="X61" i="11"/>
  <c r="X51" i="11"/>
  <c r="X53" i="11"/>
  <c r="X32" i="11"/>
  <c r="X28" i="11"/>
  <c r="X22" i="11"/>
  <c r="X17" i="11"/>
  <c r="X13" i="11"/>
  <c r="AF69" i="11"/>
  <c r="AF65" i="11"/>
  <c r="AF61" i="11"/>
  <c r="AF57" i="11"/>
  <c r="AF32" i="11"/>
  <c r="AF28" i="11"/>
  <c r="AF22" i="11"/>
  <c r="AF36" i="11"/>
  <c r="AN69" i="11"/>
  <c r="AN65" i="11"/>
  <c r="AN61" i="11"/>
  <c r="AN57" i="11"/>
  <c r="AN39" i="11"/>
  <c r="AN28" i="11"/>
  <c r="AN21" i="11"/>
  <c r="AN47" i="11"/>
  <c r="AR51" i="11"/>
  <c r="AR55" i="11"/>
  <c r="AR45" i="11"/>
  <c r="AR36" i="11"/>
  <c r="AR21" i="11"/>
  <c r="AR16" i="11"/>
  <c r="AR12" i="11"/>
  <c r="AR53" i="11"/>
  <c r="AR22" i="11"/>
  <c r="AV69" i="11"/>
  <c r="AV65" i="11"/>
  <c r="AV61" i="11"/>
  <c r="AV57" i="11"/>
  <c r="AV50" i="11"/>
  <c r="AV36" i="11"/>
  <c r="AV21" i="11"/>
  <c r="AV32" i="11"/>
  <c r="AV26" i="11"/>
  <c r="BD69" i="11"/>
  <c r="BD65" i="11"/>
  <c r="BD61" i="11"/>
  <c r="BD57" i="11"/>
  <c r="BD38" i="11"/>
  <c r="BD53" i="11"/>
  <c r="BD36" i="11"/>
  <c r="BD21" i="11"/>
  <c r="BD51" i="11"/>
  <c r="BD26" i="11"/>
  <c r="BL69" i="11"/>
  <c r="BL65" i="11"/>
  <c r="BL61" i="11"/>
  <c r="BL57" i="11"/>
  <c r="BL48" i="11"/>
  <c r="BL32" i="11"/>
  <c r="BL21" i="11"/>
  <c r="BL54" i="11"/>
  <c r="BL26" i="11"/>
  <c r="BL45" i="11"/>
  <c r="BT69" i="11"/>
  <c r="BT65" i="11"/>
  <c r="BT61" i="11"/>
  <c r="BT36" i="11"/>
  <c r="BT56" i="11"/>
  <c r="BT42" i="11"/>
  <c r="BT21" i="11"/>
  <c r="BT38" i="11"/>
  <c r="BT26" i="11"/>
  <c r="BX60" i="11"/>
  <c r="BX58" i="11"/>
  <c r="BX21" i="11"/>
  <c r="BX16" i="11"/>
  <c r="BX12" i="11"/>
  <c r="BX10" i="11"/>
  <c r="BX38" i="11"/>
  <c r="BX36" i="11"/>
  <c r="BX22" i="11"/>
  <c r="BX32" i="11"/>
  <c r="CF66" i="11"/>
  <c r="CF64" i="11"/>
  <c r="CF62" i="11"/>
  <c r="CF60" i="11"/>
  <c r="CF58" i="11"/>
  <c r="CF48" i="11"/>
  <c r="CF21" i="11"/>
  <c r="CF16" i="11"/>
  <c r="CF12" i="11"/>
  <c r="CF22" i="11"/>
  <c r="CB30" i="11"/>
  <c r="BT30" i="11"/>
  <c r="BL30" i="11"/>
  <c r="BD30" i="11"/>
  <c r="AV30" i="11"/>
  <c r="AM30" i="11"/>
  <c r="AE30" i="11"/>
  <c r="W30" i="11"/>
  <c r="S66" i="11"/>
  <c r="S64" i="11"/>
  <c r="S62" i="11"/>
  <c r="S60" i="11"/>
  <c r="S58" i="11"/>
  <c r="S39" i="11"/>
  <c r="S48" i="11"/>
  <c r="S20" i="11"/>
  <c r="S16" i="11"/>
  <c r="S12" i="11"/>
  <c r="AA66" i="11"/>
  <c r="AA64" i="11"/>
  <c r="AA62" i="11"/>
  <c r="AA60" i="11"/>
  <c r="AA58" i="11"/>
  <c r="AA50" i="11"/>
  <c r="AA36" i="11"/>
  <c r="AA38" i="11"/>
  <c r="AA20" i="11"/>
  <c r="AA16" i="11"/>
  <c r="AI66" i="11"/>
  <c r="AI64" i="11"/>
  <c r="AI62" i="11"/>
  <c r="AI60" i="11"/>
  <c r="AI58" i="11"/>
  <c r="AI53" i="11"/>
  <c r="AI45" i="11"/>
  <c r="AQ66" i="11"/>
  <c r="AQ64" i="11"/>
  <c r="AQ62" i="11"/>
  <c r="AQ60" i="11"/>
  <c r="AQ58" i="11"/>
  <c r="AQ44" i="11"/>
  <c r="AQ38" i="11"/>
  <c r="AQ54" i="11"/>
  <c r="AQ42" i="11"/>
  <c r="AQ24" i="11"/>
  <c r="AQ22" i="11"/>
  <c r="AQ36" i="11"/>
  <c r="AQ32" i="11"/>
  <c r="BC66" i="11"/>
  <c r="BC64" i="11"/>
  <c r="BC62" i="11"/>
  <c r="BC60" i="11"/>
  <c r="BC58" i="11"/>
  <c r="BC68" i="11"/>
  <c r="BC53" i="11"/>
  <c r="BC22" i="11"/>
  <c r="BC56" i="11"/>
  <c r="BC10" i="11"/>
  <c r="BC38" i="11"/>
  <c r="BK68" i="11"/>
  <c r="BK56" i="11"/>
  <c r="BK50" i="11"/>
  <c r="BK39" i="11"/>
  <c r="BK22" i="11"/>
  <c r="BK66" i="11"/>
  <c r="BK62" i="11"/>
  <c r="BK58" i="11"/>
  <c r="BK48" i="11"/>
  <c r="BK64" i="11"/>
  <c r="BK60" i="11"/>
  <c r="BS66" i="11"/>
  <c r="BS64" i="11"/>
  <c r="BS62" i="11"/>
  <c r="BS60" i="11"/>
  <c r="BS58" i="11"/>
  <c r="BS68" i="11"/>
  <c r="BS38" i="11"/>
  <c r="BS22" i="11"/>
  <c r="BS10" i="11"/>
  <c r="BS51" i="11"/>
  <c r="CE67" i="11"/>
  <c r="CE65" i="11"/>
  <c r="CE63" i="11"/>
  <c r="CE61" i="11"/>
  <c r="CE59" i="11"/>
  <c r="CE57" i="11"/>
  <c r="CE38" i="11"/>
  <c r="CE49" i="11"/>
  <c r="CE47" i="11"/>
  <c r="CE24" i="11"/>
  <c r="CE22" i="11"/>
  <c r="CD11" i="11"/>
  <c r="BZ11" i="11"/>
  <c r="BV11" i="11"/>
  <c r="BR11" i="11"/>
  <c r="BN11" i="11"/>
  <c r="BJ11" i="11"/>
  <c r="BF11" i="11"/>
  <c r="BB11" i="11"/>
  <c r="AX11" i="11"/>
  <c r="AT11" i="11"/>
  <c r="AP11" i="11"/>
  <c r="AL11" i="11"/>
  <c r="AH11" i="11"/>
  <c r="AD11" i="11"/>
  <c r="Z11" i="11"/>
  <c r="U11" i="11"/>
  <c r="Q11" i="11"/>
  <c r="CG11" i="11"/>
  <c r="CC11" i="11"/>
  <c r="BY11" i="11"/>
  <c r="BU11" i="11"/>
  <c r="BQ11" i="11"/>
  <c r="BM11" i="11"/>
  <c r="BI11" i="11"/>
  <c r="BE11" i="11"/>
  <c r="BA11" i="11"/>
  <c r="AW11" i="11"/>
  <c r="AS11" i="11"/>
  <c r="AO11" i="11"/>
  <c r="AK11" i="11"/>
  <c r="AG11" i="11"/>
  <c r="AC11" i="11"/>
  <c r="X11" i="11"/>
  <c r="CB11" i="11"/>
  <c r="BT11" i="11"/>
  <c r="BL11" i="11"/>
  <c r="BD11" i="11"/>
  <c r="AV11" i="11"/>
  <c r="AN11" i="11"/>
  <c r="AF11" i="11"/>
  <c r="W11" i="11"/>
  <c r="R11" i="11"/>
  <c r="CF11" i="11"/>
  <c r="BX11" i="11"/>
  <c r="BP11" i="11"/>
  <c r="BH11" i="11"/>
  <c r="AZ11" i="11"/>
  <c r="AR11" i="11"/>
  <c r="AJ11" i="11"/>
  <c r="AB11" i="11"/>
  <c r="T11" i="11"/>
  <c r="CA11" i="11"/>
  <c r="BS11" i="11"/>
  <c r="BK11" i="11"/>
  <c r="BC11" i="11"/>
  <c r="AU11" i="11"/>
  <c r="AM11" i="11"/>
  <c r="AE11" i="11"/>
  <c r="V11" i="11"/>
  <c r="CE25" i="11"/>
  <c r="CA25" i="11"/>
  <c r="BW25" i="11"/>
  <c r="BS25" i="11"/>
  <c r="BO25" i="11"/>
  <c r="BK25" i="11"/>
  <c r="BG25" i="11"/>
  <c r="BC25" i="11"/>
  <c r="AY25" i="11"/>
  <c r="AU25" i="11"/>
  <c r="AQ25" i="11"/>
  <c r="AK25" i="11"/>
  <c r="AG25" i="11"/>
  <c r="AC25" i="11"/>
  <c r="Y25" i="11"/>
  <c r="U25" i="11"/>
  <c r="Q25" i="11"/>
  <c r="BZ25" i="11"/>
  <c r="BR25" i="11"/>
  <c r="BJ25" i="11"/>
  <c r="BB25" i="11"/>
  <c r="AT25" i="11"/>
  <c r="AJ25" i="11"/>
  <c r="AB25" i="11"/>
  <c r="T25" i="11"/>
  <c r="CD25" i="11"/>
  <c r="BV25" i="11"/>
  <c r="BN25" i="11"/>
  <c r="BF25" i="11"/>
  <c r="AX25" i="11"/>
  <c r="AP25" i="11"/>
  <c r="AF25" i="11"/>
  <c r="X25" i="11"/>
  <c r="CG25" i="11"/>
  <c r="BY25" i="11"/>
  <c r="BQ25" i="11"/>
  <c r="BI25" i="11"/>
  <c r="BA25" i="11"/>
  <c r="AS25" i="11"/>
  <c r="AI25" i="11"/>
  <c r="AA25" i="11"/>
  <c r="S25" i="11"/>
  <c r="Y3" i="11"/>
  <c r="AO3" i="11"/>
  <c r="BE3" i="11"/>
  <c r="BU3" i="11"/>
  <c r="CG4" i="11"/>
  <c r="AE4" i="11"/>
  <c r="AU4" i="11"/>
  <c r="BK4" i="11"/>
  <c r="CA4" i="11"/>
  <c r="X5" i="11"/>
  <c r="AV5" i="11"/>
  <c r="CE6" i="11"/>
  <c r="AC6" i="11"/>
  <c r="AS6" i="11"/>
  <c r="BI6" i="11"/>
  <c r="BY6" i="11"/>
  <c r="Q7" i="11"/>
  <c r="AJ7" i="11"/>
  <c r="AI8" i="11"/>
  <c r="AY8" i="11"/>
  <c r="BO8" i="11"/>
  <c r="CE8" i="11"/>
  <c r="AO9" i="11"/>
  <c r="BJ9" i="11"/>
  <c r="CE9" i="11"/>
  <c r="AL10" i="11"/>
  <c r="AV10" i="11"/>
  <c r="AI11" i="11"/>
  <c r="AO12" i="11"/>
  <c r="AT13" i="11"/>
  <c r="R14" i="11"/>
  <c r="CE14" i="11"/>
  <c r="AY15" i="11"/>
  <c r="BE16" i="11"/>
  <c r="BJ17" i="11"/>
  <c r="BO18" i="11"/>
  <c r="BO19" i="11"/>
  <c r="BZ20" i="11"/>
  <c r="BV20" i="11"/>
  <c r="CC21" i="11"/>
  <c r="AE23" i="11"/>
  <c r="CA24" i="11"/>
  <c r="AN24" i="11"/>
  <c r="BT24" i="11"/>
  <c r="CC25" i="11"/>
  <c r="BC26" i="11"/>
  <c r="AB27" i="11"/>
  <c r="Y28" i="11"/>
  <c r="AD29" i="11"/>
  <c r="BK29" i="11"/>
  <c r="BS30" i="11"/>
  <c r="AR31" i="11"/>
  <c r="AF3" i="11"/>
  <c r="BD3" i="11"/>
  <c r="CF4" i="11"/>
  <c r="AD4" i="11"/>
  <c r="AT4" i="11"/>
  <c r="BJ4" i="11"/>
  <c r="BZ4" i="11"/>
  <c r="U5" i="11"/>
  <c r="AK5" i="11"/>
  <c r="BA5" i="11"/>
  <c r="BI5" i="11"/>
  <c r="BQ5" i="11"/>
  <c r="BY5" i="11"/>
  <c r="CG5" i="11"/>
  <c r="Z6" i="11"/>
  <c r="AP6" i="11"/>
  <c r="BF6" i="11"/>
  <c r="BV6" i="11"/>
  <c r="Y7" i="11"/>
  <c r="AO7" i="11"/>
  <c r="BE7" i="11"/>
  <c r="BU7" i="11"/>
  <c r="CD8" i="11"/>
  <c r="AF8" i="11"/>
  <c r="BD8" i="11"/>
  <c r="CD9" i="11"/>
  <c r="AK9" i="11"/>
  <c r="BF9" i="11"/>
  <c r="CA9" i="11"/>
  <c r="V10" i="11"/>
  <c r="AR10" i="11"/>
  <c r="AA11" i="11"/>
  <c r="BM12" i="11"/>
  <c r="AL13" i="11"/>
  <c r="BW14" i="11"/>
  <c r="AQ15" i="11"/>
  <c r="BW15" i="11"/>
  <c r="AW16" i="11"/>
  <c r="BB17" i="11"/>
  <c r="Z19" i="11"/>
  <c r="BG19" i="11"/>
  <c r="AF20" i="11"/>
  <c r="AO21" i="11"/>
  <c r="BU21" i="11"/>
  <c r="AV22" i="11"/>
  <c r="CB22" i="11"/>
  <c r="W23" i="11"/>
  <c r="BF23" i="11"/>
  <c r="AE24" i="11"/>
  <c r="BL24" i="11"/>
  <c r="AO25" i="11"/>
  <c r="BU25" i="11"/>
  <c r="AU26" i="11"/>
  <c r="CA26" i="11"/>
  <c r="BA27" i="11"/>
  <c r="CG27" i="11"/>
  <c r="Q28" i="11"/>
  <c r="AX28" i="11"/>
  <c r="CD28" i="11"/>
  <c r="V29" i="11"/>
  <c r="BC29" i="11"/>
  <c r="CE30" i="11"/>
  <c r="AD30" i="11"/>
  <c r="BK30" i="11"/>
  <c r="CC31" i="11"/>
  <c r="AX67" i="11"/>
  <c r="BJ28" i="11"/>
  <c r="BN17" i="11"/>
  <c r="BR32" i="11"/>
  <c r="BV17" i="11"/>
  <c r="BZ28" i="11"/>
  <c r="CD44" i="11"/>
  <c r="CE3" i="11"/>
  <c r="U3" i="11"/>
  <c r="AC3" i="11"/>
  <c r="AK3" i="11"/>
  <c r="AS3" i="11"/>
  <c r="BA3" i="11"/>
  <c r="BI3" i="11"/>
  <c r="BQ3" i="11"/>
  <c r="BY3" i="11"/>
  <c r="CG3" i="11"/>
  <c r="Q4" i="11"/>
  <c r="AA4" i="11"/>
  <c r="AI4" i="11"/>
  <c r="AQ4" i="11"/>
  <c r="AY4" i="11"/>
  <c r="BG4" i="11"/>
  <c r="BO4" i="11"/>
  <c r="CE4" i="11"/>
  <c r="T5" i="11"/>
  <c r="AB5" i="11"/>
  <c r="AJ5" i="11"/>
  <c r="AR5" i="11"/>
  <c r="AZ5" i="11"/>
  <c r="BH5" i="11"/>
  <c r="BP5" i="11"/>
  <c r="BX5" i="11"/>
  <c r="Y6" i="11"/>
  <c r="AG6" i="11"/>
  <c r="AO6" i="11"/>
  <c r="AW6" i="11"/>
  <c r="BE6" i="11"/>
  <c r="BM6" i="11"/>
  <c r="BU6" i="11"/>
  <c r="CC6" i="11"/>
  <c r="X7" i="11"/>
  <c r="AF7" i="11"/>
  <c r="AN7" i="11"/>
  <c r="AV7" i="11"/>
  <c r="BD7" i="11"/>
  <c r="BL7" i="11"/>
  <c r="BT7" i="11"/>
  <c r="AU8" i="11"/>
  <c r="BC8" i="11"/>
  <c r="BK8" i="11"/>
  <c r="BS8" i="11"/>
  <c r="CA8" i="11"/>
  <c r="Y9" i="11"/>
  <c r="AI9" i="11"/>
  <c r="AT9" i="11"/>
  <c r="BE9" i="11"/>
  <c r="BO9" i="11"/>
  <c r="BZ9" i="11"/>
  <c r="U10" i="11"/>
  <c r="AF10" i="11"/>
  <c r="AQ10" i="11"/>
  <c r="S11" i="11"/>
  <c r="AY11" i="11"/>
  <c r="CE11" i="11"/>
  <c r="X12" i="11"/>
  <c r="BE12" i="11"/>
  <c r="AD13" i="11"/>
  <c r="BJ13" i="11"/>
  <c r="AI14" i="11"/>
  <c r="AI15" i="11"/>
  <c r="CG16" i="11"/>
  <c r="AO16" i="11"/>
  <c r="BU16" i="11"/>
  <c r="AT17" i="11"/>
  <c r="BZ17" i="11"/>
  <c r="R18" i="11"/>
  <c r="AY18" i="11"/>
  <c r="R19" i="11"/>
  <c r="CE19" i="11"/>
  <c r="X20" i="11"/>
  <c r="BF20" i="11"/>
  <c r="AD21" i="11"/>
  <c r="BM21" i="11"/>
  <c r="AN22" i="11"/>
  <c r="BT22" i="11"/>
  <c r="AX23" i="11"/>
  <c r="BD24" i="11"/>
  <c r="AE25" i="11"/>
  <c r="BM25" i="11"/>
  <c r="AK26" i="11"/>
  <c r="BS26" i="11"/>
  <c r="AS27" i="11"/>
  <c r="BY27" i="11"/>
  <c r="AO28" i="11"/>
  <c r="V30" i="11"/>
  <c r="BC30" i="11"/>
  <c r="CE31" i="11"/>
  <c r="BJ43" i="11"/>
  <c r="BF52" i="11"/>
  <c r="BM55" i="11"/>
  <c r="T57" i="11"/>
  <c r="T50" i="11"/>
  <c r="T22" i="11"/>
  <c r="T17" i="11"/>
  <c r="T13" i="11"/>
  <c r="T32" i="11"/>
  <c r="T28" i="11"/>
  <c r="T45" i="11"/>
  <c r="T39" i="11"/>
  <c r="AB57" i="11"/>
  <c r="AB36" i="11"/>
  <c r="AB22" i="11"/>
  <c r="AB17" i="11"/>
  <c r="AB42" i="11"/>
  <c r="AB32" i="11"/>
  <c r="AB28" i="11"/>
  <c r="AB12" i="11"/>
  <c r="AB51" i="11"/>
  <c r="AJ45" i="11"/>
  <c r="AJ32" i="11"/>
  <c r="AJ28" i="11"/>
  <c r="AJ16" i="11"/>
  <c r="AJ12" i="11"/>
  <c r="AZ50" i="11"/>
  <c r="AZ21" i="11"/>
  <c r="AZ16" i="11"/>
  <c r="AZ12" i="11"/>
  <c r="AZ22" i="11"/>
  <c r="AZ42" i="11"/>
  <c r="BH44" i="11"/>
  <c r="BH38" i="11"/>
  <c r="BH51" i="11"/>
  <c r="BH36" i="11"/>
  <c r="BH49" i="11"/>
  <c r="BH21" i="11"/>
  <c r="BH16" i="11"/>
  <c r="BH12" i="11"/>
  <c r="BH10" i="11"/>
  <c r="BH32" i="11"/>
  <c r="BH22" i="11"/>
  <c r="BP53" i="11"/>
  <c r="BP21" i="11"/>
  <c r="BP16" i="11"/>
  <c r="BP12" i="11"/>
  <c r="BP22" i="11"/>
  <c r="BP44" i="11"/>
  <c r="CB69" i="11"/>
  <c r="CB64" i="11"/>
  <c r="CB62" i="11"/>
  <c r="CB60" i="11"/>
  <c r="CB58" i="11"/>
  <c r="CB56" i="11"/>
  <c r="CB48" i="11"/>
  <c r="CB45" i="11"/>
  <c r="CB21" i="11"/>
  <c r="CB44" i="11"/>
  <c r="CB32" i="11"/>
  <c r="CB26" i="11"/>
  <c r="CB52" i="11"/>
  <c r="BN53" i="11"/>
  <c r="BJ67" i="11"/>
  <c r="BJ63" i="11"/>
  <c r="BJ59" i="11"/>
  <c r="BV50" i="11"/>
  <c r="BU45" i="11"/>
  <c r="BV39" i="11"/>
  <c r="AC39" i="11"/>
  <c r="AW38" i="11"/>
  <c r="BN36" i="11"/>
  <c r="BQ32" i="11"/>
  <c r="CD29" i="11"/>
  <c r="BV29" i="11"/>
  <c r="BN29" i="11"/>
  <c r="AO29" i="11"/>
  <c r="AG29" i="11"/>
  <c r="Y29" i="11"/>
  <c r="Q29" i="11"/>
  <c r="CG28" i="11"/>
  <c r="BY28" i="11"/>
  <c r="BQ28" i="11"/>
  <c r="BI28" i="11"/>
  <c r="BA28" i="11"/>
  <c r="AS28" i="11"/>
  <c r="AL26" i="11"/>
  <c r="AD26" i="11"/>
  <c r="V26" i="11"/>
  <c r="AH24" i="11"/>
  <c r="Z24" i="11"/>
  <c r="R24" i="11"/>
  <c r="AG21" i="11"/>
  <c r="Y21" i="11"/>
  <c r="Q21" i="11"/>
  <c r="CG20" i="11"/>
  <c r="BY20" i="11"/>
  <c r="BQ20" i="11"/>
  <c r="BI20" i="11"/>
  <c r="BA20" i="11"/>
  <c r="AS20" i="11"/>
  <c r="AK20" i="11"/>
  <c r="CC17" i="11"/>
  <c r="BU17" i="11"/>
  <c r="BM17" i="11"/>
  <c r="BE17" i="11"/>
  <c r="AW17" i="11"/>
  <c r="AO17" i="11"/>
  <c r="AG17" i="11"/>
  <c r="CC13" i="11"/>
  <c r="BU13" i="11"/>
  <c r="BM13" i="11"/>
  <c r="BE13" i="11"/>
  <c r="AW13" i="11"/>
  <c r="AO13" i="11"/>
  <c r="AG13" i="11"/>
  <c r="CD10" i="11"/>
  <c r="BN10" i="11"/>
  <c r="AX10" i="11"/>
  <c r="AK52" i="11"/>
  <c r="AW51" i="11"/>
  <c r="BU49" i="11"/>
  <c r="AD49" i="11"/>
  <c r="BA48" i="11"/>
  <c r="BY47" i="11"/>
  <c r="AG47" i="11"/>
  <c r="AL44" i="11"/>
  <c r="BY43" i="11"/>
  <c r="AT43" i="11"/>
  <c r="R43" i="11"/>
  <c r="CC42" i="11"/>
  <c r="BM39" i="11"/>
  <c r="AO39" i="11"/>
  <c r="BM38" i="11"/>
  <c r="AP38" i="11"/>
  <c r="U38" i="11"/>
  <c r="BM36" i="11"/>
  <c r="U36" i="11"/>
  <c r="BM32" i="11"/>
  <c r="BB32" i="11"/>
  <c r="AG32" i="11"/>
  <c r="Y32" i="11"/>
  <c r="Q32" i="11"/>
  <c r="CG31" i="11"/>
  <c r="BY31" i="11"/>
  <c r="BQ31" i="11"/>
  <c r="BI31" i="11"/>
  <c r="BA31" i="11"/>
  <c r="W66" i="11"/>
  <c r="W64" i="11"/>
  <c r="W62" i="11"/>
  <c r="W60" i="11"/>
  <c r="W58" i="11"/>
  <c r="W68" i="11"/>
  <c r="W45" i="11"/>
  <c r="W56" i="11"/>
  <c r="W36" i="11"/>
  <c r="W53" i="11"/>
  <c r="W42" i="11"/>
  <c r="AE68" i="11"/>
  <c r="AE56" i="11"/>
  <c r="AE66" i="11"/>
  <c r="AE64" i="11"/>
  <c r="AE62" i="11"/>
  <c r="AE60" i="11"/>
  <c r="AE58" i="11"/>
  <c r="AE44" i="11"/>
  <c r="AE50" i="11"/>
  <c r="AE48" i="11"/>
  <c r="AE39" i="11"/>
  <c r="AE38" i="11"/>
  <c r="AM66" i="11"/>
  <c r="AM64" i="11"/>
  <c r="AM62" i="11"/>
  <c r="AM60" i="11"/>
  <c r="AM58" i="11"/>
  <c r="AM68" i="11"/>
  <c r="AM36" i="11"/>
  <c r="AM56" i="11"/>
  <c r="AM22" i="11"/>
  <c r="AM49" i="11"/>
  <c r="AU66" i="11"/>
  <c r="AU64" i="11"/>
  <c r="AU62" i="11"/>
  <c r="AU60" i="11"/>
  <c r="AU58" i="11"/>
  <c r="AU56" i="11"/>
  <c r="AU48" i="11"/>
  <c r="AU68" i="11"/>
  <c r="AU38" i="11"/>
  <c r="AU22" i="11"/>
  <c r="AU54" i="11"/>
  <c r="AY48" i="11"/>
  <c r="AY45" i="11"/>
  <c r="AY66" i="11"/>
  <c r="AY62" i="11"/>
  <c r="AY58" i="11"/>
  <c r="AY64" i="11"/>
  <c r="AY60" i="11"/>
  <c r="AY44" i="11"/>
  <c r="AY39" i="11"/>
  <c r="AY24" i="11"/>
  <c r="AY22" i="11"/>
  <c r="AY49" i="11"/>
  <c r="BG66" i="11"/>
  <c r="BG64" i="11"/>
  <c r="BG62" i="11"/>
  <c r="BG60" i="11"/>
  <c r="BG58" i="11"/>
  <c r="BG44" i="11"/>
  <c r="BG24" i="11"/>
  <c r="BG22" i="11"/>
  <c r="BG50" i="11"/>
  <c r="BO66" i="11"/>
  <c r="BO64" i="11"/>
  <c r="BO62" i="11"/>
  <c r="BO60" i="11"/>
  <c r="BO58" i="11"/>
  <c r="BO51" i="11"/>
  <c r="BO45" i="11"/>
  <c r="BO38" i="11"/>
  <c r="BO24" i="11"/>
  <c r="BO22" i="11"/>
  <c r="BW66" i="11"/>
  <c r="BW64" i="11"/>
  <c r="BW62" i="11"/>
  <c r="BW59" i="11"/>
  <c r="BW57" i="11"/>
  <c r="BW44" i="11"/>
  <c r="BW24" i="11"/>
  <c r="BW22" i="11"/>
  <c r="BW48" i="11"/>
  <c r="BW39" i="11"/>
  <c r="CA68" i="11"/>
  <c r="CA66" i="11"/>
  <c r="CA63" i="11"/>
  <c r="CA61" i="11"/>
  <c r="CA59" i="11"/>
  <c r="CA57" i="11"/>
  <c r="CA22" i="11"/>
  <c r="CA53" i="11"/>
  <c r="CA45" i="11"/>
  <c r="CE5" i="11"/>
  <c r="CA5" i="11"/>
  <c r="BW5" i="11"/>
  <c r="BS5" i="11"/>
  <c r="BO5" i="11"/>
  <c r="BK5" i="11"/>
  <c r="BG5" i="11"/>
  <c r="BC5" i="11"/>
  <c r="AY5" i="11"/>
  <c r="AU5" i="11"/>
  <c r="AQ5" i="11"/>
  <c r="AM5" i="11"/>
  <c r="AI5" i="11"/>
  <c r="AE5" i="11"/>
  <c r="AA5" i="11"/>
  <c r="W5" i="11"/>
  <c r="Q5" i="11"/>
  <c r="CD5" i="11"/>
  <c r="BZ5" i="11"/>
  <c r="BV5" i="11"/>
  <c r="BR5" i="11"/>
  <c r="BN5" i="11"/>
  <c r="BJ5" i="11"/>
  <c r="BF5" i="11"/>
  <c r="BB5" i="11"/>
  <c r="AX5" i="11"/>
  <c r="AT5" i="11"/>
  <c r="AP5" i="11"/>
  <c r="AL5" i="11"/>
  <c r="AH5" i="11"/>
  <c r="AD5" i="11"/>
  <c r="Z5" i="11"/>
  <c r="V5" i="11"/>
  <c r="CG18" i="11"/>
  <c r="CC18" i="11"/>
  <c r="BY18" i="11"/>
  <c r="BU18" i="11"/>
  <c r="BQ18" i="11"/>
  <c r="BM18" i="11"/>
  <c r="BI18" i="11"/>
  <c r="BE18" i="11"/>
  <c r="BA18" i="11"/>
  <c r="AW18" i="11"/>
  <c r="AS18" i="11"/>
  <c r="AO18" i="11"/>
  <c r="AK18" i="11"/>
  <c r="AG18" i="11"/>
  <c r="AB18" i="11"/>
  <c r="X18" i="11"/>
  <c r="T18" i="11"/>
  <c r="CF18" i="11"/>
  <c r="CB18" i="11"/>
  <c r="BX18" i="11"/>
  <c r="BT18" i="11"/>
  <c r="BP18" i="11"/>
  <c r="BL18" i="11"/>
  <c r="BH18" i="11"/>
  <c r="BD18" i="11"/>
  <c r="AZ18" i="11"/>
  <c r="AV18" i="11"/>
  <c r="AR18" i="11"/>
  <c r="AN18" i="11"/>
  <c r="AJ18" i="11"/>
  <c r="AE18" i="11"/>
  <c r="AA18" i="11"/>
  <c r="W18" i="11"/>
  <c r="S18" i="11"/>
  <c r="CD18" i="11"/>
  <c r="BV18" i="11"/>
  <c r="BN18" i="11"/>
  <c r="BF18" i="11"/>
  <c r="AX18" i="11"/>
  <c r="AP18" i="11"/>
  <c r="AH18" i="11"/>
  <c r="Y18" i="11"/>
  <c r="Q18" i="11"/>
  <c r="BZ18" i="11"/>
  <c r="BR18" i="11"/>
  <c r="BJ18" i="11"/>
  <c r="BB18" i="11"/>
  <c r="AT18" i="11"/>
  <c r="AL18" i="11"/>
  <c r="AC18" i="11"/>
  <c r="U18" i="11"/>
  <c r="CA18" i="11"/>
  <c r="BS18" i="11"/>
  <c r="BK18" i="11"/>
  <c r="BC18" i="11"/>
  <c r="AU18" i="11"/>
  <c r="AM18" i="11"/>
  <c r="AD18" i="11"/>
  <c r="V18" i="11"/>
  <c r="CE7" i="11"/>
  <c r="CA7" i="11"/>
  <c r="BW7" i="11"/>
  <c r="BS7" i="11"/>
  <c r="BO7" i="11"/>
  <c r="BK7" i="11"/>
  <c r="BG7" i="11"/>
  <c r="BC7" i="11"/>
  <c r="AY7" i="11"/>
  <c r="AU7" i="11"/>
  <c r="AQ7" i="11"/>
  <c r="AM7" i="11"/>
  <c r="AI7" i="11"/>
  <c r="AE7" i="11"/>
  <c r="AA7" i="11"/>
  <c r="T7" i="11"/>
  <c r="CD7" i="11"/>
  <c r="BZ7" i="11"/>
  <c r="BV7" i="11"/>
  <c r="BR7" i="11"/>
  <c r="BN7" i="11"/>
  <c r="BJ7" i="11"/>
  <c r="BF7" i="11"/>
  <c r="BB7" i="11"/>
  <c r="AX7" i="11"/>
  <c r="AT7" i="11"/>
  <c r="AP7" i="11"/>
  <c r="AL7" i="11"/>
  <c r="AH7" i="11"/>
  <c r="AD7" i="11"/>
  <c r="Z7" i="11"/>
  <c r="S7" i="11"/>
  <c r="CG14" i="11"/>
  <c r="CC14" i="11"/>
  <c r="BY14" i="11"/>
  <c r="BU14" i="11"/>
  <c r="BQ14" i="11"/>
  <c r="BM14" i="11"/>
  <c r="BI14" i="11"/>
  <c r="BE14" i="11"/>
  <c r="BA14" i="11"/>
  <c r="AW14" i="11"/>
  <c r="AS14" i="11"/>
  <c r="AO14" i="11"/>
  <c r="AK14" i="11"/>
  <c r="AG14" i="11"/>
  <c r="AC14" i="11"/>
  <c r="X14" i="11"/>
  <c r="T14" i="11"/>
  <c r="CF14" i="11"/>
  <c r="CB14" i="11"/>
  <c r="BX14" i="11"/>
  <c r="BT14" i="11"/>
  <c r="BP14" i="11"/>
  <c r="BL14" i="11"/>
  <c r="BH14" i="11"/>
  <c r="BD14" i="11"/>
  <c r="AZ14" i="11"/>
  <c r="AV14" i="11"/>
  <c r="AR14" i="11"/>
  <c r="AN14" i="11"/>
  <c r="AJ14" i="11"/>
  <c r="AF14" i="11"/>
  <c r="AA14" i="11"/>
  <c r="W14" i="11"/>
  <c r="S14" i="11"/>
  <c r="CD14" i="11"/>
  <c r="BV14" i="11"/>
  <c r="BN14" i="11"/>
  <c r="BF14" i="11"/>
  <c r="AX14" i="11"/>
  <c r="AP14" i="11"/>
  <c r="AH14" i="11"/>
  <c r="Y14" i="11"/>
  <c r="Q14" i="11"/>
  <c r="BZ14" i="11"/>
  <c r="BR14" i="11"/>
  <c r="BJ14" i="11"/>
  <c r="BB14" i="11"/>
  <c r="AT14" i="11"/>
  <c r="AL14" i="11"/>
  <c r="AD14" i="11"/>
  <c r="U14" i="11"/>
  <c r="CA14" i="11"/>
  <c r="BS14" i="11"/>
  <c r="BK14" i="11"/>
  <c r="BC14" i="11"/>
  <c r="AU14" i="11"/>
  <c r="AM14" i="11"/>
  <c r="AE14" i="11"/>
  <c r="V14" i="11"/>
  <c r="CF23" i="11"/>
  <c r="CB23" i="11"/>
  <c r="BX23" i="11"/>
  <c r="BT23" i="11"/>
  <c r="BP23" i="11"/>
  <c r="BL23" i="11"/>
  <c r="BH23" i="11"/>
  <c r="BD23" i="11"/>
  <c r="AZ23" i="11"/>
  <c r="AV23" i="11"/>
  <c r="AR23" i="11"/>
  <c r="AN23" i="11"/>
  <c r="AG23" i="11"/>
  <c r="AC23" i="11"/>
  <c r="Y23" i="11"/>
  <c r="U23" i="11"/>
  <c r="Q23" i="11"/>
  <c r="CA23" i="11"/>
  <c r="BS23" i="11"/>
  <c r="BK23" i="11"/>
  <c r="BC23" i="11"/>
  <c r="AU23" i="11"/>
  <c r="AM23" i="11"/>
  <c r="AB23" i="11"/>
  <c r="T23" i="11"/>
  <c r="CE23" i="11"/>
  <c r="BW23" i="11"/>
  <c r="BO23" i="11"/>
  <c r="BG23" i="11"/>
  <c r="AY23" i="11"/>
  <c r="AQ23" i="11"/>
  <c r="AF23" i="11"/>
  <c r="X23" i="11"/>
  <c r="BZ23" i="11"/>
  <c r="BR23" i="11"/>
  <c r="BJ23" i="11"/>
  <c r="BB23" i="11"/>
  <c r="AT23" i="11"/>
  <c r="AL23" i="11"/>
  <c r="AA23" i="11"/>
  <c r="S23" i="11"/>
  <c r="AG3" i="11"/>
  <c r="AW3" i="11"/>
  <c r="BM3" i="11"/>
  <c r="CC3" i="11"/>
  <c r="W4" i="11"/>
  <c r="AM4" i="11"/>
  <c r="BC4" i="11"/>
  <c r="BS4" i="11"/>
  <c r="AF5" i="11"/>
  <c r="AN5" i="11"/>
  <c r="BD5" i="11"/>
  <c r="BL5" i="11"/>
  <c r="BT5" i="11"/>
  <c r="U6" i="11"/>
  <c r="AK6" i="11"/>
  <c r="BA6" i="11"/>
  <c r="BQ6" i="11"/>
  <c r="CG6" i="11"/>
  <c r="AB7" i="11"/>
  <c r="AR7" i="11"/>
  <c r="BH7" i="11"/>
  <c r="BX7" i="11"/>
  <c r="CF7" i="11"/>
  <c r="AA8" i="11"/>
  <c r="AQ8" i="11"/>
  <c r="BG8" i="11"/>
  <c r="BW8" i="11"/>
  <c r="AD9" i="11"/>
  <c r="AY9" i="11"/>
  <c r="BU9" i="11"/>
  <c r="AA10" i="11"/>
  <c r="BR10" i="11"/>
  <c r="BO11" i="11"/>
  <c r="CG12" i="11"/>
  <c r="BU12" i="11"/>
  <c r="BZ13" i="11"/>
  <c r="AY14" i="11"/>
  <c r="R15" i="11"/>
  <c r="CE15" i="11"/>
  <c r="X16" i="11"/>
  <c r="AC17" i="11"/>
  <c r="AI18" i="11"/>
  <c r="AI19" i="11"/>
  <c r="AP20" i="11"/>
  <c r="AW21" i="11"/>
  <c r="U22" i="11"/>
  <c r="BD22" i="11"/>
  <c r="BN23" i="11"/>
  <c r="AW25" i="11"/>
  <c r="U26" i="11"/>
  <c r="CE27" i="11"/>
  <c r="BI27" i="11"/>
  <c r="BF28" i="11"/>
  <c r="AL30" i="11"/>
  <c r="X3" i="11"/>
  <c r="AN3" i="11"/>
  <c r="AV3" i="11"/>
  <c r="BL3" i="11"/>
  <c r="BT3" i="11"/>
  <c r="CB3" i="11"/>
  <c r="V4" i="11"/>
  <c r="AL4" i="11"/>
  <c r="BB4" i="11"/>
  <c r="BR4" i="11"/>
  <c r="AC5" i="11"/>
  <c r="AS5" i="11"/>
  <c r="Q6" i="11"/>
  <c r="AH6" i="11"/>
  <c r="AX6" i="11"/>
  <c r="BN6" i="11"/>
  <c r="CD6" i="11"/>
  <c r="AG7" i="11"/>
  <c r="AW7" i="11"/>
  <c r="BM7" i="11"/>
  <c r="CC7" i="11"/>
  <c r="X8" i="11"/>
  <c r="AN8" i="11"/>
  <c r="AV8" i="11"/>
  <c r="BL8" i="11"/>
  <c r="BT8" i="11"/>
  <c r="CB8" i="11"/>
  <c r="Z9" i="11"/>
  <c r="AU9" i="11"/>
  <c r="BQ9" i="11"/>
  <c r="CF10" i="11"/>
  <c r="AH10" i="11"/>
  <c r="BL10" i="11"/>
  <c r="BG11" i="11"/>
  <c r="AG12" i="11"/>
  <c r="BR13" i="11"/>
  <c r="AQ14" i="11"/>
  <c r="CC16" i="11"/>
  <c r="U17" i="11"/>
  <c r="Z18" i="11"/>
  <c r="BG18" i="11"/>
  <c r="CA19" i="11"/>
  <c r="BN20" i="11"/>
  <c r="T27" i="11"/>
  <c r="T3" i="11"/>
  <c r="AB3" i="11"/>
  <c r="AJ3" i="11"/>
  <c r="AR3" i="11"/>
  <c r="AZ3" i="11"/>
  <c r="BH3" i="11"/>
  <c r="BP3" i="11"/>
  <c r="BX3" i="11"/>
  <c r="Z4" i="11"/>
  <c r="AH4" i="11"/>
  <c r="AP4" i="11"/>
  <c r="AX4" i="11"/>
  <c r="BF4" i="11"/>
  <c r="BN4" i="11"/>
  <c r="BV4" i="11"/>
  <c r="CD4" i="11"/>
  <c r="Y5" i="11"/>
  <c r="AG5" i="11"/>
  <c r="AO5" i="11"/>
  <c r="AW5" i="11"/>
  <c r="BE5" i="11"/>
  <c r="BM5" i="11"/>
  <c r="BU5" i="11"/>
  <c r="CC5" i="11"/>
  <c r="CF6" i="11"/>
  <c r="V6" i="11"/>
  <c r="AD6" i="11"/>
  <c r="AL6" i="11"/>
  <c r="AT6" i="11"/>
  <c r="BB6" i="11"/>
  <c r="BJ6" i="11"/>
  <c r="BR6" i="11"/>
  <c r="BZ6" i="11"/>
  <c r="R7" i="11"/>
  <c r="AC7" i="11"/>
  <c r="AK7" i="11"/>
  <c r="AS7" i="11"/>
  <c r="BA7" i="11"/>
  <c r="BI7" i="11"/>
  <c r="BQ7" i="11"/>
  <c r="BY7" i="11"/>
  <c r="CG7" i="11"/>
  <c r="Q8" i="11"/>
  <c r="AB8" i="11"/>
  <c r="AJ8" i="11"/>
  <c r="AR8" i="11"/>
  <c r="AZ8" i="11"/>
  <c r="BH8" i="11"/>
  <c r="BP8" i="11"/>
  <c r="BX8" i="11"/>
  <c r="CF8" i="11"/>
  <c r="R9" i="11"/>
  <c r="AE9" i="11"/>
  <c r="AP9" i="11"/>
  <c r="BA9" i="11"/>
  <c r="BK9" i="11"/>
  <c r="BV9" i="11"/>
  <c r="CG9" i="11"/>
  <c r="Q10" i="11"/>
  <c r="AB10" i="11"/>
  <c r="AM10" i="11"/>
  <c r="BB10" i="11"/>
  <c r="BW10" i="11"/>
  <c r="AQ11" i="11"/>
  <c r="BW11" i="11"/>
  <c r="AW12" i="11"/>
  <c r="CC12" i="11"/>
  <c r="U13" i="11"/>
  <c r="BB13" i="11"/>
  <c r="Z14" i="11"/>
  <c r="BG14" i="11"/>
  <c r="CA15" i="11"/>
  <c r="Z15" i="11"/>
  <c r="BG15" i="11"/>
  <c r="AG16" i="11"/>
  <c r="BM16" i="11"/>
  <c r="AL17" i="11"/>
  <c r="BR17" i="11"/>
  <c r="AQ18" i="11"/>
  <c r="BW18" i="11"/>
  <c r="AQ19" i="11"/>
  <c r="BW19" i="11"/>
  <c r="AX20" i="11"/>
  <c r="CD20" i="11"/>
  <c r="V21" i="11"/>
  <c r="BE21" i="11"/>
  <c r="AC22" i="11"/>
  <c r="BL22" i="11"/>
  <c r="AP23" i="11"/>
  <c r="BV23" i="11"/>
  <c r="AV24" i="11"/>
  <c r="CB24" i="11"/>
  <c r="W25" i="11"/>
  <c r="BE25" i="11"/>
  <c r="CE26" i="11"/>
  <c r="AC26" i="11"/>
  <c r="BK26" i="11"/>
  <c r="CC27" i="11"/>
  <c r="AJ27" i="11"/>
  <c r="BQ27" i="11"/>
  <c r="AG28" i="11"/>
  <c r="BN28" i="11"/>
  <c r="AL29" i="11"/>
  <c r="BS29" i="11"/>
  <c r="AU30" i="11"/>
  <c r="CA30" i="11"/>
  <c r="T31" i="11"/>
  <c r="CF33" i="11"/>
  <c r="CB33" i="11"/>
  <c r="BX33" i="11"/>
  <c r="BT33" i="11"/>
  <c r="BP33" i="11"/>
  <c r="BL33" i="11"/>
  <c r="CC33" i="11"/>
  <c r="BW33" i="11"/>
  <c r="BR33" i="11"/>
  <c r="BM33" i="11"/>
  <c r="BH33" i="11"/>
  <c r="BD33" i="11"/>
  <c r="AZ33" i="11"/>
  <c r="AV33" i="11"/>
  <c r="AQ33" i="11"/>
  <c r="AM33" i="11"/>
  <c r="AI33" i="11"/>
  <c r="AE33" i="11"/>
  <c r="AA33" i="11"/>
  <c r="W33" i="11"/>
  <c r="S33" i="11"/>
  <c r="CA33" i="11"/>
  <c r="BU33" i="11"/>
  <c r="BN33" i="11"/>
  <c r="BG33" i="11"/>
  <c r="BB33" i="11"/>
  <c r="AW33" i="11"/>
  <c r="AP33" i="11"/>
  <c r="AK33" i="11"/>
  <c r="AF33" i="11"/>
  <c r="Z33" i="11"/>
  <c r="U33" i="11"/>
  <c r="CG33" i="11"/>
  <c r="BZ33" i="11"/>
  <c r="BS33" i="11"/>
  <c r="BK33" i="11"/>
  <c r="BF33" i="11"/>
  <c r="BA33" i="11"/>
  <c r="AT33" i="11"/>
  <c r="AO33" i="11"/>
  <c r="AJ33" i="11"/>
  <c r="AD33" i="11"/>
  <c r="Y33" i="11"/>
  <c r="T33" i="11"/>
  <c r="CF34" i="11"/>
  <c r="BX34" i="11"/>
  <c r="BR34" i="11"/>
  <c r="BK34" i="11"/>
  <c r="BC34" i="11"/>
  <c r="AU34" i="11"/>
  <c r="AO34" i="11"/>
  <c r="AG34" i="11"/>
  <c r="Z34" i="11"/>
  <c r="S34" i="11"/>
  <c r="CD34" i="11"/>
  <c r="BW34" i="11"/>
  <c r="BP34" i="11"/>
  <c r="BH34" i="11"/>
  <c r="BB34" i="11"/>
  <c r="AT34" i="11"/>
  <c r="AL34" i="11"/>
  <c r="AE34" i="11"/>
  <c r="Y34" i="11"/>
  <c r="Q34" i="11"/>
  <c r="CD35" i="11"/>
  <c r="BZ35" i="11"/>
  <c r="BV35" i="11"/>
  <c r="BR35" i="11"/>
  <c r="BN35" i="11"/>
  <c r="BJ35" i="11"/>
  <c r="BF35" i="11"/>
  <c r="BB35" i="11"/>
  <c r="AX35" i="11"/>
  <c r="AS35" i="11"/>
  <c r="AO35" i="11"/>
  <c r="AK35" i="11"/>
  <c r="AG35" i="11"/>
  <c r="AC35" i="11"/>
  <c r="Y35" i="11"/>
  <c r="U35" i="11"/>
  <c r="Q35" i="11"/>
  <c r="CE35" i="11"/>
  <c r="BY35" i="11"/>
  <c r="BT35" i="11"/>
  <c r="BO35" i="11"/>
  <c r="BI35" i="11"/>
  <c r="BD35" i="11"/>
  <c r="AY35" i="11"/>
  <c r="AR35" i="11"/>
  <c r="AM35" i="11"/>
  <c r="AH35" i="11"/>
  <c r="CC35" i="11"/>
  <c r="BX35" i="11"/>
  <c r="BS35" i="11"/>
  <c r="BM35" i="11"/>
  <c r="BH35" i="11"/>
  <c r="BC35" i="11"/>
  <c r="AV35" i="11"/>
  <c r="AQ35" i="11"/>
  <c r="AL35" i="11"/>
  <c r="AF35" i="11"/>
  <c r="AA35" i="11"/>
  <c r="V35" i="11"/>
  <c r="CG35" i="11"/>
  <c r="BW35" i="11"/>
  <c r="BL35" i="11"/>
  <c r="BA35" i="11"/>
  <c r="AP35" i="11"/>
  <c r="AE35" i="11"/>
  <c r="X35" i="11"/>
  <c r="R35" i="11"/>
  <c r="CF35" i="11"/>
  <c r="BU35" i="11"/>
  <c r="BK35" i="11"/>
  <c r="AZ35" i="11"/>
  <c r="AN35" i="11"/>
  <c r="AD35" i="11"/>
  <c r="W35" i="11"/>
  <c r="CF37" i="11"/>
  <c r="CB37" i="11"/>
  <c r="BX37" i="11"/>
  <c r="BT37" i="11"/>
  <c r="BP37" i="11"/>
  <c r="BL37" i="11"/>
  <c r="BH37" i="11"/>
  <c r="BD37" i="11"/>
  <c r="AZ37" i="11"/>
  <c r="AU37" i="11"/>
  <c r="AQ37" i="11"/>
  <c r="AM37" i="11"/>
  <c r="AI37" i="11"/>
  <c r="AE37" i="11"/>
  <c r="AA37" i="11"/>
  <c r="W37" i="11"/>
  <c r="S37" i="11"/>
  <c r="CD37" i="11"/>
  <c r="BY37" i="11"/>
  <c r="BS37" i="11"/>
  <c r="BN37" i="11"/>
  <c r="BI37" i="11"/>
  <c r="BC37" i="11"/>
  <c r="AW37" i="11"/>
  <c r="AR37" i="11"/>
  <c r="AL37" i="11"/>
  <c r="AG37" i="11"/>
  <c r="AB37" i="11"/>
  <c r="V37" i="11"/>
  <c r="Q37" i="11"/>
  <c r="CC37" i="11"/>
  <c r="BW37" i="11"/>
  <c r="BR37" i="11"/>
  <c r="BM37" i="11"/>
  <c r="BG37" i="11"/>
  <c r="BB37" i="11"/>
  <c r="AV37" i="11"/>
  <c r="AP37" i="11"/>
  <c r="AK37" i="11"/>
  <c r="AF37" i="11"/>
  <c r="Z37" i="11"/>
  <c r="U37" i="11"/>
  <c r="CE37" i="11"/>
  <c r="BU37" i="11"/>
  <c r="BJ37" i="11"/>
  <c r="AX37" i="11"/>
  <c r="AN37" i="11"/>
  <c r="AC37" i="11"/>
  <c r="R37" i="11"/>
  <c r="CA37" i="11"/>
  <c r="BQ37" i="11"/>
  <c r="BF37" i="11"/>
  <c r="AT37" i="11"/>
  <c r="AJ37" i="11"/>
  <c r="Y37" i="11"/>
  <c r="CG40" i="11"/>
  <c r="CC40" i="11"/>
  <c r="BY40" i="11"/>
  <c r="BU40" i="11"/>
  <c r="BQ40" i="11"/>
  <c r="BM40" i="11"/>
  <c r="BI40" i="11"/>
  <c r="BE40" i="11"/>
  <c r="AZ40" i="11"/>
  <c r="AV40" i="11"/>
  <c r="AR40" i="11"/>
  <c r="AN40" i="11"/>
  <c r="AJ40" i="11"/>
  <c r="AF40" i="11"/>
  <c r="AB40" i="11"/>
  <c r="X40" i="11"/>
  <c r="T40" i="11"/>
  <c r="CE40" i="11"/>
  <c r="BZ40" i="11"/>
  <c r="CD40" i="11"/>
  <c r="BW40" i="11"/>
  <c r="BR40" i="11"/>
  <c r="BL40" i="11"/>
  <c r="BG40" i="11"/>
  <c r="BA40" i="11"/>
  <c r="AU40" i="11"/>
  <c r="AP40" i="11"/>
  <c r="AK40" i="11"/>
  <c r="AE40" i="11"/>
  <c r="Z40" i="11"/>
  <c r="U40" i="11"/>
  <c r="CB40" i="11"/>
  <c r="BV40" i="11"/>
  <c r="BP40" i="11"/>
  <c r="BK40" i="11"/>
  <c r="BF40" i="11"/>
  <c r="AY40" i="11"/>
  <c r="AT40" i="11"/>
  <c r="AO40" i="11"/>
  <c r="AI40" i="11"/>
  <c r="AD40" i="11"/>
  <c r="Y40" i="11"/>
  <c r="S40" i="11"/>
  <c r="CA40" i="11"/>
  <c r="BO40" i="11"/>
  <c r="BD40" i="11"/>
  <c r="AS40" i="11"/>
  <c r="AH40" i="11"/>
  <c r="W40" i="11"/>
  <c r="BX40" i="11"/>
  <c r="BN40" i="11"/>
  <c r="BC40" i="11"/>
  <c r="AQ40" i="11"/>
  <c r="AG40" i="11"/>
  <c r="V40" i="11"/>
  <c r="CD41" i="11"/>
  <c r="BZ41" i="11"/>
  <c r="BV41" i="11"/>
  <c r="BR41" i="11"/>
  <c r="BN41" i="11"/>
  <c r="BJ41" i="11"/>
  <c r="BF41" i="11"/>
  <c r="BA41" i="11"/>
  <c r="AW41" i="11"/>
  <c r="AS41" i="11"/>
  <c r="AO41" i="11"/>
  <c r="AK41" i="11"/>
  <c r="AG41" i="11"/>
  <c r="AC41" i="11"/>
  <c r="Y41" i="11"/>
  <c r="U41" i="11"/>
  <c r="Q41" i="11"/>
  <c r="CC41" i="11"/>
  <c r="BX41" i="11"/>
  <c r="BS41" i="11"/>
  <c r="BM41" i="11"/>
  <c r="BH41" i="11"/>
  <c r="BB41" i="11"/>
  <c r="AV41" i="11"/>
  <c r="AQ41" i="11"/>
  <c r="AL41" i="11"/>
  <c r="AF41" i="11"/>
  <c r="AA41" i="11"/>
  <c r="V41" i="11"/>
  <c r="CB41" i="11"/>
  <c r="BU41" i="11"/>
  <c r="BO41" i="11"/>
  <c r="BG41" i="11"/>
  <c r="AY41" i="11"/>
  <c r="AR41" i="11"/>
  <c r="AJ41" i="11"/>
  <c r="AD41" i="11"/>
  <c r="W41" i="11"/>
  <c r="CG41" i="11"/>
  <c r="CA41" i="11"/>
  <c r="BT41" i="11"/>
  <c r="BL41" i="11"/>
  <c r="BE41" i="11"/>
  <c r="AX41" i="11"/>
  <c r="AP41" i="11"/>
  <c r="AI41" i="11"/>
  <c r="AB41" i="11"/>
  <c r="T41" i="11"/>
  <c r="CF41" i="11"/>
  <c r="BQ41" i="11"/>
  <c r="BD41" i="11"/>
  <c r="AN41" i="11"/>
  <c r="Z41" i="11"/>
  <c r="CE41" i="11"/>
  <c r="BP41" i="11"/>
  <c r="AZ41" i="11"/>
  <c r="AM41" i="11"/>
  <c r="X41" i="11"/>
  <c r="CD46" i="11"/>
  <c r="BY46" i="11"/>
  <c r="BT46" i="11"/>
  <c r="BN46" i="11"/>
  <c r="BI46" i="11"/>
  <c r="BC46" i="11"/>
  <c r="AW46" i="11"/>
  <c r="AR46" i="11"/>
  <c r="AM46" i="11"/>
  <c r="AG46" i="11"/>
  <c r="AB46" i="11"/>
  <c r="W46" i="11"/>
  <c r="Q46" i="11"/>
  <c r="CF46" i="11"/>
  <c r="BZ46" i="11"/>
  <c r="BU46" i="11"/>
  <c r="BP46" i="11"/>
  <c r="BJ46" i="11"/>
  <c r="BD46" i="11"/>
  <c r="AY46" i="11"/>
  <c r="AS46" i="11"/>
  <c r="AN46" i="11"/>
  <c r="AI46" i="11"/>
  <c r="AC46" i="11"/>
  <c r="X46" i="11"/>
  <c r="S46" i="11"/>
  <c r="CG46" i="11"/>
  <c r="BV46" i="11"/>
  <c r="BL46" i="11"/>
  <c r="AZ46" i="11"/>
  <c r="AO46" i="11"/>
  <c r="AE46" i="11"/>
  <c r="T46" i="11"/>
  <c r="CC46" i="11"/>
  <c r="BR46" i="11"/>
  <c r="BG46" i="11"/>
  <c r="AV46" i="11"/>
  <c r="AK46" i="11"/>
  <c r="AA46" i="11"/>
  <c r="BQ46" i="11"/>
  <c r="AU46" i="11"/>
  <c r="Y46" i="11"/>
  <c r="BM46" i="11"/>
  <c r="AQ46" i="11"/>
  <c r="U46" i="11"/>
  <c r="R67" i="11"/>
  <c r="R65" i="11"/>
  <c r="R63" i="11"/>
  <c r="R61" i="11"/>
  <c r="R59" i="11"/>
  <c r="V67" i="11"/>
  <c r="V65" i="11"/>
  <c r="V63" i="11"/>
  <c r="V61" i="11"/>
  <c r="V59" i="11"/>
  <c r="V69" i="11"/>
  <c r="V51" i="11"/>
  <c r="V57" i="11"/>
  <c r="V38" i="11"/>
  <c r="Z57" i="11"/>
  <c r="Z67" i="11"/>
  <c r="Z65" i="11"/>
  <c r="Z63" i="11"/>
  <c r="Z61" i="11"/>
  <c r="Z59" i="11"/>
  <c r="Z48" i="11"/>
  <c r="Z38" i="11"/>
  <c r="AD69" i="11"/>
  <c r="AD67" i="11"/>
  <c r="AD65" i="11"/>
  <c r="AD63" i="11"/>
  <c r="AD61" i="11"/>
  <c r="AD59" i="11"/>
  <c r="AD57" i="11"/>
  <c r="AD48" i="11"/>
  <c r="AD44" i="11"/>
  <c r="AH67" i="11"/>
  <c r="AH65" i="11"/>
  <c r="AH63" i="11"/>
  <c r="AH61" i="11"/>
  <c r="AH59" i="11"/>
  <c r="AH57" i="11"/>
  <c r="AH53" i="11"/>
  <c r="AL69" i="11"/>
  <c r="AL67" i="11"/>
  <c r="AL65" i="11"/>
  <c r="AL63" i="11"/>
  <c r="AL61" i="11"/>
  <c r="AL59" i="11"/>
  <c r="AL57" i="11"/>
  <c r="AL51" i="11"/>
  <c r="AP67" i="11"/>
  <c r="AP65" i="11"/>
  <c r="AP63" i="11"/>
  <c r="AP61" i="11"/>
  <c r="AP59" i="11"/>
  <c r="AP57" i="11"/>
  <c r="AP48" i="11"/>
  <c r="AT69" i="11"/>
  <c r="AT67" i="11"/>
  <c r="AT65" i="11"/>
  <c r="AT63" i="11"/>
  <c r="AT61" i="11"/>
  <c r="AT59" i="11"/>
  <c r="AT57" i="11"/>
  <c r="AT44" i="11"/>
  <c r="AT53" i="11"/>
  <c r="BB67" i="11"/>
  <c r="BB65" i="11"/>
  <c r="BB63" i="11"/>
  <c r="BB61" i="11"/>
  <c r="BB59" i="11"/>
  <c r="BB57" i="11"/>
  <c r="BB51" i="11"/>
  <c r="BF67" i="11"/>
  <c r="BF65" i="11"/>
  <c r="BF63" i="11"/>
  <c r="BF61" i="11"/>
  <c r="BF59" i="11"/>
  <c r="BF57" i="11"/>
  <c r="BF48" i="11"/>
  <c r="Q70" i="11"/>
  <c r="Q68" i="11"/>
  <c r="Q64" i="11"/>
  <c r="Q60" i="11"/>
  <c r="Q57" i="11"/>
  <c r="Q44" i="11"/>
  <c r="Q36" i="11"/>
  <c r="Q51" i="11"/>
  <c r="U57" i="11"/>
  <c r="U70" i="11"/>
  <c r="U56" i="11"/>
  <c r="U48" i="11"/>
  <c r="Y70" i="11"/>
  <c r="Y68" i="11"/>
  <c r="Y64" i="11"/>
  <c r="Y60" i="11"/>
  <c r="Y57" i="11"/>
  <c r="AG70" i="11"/>
  <c r="AG68" i="11"/>
  <c r="AG64" i="11"/>
  <c r="AG60" i="11"/>
  <c r="AG51" i="11"/>
  <c r="AG38" i="11"/>
  <c r="AK48" i="11"/>
  <c r="AK70" i="11"/>
  <c r="AK38" i="11"/>
  <c r="AK36" i="11"/>
  <c r="AO70" i="11"/>
  <c r="AO68" i="11"/>
  <c r="AO64" i="11"/>
  <c r="AO60" i="11"/>
  <c r="AO50" i="11"/>
  <c r="AS70" i="11"/>
  <c r="AS51" i="11"/>
  <c r="AW70" i="11"/>
  <c r="AW68" i="11"/>
  <c r="AW64" i="11"/>
  <c r="AW60" i="11"/>
  <c r="AW36" i="11"/>
  <c r="BA70" i="11"/>
  <c r="BA56" i="11"/>
  <c r="BE70" i="11"/>
  <c r="BE68" i="11"/>
  <c r="BE64" i="11"/>
  <c r="BE60" i="11"/>
  <c r="BI70" i="11"/>
  <c r="BI36" i="11"/>
  <c r="BM70" i="11"/>
  <c r="BM68" i="11"/>
  <c r="BM64" i="11"/>
  <c r="BM60" i="11"/>
  <c r="BU70" i="11"/>
  <c r="BU68" i="11"/>
  <c r="BU64" i="11"/>
  <c r="BU60" i="11"/>
  <c r="BU57" i="11"/>
  <c r="BY70" i="11"/>
  <c r="BY51" i="11"/>
  <c r="BY53" i="11"/>
  <c r="BY38" i="11"/>
  <c r="CC70" i="11"/>
  <c r="CC68" i="11"/>
  <c r="CC65" i="11"/>
  <c r="CC61" i="11"/>
  <c r="CC57" i="11"/>
  <c r="CC38" i="11"/>
  <c r="CC36" i="11"/>
  <c r="CF9" i="11"/>
  <c r="CB9" i="11"/>
  <c r="BX9" i="11"/>
  <c r="BT9" i="11"/>
  <c r="BP9" i="11"/>
  <c r="BL9" i="11"/>
  <c r="BH9" i="11"/>
  <c r="BD9" i="11"/>
  <c r="AZ9" i="11"/>
  <c r="AV9" i="11"/>
  <c r="AR9" i="11"/>
  <c r="AN9" i="11"/>
  <c r="AJ9" i="11"/>
  <c r="AF9" i="11"/>
  <c r="AB9" i="11"/>
  <c r="X9" i="11"/>
  <c r="Q9" i="11"/>
  <c r="CG10" i="11"/>
  <c r="CC10" i="11"/>
  <c r="BY10" i="11"/>
  <c r="BU10" i="11"/>
  <c r="BQ10" i="11"/>
  <c r="BM10" i="11"/>
  <c r="BI10" i="11"/>
  <c r="BE10" i="11"/>
  <c r="BA10" i="11"/>
  <c r="AW10" i="11"/>
  <c r="AS10" i="11"/>
  <c r="AO10" i="11"/>
  <c r="AK10" i="11"/>
  <c r="AG10" i="11"/>
  <c r="AC10" i="11"/>
  <c r="Y10" i="11"/>
  <c r="T10" i="11"/>
  <c r="CE21" i="11"/>
  <c r="CA21" i="11"/>
  <c r="BW21" i="11"/>
  <c r="BS21" i="11"/>
  <c r="BO21" i="11"/>
  <c r="BK21" i="11"/>
  <c r="BG21" i="11"/>
  <c r="BC21" i="11"/>
  <c r="AY21" i="11"/>
  <c r="AU21" i="11"/>
  <c r="AQ21" i="11"/>
  <c r="AM21" i="11"/>
  <c r="AF21" i="11"/>
  <c r="AB21" i="11"/>
  <c r="X21" i="11"/>
  <c r="T21" i="11"/>
  <c r="CD21" i="11"/>
  <c r="BZ21" i="11"/>
  <c r="BV21" i="11"/>
  <c r="BR21" i="11"/>
  <c r="BN21" i="11"/>
  <c r="BJ21" i="11"/>
  <c r="BF21" i="11"/>
  <c r="BB21" i="11"/>
  <c r="AX21" i="11"/>
  <c r="AT21" i="11"/>
  <c r="AP21" i="11"/>
  <c r="AL21" i="11"/>
  <c r="AE21" i="11"/>
  <c r="AA21" i="11"/>
  <c r="W21" i="11"/>
  <c r="S21" i="11"/>
  <c r="CD24" i="11"/>
  <c r="BZ24" i="11"/>
  <c r="BV24" i="11"/>
  <c r="BR24" i="11"/>
  <c r="BN24" i="11"/>
  <c r="BJ24" i="11"/>
  <c r="BF24" i="11"/>
  <c r="BB24" i="11"/>
  <c r="AX24" i="11"/>
  <c r="AT24" i="11"/>
  <c r="AP24" i="11"/>
  <c r="AK24" i="11"/>
  <c r="AG24" i="11"/>
  <c r="AC24" i="11"/>
  <c r="Y24" i="11"/>
  <c r="U24" i="11"/>
  <c r="Q24" i="11"/>
  <c r="CG24" i="11"/>
  <c r="CC24" i="11"/>
  <c r="BY24" i="11"/>
  <c r="BU24" i="11"/>
  <c r="BQ24" i="11"/>
  <c r="BM24" i="11"/>
  <c r="BI24" i="11"/>
  <c r="BE24" i="11"/>
  <c r="BA24" i="11"/>
  <c r="AW24" i="11"/>
  <c r="AS24" i="11"/>
  <c r="AO24" i="11"/>
  <c r="AJ24" i="11"/>
  <c r="AF24" i="11"/>
  <c r="AB24" i="11"/>
  <c r="X24" i="11"/>
  <c r="T24" i="11"/>
  <c r="CG29" i="11"/>
  <c r="CC29" i="11"/>
  <c r="BY29" i="11"/>
  <c r="BU29" i="11"/>
  <c r="BQ29" i="11"/>
  <c r="BM29" i="11"/>
  <c r="BI29" i="11"/>
  <c r="BE29" i="11"/>
  <c r="BA29" i="11"/>
  <c r="AW29" i="11"/>
  <c r="AS29" i="11"/>
  <c r="AN29" i="11"/>
  <c r="AJ29" i="11"/>
  <c r="AF29" i="11"/>
  <c r="AB29" i="11"/>
  <c r="X29" i="11"/>
  <c r="T29" i="11"/>
  <c r="CF29" i="11"/>
  <c r="CB29" i="11"/>
  <c r="BX29" i="11"/>
  <c r="BT29" i="11"/>
  <c r="BP29" i="11"/>
  <c r="BL29" i="11"/>
  <c r="BH29" i="11"/>
  <c r="BD29" i="11"/>
  <c r="AZ29" i="11"/>
  <c r="AV29" i="11"/>
  <c r="AR29" i="11"/>
  <c r="AM29" i="11"/>
  <c r="AI29" i="11"/>
  <c r="AE29" i="11"/>
  <c r="AA29" i="11"/>
  <c r="W29" i="11"/>
  <c r="S29" i="11"/>
  <c r="CF42" i="11"/>
  <c r="BZ42" i="11"/>
  <c r="BU42" i="11"/>
  <c r="BP42" i="11"/>
  <c r="BJ42" i="11"/>
  <c r="BE42" i="11"/>
  <c r="AY42" i="11"/>
  <c r="AS42" i="11"/>
  <c r="AN42" i="11"/>
  <c r="AI42" i="11"/>
  <c r="AC42" i="11"/>
  <c r="X42" i="11"/>
  <c r="S42" i="11"/>
  <c r="CG42" i="11"/>
  <c r="BY42" i="11"/>
  <c r="BR42" i="11"/>
  <c r="BL42" i="11"/>
  <c r="BC42" i="11"/>
  <c r="AV42" i="11"/>
  <c r="AO42" i="11"/>
  <c r="AG42" i="11"/>
  <c r="AA42" i="11"/>
  <c r="T42" i="11"/>
  <c r="CD42" i="11"/>
  <c r="BX42" i="11"/>
  <c r="BQ42" i="11"/>
  <c r="BI42" i="11"/>
  <c r="BA42" i="11"/>
  <c r="AU42" i="11"/>
  <c r="AM42" i="11"/>
  <c r="AF42" i="11"/>
  <c r="Y42" i="11"/>
  <c r="Q42" i="11"/>
  <c r="CB42" i="11"/>
  <c r="BM42" i="11"/>
  <c r="AW42" i="11"/>
  <c r="AJ42" i="11"/>
  <c r="U42" i="11"/>
  <c r="BV42" i="11"/>
  <c r="BH42" i="11"/>
  <c r="AR42" i="11"/>
  <c r="AE42" i="11"/>
  <c r="R33" i="11"/>
  <c r="AC33" i="11"/>
  <c r="AN33" i="11"/>
  <c r="AY33" i="11"/>
  <c r="BJ33" i="11"/>
  <c r="BY33" i="11"/>
  <c r="AA34" i="11"/>
  <c r="AP34" i="11"/>
  <c r="BF34" i="11"/>
  <c r="BS34" i="11"/>
  <c r="T35" i="11"/>
  <c r="AJ35" i="11"/>
  <c r="BG35" i="11"/>
  <c r="CB35" i="11"/>
  <c r="X37" i="11"/>
  <c r="AS37" i="11"/>
  <c r="BO37" i="11"/>
  <c r="CF39" i="11"/>
  <c r="R40" i="11"/>
  <c r="AM40" i="11"/>
  <c r="BJ40" i="11"/>
  <c r="S41" i="11"/>
  <c r="AU41" i="11"/>
  <c r="BY41" i="11"/>
  <c r="BT45" i="11"/>
  <c r="BA46" i="11"/>
  <c r="AC70" i="11"/>
  <c r="BQ70" i="11"/>
  <c r="CG50" i="11"/>
  <c r="R3" i="11"/>
  <c r="V3" i="11"/>
  <c r="Z3" i="11"/>
  <c r="AD3" i="11"/>
  <c r="AH3" i="11"/>
  <c r="AL3" i="11"/>
  <c r="AP3" i="11"/>
  <c r="AT3" i="11"/>
  <c r="AX3" i="11"/>
  <c r="BB3" i="11"/>
  <c r="BF3" i="11"/>
  <c r="BJ3" i="11"/>
  <c r="BN3" i="11"/>
  <c r="BR3" i="11"/>
  <c r="BV3" i="11"/>
  <c r="BZ3" i="11"/>
  <c r="CD3" i="11"/>
  <c r="T4" i="11"/>
  <c r="X4" i="11"/>
  <c r="AB4" i="11"/>
  <c r="AF4" i="11"/>
  <c r="AJ4" i="11"/>
  <c r="AN4" i="11"/>
  <c r="AR4" i="11"/>
  <c r="AV4" i="11"/>
  <c r="AZ4" i="11"/>
  <c r="BD4" i="11"/>
  <c r="BH4" i="11"/>
  <c r="BL4" i="11"/>
  <c r="BP4" i="11"/>
  <c r="BT4" i="11"/>
  <c r="BX4" i="11"/>
  <c r="CB4" i="11"/>
  <c r="R6" i="11"/>
  <c r="W6" i="11"/>
  <c r="AA6" i="11"/>
  <c r="AE6" i="11"/>
  <c r="AI6" i="11"/>
  <c r="AM6" i="11"/>
  <c r="AQ6" i="11"/>
  <c r="AU6" i="11"/>
  <c r="AY6" i="11"/>
  <c r="BC6" i="11"/>
  <c r="BG6" i="11"/>
  <c r="BK6" i="11"/>
  <c r="BO6" i="11"/>
  <c r="BS6" i="11"/>
  <c r="BW6" i="11"/>
  <c r="CA6" i="11"/>
  <c r="CG8" i="11"/>
  <c r="R8" i="11"/>
  <c r="Y8" i="11"/>
  <c r="AC8" i="11"/>
  <c r="AG8" i="11"/>
  <c r="AK8" i="11"/>
  <c r="AO8" i="11"/>
  <c r="AS8" i="11"/>
  <c r="AW8" i="11"/>
  <c r="BA8" i="11"/>
  <c r="BE8" i="11"/>
  <c r="BI8" i="11"/>
  <c r="BM8" i="11"/>
  <c r="BQ8" i="11"/>
  <c r="BU8" i="11"/>
  <c r="BY8" i="11"/>
  <c r="CC8" i="11"/>
  <c r="S9" i="11"/>
  <c r="AA9" i="11"/>
  <c r="AG9" i="11"/>
  <c r="AL9" i="11"/>
  <c r="AQ9" i="11"/>
  <c r="AW9" i="11"/>
  <c r="BB9" i="11"/>
  <c r="BG9" i="11"/>
  <c r="BM9" i="11"/>
  <c r="BR9" i="11"/>
  <c r="BW9" i="11"/>
  <c r="CC9" i="11"/>
  <c r="R10" i="11"/>
  <c r="W10" i="11"/>
  <c r="AD10" i="11"/>
  <c r="AI10" i="11"/>
  <c r="AN10" i="11"/>
  <c r="AT10" i="11"/>
  <c r="AY10" i="11"/>
  <c r="BD10" i="11"/>
  <c r="BJ10" i="11"/>
  <c r="BO10" i="11"/>
  <c r="BT10" i="11"/>
  <c r="BZ10" i="11"/>
  <c r="CE10" i="11"/>
  <c r="CE12" i="11"/>
  <c r="T12" i="11"/>
  <c r="AC12" i="11"/>
  <c r="AK12" i="11"/>
  <c r="AS12" i="11"/>
  <c r="BA12" i="11"/>
  <c r="BI12" i="11"/>
  <c r="BQ12" i="11"/>
  <c r="BY12" i="11"/>
  <c r="Q13" i="11"/>
  <c r="Y13" i="11"/>
  <c r="AH13" i="11"/>
  <c r="AP13" i="11"/>
  <c r="AX13" i="11"/>
  <c r="BF13" i="11"/>
  <c r="BN13" i="11"/>
  <c r="BV13" i="11"/>
  <c r="CD13" i="11"/>
  <c r="V15" i="11"/>
  <c r="AE15" i="11"/>
  <c r="AM15" i="11"/>
  <c r="AU15" i="11"/>
  <c r="BC15" i="11"/>
  <c r="BK15" i="11"/>
  <c r="BS15" i="11"/>
  <c r="CE16" i="11"/>
  <c r="T16" i="11"/>
  <c r="AB16" i="11"/>
  <c r="AK16" i="11"/>
  <c r="AS16" i="11"/>
  <c r="BA16" i="11"/>
  <c r="BI16" i="11"/>
  <c r="BQ16" i="11"/>
  <c r="BY16" i="11"/>
  <c r="Q17" i="11"/>
  <c r="Y17" i="11"/>
  <c r="AH17" i="11"/>
  <c r="AP17" i="11"/>
  <c r="AX17" i="11"/>
  <c r="BF17" i="11"/>
  <c r="CD17" i="11"/>
  <c r="V19" i="11"/>
  <c r="AD19" i="11"/>
  <c r="AM19" i="11"/>
  <c r="AU19" i="11"/>
  <c r="BC19" i="11"/>
  <c r="BK19" i="11"/>
  <c r="BS19" i="11"/>
  <c r="CF20" i="11"/>
  <c r="T20" i="11"/>
  <c r="AB20" i="11"/>
  <c r="AL20" i="11"/>
  <c r="AT20" i="11"/>
  <c r="BB20" i="11"/>
  <c r="BJ20" i="11"/>
  <c r="BR20" i="11"/>
  <c r="R21" i="11"/>
  <c r="Z21" i="11"/>
  <c r="AH21" i="11"/>
  <c r="AS21" i="11"/>
  <c r="BA21" i="11"/>
  <c r="BI21" i="11"/>
  <c r="BQ21" i="11"/>
  <c r="BY21" i="11"/>
  <c r="CG21" i="11"/>
  <c r="Q22" i="11"/>
  <c r="Y22" i="11"/>
  <c r="AG22" i="11"/>
  <c r="S24" i="11"/>
  <c r="AA24" i="11"/>
  <c r="AI24" i="11"/>
  <c r="AR24" i="11"/>
  <c r="AZ24" i="11"/>
  <c r="BH24" i="11"/>
  <c r="BP24" i="11"/>
  <c r="BX24" i="11"/>
  <c r="CF24" i="11"/>
  <c r="Q26" i="11"/>
  <c r="Y26" i="11"/>
  <c r="AG26" i="11"/>
  <c r="AQ26" i="11"/>
  <c r="AY26" i="11"/>
  <c r="BG26" i="11"/>
  <c r="BO26" i="11"/>
  <c r="BW26" i="11"/>
  <c r="X27" i="11"/>
  <c r="AF27" i="11"/>
  <c r="AN27" i="11"/>
  <c r="AW27" i="11"/>
  <c r="BE27" i="11"/>
  <c r="BM27" i="11"/>
  <c r="BU27" i="11"/>
  <c r="U28" i="11"/>
  <c r="AC28" i="11"/>
  <c r="AK28" i="11"/>
  <c r="AT28" i="11"/>
  <c r="BB28" i="11"/>
  <c r="BR28" i="11"/>
  <c r="R29" i="11"/>
  <c r="Z29" i="11"/>
  <c r="AH29" i="11"/>
  <c r="AP29" i="11"/>
  <c r="AY29" i="11"/>
  <c r="BG29" i="11"/>
  <c r="BO29" i="11"/>
  <c r="BW29" i="11"/>
  <c r="CE29" i="11"/>
  <c r="R30" i="11"/>
  <c r="Z30" i="11"/>
  <c r="AH30" i="11"/>
  <c r="AP30" i="11"/>
  <c r="AY30" i="11"/>
  <c r="BG30" i="11"/>
  <c r="BO30" i="11"/>
  <c r="BW30" i="11"/>
  <c r="X31" i="11"/>
  <c r="AF31" i="11"/>
  <c r="AN31" i="11"/>
  <c r="AW31" i="11"/>
  <c r="BE31" i="11"/>
  <c r="BM31" i="11"/>
  <c r="BU31" i="11"/>
  <c r="U32" i="11"/>
  <c r="AC32" i="11"/>
  <c r="AK32" i="11"/>
  <c r="AW32" i="11"/>
  <c r="CC32" i="11"/>
  <c r="X33" i="11"/>
  <c r="AH33" i="11"/>
  <c r="AS33" i="11"/>
  <c r="BE33" i="11"/>
  <c r="BQ33" i="11"/>
  <c r="CE33" i="11"/>
  <c r="U34" i="11"/>
  <c r="AI34" i="11"/>
  <c r="AX34" i="11"/>
  <c r="BL34" i="11"/>
  <c r="CA34" i="11"/>
  <c r="AB35" i="11"/>
  <c r="AU35" i="11"/>
  <c r="BQ35" i="11"/>
  <c r="CG36" i="11"/>
  <c r="BB36" i="11"/>
  <c r="AH37" i="11"/>
  <c r="BE37" i="11"/>
  <c r="BZ37" i="11"/>
  <c r="BB39" i="11"/>
  <c r="AC40" i="11"/>
  <c r="AX40" i="11"/>
  <c r="BT40" i="11"/>
  <c r="AH41" i="11"/>
  <c r="BK41" i="11"/>
  <c r="AK42" i="11"/>
  <c r="BN42" i="11"/>
  <c r="AG43" i="11"/>
  <c r="Y44" i="11"/>
  <c r="BA44" i="11"/>
  <c r="AX45" i="11"/>
  <c r="AF46" i="11"/>
  <c r="BX46" i="11"/>
  <c r="BB47" i="11"/>
  <c r="AK50" i="11"/>
  <c r="CC50" i="11"/>
  <c r="Y54" i="11"/>
  <c r="BQ54" i="11"/>
  <c r="V55" i="11"/>
  <c r="BQ56" i="11"/>
  <c r="AX57" i="11"/>
  <c r="AX61" i="11"/>
  <c r="AX65" i="11"/>
  <c r="CD15" i="11"/>
  <c r="BZ15" i="11"/>
  <c r="BV15" i="11"/>
  <c r="BR15" i="11"/>
  <c r="BN15" i="11"/>
  <c r="BJ15" i="11"/>
  <c r="BF15" i="11"/>
  <c r="BB15" i="11"/>
  <c r="AX15" i="11"/>
  <c r="AT15" i="11"/>
  <c r="AP15" i="11"/>
  <c r="AL15" i="11"/>
  <c r="AH15" i="11"/>
  <c r="AD15" i="11"/>
  <c r="Y15" i="11"/>
  <c r="U15" i="11"/>
  <c r="Q15" i="11"/>
  <c r="CG15" i="11"/>
  <c r="CC15" i="11"/>
  <c r="BY15" i="11"/>
  <c r="BU15" i="11"/>
  <c r="BQ15" i="11"/>
  <c r="BM15" i="11"/>
  <c r="BI15" i="11"/>
  <c r="BE15" i="11"/>
  <c r="BA15" i="11"/>
  <c r="AW15" i="11"/>
  <c r="AS15" i="11"/>
  <c r="AO15" i="11"/>
  <c r="AK15" i="11"/>
  <c r="AG15" i="11"/>
  <c r="AB15" i="11"/>
  <c r="X15" i="11"/>
  <c r="T15" i="11"/>
  <c r="CD19" i="11"/>
  <c r="BZ19" i="11"/>
  <c r="BV19" i="11"/>
  <c r="BR19" i="11"/>
  <c r="BN19" i="11"/>
  <c r="BJ19" i="11"/>
  <c r="BF19" i="11"/>
  <c r="BB19" i="11"/>
  <c r="AX19" i="11"/>
  <c r="AT19" i="11"/>
  <c r="AP19" i="11"/>
  <c r="AL19" i="11"/>
  <c r="AH19" i="11"/>
  <c r="AC19" i="11"/>
  <c r="Y19" i="11"/>
  <c r="U19" i="11"/>
  <c r="Q19" i="11"/>
  <c r="CG19" i="11"/>
  <c r="CC19" i="11"/>
  <c r="BY19" i="11"/>
  <c r="BU19" i="11"/>
  <c r="BQ19" i="11"/>
  <c r="BM19" i="11"/>
  <c r="BI19" i="11"/>
  <c r="BE19" i="11"/>
  <c r="BA19" i="11"/>
  <c r="AW19" i="11"/>
  <c r="AS19" i="11"/>
  <c r="AO19" i="11"/>
  <c r="AK19" i="11"/>
  <c r="AF19" i="11"/>
  <c r="AB19" i="11"/>
  <c r="X19" i="11"/>
  <c r="T19" i="11"/>
  <c r="CD27" i="11"/>
  <c r="BZ27" i="11"/>
  <c r="BV27" i="11"/>
  <c r="BR27" i="11"/>
  <c r="BN27" i="11"/>
  <c r="BJ27" i="11"/>
  <c r="BF27" i="11"/>
  <c r="BB27" i="11"/>
  <c r="AX27" i="11"/>
  <c r="AT27" i="11"/>
  <c r="AP27" i="11"/>
  <c r="AK27" i="11"/>
  <c r="AG27" i="11"/>
  <c r="AC27" i="11"/>
  <c r="Y27" i="11"/>
  <c r="U27" i="11"/>
  <c r="Q27" i="11"/>
  <c r="CD31" i="11"/>
  <c r="BZ31" i="11"/>
  <c r="BV31" i="11"/>
  <c r="BR31" i="11"/>
  <c r="BN31" i="11"/>
  <c r="BJ31" i="11"/>
  <c r="BF31" i="11"/>
  <c r="BB31" i="11"/>
  <c r="AX31" i="11"/>
  <c r="AT31" i="11"/>
  <c r="AO31" i="11"/>
  <c r="AK31" i="11"/>
  <c r="AG31" i="11"/>
  <c r="AC31" i="11"/>
  <c r="Y31" i="11"/>
  <c r="U31" i="11"/>
  <c r="Q31" i="11"/>
  <c r="CF43" i="11"/>
  <c r="CB43" i="11"/>
  <c r="BX43" i="11"/>
  <c r="BT43" i="11"/>
  <c r="BP43" i="11"/>
  <c r="BL43" i="11"/>
  <c r="BH43" i="11"/>
  <c r="BC43" i="11"/>
  <c r="AY43" i="11"/>
  <c r="AU43" i="11"/>
  <c r="AQ43" i="11"/>
  <c r="AM43" i="11"/>
  <c r="AI43" i="11"/>
  <c r="AE43" i="11"/>
  <c r="AA43" i="11"/>
  <c r="W43" i="11"/>
  <c r="S43" i="11"/>
  <c r="CC43" i="11"/>
  <c r="BW43" i="11"/>
  <c r="BR43" i="11"/>
  <c r="BM43" i="11"/>
  <c r="BG43" i="11"/>
  <c r="BA43" i="11"/>
  <c r="AV43" i="11"/>
  <c r="AP43" i="11"/>
  <c r="AK43" i="11"/>
  <c r="AF43" i="11"/>
  <c r="Z43" i="11"/>
  <c r="U43" i="11"/>
  <c r="CD43" i="11"/>
  <c r="BV43" i="11"/>
  <c r="BO43" i="11"/>
  <c r="BI43" i="11"/>
  <c r="AZ43" i="11"/>
  <c r="AS43" i="11"/>
  <c r="AL43" i="11"/>
  <c r="AD43" i="11"/>
  <c r="X43" i="11"/>
  <c r="Q43" i="11"/>
  <c r="CA43" i="11"/>
  <c r="BU43" i="11"/>
  <c r="BN43" i="11"/>
  <c r="BF43" i="11"/>
  <c r="AX43" i="11"/>
  <c r="AR43" i="11"/>
  <c r="AJ43" i="11"/>
  <c r="AC43" i="11"/>
  <c r="V43" i="11"/>
  <c r="CG43" i="11"/>
  <c r="BS43" i="11"/>
  <c r="BD43" i="11"/>
  <c r="AO43" i="11"/>
  <c r="AB43" i="11"/>
  <c r="CE43" i="11"/>
  <c r="BQ43" i="11"/>
  <c r="BB43" i="11"/>
  <c r="AN43" i="11"/>
  <c r="Y43" i="11"/>
  <c r="CD52" i="11"/>
  <c r="BX52" i="11"/>
  <c r="BS52" i="11"/>
  <c r="BM52" i="11"/>
  <c r="BG52" i="11"/>
  <c r="BB52" i="11"/>
  <c r="AW52" i="11"/>
  <c r="AQ52" i="11"/>
  <c r="AL52" i="11"/>
  <c r="AG52" i="11"/>
  <c r="AA52" i="11"/>
  <c r="V52" i="11"/>
  <c r="Q52" i="11"/>
  <c r="BW52" i="11"/>
  <c r="BK52" i="11"/>
  <c r="BA52" i="11"/>
  <c r="AP52" i="11"/>
  <c r="AE52" i="11"/>
  <c r="U52" i="11"/>
  <c r="CF52" i="11"/>
  <c r="BV52" i="11"/>
  <c r="BJ52" i="11"/>
  <c r="AY52" i="11"/>
  <c r="AO52" i="11"/>
  <c r="AD52" i="11"/>
  <c r="S52" i="11"/>
  <c r="BR52" i="11"/>
  <c r="AU52" i="11"/>
  <c r="Z52" i="11"/>
  <c r="BP52" i="11"/>
  <c r="AT52" i="11"/>
  <c r="Y52" i="11"/>
  <c r="S15" i="11"/>
  <c r="AA15" i="11"/>
  <c r="AJ15" i="11"/>
  <c r="AR15" i="11"/>
  <c r="AZ15" i="11"/>
  <c r="BH15" i="11"/>
  <c r="BP15" i="11"/>
  <c r="BX15" i="11"/>
  <c r="CF15" i="11"/>
  <c r="S19" i="11"/>
  <c r="AA19" i="11"/>
  <c r="AJ19" i="11"/>
  <c r="AR19" i="11"/>
  <c r="AZ19" i="11"/>
  <c r="BH19" i="11"/>
  <c r="BP19" i="11"/>
  <c r="BX19" i="11"/>
  <c r="CF19" i="11"/>
  <c r="W27" i="11"/>
  <c r="AE27" i="11"/>
  <c r="AM27" i="11"/>
  <c r="AV27" i="11"/>
  <c r="BD27" i="11"/>
  <c r="BL27" i="11"/>
  <c r="BT27" i="11"/>
  <c r="CB27" i="11"/>
  <c r="CF28" i="11"/>
  <c r="AX29" i="11"/>
  <c r="BF29" i="11"/>
  <c r="W31" i="11"/>
  <c r="AE31" i="11"/>
  <c r="AM31" i="11"/>
  <c r="AV31" i="11"/>
  <c r="BD31" i="11"/>
  <c r="BL31" i="11"/>
  <c r="BT31" i="11"/>
  <c r="CB31" i="11"/>
  <c r="BF32" i="11"/>
  <c r="V33" i="11"/>
  <c r="AG33" i="11"/>
  <c r="AR33" i="11"/>
  <c r="BC33" i="11"/>
  <c r="BO33" i="11"/>
  <c r="CD33" i="11"/>
  <c r="AD34" i="11"/>
  <c r="AQ34" i="11"/>
  <c r="BG34" i="11"/>
  <c r="BV34" i="11"/>
  <c r="Z35" i="11"/>
  <c r="AT35" i="11"/>
  <c r="BP35" i="11"/>
  <c r="AD37" i="11"/>
  <c r="BA37" i="11"/>
  <c r="BV37" i="11"/>
  <c r="AA40" i="11"/>
  <c r="AW40" i="11"/>
  <c r="BS40" i="11"/>
  <c r="AE41" i="11"/>
  <c r="BI41" i="11"/>
  <c r="BF42" i="11"/>
  <c r="T43" i="11"/>
  <c r="AW43" i="11"/>
  <c r="BZ43" i="11"/>
  <c r="V44" i="11"/>
  <c r="BE46" i="11"/>
  <c r="BE52" i="11"/>
  <c r="U54" i="11"/>
  <c r="AX55" i="11"/>
  <c r="CD69" i="11"/>
  <c r="AK56" i="11"/>
  <c r="AX59" i="11"/>
  <c r="AX63" i="11"/>
  <c r="BB69" i="11"/>
  <c r="BN51" i="11"/>
  <c r="BN67" i="11"/>
  <c r="BN65" i="11"/>
  <c r="BN63" i="11"/>
  <c r="BN61" i="11"/>
  <c r="BN59" i="11"/>
  <c r="BN57" i="11"/>
  <c r="BR69" i="11"/>
  <c r="BR67" i="11"/>
  <c r="BR65" i="11"/>
  <c r="BR63" i="11"/>
  <c r="BR61" i="11"/>
  <c r="BR59" i="11"/>
  <c r="BR57" i="11"/>
  <c r="BR48" i="11"/>
  <c r="BR50" i="11"/>
  <c r="BR36" i="11"/>
  <c r="BV67" i="11"/>
  <c r="BV65" i="11"/>
  <c r="BV63" i="11"/>
  <c r="BV61" i="11"/>
  <c r="BV48" i="11"/>
  <c r="BV44" i="11"/>
  <c r="BZ69" i="11"/>
  <c r="BZ67" i="11"/>
  <c r="BZ65" i="11"/>
  <c r="CD64" i="11"/>
  <c r="CD60" i="11"/>
  <c r="CD36" i="11"/>
  <c r="CD51" i="11"/>
  <c r="CD12" i="11"/>
  <c r="BZ12" i="11"/>
  <c r="BV12" i="11"/>
  <c r="BR12" i="11"/>
  <c r="BN12" i="11"/>
  <c r="BJ12" i="11"/>
  <c r="BF12" i="11"/>
  <c r="BB12" i="11"/>
  <c r="AX12" i="11"/>
  <c r="AT12" i="11"/>
  <c r="AP12" i="11"/>
  <c r="AL12" i="11"/>
  <c r="AH12" i="11"/>
  <c r="AD12" i="11"/>
  <c r="Y12" i="11"/>
  <c r="U12" i="11"/>
  <c r="Q12" i="11"/>
  <c r="CD16" i="11"/>
  <c r="BZ16" i="11"/>
  <c r="BV16" i="11"/>
  <c r="BR16" i="11"/>
  <c r="BN16" i="11"/>
  <c r="BJ16" i="11"/>
  <c r="BF16" i="11"/>
  <c r="BB16" i="11"/>
  <c r="AX16" i="11"/>
  <c r="AT16" i="11"/>
  <c r="AP16" i="11"/>
  <c r="AL16" i="11"/>
  <c r="AH16" i="11"/>
  <c r="AC16" i="11"/>
  <c r="Y16" i="11"/>
  <c r="U16" i="11"/>
  <c r="Q16" i="11"/>
  <c r="CE20" i="11"/>
  <c r="CA20" i="11"/>
  <c r="BW20" i="11"/>
  <c r="BS20" i="11"/>
  <c r="BO20" i="11"/>
  <c r="BK20" i="11"/>
  <c r="BG20" i="11"/>
  <c r="BC20" i="11"/>
  <c r="AY20" i="11"/>
  <c r="AU20" i="11"/>
  <c r="AQ20" i="11"/>
  <c r="AM20" i="11"/>
  <c r="AI20" i="11"/>
  <c r="AC20" i="11"/>
  <c r="Y20" i="11"/>
  <c r="U20" i="11"/>
  <c r="Q20" i="11"/>
  <c r="CD26" i="11"/>
  <c r="BZ26" i="11"/>
  <c r="BV26" i="11"/>
  <c r="BR26" i="11"/>
  <c r="BN26" i="11"/>
  <c r="BJ26" i="11"/>
  <c r="BF26" i="11"/>
  <c r="BB26" i="11"/>
  <c r="AX26" i="11"/>
  <c r="AT26" i="11"/>
  <c r="AP26" i="11"/>
  <c r="AJ26" i="11"/>
  <c r="AF26" i="11"/>
  <c r="AB26" i="11"/>
  <c r="X26" i="11"/>
  <c r="T26" i="11"/>
  <c r="CG26" i="11"/>
  <c r="CC26" i="11"/>
  <c r="BY26" i="11"/>
  <c r="BU26" i="11"/>
  <c r="BQ26" i="11"/>
  <c r="BM26" i="11"/>
  <c r="BI26" i="11"/>
  <c r="BE26" i="11"/>
  <c r="BA26" i="11"/>
  <c r="AW26" i="11"/>
  <c r="AS26" i="11"/>
  <c r="AO26" i="11"/>
  <c r="AI26" i="11"/>
  <c r="AE26" i="11"/>
  <c r="AA26" i="11"/>
  <c r="W26" i="11"/>
  <c r="S26" i="11"/>
  <c r="CD30" i="11"/>
  <c r="BZ30" i="11"/>
  <c r="BV30" i="11"/>
  <c r="BR30" i="11"/>
  <c r="BN30" i="11"/>
  <c r="BJ30" i="11"/>
  <c r="BF30" i="11"/>
  <c r="BB30" i="11"/>
  <c r="AX30" i="11"/>
  <c r="AT30" i="11"/>
  <c r="AO30" i="11"/>
  <c r="AK30" i="11"/>
  <c r="AG30" i="11"/>
  <c r="AC30" i="11"/>
  <c r="Y30" i="11"/>
  <c r="U30" i="11"/>
  <c r="Q30" i="11"/>
  <c r="CG30" i="11"/>
  <c r="CC30" i="11"/>
  <c r="BY30" i="11"/>
  <c r="BU30" i="11"/>
  <c r="BQ30" i="11"/>
  <c r="BM30" i="11"/>
  <c r="BI30" i="11"/>
  <c r="BE30" i="11"/>
  <c r="BA30" i="11"/>
  <c r="AW30" i="11"/>
  <c r="AS30" i="11"/>
  <c r="AN30" i="11"/>
  <c r="AJ30" i="11"/>
  <c r="AF30" i="11"/>
  <c r="AB30" i="11"/>
  <c r="X30" i="11"/>
  <c r="T30" i="11"/>
  <c r="CF55" i="11"/>
  <c r="CB55" i="11"/>
  <c r="BX55" i="11"/>
  <c r="BT55" i="11"/>
  <c r="BO55" i="11"/>
  <c r="BK55" i="11"/>
  <c r="BG55" i="11"/>
  <c r="BC55" i="11"/>
  <c r="AY55" i="11"/>
  <c r="AU55" i="11"/>
  <c r="AQ55" i="11"/>
  <c r="AM55" i="11"/>
  <c r="AI55" i="11"/>
  <c r="AE55" i="11"/>
  <c r="AA55" i="11"/>
  <c r="W55" i="11"/>
  <c r="S55" i="11"/>
  <c r="CG55" i="11"/>
  <c r="CA55" i="11"/>
  <c r="BV55" i="11"/>
  <c r="BP55" i="11"/>
  <c r="BJ55" i="11"/>
  <c r="BE55" i="11"/>
  <c r="AZ55" i="11"/>
  <c r="AT55" i="11"/>
  <c r="AO55" i="11"/>
  <c r="AJ55" i="11"/>
  <c r="AD55" i="11"/>
  <c r="Y55" i="11"/>
  <c r="T55" i="11"/>
  <c r="CC55" i="11"/>
  <c r="BW55" i="11"/>
  <c r="BR55" i="11"/>
  <c r="BL55" i="11"/>
  <c r="BF55" i="11"/>
  <c r="BA55" i="11"/>
  <c r="AV55" i="11"/>
  <c r="AP55" i="11"/>
  <c r="AK55" i="11"/>
  <c r="AF55" i="11"/>
  <c r="Z55" i="11"/>
  <c r="U55" i="11"/>
  <c r="CD55" i="11"/>
  <c r="BS55" i="11"/>
  <c r="BH55" i="11"/>
  <c r="AW55" i="11"/>
  <c r="AL55" i="11"/>
  <c r="AB55" i="11"/>
  <c r="Q55" i="11"/>
  <c r="BZ55" i="11"/>
  <c r="BN55" i="11"/>
  <c r="BD55" i="11"/>
  <c r="AS55" i="11"/>
  <c r="AH55" i="11"/>
  <c r="X55" i="11"/>
  <c r="CE55" i="11"/>
  <c r="BI55" i="11"/>
  <c r="AN55" i="11"/>
  <c r="R55" i="11"/>
  <c r="BY55" i="11"/>
  <c r="BB55" i="11"/>
  <c r="AG55" i="11"/>
  <c r="BJ69" i="11"/>
  <c r="S3" i="11"/>
  <c r="W3" i="11"/>
  <c r="AA3" i="11"/>
  <c r="AE3" i="11"/>
  <c r="AI3" i="11"/>
  <c r="AM3" i="11"/>
  <c r="AQ3" i="11"/>
  <c r="AU3" i="11"/>
  <c r="AY3" i="11"/>
  <c r="BC3" i="11"/>
  <c r="BG3" i="11"/>
  <c r="BK3" i="11"/>
  <c r="BO3" i="11"/>
  <c r="BS3" i="11"/>
  <c r="BW3" i="11"/>
  <c r="CA3" i="11"/>
  <c r="U4" i="11"/>
  <c r="Y4" i="11"/>
  <c r="AC4" i="11"/>
  <c r="AG4" i="11"/>
  <c r="AK4" i="11"/>
  <c r="AO4" i="11"/>
  <c r="AS4" i="11"/>
  <c r="AW4" i="11"/>
  <c r="BA4" i="11"/>
  <c r="BE4" i="11"/>
  <c r="BI4" i="11"/>
  <c r="BM4" i="11"/>
  <c r="BQ4" i="11"/>
  <c r="BU4" i="11"/>
  <c r="BY4" i="11"/>
  <c r="CC4" i="11"/>
  <c r="S6" i="11"/>
  <c r="X6" i="11"/>
  <c r="AB6" i="11"/>
  <c r="AF6" i="11"/>
  <c r="AJ6" i="11"/>
  <c r="AN6" i="11"/>
  <c r="AR6" i="11"/>
  <c r="AV6" i="11"/>
  <c r="AZ6" i="11"/>
  <c r="BD6" i="11"/>
  <c r="BH6" i="11"/>
  <c r="BL6" i="11"/>
  <c r="BP6" i="11"/>
  <c r="BT6" i="11"/>
  <c r="BX6" i="11"/>
  <c r="CB6" i="11"/>
  <c r="S8" i="11"/>
  <c r="Z8" i="11"/>
  <c r="AD8" i="11"/>
  <c r="AH8" i="11"/>
  <c r="AL8" i="11"/>
  <c r="AP8" i="11"/>
  <c r="AT8" i="11"/>
  <c r="AX8" i="11"/>
  <c r="BB8" i="11"/>
  <c r="BF8" i="11"/>
  <c r="BJ8" i="11"/>
  <c r="BN8" i="11"/>
  <c r="BR8" i="11"/>
  <c r="BV8" i="11"/>
  <c r="BZ8" i="11"/>
  <c r="T9" i="11"/>
  <c r="AC9" i="11"/>
  <c r="AH9" i="11"/>
  <c r="AM9" i="11"/>
  <c r="AS9" i="11"/>
  <c r="AX9" i="11"/>
  <c r="BC9" i="11"/>
  <c r="BI9" i="11"/>
  <c r="BN9" i="11"/>
  <c r="BS9" i="11"/>
  <c r="BY9" i="11"/>
  <c r="S10" i="11"/>
  <c r="Z10" i="11"/>
  <c r="AE10" i="11"/>
  <c r="AJ10" i="11"/>
  <c r="AP10" i="11"/>
  <c r="AU10" i="11"/>
  <c r="AZ10" i="11"/>
  <c r="BF10" i="11"/>
  <c r="BK10" i="11"/>
  <c r="BP10" i="11"/>
  <c r="BV10" i="11"/>
  <c r="CA10" i="11"/>
  <c r="W12" i="11"/>
  <c r="AF12" i="11"/>
  <c r="AN12" i="11"/>
  <c r="AV12" i="11"/>
  <c r="BD12" i="11"/>
  <c r="BL12" i="11"/>
  <c r="BT12" i="11"/>
  <c r="CB12" i="11"/>
  <c r="CF13" i="11"/>
  <c r="AC13" i="11"/>
  <c r="AK13" i="11"/>
  <c r="AS13" i="11"/>
  <c r="BA13" i="11"/>
  <c r="BI13" i="11"/>
  <c r="BQ13" i="11"/>
  <c r="BY13" i="11"/>
  <c r="CG13" i="11"/>
  <c r="W15" i="11"/>
  <c r="AF15" i="11"/>
  <c r="AN15" i="11"/>
  <c r="AV15" i="11"/>
  <c r="BD15" i="11"/>
  <c r="BL15" i="11"/>
  <c r="BT15" i="11"/>
  <c r="CB15" i="11"/>
  <c r="W16" i="11"/>
  <c r="AF16" i="11"/>
  <c r="AN16" i="11"/>
  <c r="AV16" i="11"/>
  <c r="BD16" i="11"/>
  <c r="BL16" i="11"/>
  <c r="BT16" i="11"/>
  <c r="CB16" i="11"/>
  <c r="CF17" i="11"/>
  <c r="AK17" i="11"/>
  <c r="AS17" i="11"/>
  <c r="BA17" i="11"/>
  <c r="BI17" i="11"/>
  <c r="BQ17" i="11"/>
  <c r="BY17" i="11"/>
  <c r="CG17" i="11"/>
  <c r="W19" i="11"/>
  <c r="AE19" i="11"/>
  <c r="AN19" i="11"/>
  <c r="AV19" i="11"/>
  <c r="BD19" i="11"/>
  <c r="BL19" i="11"/>
  <c r="BT19" i="11"/>
  <c r="CB19" i="11"/>
  <c r="W20" i="11"/>
  <c r="AE20" i="11"/>
  <c r="AO20" i="11"/>
  <c r="AW20" i="11"/>
  <c r="BE20" i="11"/>
  <c r="BM20" i="11"/>
  <c r="BU20" i="11"/>
  <c r="CC20" i="11"/>
  <c r="U21" i="11"/>
  <c r="AC21" i="11"/>
  <c r="CD22" i="11"/>
  <c r="CG23" i="11"/>
  <c r="V24" i="11"/>
  <c r="AD24" i="11"/>
  <c r="AM24" i="11"/>
  <c r="AU24" i="11"/>
  <c r="BC24" i="11"/>
  <c r="BK24" i="11"/>
  <c r="BS24" i="11"/>
  <c r="CF25" i="11"/>
  <c r="R26" i="11"/>
  <c r="Z26" i="11"/>
  <c r="AH26" i="11"/>
  <c r="AR26" i="11"/>
  <c r="AZ26" i="11"/>
  <c r="BH26" i="11"/>
  <c r="BP26" i="11"/>
  <c r="BX26" i="11"/>
  <c r="CF26" i="11"/>
  <c r="S27" i="11"/>
  <c r="AA27" i="11"/>
  <c r="AI27" i="11"/>
  <c r="AR27" i="11"/>
  <c r="AZ27" i="11"/>
  <c r="BH27" i="11"/>
  <c r="BP27" i="11"/>
  <c r="BX27" i="11"/>
  <c r="CF27" i="11"/>
  <c r="AW28" i="11"/>
  <c r="BE28" i="11"/>
  <c r="BM28" i="11"/>
  <c r="BU28" i="11"/>
  <c r="CC28" i="11"/>
  <c r="U29" i="11"/>
  <c r="AC29" i="11"/>
  <c r="AK29" i="11"/>
  <c r="AT29" i="11"/>
  <c r="BB29" i="11"/>
  <c r="BJ29" i="11"/>
  <c r="BR29" i="11"/>
  <c r="BZ29" i="11"/>
  <c r="S30" i="11"/>
  <c r="AA30" i="11"/>
  <c r="AI30" i="11"/>
  <c r="AQ30" i="11"/>
  <c r="AZ30" i="11"/>
  <c r="BH30" i="11"/>
  <c r="BP30" i="11"/>
  <c r="BX30" i="11"/>
  <c r="CF30" i="11"/>
  <c r="S31" i="11"/>
  <c r="AA31" i="11"/>
  <c r="AI31" i="11"/>
  <c r="AQ31" i="11"/>
  <c r="AZ31" i="11"/>
  <c r="BH31" i="11"/>
  <c r="BP31" i="11"/>
  <c r="BX31" i="11"/>
  <c r="CF31" i="11"/>
  <c r="AO32" i="11"/>
  <c r="BA32" i="11"/>
  <c r="BV32" i="11"/>
  <c r="CG32" i="11"/>
  <c r="Q33" i="11"/>
  <c r="AB33" i="11"/>
  <c r="AL33" i="11"/>
  <c r="AX33" i="11"/>
  <c r="BI33" i="11"/>
  <c r="BV33" i="11"/>
  <c r="V34" i="11"/>
  <c r="AK34" i="11"/>
  <c r="AZ34" i="11"/>
  <c r="BN34" i="11"/>
  <c r="CB34" i="11"/>
  <c r="S35" i="11"/>
  <c r="AI35" i="11"/>
  <c r="BE35" i="11"/>
  <c r="CA35" i="11"/>
  <c r="AG36" i="11"/>
  <c r="BY36" i="11"/>
  <c r="T37" i="11"/>
  <c r="AO37" i="11"/>
  <c r="BK37" i="11"/>
  <c r="CG37" i="11"/>
  <c r="Q38" i="11"/>
  <c r="AL38" i="11"/>
  <c r="BI38" i="11"/>
  <c r="CG39" i="11"/>
  <c r="Q40" i="11"/>
  <c r="AL40" i="11"/>
  <c r="BH40" i="11"/>
  <c r="CF40" i="11"/>
  <c r="R41" i="11"/>
  <c r="AT41" i="11"/>
  <c r="BW41" i="11"/>
  <c r="AH43" i="11"/>
  <c r="BK43" i="11"/>
  <c r="CA44" i="11"/>
  <c r="AK44" i="11"/>
  <c r="BN44" i="11"/>
  <c r="AD45" i="11"/>
  <c r="BF45" i="11"/>
  <c r="AJ46" i="11"/>
  <c r="CB46" i="11"/>
  <c r="R47" i="11"/>
  <c r="BJ47" i="11"/>
  <c r="AO48" i="11"/>
  <c r="R49" i="11"/>
  <c r="BX50" i="11"/>
  <c r="AH51" i="11"/>
  <c r="BZ51" i="11"/>
  <c r="AI52" i="11"/>
  <c r="CA52" i="11"/>
  <c r="AC55" i="11"/>
  <c r="BU55" i="11"/>
  <c r="BJ57" i="11"/>
  <c r="BJ61" i="11"/>
  <c r="BJ65" i="11"/>
  <c r="CE32" i="11"/>
  <c r="CA32" i="11"/>
  <c r="BW32" i="11"/>
  <c r="BS32" i="11"/>
  <c r="BO32" i="11"/>
  <c r="BK32" i="11"/>
  <c r="BG32" i="11"/>
  <c r="BC32" i="11"/>
  <c r="AY32" i="11"/>
  <c r="AU32" i="11"/>
  <c r="AP32" i="11"/>
  <c r="AL32" i="11"/>
  <c r="CE39" i="11"/>
  <c r="BZ39" i="11"/>
  <c r="BU39" i="11"/>
  <c r="BO39" i="11"/>
  <c r="BJ39" i="11"/>
  <c r="BE39" i="11"/>
  <c r="AW39" i="11"/>
  <c r="AR39" i="11"/>
  <c r="AM39" i="11"/>
  <c r="AG39" i="11"/>
  <c r="AB39" i="11"/>
  <c r="W39" i="11"/>
  <c r="Q39" i="11"/>
  <c r="CD39" i="11"/>
  <c r="BY39" i="11"/>
  <c r="BS39" i="11"/>
  <c r="BN39" i="11"/>
  <c r="BI39" i="11"/>
  <c r="BC39" i="11"/>
  <c r="AV39" i="11"/>
  <c r="AQ39" i="11"/>
  <c r="AK39" i="11"/>
  <c r="AF39" i="11"/>
  <c r="AA39" i="11"/>
  <c r="U39" i="11"/>
  <c r="CF47" i="11"/>
  <c r="CB47" i="11"/>
  <c r="BX47" i="11"/>
  <c r="BT47" i="11"/>
  <c r="BP47" i="11"/>
  <c r="BL47" i="11"/>
  <c r="BG47" i="11"/>
  <c r="BC47" i="11"/>
  <c r="AY47" i="11"/>
  <c r="AU47" i="11"/>
  <c r="AQ47" i="11"/>
  <c r="AM47" i="11"/>
  <c r="AI47" i="11"/>
  <c r="AE47" i="11"/>
  <c r="AA47" i="11"/>
  <c r="W47" i="11"/>
  <c r="S47" i="11"/>
  <c r="CG47" i="11"/>
  <c r="CA47" i="11"/>
  <c r="BV47" i="11"/>
  <c r="BQ47" i="11"/>
  <c r="BK47" i="11"/>
  <c r="BE47" i="11"/>
  <c r="AZ47" i="11"/>
  <c r="AT47" i="11"/>
  <c r="AO47" i="11"/>
  <c r="AJ47" i="11"/>
  <c r="AD47" i="11"/>
  <c r="Y47" i="11"/>
  <c r="T47" i="11"/>
  <c r="CC47" i="11"/>
  <c r="BW47" i="11"/>
  <c r="BR47" i="11"/>
  <c r="BM47" i="11"/>
  <c r="BF47" i="11"/>
  <c r="BA47" i="11"/>
  <c r="AV47" i="11"/>
  <c r="AP47" i="11"/>
  <c r="AK47" i="11"/>
  <c r="AF47" i="11"/>
  <c r="Z47" i="11"/>
  <c r="U47" i="11"/>
  <c r="CD47" i="11"/>
  <c r="BS47" i="11"/>
  <c r="BH47" i="11"/>
  <c r="AW47" i="11"/>
  <c r="AL47" i="11"/>
  <c r="AB47" i="11"/>
  <c r="Q47" i="11"/>
  <c r="BZ47" i="11"/>
  <c r="BO47" i="11"/>
  <c r="BD47" i="11"/>
  <c r="AS47" i="11"/>
  <c r="AH47" i="11"/>
  <c r="X47" i="11"/>
  <c r="CD49" i="11"/>
  <c r="BZ49" i="11"/>
  <c r="BV49" i="11"/>
  <c r="BR49" i="11"/>
  <c r="BN49" i="11"/>
  <c r="BI49" i="11"/>
  <c r="BE49" i="11"/>
  <c r="BA49" i="11"/>
  <c r="AW49" i="11"/>
  <c r="AS49" i="11"/>
  <c r="AO49" i="11"/>
  <c r="AK49" i="11"/>
  <c r="AG49" i="11"/>
  <c r="AC49" i="11"/>
  <c r="Y49" i="11"/>
  <c r="U49" i="11"/>
  <c r="Q49" i="11"/>
  <c r="CG49" i="11"/>
  <c r="CB49" i="11"/>
  <c r="BW49" i="11"/>
  <c r="BQ49" i="11"/>
  <c r="BL49" i="11"/>
  <c r="BF49" i="11"/>
  <c r="AZ49" i="11"/>
  <c r="AU49" i="11"/>
  <c r="AP49" i="11"/>
  <c r="AJ49" i="11"/>
  <c r="AE49" i="11"/>
  <c r="Z49" i="11"/>
  <c r="T49" i="11"/>
  <c r="CC49" i="11"/>
  <c r="BX49" i="11"/>
  <c r="BS49" i="11"/>
  <c r="BM49" i="11"/>
  <c r="BG49" i="11"/>
  <c r="BB49" i="11"/>
  <c r="AV49" i="11"/>
  <c r="AQ49" i="11"/>
  <c r="AL49" i="11"/>
  <c r="AF49" i="11"/>
  <c r="AA49" i="11"/>
  <c r="V49" i="11"/>
  <c r="CA49" i="11"/>
  <c r="BP49" i="11"/>
  <c r="BD49" i="11"/>
  <c r="AT49" i="11"/>
  <c r="AI49" i="11"/>
  <c r="X49" i="11"/>
  <c r="BY49" i="11"/>
  <c r="BO49" i="11"/>
  <c r="BC49" i="11"/>
  <c r="AR49" i="11"/>
  <c r="AH49" i="11"/>
  <c r="W49" i="11"/>
  <c r="CD54" i="11"/>
  <c r="BY54" i="11"/>
  <c r="BT54" i="11"/>
  <c r="BM54" i="11"/>
  <c r="BH54" i="11"/>
  <c r="BC54" i="11"/>
  <c r="AW54" i="11"/>
  <c r="AR54" i="11"/>
  <c r="AM54" i="11"/>
  <c r="AG54" i="11"/>
  <c r="AB54" i="11"/>
  <c r="W54" i="11"/>
  <c r="Q54" i="11"/>
  <c r="CF54" i="11"/>
  <c r="BZ54" i="11"/>
  <c r="BU54" i="11"/>
  <c r="BO54" i="11"/>
  <c r="BI54" i="11"/>
  <c r="BD54" i="11"/>
  <c r="AY54" i="11"/>
  <c r="AS54" i="11"/>
  <c r="AN54" i="11"/>
  <c r="AI54" i="11"/>
  <c r="AC54" i="11"/>
  <c r="X54" i="11"/>
  <c r="S54" i="11"/>
  <c r="CG54" i="11"/>
  <c r="BV54" i="11"/>
  <c r="BK54" i="11"/>
  <c r="AZ54" i="11"/>
  <c r="AO54" i="11"/>
  <c r="AE54" i="11"/>
  <c r="T54" i="11"/>
  <c r="CC54" i="11"/>
  <c r="BR54" i="11"/>
  <c r="BG54" i="11"/>
  <c r="AV54" i="11"/>
  <c r="AK54" i="11"/>
  <c r="AA54" i="11"/>
  <c r="R13" i="11"/>
  <c r="V13" i="11"/>
  <c r="Z13" i="11"/>
  <c r="AE13" i="11"/>
  <c r="AI13" i="11"/>
  <c r="AM13" i="11"/>
  <c r="AQ13" i="11"/>
  <c r="AU13" i="11"/>
  <c r="AY13" i="11"/>
  <c r="BC13" i="11"/>
  <c r="BG13" i="11"/>
  <c r="BK13" i="11"/>
  <c r="BO13" i="11"/>
  <c r="BS13" i="11"/>
  <c r="BW13" i="11"/>
  <c r="CA13" i="11"/>
  <c r="CE13" i="11"/>
  <c r="R17" i="11"/>
  <c r="V17" i="11"/>
  <c r="Z17" i="11"/>
  <c r="AD17" i="11"/>
  <c r="AI17" i="11"/>
  <c r="AM17" i="11"/>
  <c r="AQ17" i="11"/>
  <c r="AU17" i="11"/>
  <c r="AY17" i="11"/>
  <c r="BC17" i="11"/>
  <c r="BG17" i="11"/>
  <c r="BK17" i="11"/>
  <c r="BO17" i="11"/>
  <c r="BS17" i="11"/>
  <c r="BW17" i="11"/>
  <c r="CA17" i="11"/>
  <c r="CE17" i="11"/>
  <c r="R22" i="11"/>
  <c r="V22" i="11"/>
  <c r="Z22" i="11"/>
  <c r="AD22" i="11"/>
  <c r="AH22" i="11"/>
  <c r="AO22" i="11"/>
  <c r="AS22" i="11"/>
  <c r="AW22" i="11"/>
  <c r="BA22" i="11"/>
  <c r="BE22" i="11"/>
  <c r="BI22" i="11"/>
  <c r="BM22" i="11"/>
  <c r="BQ22" i="11"/>
  <c r="BU22" i="11"/>
  <c r="BY22" i="11"/>
  <c r="CC22" i="11"/>
  <c r="CG22" i="11"/>
  <c r="R28" i="11"/>
  <c r="V28" i="11"/>
  <c r="Z28" i="11"/>
  <c r="AD28" i="11"/>
  <c r="AH28" i="11"/>
  <c r="AL28" i="11"/>
  <c r="AQ28" i="11"/>
  <c r="AU28" i="11"/>
  <c r="AY28" i="11"/>
  <c r="BC28" i="11"/>
  <c r="BG28" i="11"/>
  <c r="BK28" i="11"/>
  <c r="BO28" i="11"/>
  <c r="BS28" i="11"/>
  <c r="BW28" i="11"/>
  <c r="CA28" i="11"/>
  <c r="CE28" i="11"/>
  <c r="R32" i="11"/>
  <c r="V32" i="11"/>
  <c r="Z32" i="11"/>
  <c r="AD32" i="11"/>
  <c r="AH32" i="11"/>
  <c r="AM32" i="11"/>
  <c r="AR32" i="11"/>
  <c r="AX32" i="11"/>
  <c r="BD32" i="11"/>
  <c r="BI32" i="11"/>
  <c r="BN32" i="11"/>
  <c r="BT32" i="11"/>
  <c r="BY32" i="11"/>
  <c r="CD32" i="11"/>
  <c r="CG38" i="11"/>
  <c r="X39" i="11"/>
  <c r="AI39" i="11"/>
  <c r="AS39" i="11"/>
  <c r="BF39" i="11"/>
  <c r="BQ39" i="11"/>
  <c r="CA39" i="11"/>
  <c r="CE45" i="11"/>
  <c r="V47" i="11"/>
  <c r="AR47" i="11"/>
  <c r="BN47" i="11"/>
  <c r="S49" i="11"/>
  <c r="AN49" i="11"/>
  <c r="BJ49" i="11"/>
  <c r="CF49" i="11"/>
  <c r="CE53" i="11"/>
  <c r="AF54" i="11"/>
  <c r="BA54" i="11"/>
  <c r="BX54" i="11"/>
  <c r="R12" i="11"/>
  <c r="V12" i="11"/>
  <c r="AA12" i="11"/>
  <c r="AE12" i="11"/>
  <c r="AI12" i="11"/>
  <c r="AM12" i="11"/>
  <c r="AQ12" i="11"/>
  <c r="AU12" i="11"/>
  <c r="AY12" i="11"/>
  <c r="BC12" i="11"/>
  <c r="BG12" i="11"/>
  <c r="BK12" i="11"/>
  <c r="BO12" i="11"/>
  <c r="BS12" i="11"/>
  <c r="BW12" i="11"/>
  <c r="CA12" i="11"/>
  <c r="S13" i="11"/>
  <c r="W13" i="11"/>
  <c r="AB13" i="11"/>
  <c r="AF13" i="11"/>
  <c r="AJ13" i="11"/>
  <c r="AN13" i="11"/>
  <c r="AR13" i="11"/>
  <c r="AV13" i="11"/>
  <c r="AZ13" i="11"/>
  <c r="BD13" i="11"/>
  <c r="BH13" i="11"/>
  <c r="BL13" i="11"/>
  <c r="BP13" i="11"/>
  <c r="BT13" i="11"/>
  <c r="BX13" i="11"/>
  <c r="CB13" i="11"/>
  <c r="R16" i="11"/>
  <c r="V16" i="11"/>
  <c r="Z16" i="11"/>
  <c r="AE16" i="11"/>
  <c r="AI16" i="11"/>
  <c r="AM16" i="11"/>
  <c r="AQ16" i="11"/>
  <c r="AU16" i="11"/>
  <c r="AY16" i="11"/>
  <c r="BC16" i="11"/>
  <c r="BG16" i="11"/>
  <c r="BK16" i="11"/>
  <c r="BO16" i="11"/>
  <c r="BS16" i="11"/>
  <c r="BW16" i="11"/>
  <c r="CA16" i="11"/>
  <c r="S17" i="11"/>
  <c r="W17" i="11"/>
  <c r="AA17" i="11"/>
  <c r="AF17" i="11"/>
  <c r="AJ17" i="11"/>
  <c r="AN17" i="11"/>
  <c r="AR17" i="11"/>
  <c r="AV17" i="11"/>
  <c r="AZ17" i="11"/>
  <c r="BD17" i="11"/>
  <c r="BH17" i="11"/>
  <c r="BL17" i="11"/>
  <c r="BP17" i="11"/>
  <c r="BT17" i="11"/>
  <c r="BX17" i="11"/>
  <c r="CB17" i="11"/>
  <c r="R20" i="11"/>
  <c r="V20" i="11"/>
  <c r="Z20" i="11"/>
  <c r="AD20" i="11"/>
  <c r="AJ20" i="11"/>
  <c r="AN20" i="11"/>
  <c r="AR20" i="11"/>
  <c r="AV20" i="11"/>
  <c r="AZ20" i="11"/>
  <c r="BD20" i="11"/>
  <c r="BH20" i="11"/>
  <c r="BL20" i="11"/>
  <c r="BP20" i="11"/>
  <c r="BT20" i="11"/>
  <c r="BX20" i="11"/>
  <c r="CB20" i="11"/>
  <c r="S22" i="11"/>
  <c r="W22" i="11"/>
  <c r="AA22" i="11"/>
  <c r="AE22" i="11"/>
  <c r="AL22" i="11"/>
  <c r="AP22" i="11"/>
  <c r="AT22" i="11"/>
  <c r="AX22" i="11"/>
  <c r="BB22" i="11"/>
  <c r="BF22" i="11"/>
  <c r="BJ22" i="11"/>
  <c r="BN22" i="11"/>
  <c r="BR22" i="11"/>
  <c r="BV22" i="11"/>
  <c r="BZ22" i="11"/>
  <c r="R23" i="11"/>
  <c r="V23" i="11"/>
  <c r="Z23" i="11"/>
  <c r="AD23" i="11"/>
  <c r="AH23" i="11"/>
  <c r="AO23" i="11"/>
  <c r="AS23" i="11"/>
  <c r="AW23" i="11"/>
  <c r="BA23" i="11"/>
  <c r="BE23" i="11"/>
  <c r="BI23" i="11"/>
  <c r="BM23" i="11"/>
  <c r="BQ23" i="11"/>
  <c r="BU23" i="11"/>
  <c r="BY23" i="11"/>
  <c r="CC23" i="11"/>
  <c r="R25" i="11"/>
  <c r="V25" i="11"/>
  <c r="Z25" i="11"/>
  <c r="AD25" i="11"/>
  <c r="AH25" i="11"/>
  <c r="AL25" i="11"/>
  <c r="AR25" i="11"/>
  <c r="AV25" i="11"/>
  <c r="AZ25" i="11"/>
  <c r="BD25" i="11"/>
  <c r="BH25" i="11"/>
  <c r="BL25" i="11"/>
  <c r="BP25" i="11"/>
  <c r="BT25" i="11"/>
  <c r="BX25" i="11"/>
  <c r="CB25" i="11"/>
  <c r="R27" i="11"/>
  <c r="V27" i="11"/>
  <c r="Z27" i="11"/>
  <c r="AD27" i="11"/>
  <c r="AH27" i="11"/>
  <c r="AL27" i="11"/>
  <c r="AQ27" i="11"/>
  <c r="AU27" i="11"/>
  <c r="AY27" i="11"/>
  <c r="BC27" i="11"/>
  <c r="BG27" i="11"/>
  <c r="BK27" i="11"/>
  <c r="BO27" i="11"/>
  <c r="BS27" i="11"/>
  <c r="BW27" i="11"/>
  <c r="CA27" i="11"/>
  <c r="S28" i="11"/>
  <c r="W28" i="11"/>
  <c r="AA28" i="11"/>
  <c r="AE28" i="11"/>
  <c r="AI28" i="11"/>
  <c r="AM28" i="11"/>
  <c r="AR28" i="11"/>
  <c r="AV28" i="11"/>
  <c r="AZ28" i="11"/>
  <c r="BD28" i="11"/>
  <c r="BH28" i="11"/>
  <c r="BL28" i="11"/>
  <c r="BP28" i="11"/>
  <c r="BT28" i="11"/>
  <c r="BX28" i="11"/>
  <c r="CB28" i="11"/>
  <c r="R31" i="11"/>
  <c r="V31" i="11"/>
  <c r="Z31" i="11"/>
  <c r="AD31" i="11"/>
  <c r="AH31" i="11"/>
  <c r="AL31" i="11"/>
  <c r="AP31" i="11"/>
  <c r="AU31" i="11"/>
  <c r="AY31" i="11"/>
  <c r="BC31" i="11"/>
  <c r="BG31" i="11"/>
  <c r="BK31" i="11"/>
  <c r="BO31" i="11"/>
  <c r="BS31" i="11"/>
  <c r="BW31" i="11"/>
  <c r="CA31" i="11"/>
  <c r="S32" i="11"/>
  <c r="W32" i="11"/>
  <c r="AA32" i="11"/>
  <c r="AE32" i="11"/>
  <c r="AI32" i="11"/>
  <c r="AN32" i="11"/>
  <c r="AS32" i="11"/>
  <c r="AZ32" i="11"/>
  <c r="BE32" i="11"/>
  <c r="BJ32" i="11"/>
  <c r="BP32" i="11"/>
  <c r="BU32" i="11"/>
  <c r="BZ32" i="11"/>
  <c r="CF32" i="11"/>
  <c r="Y39" i="11"/>
  <c r="AJ39" i="11"/>
  <c r="AU39" i="11"/>
  <c r="BG39" i="11"/>
  <c r="BR39" i="11"/>
  <c r="CC39" i="11"/>
  <c r="AB45" i="11"/>
  <c r="AP45" i="11"/>
  <c r="BD45" i="11"/>
  <c r="AC47" i="11"/>
  <c r="AX47" i="11"/>
  <c r="BU47" i="11"/>
  <c r="AB49" i="11"/>
  <c r="AX49" i="11"/>
  <c r="BT49" i="11"/>
  <c r="AJ54" i="11"/>
  <c r="BE54" i="11"/>
  <c r="CB54" i="11"/>
  <c r="CG34" i="11"/>
  <c r="CC34" i="11"/>
  <c r="BY34" i="11"/>
  <c r="BU34" i="11"/>
  <c r="BQ34" i="11"/>
  <c r="BM34" i="11"/>
  <c r="BI34" i="11"/>
  <c r="BE34" i="11"/>
  <c r="BA34" i="11"/>
  <c r="AW34" i="11"/>
  <c r="AR34" i="11"/>
  <c r="AN34" i="11"/>
  <c r="AJ34" i="11"/>
  <c r="AF34" i="11"/>
  <c r="AB34" i="11"/>
  <c r="X34" i="11"/>
  <c r="T34" i="11"/>
  <c r="CD38" i="11"/>
  <c r="BZ38" i="11"/>
  <c r="BV38" i="11"/>
  <c r="BR38" i="11"/>
  <c r="BN38" i="11"/>
  <c r="BJ38" i="11"/>
  <c r="BF38" i="11"/>
  <c r="BB38" i="11"/>
  <c r="AV38" i="11"/>
  <c r="AR38" i="11"/>
  <c r="AN38" i="11"/>
  <c r="AJ38" i="11"/>
  <c r="AF38" i="11"/>
  <c r="AB38" i="11"/>
  <c r="X38" i="11"/>
  <c r="T38" i="11"/>
  <c r="CD48" i="11"/>
  <c r="BX48" i="11"/>
  <c r="BS48" i="11"/>
  <c r="BN48" i="11"/>
  <c r="BG48" i="11"/>
  <c r="BB48" i="11"/>
  <c r="AW48" i="11"/>
  <c r="AQ48" i="11"/>
  <c r="AL48" i="11"/>
  <c r="AG48" i="11"/>
  <c r="AA48" i="11"/>
  <c r="V48" i="11"/>
  <c r="Q48" i="11"/>
  <c r="CF51" i="11"/>
  <c r="CB51" i="11"/>
  <c r="BX51" i="11"/>
  <c r="BT51" i="11"/>
  <c r="BP51" i="11"/>
  <c r="BK51" i="11"/>
  <c r="BG51" i="11"/>
  <c r="BC51" i="11"/>
  <c r="AY51" i="11"/>
  <c r="AU51" i="11"/>
  <c r="AQ51" i="11"/>
  <c r="AM51" i="11"/>
  <c r="AI51" i="11"/>
  <c r="AE51" i="11"/>
  <c r="AA51" i="11"/>
  <c r="W51" i="11"/>
  <c r="S51" i="11"/>
  <c r="CG51" i="11"/>
  <c r="CA51" i="11"/>
  <c r="BV51" i="11"/>
  <c r="BQ51" i="11"/>
  <c r="BJ51" i="11"/>
  <c r="BE51" i="11"/>
  <c r="AZ51" i="11"/>
  <c r="AT51" i="11"/>
  <c r="AO51" i="11"/>
  <c r="AJ51" i="11"/>
  <c r="AD51" i="11"/>
  <c r="Y51" i="11"/>
  <c r="T51" i="11"/>
  <c r="CC51" i="11"/>
  <c r="BW51" i="11"/>
  <c r="BR51" i="11"/>
  <c r="BL51" i="11"/>
  <c r="BF51" i="11"/>
  <c r="BA51" i="11"/>
  <c r="AV51" i="11"/>
  <c r="AP51" i="11"/>
  <c r="AK51" i="11"/>
  <c r="AF51" i="11"/>
  <c r="Z51" i="11"/>
  <c r="U51" i="11"/>
  <c r="CD56" i="11"/>
  <c r="BV56" i="11"/>
  <c r="BM56" i="11"/>
  <c r="BE56" i="11"/>
  <c r="AW56" i="11"/>
  <c r="AO56" i="11"/>
  <c r="AG56" i="11"/>
  <c r="Y56" i="11"/>
  <c r="Q56" i="11"/>
  <c r="CG56" i="11"/>
  <c r="BX56" i="11"/>
  <c r="BO56" i="11"/>
  <c r="BG56" i="11"/>
  <c r="AY56" i="11"/>
  <c r="AQ56" i="11"/>
  <c r="AI56" i="11"/>
  <c r="AA56" i="11"/>
  <c r="S56" i="11"/>
  <c r="R34" i="11"/>
  <c r="W34" i="11"/>
  <c r="AC34" i="11"/>
  <c r="AH34" i="11"/>
  <c r="AM34" i="11"/>
  <c r="AS34" i="11"/>
  <c r="AY34" i="11"/>
  <c r="BD34" i="11"/>
  <c r="BJ34" i="11"/>
  <c r="BO34" i="11"/>
  <c r="BT34" i="11"/>
  <c r="BZ34" i="11"/>
  <c r="CE34" i="11"/>
  <c r="CE36" i="11"/>
  <c r="S36" i="11"/>
  <c r="X36" i="11"/>
  <c r="AC36" i="11"/>
  <c r="AI36" i="11"/>
  <c r="AN36" i="11"/>
  <c r="AS36" i="11"/>
  <c r="AZ36" i="11"/>
  <c r="BE36" i="11"/>
  <c r="BJ36" i="11"/>
  <c r="BP36" i="11"/>
  <c r="BU36" i="11"/>
  <c r="BZ36" i="11"/>
  <c r="CF36" i="11"/>
  <c r="R38" i="11"/>
  <c r="W38" i="11"/>
  <c r="AC38" i="11"/>
  <c r="AH38" i="11"/>
  <c r="AM38" i="11"/>
  <c r="AS38" i="11"/>
  <c r="AX38" i="11"/>
  <c r="BE38" i="11"/>
  <c r="BK38" i="11"/>
  <c r="BP38" i="11"/>
  <c r="BU38" i="11"/>
  <c r="CA38" i="11"/>
  <c r="CF38" i="11"/>
  <c r="S44" i="11"/>
  <c r="Z44" i="11"/>
  <c r="AG44" i="11"/>
  <c r="AO44" i="11"/>
  <c r="AU44" i="11"/>
  <c r="BB44" i="11"/>
  <c r="BK44" i="11"/>
  <c r="BR44" i="11"/>
  <c r="BX44" i="11"/>
  <c r="CF44" i="11"/>
  <c r="R45" i="11"/>
  <c r="X45" i="11"/>
  <c r="AE45" i="11"/>
  <c r="AM45" i="11"/>
  <c r="AT45" i="11"/>
  <c r="AZ45" i="11"/>
  <c r="BI45" i="11"/>
  <c r="BP45" i="11"/>
  <c r="BW45" i="11"/>
  <c r="Y48" i="11"/>
  <c r="AI48" i="11"/>
  <c r="AT48" i="11"/>
  <c r="BE48" i="11"/>
  <c r="BP48" i="11"/>
  <c r="CA48" i="11"/>
  <c r="U50" i="11"/>
  <c r="AF50" i="11"/>
  <c r="AQ50" i="11"/>
  <c r="BA50" i="11"/>
  <c r="BM50" i="11"/>
  <c r="R51" i="11"/>
  <c r="AC51" i="11"/>
  <c r="AN51" i="11"/>
  <c r="AX51" i="11"/>
  <c r="BI51" i="11"/>
  <c r="BU51" i="11"/>
  <c r="CE51" i="11"/>
  <c r="R53" i="11"/>
  <c r="AB53" i="11"/>
  <c r="AM53" i="11"/>
  <c r="AX53" i="11"/>
  <c r="BH53" i="11"/>
  <c r="BT53" i="11"/>
  <c r="AC56" i="11"/>
  <c r="AS56" i="11"/>
  <c r="BI56" i="11"/>
  <c r="BZ56" i="11"/>
  <c r="CD45" i="11"/>
  <c r="BZ45" i="11"/>
  <c r="BV45" i="11"/>
  <c r="BR45" i="11"/>
  <c r="BN45" i="11"/>
  <c r="BJ45" i="11"/>
  <c r="BE45" i="11"/>
  <c r="BA45" i="11"/>
  <c r="AW45" i="11"/>
  <c r="AS45" i="11"/>
  <c r="AO45" i="11"/>
  <c r="AK45" i="11"/>
  <c r="AG45" i="11"/>
  <c r="AC45" i="11"/>
  <c r="Y45" i="11"/>
  <c r="U45" i="11"/>
  <c r="Q45" i="11"/>
  <c r="CG45" i="11"/>
  <c r="CC45" i="11"/>
  <c r="BX45" i="11"/>
  <c r="BS45" i="11"/>
  <c r="BM45" i="11"/>
  <c r="BH45" i="11"/>
  <c r="BB45" i="11"/>
  <c r="AV45" i="11"/>
  <c r="AQ45" i="11"/>
  <c r="AL45" i="11"/>
  <c r="AF45" i="11"/>
  <c r="AA45" i="11"/>
  <c r="V45" i="11"/>
  <c r="CD50" i="11"/>
  <c r="BY50" i="11"/>
  <c r="BT50" i="11"/>
  <c r="BN50" i="11"/>
  <c r="BH50" i="11"/>
  <c r="BC50" i="11"/>
  <c r="AW50" i="11"/>
  <c r="AR50" i="11"/>
  <c r="AM50" i="11"/>
  <c r="AG50" i="11"/>
  <c r="AB50" i="11"/>
  <c r="W50" i="11"/>
  <c r="Q50" i="11"/>
  <c r="CF50" i="11"/>
  <c r="BZ50" i="11"/>
  <c r="BU50" i="11"/>
  <c r="BP50" i="11"/>
  <c r="BI50" i="11"/>
  <c r="BD50" i="11"/>
  <c r="AY50" i="11"/>
  <c r="AS50" i="11"/>
  <c r="AN50" i="11"/>
  <c r="AI50" i="11"/>
  <c r="AC50" i="11"/>
  <c r="X50" i="11"/>
  <c r="S50" i="11"/>
  <c r="CD53" i="11"/>
  <c r="BZ53" i="11"/>
  <c r="BV53" i="11"/>
  <c r="BR53" i="11"/>
  <c r="BM53" i="11"/>
  <c r="BI53" i="11"/>
  <c r="BE53" i="11"/>
  <c r="BA53" i="11"/>
  <c r="AW53" i="11"/>
  <c r="AS53" i="11"/>
  <c r="AO53" i="11"/>
  <c r="AK53" i="11"/>
  <c r="AG53" i="11"/>
  <c r="AC53" i="11"/>
  <c r="Y53" i="11"/>
  <c r="U53" i="11"/>
  <c r="Q53" i="11"/>
  <c r="CG53" i="11"/>
  <c r="CB53" i="11"/>
  <c r="BW53" i="11"/>
  <c r="BQ53" i="11"/>
  <c r="BK53" i="11"/>
  <c r="BF53" i="11"/>
  <c r="AZ53" i="11"/>
  <c r="AU53" i="11"/>
  <c r="AP53" i="11"/>
  <c r="AJ53" i="11"/>
  <c r="AE53" i="11"/>
  <c r="Z53" i="11"/>
  <c r="T53" i="11"/>
  <c r="CC53" i="11"/>
  <c r="BX53" i="11"/>
  <c r="BS53" i="11"/>
  <c r="BL53" i="11"/>
  <c r="BG53" i="11"/>
  <c r="BB53" i="11"/>
  <c r="AV53" i="11"/>
  <c r="AQ53" i="11"/>
  <c r="AL53" i="11"/>
  <c r="AF53" i="11"/>
  <c r="AA53" i="11"/>
  <c r="V53" i="11"/>
  <c r="T36" i="11"/>
  <c r="Y36" i="11"/>
  <c r="AE36" i="11"/>
  <c r="AJ36" i="11"/>
  <c r="AO36" i="11"/>
  <c r="AU36" i="11"/>
  <c r="BA36" i="11"/>
  <c r="BF36" i="11"/>
  <c r="BL36" i="11"/>
  <c r="BQ36" i="11"/>
  <c r="BV36" i="11"/>
  <c r="CB36" i="11"/>
  <c r="S38" i="11"/>
  <c r="Y38" i="11"/>
  <c r="AD38" i="11"/>
  <c r="AI38" i="11"/>
  <c r="AO38" i="11"/>
  <c r="AT38" i="11"/>
  <c r="AY38" i="11"/>
  <c r="BG38" i="11"/>
  <c r="BL38" i="11"/>
  <c r="BQ38" i="11"/>
  <c r="BW38" i="11"/>
  <c r="CB38" i="11"/>
  <c r="U44" i="11"/>
  <c r="AA44" i="11"/>
  <c r="AI44" i="11"/>
  <c r="AP44" i="11"/>
  <c r="AW44" i="11"/>
  <c r="BE44" i="11"/>
  <c r="BL44" i="11"/>
  <c r="BS44" i="11"/>
  <c r="S45" i="11"/>
  <c r="Z45" i="11"/>
  <c r="AH45" i="11"/>
  <c r="AN45" i="11"/>
  <c r="AU45" i="11"/>
  <c r="BC45" i="11"/>
  <c r="BK45" i="11"/>
  <c r="BQ45" i="11"/>
  <c r="BY45" i="11"/>
  <c r="CF45" i="11"/>
  <c r="Y50" i="11"/>
  <c r="AJ50" i="11"/>
  <c r="AU50" i="11"/>
  <c r="BE50" i="11"/>
  <c r="BQ50" i="11"/>
  <c r="CB50" i="11"/>
  <c r="S53" i="11"/>
  <c r="AD53" i="11"/>
  <c r="AN53" i="11"/>
  <c r="AY53" i="11"/>
  <c r="BJ53" i="11"/>
  <c r="BU53" i="11"/>
  <c r="CF53" i="11"/>
  <c r="CG70" i="11"/>
  <c r="CG44" i="11"/>
  <c r="CC44" i="11"/>
  <c r="BY44" i="11"/>
  <c r="BU44" i="11"/>
  <c r="BQ44" i="11"/>
  <c r="BM44" i="11"/>
  <c r="BI44" i="11"/>
  <c r="BD44" i="11"/>
  <c r="AZ44" i="11"/>
  <c r="AV44" i="11"/>
  <c r="AR44" i="11"/>
  <c r="AN44" i="11"/>
  <c r="AJ44" i="11"/>
  <c r="AF44" i="11"/>
  <c r="AB44" i="11"/>
  <c r="X44" i="11"/>
  <c r="T44" i="11"/>
  <c r="CG48" i="11"/>
  <c r="CC48" i="11"/>
  <c r="BY48" i="11"/>
  <c r="BU48" i="11"/>
  <c r="BQ48" i="11"/>
  <c r="BM48" i="11"/>
  <c r="BH48" i="11"/>
  <c r="BD48" i="11"/>
  <c r="AZ48" i="11"/>
  <c r="AV48" i="11"/>
  <c r="AR48" i="11"/>
  <c r="AN48" i="11"/>
  <c r="AJ48" i="11"/>
  <c r="AF48" i="11"/>
  <c r="AB48" i="11"/>
  <c r="X48" i="11"/>
  <c r="T48" i="11"/>
  <c r="CG52" i="11"/>
  <c r="CC52" i="11"/>
  <c r="BY52" i="11"/>
  <c r="BU52" i="11"/>
  <c r="BQ52" i="11"/>
  <c r="BL52" i="11"/>
  <c r="BH52" i="11"/>
  <c r="BD52" i="11"/>
  <c r="AZ52" i="11"/>
  <c r="AV52" i="11"/>
  <c r="AR52" i="11"/>
  <c r="AN52" i="11"/>
  <c r="AJ52" i="11"/>
  <c r="AF52" i="11"/>
  <c r="AB52" i="11"/>
  <c r="X52" i="11"/>
  <c r="T52" i="11"/>
  <c r="CE42" i="11"/>
  <c r="R44" i="11"/>
  <c r="W44" i="11"/>
  <c r="AC44" i="11"/>
  <c r="AH44" i="11"/>
  <c r="AM44" i="11"/>
  <c r="AS44" i="11"/>
  <c r="AX44" i="11"/>
  <c r="BC44" i="11"/>
  <c r="BJ44" i="11"/>
  <c r="BO44" i="11"/>
  <c r="BT44" i="11"/>
  <c r="BZ44" i="11"/>
  <c r="CE44" i="11"/>
  <c r="CE46" i="11"/>
  <c r="R48" i="11"/>
  <c r="W48" i="11"/>
  <c r="AC48" i="11"/>
  <c r="AH48" i="11"/>
  <c r="AM48" i="11"/>
  <c r="AS48" i="11"/>
  <c r="AX48" i="11"/>
  <c r="BC48" i="11"/>
  <c r="BI48" i="11"/>
  <c r="BO48" i="11"/>
  <c r="BT48" i="11"/>
  <c r="BZ48" i="11"/>
  <c r="CE48" i="11"/>
  <c r="CE50" i="11"/>
  <c r="R52" i="11"/>
  <c r="W52" i="11"/>
  <c r="AC52" i="11"/>
  <c r="AH52" i="11"/>
  <c r="AM52" i="11"/>
  <c r="AS52" i="11"/>
  <c r="AX52" i="11"/>
  <c r="BC52" i="11"/>
  <c r="BI52" i="11"/>
  <c r="BO52" i="11"/>
  <c r="BT52" i="11"/>
  <c r="BZ52" i="11"/>
  <c r="CE52" i="11"/>
  <c r="CE54" i="11"/>
  <c r="CD58" i="11"/>
  <c r="CD62" i="11"/>
  <c r="CD66" i="11"/>
  <c r="CF68" i="11"/>
  <c r="CG58" i="11"/>
  <c r="CE60" i="11"/>
  <c r="CG62" i="11"/>
  <c r="CE64" i="11"/>
  <c r="CG66" i="11"/>
  <c r="CE68" i="11"/>
  <c r="S68" i="11"/>
  <c r="AA68" i="11"/>
  <c r="AI68" i="11"/>
  <c r="AQ68" i="11"/>
  <c r="AY68" i="11"/>
  <c r="BG68" i="11"/>
  <c r="BO68" i="11"/>
  <c r="BW68" i="11"/>
  <c r="R69" i="11"/>
  <c r="Z69" i="11"/>
  <c r="AH69" i="11"/>
  <c r="AP69" i="11"/>
  <c r="AX69" i="11"/>
  <c r="BF69" i="11"/>
  <c r="BN69" i="11"/>
  <c r="BV69" i="11"/>
  <c r="CD59" i="11"/>
  <c r="BZ59" i="11"/>
  <c r="BV59" i="11"/>
  <c r="BQ59" i="11"/>
  <c r="BM59" i="11"/>
  <c r="BI59" i="11"/>
  <c r="BE59" i="11"/>
  <c r="BA59" i="11"/>
  <c r="AW59" i="11"/>
  <c r="AS59" i="11"/>
  <c r="AO59" i="11"/>
  <c r="AK59" i="11"/>
  <c r="AG59" i="11"/>
  <c r="AC59" i="11"/>
  <c r="Y59" i="11"/>
  <c r="U59" i="11"/>
  <c r="Q59" i="11"/>
  <c r="CF59" i="11"/>
  <c r="CB59" i="11"/>
  <c r="BX59" i="11"/>
  <c r="BS59" i="11"/>
  <c r="BO59" i="11"/>
  <c r="BK59" i="11"/>
  <c r="BG59" i="11"/>
  <c r="BC59" i="11"/>
  <c r="AY59" i="11"/>
  <c r="AU59" i="11"/>
  <c r="AQ59" i="11"/>
  <c r="AM59" i="11"/>
  <c r="AI59" i="11"/>
  <c r="AE59" i="11"/>
  <c r="AA59" i="11"/>
  <c r="W59" i="11"/>
  <c r="S59" i="11"/>
  <c r="CD63" i="11"/>
  <c r="BZ63" i="11"/>
  <c r="BU63" i="11"/>
  <c r="BQ63" i="11"/>
  <c r="BM63" i="11"/>
  <c r="BI63" i="11"/>
  <c r="BE63" i="11"/>
  <c r="BA63" i="11"/>
  <c r="AW63" i="11"/>
  <c r="AS63" i="11"/>
  <c r="AO63" i="11"/>
  <c r="AK63" i="11"/>
  <c r="AG63" i="11"/>
  <c r="AC63" i="11"/>
  <c r="Y63" i="11"/>
  <c r="U63" i="11"/>
  <c r="Q63" i="11"/>
  <c r="CF63" i="11"/>
  <c r="CB63" i="11"/>
  <c r="BW63" i="11"/>
  <c r="BS63" i="11"/>
  <c r="BO63" i="11"/>
  <c r="BK63" i="11"/>
  <c r="BG63" i="11"/>
  <c r="BC63" i="11"/>
  <c r="AY63" i="11"/>
  <c r="AU63" i="11"/>
  <c r="AQ63" i="11"/>
  <c r="AM63" i="11"/>
  <c r="AI63" i="11"/>
  <c r="AE63" i="11"/>
  <c r="AA63" i="11"/>
  <c r="W63" i="11"/>
  <c r="S63" i="11"/>
  <c r="CD67" i="11"/>
  <c r="BY67" i="11"/>
  <c r="BU67" i="11"/>
  <c r="BQ67" i="11"/>
  <c r="BM67" i="11"/>
  <c r="BI67" i="11"/>
  <c r="BE67" i="11"/>
  <c r="BA67" i="11"/>
  <c r="AW67" i="11"/>
  <c r="AS67" i="11"/>
  <c r="AO67" i="11"/>
  <c r="AK67" i="11"/>
  <c r="AG67" i="11"/>
  <c r="AC67" i="11"/>
  <c r="Y67" i="11"/>
  <c r="U67" i="11"/>
  <c r="Q67" i="11"/>
  <c r="CF67" i="11"/>
  <c r="CA67" i="11"/>
  <c r="BW67" i="11"/>
  <c r="BS67" i="11"/>
  <c r="BO67" i="11"/>
  <c r="BK67" i="11"/>
  <c r="BG67" i="11"/>
  <c r="BC67" i="11"/>
  <c r="AY67" i="11"/>
  <c r="AU67" i="11"/>
  <c r="AQ67" i="11"/>
  <c r="AM67" i="11"/>
  <c r="AI67" i="11"/>
  <c r="AE67" i="11"/>
  <c r="AA67" i="11"/>
  <c r="W67" i="11"/>
  <c r="S67" i="11"/>
  <c r="CE56" i="11"/>
  <c r="R56" i="11"/>
  <c r="V56" i="11"/>
  <c r="Z56" i="11"/>
  <c r="AD56" i="11"/>
  <c r="AH56" i="11"/>
  <c r="AL56" i="11"/>
  <c r="AP56" i="11"/>
  <c r="AT56" i="11"/>
  <c r="AX56" i="11"/>
  <c r="BB56" i="11"/>
  <c r="BF56" i="11"/>
  <c r="BJ56" i="11"/>
  <c r="BN56" i="11"/>
  <c r="BS56" i="11"/>
  <c r="BW56" i="11"/>
  <c r="CA56" i="11"/>
  <c r="CF56" i="11"/>
  <c r="U58" i="11"/>
  <c r="AC58" i="11"/>
  <c r="AK58" i="11"/>
  <c r="AS58" i="11"/>
  <c r="BA58" i="11"/>
  <c r="BI58" i="11"/>
  <c r="BQ58" i="11"/>
  <c r="BZ58" i="11"/>
  <c r="T59" i="11"/>
  <c r="AB59" i="11"/>
  <c r="AJ59" i="11"/>
  <c r="AR59" i="11"/>
  <c r="AZ59" i="11"/>
  <c r="BH59" i="11"/>
  <c r="BP59" i="11"/>
  <c r="BY59" i="11"/>
  <c r="CG59" i="11"/>
  <c r="U62" i="11"/>
  <c r="AC62" i="11"/>
  <c r="AK62" i="11"/>
  <c r="AS62" i="11"/>
  <c r="BA62" i="11"/>
  <c r="BI62" i="11"/>
  <c r="BQ62" i="11"/>
  <c r="BZ62" i="11"/>
  <c r="T63" i="11"/>
  <c r="AB63" i="11"/>
  <c r="AJ63" i="11"/>
  <c r="AR63" i="11"/>
  <c r="AZ63" i="11"/>
  <c r="BH63" i="11"/>
  <c r="BP63" i="11"/>
  <c r="BX63" i="11"/>
  <c r="CG63" i="11"/>
  <c r="U66" i="11"/>
  <c r="AC66" i="11"/>
  <c r="AK66" i="11"/>
  <c r="AS66" i="11"/>
  <c r="BA66" i="11"/>
  <c r="BI66" i="11"/>
  <c r="BQ66" i="11"/>
  <c r="BY66" i="11"/>
  <c r="T67" i="11"/>
  <c r="AB67" i="11"/>
  <c r="AJ67" i="11"/>
  <c r="AR67" i="11"/>
  <c r="AZ67" i="11"/>
  <c r="BH67" i="11"/>
  <c r="BP67" i="11"/>
  <c r="BX67" i="11"/>
  <c r="CG67" i="11"/>
  <c r="CC71" i="11"/>
  <c r="CF57" i="11"/>
  <c r="CB57" i="11"/>
  <c r="BX57" i="11"/>
  <c r="BT57" i="11"/>
  <c r="BO57" i="11"/>
  <c r="BK57" i="11"/>
  <c r="BG57" i="11"/>
  <c r="BC57" i="11"/>
  <c r="AY57" i="11"/>
  <c r="AU57" i="11"/>
  <c r="AQ57" i="11"/>
  <c r="AM57" i="11"/>
  <c r="AI57" i="11"/>
  <c r="AE57" i="11"/>
  <c r="AA57" i="11"/>
  <c r="W57" i="11"/>
  <c r="S57" i="11"/>
  <c r="CD57" i="11"/>
  <c r="BZ57" i="11"/>
  <c r="BV57" i="11"/>
  <c r="BQ57" i="11"/>
  <c r="BM57" i="11"/>
  <c r="BI57" i="11"/>
  <c r="BE57" i="11"/>
  <c r="BA57" i="11"/>
  <c r="AW57" i="11"/>
  <c r="AS57" i="11"/>
  <c r="AO57" i="11"/>
  <c r="AK57" i="11"/>
  <c r="AG57" i="11"/>
  <c r="CG60" i="11"/>
  <c r="CC60" i="11"/>
  <c r="BY60" i="11"/>
  <c r="BT60" i="11"/>
  <c r="BP60" i="11"/>
  <c r="BL60" i="11"/>
  <c r="BH60" i="11"/>
  <c r="BD60" i="11"/>
  <c r="AZ60" i="11"/>
  <c r="AV60" i="11"/>
  <c r="AR60" i="11"/>
  <c r="AN60" i="11"/>
  <c r="AJ60" i="11"/>
  <c r="AF60" i="11"/>
  <c r="AB60" i="11"/>
  <c r="X60" i="11"/>
  <c r="T60" i="11"/>
  <c r="CF61" i="11"/>
  <c r="CB61" i="11"/>
  <c r="BX61" i="11"/>
  <c r="BS61" i="11"/>
  <c r="BO61" i="11"/>
  <c r="BK61" i="11"/>
  <c r="BG61" i="11"/>
  <c r="BC61" i="11"/>
  <c r="AY61" i="11"/>
  <c r="AU61" i="11"/>
  <c r="AQ61" i="11"/>
  <c r="AM61" i="11"/>
  <c r="AI61" i="11"/>
  <c r="AE61" i="11"/>
  <c r="AA61" i="11"/>
  <c r="W61" i="11"/>
  <c r="S61" i="11"/>
  <c r="CD61" i="11"/>
  <c r="BZ61" i="11"/>
  <c r="BU61" i="11"/>
  <c r="BQ61" i="11"/>
  <c r="BM61" i="11"/>
  <c r="BI61" i="11"/>
  <c r="BE61" i="11"/>
  <c r="BA61" i="11"/>
  <c r="AW61" i="11"/>
  <c r="AS61" i="11"/>
  <c r="AO61" i="11"/>
  <c r="AK61" i="11"/>
  <c r="AG61" i="11"/>
  <c r="AC61" i="11"/>
  <c r="Y61" i="11"/>
  <c r="U61" i="11"/>
  <c r="Q61" i="11"/>
  <c r="CG64" i="11"/>
  <c r="CC64" i="11"/>
  <c r="BX64" i="11"/>
  <c r="BT64" i="11"/>
  <c r="BP64" i="11"/>
  <c r="BL64" i="11"/>
  <c r="BH64" i="11"/>
  <c r="BD64" i="11"/>
  <c r="AZ64" i="11"/>
  <c r="AV64" i="11"/>
  <c r="AR64" i="11"/>
  <c r="AN64" i="11"/>
  <c r="AJ64" i="11"/>
  <c r="AF64" i="11"/>
  <c r="AB64" i="11"/>
  <c r="X64" i="11"/>
  <c r="T64" i="11"/>
  <c r="CF65" i="11"/>
  <c r="CB65" i="11"/>
  <c r="BW65" i="11"/>
  <c r="BS65" i="11"/>
  <c r="BO65" i="11"/>
  <c r="BK65" i="11"/>
  <c r="BG65" i="11"/>
  <c r="BC65" i="11"/>
  <c r="AY65" i="11"/>
  <c r="AU65" i="11"/>
  <c r="AQ65" i="11"/>
  <c r="AM65" i="11"/>
  <c r="AI65" i="11"/>
  <c r="AE65" i="11"/>
  <c r="AA65" i="11"/>
  <c r="W65" i="11"/>
  <c r="S65" i="11"/>
  <c r="CD65" i="11"/>
  <c r="BY65" i="11"/>
  <c r="BU65" i="11"/>
  <c r="BQ65" i="11"/>
  <c r="BM65" i="11"/>
  <c r="BI65" i="11"/>
  <c r="BE65" i="11"/>
  <c r="BA65" i="11"/>
  <c r="AW65" i="11"/>
  <c r="AS65" i="11"/>
  <c r="AO65" i="11"/>
  <c r="AK65" i="11"/>
  <c r="AG65" i="11"/>
  <c r="AC65" i="11"/>
  <c r="Y65" i="11"/>
  <c r="U65" i="11"/>
  <c r="Q65" i="11"/>
  <c r="CG68" i="11"/>
  <c r="CB68" i="11"/>
  <c r="BX68" i="11"/>
  <c r="BT68" i="11"/>
  <c r="BP68" i="11"/>
  <c r="BL68" i="11"/>
  <c r="BH68" i="11"/>
  <c r="BD68" i="11"/>
  <c r="AZ68" i="11"/>
  <c r="AV68" i="11"/>
  <c r="AR68" i="11"/>
  <c r="AN68" i="11"/>
  <c r="AJ68" i="11"/>
  <c r="AF68" i="11"/>
  <c r="AB68" i="11"/>
  <c r="X68" i="11"/>
  <c r="T68" i="11"/>
  <c r="CF69" i="11"/>
  <c r="CA69" i="11"/>
  <c r="BW69" i="11"/>
  <c r="BS69" i="11"/>
  <c r="BO69" i="11"/>
  <c r="BK69" i="11"/>
  <c r="BG69" i="11"/>
  <c r="BC69" i="11"/>
  <c r="AY69" i="11"/>
  <c r="AU69" i="11"/>
  <c r="AQ69" i="11"/>
  <c r="AM69" i="11"/>
  <c r="AI69" i="11"/>
  <c r="AE69" i="11"/>
  <c r="AA69" i="11"/>
  <c r="W69" i="11"/>
  <c r="S69" i="11"/>
  <c r="CC69" i="11"/>
  <c r="BY69" i="11"/>
  <c r="BU69" i="11"/>
  <c r="BQ69" i="11"/>
  <c r="BM69" i="11"/>
  <c r="BI69" i="11"/>
  <c r="BE69" i="11"/>
  <c r="BA69" i="11"/>
  <c r="AW69" i="11"/>
  <c r="AS69" i="11"/>
  <c r="AO69" i="11"/>
  <c r="AK69" i="11"/>
  <c r="AG69" i="11"/>
  <c r="AC69" i="11"/>
  <c r="Y69" i="11"/>
  <c r="U69" i="11"/>
  <c r="Q69" i="11"/>
  <c r="R36" i="11"/>
  <c r="V36" i="11"/>
  <c r="Z36" i="11"/>
  <c r="AD36" i="11"/>
  <c r="AH36" i="11"/>
  <c r="AL36" i="11"/>
  <c r="AP36" i="11"/>
  <c r="AT36" i="11"/>
  <c r="AY36" i="11"/>
  <c r="BC36" i="11"/>
  <c r="BG36" i="11"/>
  <c r="BK36" i="11"/>
  <c r="BO36" i="11"/>
  <c r="BS36" i="11"/>
  <c r="BW36" i="11"/>
  <c r="CA36" i="11"/>
  <c r="R39" i="11"/>
  <c r="V39" i="11"/>
  <c r="Z39" i="11"/>
  <c r="AD39" i="11"/>
  <c r="AH39" i="11"/>
  <c r="AL39" i="11"/>
  <c r="AP39" i="11"/>
  <c r="AT39" i="11"/>
  <c r="AX39" i="11"/>
  <c r="BD39" i="11"/>
  <c r="BH39" i="11"/>
  <c r="BL39" i="11"/>
  <c r="BP39" i="11"/>
  <c r="BT39" i="11"/>
  <c r="BX39" i="11"/>
  <c r="CB39" i="11"/>
  <c r="R42" i="11"/>
  <c r="V42" i="11"/>
  <c r="Z42" i="11"/>
  <c r="AD42" i="11"/>
  <c r="AH42" i="11"/>
  <c r="AL42" i="11"/>
  <c r="AP42" i="11"/>
  <c r="AT42" i="11"/>
  <c r="AX42" i="11"/>
  <c r="BB42" i="11"/>
  <c r="BG42" i="11"/>
  <c r="BK42" i="11"/>
  <c r="BO42" i="11"/>
  <c r="BS42" i="11"/>
  <c r="BW42" i="11"/>
  <c r="CA42" i="11"/>
  <c r="R46" i="11"/>
  <c r="V46" i="11"/>
  <c r="Z46" i="11"/>
  <c r="AD46" i="11"/>
  <c r="AH46" i="11"/>
  <c r="AL46" i="11"/>
  <c r="AP46" i="11"/>
  <c r="AT46" i="11"/>
  <c r="AX46" i="11"/>
  <c r="BB46" i="11"/>
  <c r="BF46" i="11"/>
  <c r="BK46" i="11"/>
  <c r="BO46" i="11"/>
  <c r="BS46" i="11"/>
  <c r="BW46" i="11"/>
  <c r="CA46" i="11"/>
  <c r="R50" i="11"/>
  <c r="V50" i="11"/>
  <c r="Z50" i="11"/>
  <c r="AD50" i="11"/>
  <c r="AH50" i="11"/>
  <c r="AL50" i="11"/>
  <c r="AP50" i="11"/>
  <c r="AT50" i="11"/>
  <c r="AX50" i="11"/>
  <c r="BB50" i="11"/>
  <c r="BF50" i="11"/>
  <c r="BJ50" i="11"/>
  <c r="BO50" i="11"/>
  <c r="BS50" i="11"/>
  <c r="BW50" i="11"/>
  <c r="CA50" i="11"/>
  <c r="R54" i="11"/>
  <c r="V54" i="11"/>
  <c r="Z54" i="11"/>
  <c r="AD54" i="11"/>
  <c r="AH54" i="11"/>
  <c r="AL54" i="11"/>
  <c r="AP54" i="11"/>
  <c r="AT54" i="11"/>
  <c r="AX54" i="11"/>
  <c r="BB54" i="11"/>
  <c r="BF54" i="11"/>
  <c r="BJ54" i="11"/>
  <c r="BN54" i="11"/>
  <c r="BS54" i="11"/>
  <c r="BW54" i="11"/>
  <c r="CA54" i="11"/>
  <c r="T56" i="11"/>
  <c r="X56" i="11"/>
  <c r="AB56" i="11"/>
  <c r="AF56" i="11"/>
  <c r="AJ56" i="11"/>
  <c r="AN56" i="11"/>
  <c r="AR56" i="11"/>
  <c r="AV56" i="11"/>
  <c r="AZ56" i="11"/>
  <c r="BD56" i="11"/>
  <c r="BH56" i="11"/>
  <c r="BL56" i="11"/>
  <c r="BP56" i="11"/>
  <c r="BU56" i="11"/>
  <c r="BY56" i="11"/>
  <c r="CC56" i="11"/>
  <c r="R57" i="11"/>
  <c r="X57" i="11"/>
  <c r="AC57" i="11"/>
  <c r="AJ57" i="11"/>
  <c r="AR57" i="11"/>
  <c r="AZ57" i="11"/>
  <c r="BH57" i="11"/>
  <c r="BP57" i="11"/>
  <c r="BY57" i="11"/>
  <c r="CG57" i="11"/>
  <c r="Q58" i="11"/>
  <c r="Y58" i="11"/>
  <c r="AG58" i="11"/>
  <c r="AO58" i="11"/>
  <c r="AW58" i="11"/>
  <c r="BE58" i="11"/>
  <c r="BM58" i="11"/>
  <c r="BV58" i="11"/>
  <c r="X59" i="11"/>
  <c r="AF59" i="11"/>
  <c r="AN59" i="11"/>
  <c r="AV59" i="11"/>
  <c r="BD59" i="11"/>
  <c r="BL59" i="11"/>
  <c r="BT59" i="11"/>
  <c r="CC59" i="11"/>
  <c r="U60" i="11"/>
  <c r="AC60" i="11"/>
  <c r="AK60" i="11"/>
  <c r="AS60" i="11"/>
  <c r="BA60" i="11"/>
  <c r="BI60" i="11"/>
  <c r="BQ60" i="11"/>
  <c r="BZ60" i="11"/>
  <c r="T61" i="11"/>
  <c r="AB61" i="11"/>
  <c r="AJ61" i="11"/>
  <c r="AR61" i="11"/>
  <c r="AZ61" i="11"/>
  <c r="BH61" i="11"/>
  <c r="BP61" i="11"/>
  <c r="BY61" i="11"/>
  <c r="CG61" i="11"/>
  <c r="Q62" i="11"/>
  <c r="Y62" i="11"/>
  <c r="AG62" i="11"/>
  <c r="AO62" i="11"/>
  <c r="AW62" i="11"/>
  <c r="BE62" i="11"/>
  <c r="BM62" i="11"/>
  <c r="BU62" i="11"/>
  <c r="X63" i="11"/>
  <c r="AF63" i="11"/>
  <c r="AN63" i="11"/>
  <c r="AV63" i="11"/>
  <c r="BD63" i="11"/>
  <c r="BL63" i="11"/>
  <c r="BT63" i="11"/>
  <c r="CC63" i="11"/>
  <c r="U64" i="11"/>
  <c r="AC64" i="11"/>
  <c r="AK64" i="11"/>
  <c r="AS64" i="11"/>
  <c r="BA64" i="11"/>
  <c r="BI64" i="11"/>
  <c r="BQ64" i="11"/>
  <c r="BY64" i="11"/>
  <c r="T65" i="11"/>
  <c r="AB65" i="11"/>
  <c r="AJ65" i="11"/>
  <c r="AR65" i="11"/>
  <c r="AZ65" i="11"/>
  <c r="BH65" i="11"/>
  <c r="BP65" i="11"/>
  <c r="BX65" i="11"/>
  <c r="CG65" i="11"/>
  <c r="Q66" i="11"/>
  <c r="Y66" i="11"/>
  <c r="AG66" i="11"/>
  <c r="AO66" i="11"/>
  <c r="AW66" i="11"/>
  <c r="BE66" i="11"/>
  <c r="BM66" i="11"/>
  <c r="BU66" i="11"/>
  <c r="X67" i="11"/>
  <c r="AF67" i="11"/>
  <c r="AN67" i="11"/>
  <c r="AV67" i="11"/>
  <c r="BD67" i="11"/>
  <c r="BL67" i="11"/>
  <c r="BT67" i="11"/>
  <c r="CB67" i="11"/>
  <c r="U68" i="11"/>
  <c r="AC68" i="11"/>
  <c r="AK68" i="11"/>
  <c r="AS68" i="11"/>
  <c r="BA68" i="11"/>
  <c r="BI68" i="11"/>
  <c r="BQ68" i="11"/>
  <c r="BY68" i="11"/>
  <c r="T69" i="11"/>
  <c r="AB69" i="11"/>
  <c r="AJ69" i="11"/>
  <c r="AR69" i="11"/>
  <c r="AZ69" i="11"/>
  <c r="BH69" i="11"/>
  <c r="BP69" i="11"/>
  <c r="BX69" i="11"/>
  <c r="CG69" i="11"/>
  <c r="S70" i="11"/>
  <c r="W70" i="11"/>
  <c r="AA70" i="11"/>
  <c r="AE70" i="11"/>
  <c r="AI70" i="11"/>
  <c r="AM70" i="11"/>
  <c r="AQ70" i="11"/>
  <c r="AU70" i="11"/>
  <c r="AY70" i="11"/>
  <c r="BC70" i="11"/>
  <c r="BG70" i="11"/>
  <c r="BK70" i="11"/>
  <c r="BO70" i="11"/>
  <c r="BS70" i="11"/>
  <c r="BW70" i="11"/>
  <c r="CA70" i="11"/>
  <c r="CE70" i="11"/>
  <c r="T71" i="11"/>
  <c r="X71" i="11"/>
  <c r="AB71" i="11"/>
  <c r="AF71" i="11"/>
  <c r="AJ71" i="11"/>
  <c r="AN71" i="11"/>
  <c r="AR71" i="11"/>
  <c r="AV71" i="11"/>
  <c r="AZ71" i="11"/>
  <c r="BD71" i="11"/>
  <c r="BH71" i="11"/>
  <c r="BL71" i="11"/>
  <c r="BP71" i="11"/>
  <c r="BT71" i="11"/>
  <c r="BX71" i="11"/>
  <c r="CB71" i="11"/>
  <c r="CF71" i="11"/>
  <c r="R58" i="11"/>
  <c r="V58" i="11"/>
  <c r="Z58" i="11"/>
  <c r="AD58" i="11"/>
  <c r="AH58" i="11"/>
  <c r="AL58" i="11"/>
  <c r="AP58" i="11"/>
  <c r="AT58" i="11"/>
  <c r="AX58" i="11"/>
  <c r="BB58" i="11"/>
  <c r="BF58" i="11"/>
  <c r="BJ58" i="11"/>
  <c r="BN58" i="11"/>
  <c r="BR58" i="11"/>
  <c r="BW58" i="11"/>
  <c r="CA58" i="11"/>
  <c r="CE58" i="11"/>
  <c r="R62" i="11"/>
  <c r="V62" i="11"/>
  <c r="Z62" i="11"/>
  <c r="AD62" i="11"/>
  <c r="AH62" i="11"/>
  <c r="AL62" i="11"/>
  <c r="AP62" i="11"/>
  <c r="AT62" i="11"/>
  <c r="AX62" i="11"/>
  <c r="BB62" i="11"/>
  <c r="BF62" i="11"/>
  <c r="BJ62" i="11"/>
  <c r="BN62" i="11"/>
  <c r="BR62" i="11"/>
  <c r="BV62" i="11"/>
  <c r="CA62" i="11"/>
  <c r="CE62" i="11"/>
  <c r="R66" i="11"/>
  <c r="V66" i="11"/>
  <c r="Z66" i="11"/>
  <c r="AD66" i="11"/>
  <c r="AH66" i="11"/>
  <c r="AL66" i="11"/>
  <c r="AP66" i="11"/>
  <c r="AT66" i="11"/>
  <c r="AX66" i="11"/>
  <c r="BB66" i="11"/>
  <c r="BF66" i="11"/>
  <c r="BJ66" i="11"/>
  <c r="BN66" i="11"/>
  <c r="BR66" i="11"/>
  <c r="BV66" i="11"/>
  <c r="BZ66" i="11"/>
  <c r="CE66" i="11"/>
  <c r="R70" i="11"/>
  <c r="V70" i="11"/>
  <c r="Z70" i="11"/>
  <c r="AD70" i="11"/>
  <c r="AH70" i="11"/>
  <c r="AL70" i="11"/>
  <c r="AP70" i="11"/>
  <c r="AT70" i="11"/>
  <c r="AX70" i="11"/>
  <c r="BB70" i="11"/>
  <c r="BF70" i="11"/>
  <c r="BJ70" i="11"/>
  <c r="BN70" i="11"/>
  <c r="BR70" i="11"/>
  <c r="BV70" i="11"/>
  <c r="BZ70" i="11"/>
  <c r="CD70" i="11"/>
  <c r="S71" i="11"/>
  <c r="W71" i="11"/>
  <c r="AA71" i="11"/>
  <c r="AE71" i="11"/>
  <c r="AI71" i="11"/>
  <c r="AM71" i="11"/>
  <c r="AQ71" i="11"/>
  <c r="AU71" i="11"/>
  <c r="AY71" i="11"/>
  <c r="BC71" i="11"/>
  <c r="BG71" i="11"/>
  <c r="BK71" i="11"/>
  <c r="BO71" i="11"/>
  <c r="BS71" i="11"/>
  <c r="BW71" i="11"/>
  <c r="CA71" i="11"/>
  <c r="CE71" i="11"/>
  <c r="R71" i="11"/>
  <c r="V71" i="11"/>
  <c r="Z71" i="11"/>
  <c r="AD71" i="11"/>
  <c r="AH71" i="11"/>
  <c r="AL71" i="11"/>
  <c r="AP71" i="11"/>
  <c r="AT71" i="11"/>
  <c r="AX71" i="11"/>
  <c r="BB71" i="11"/>
  <c r="BF71" i="11"/>
  <c r="BJ71" i="11"/>
  <c r="BN71" i="11"/>
  <c r="BR71" i="11"/>
  <c r="BV71" i="11"/>
  <c r="BZ71" i="11"/>
  <c r="CD71" i="11"/>
  <c r="T58" i="11"/>
  <c r="X58" i="11"/>
  <c r="AB58" i="11"/>
  <c r="AF58" i="11"/>
  <c r="AJ58" i="11"/>
  <c r="AN58" i="11"/>
  <c r="AR58" i="11"/>
  <c r="AV58" i="11"/>
  <c r="AZ58" i="11"/>
  <c r="BD58" i="11"/>
  <c r="BH58" i="11"/>
  <c r="BL58" i="11"/>
  <c r="BP58" i="11"/>
  <c r="BU58" i="11"/>
  <c r="BY58" i="11"/>
  <c r="CC58" i="11"/>
  <c r="R60" i="11"/>
  <c r="V60" i="11"/>
  <c r="Z60" i="11"/>
  <c r="AD60" i="11"/>
  <c r="AH60" i="11"/>
  <c r="AL60" i="11"/>
  <c r="AP60" i="11"/>
  <c r="AT60" i="11"/>
  <c r="AX60" i="11"/>
  <c r="BB60" i="11"/>
  <c r="BF60" i="11"/>
  <c r="BJ60" i="11"/>
  <c r="BN60" i="11"/>
  <c r="BR60" i="11"/>
  <c r="BW60" i="11"/>
  <c r="CA60" i="11"/>
  <c r="T62" i="11"/>
  <c r="X62" i="11"/>
  <c r="AB62" i="11"/>
  <c r="AF62" i="11"/>
  <c r="AJ62" i="11"/>
  <c r="AN62" i="11"/>
  <c r="AR62" i="11"/>
  <c r="AV62" i="11"/>
  <c r="AZ62" i="11"/>
  <c r="BD62" i="11"/>
  <c r="BH62" i="11"/>
  <c r="BL62" i="11"/>
  <c r="BP62" i="11"/>
  <c r="BT62" i="11"/>
  <c r="BY62" i="11"/>
  <c r="CC62" i="11"/>
  <c r="R64" i="11"/>
  <c r="V64" i="11"/>
  <c r="Z64" i="11"/>
  <c r="AD64" i="11"/>
  <c r="AH64" i="11"/>
  <c r="AL64" i="11"/>
  <c r="AP64" i="11"/>
  <c r="AT64" i="11"/>
  <c r="AX64" i="11"/>
  <c r="BB64" i="11"/>
  <c r="BF64" i="11"/>
  <c r="BJ64" i="11"/>
  <c r="BN64" i="11"/>
  <c r="BR64" i="11"/>
  <c r="BV64" i="11"/>
  <c r="CA64" i="11"/>
  <c r="T66" i="11"/>
  <c r="X66" i="11"/>
  <c r="AB66" i="11"/>
  <c r="AF66" i="11"/>
  <c r="AJ66" i="11"/>
  <c r="AN66" i="11"/>
  <c r="AR66" i="11"/>
  <c r="AV66" i="11"/>
  <c r="AZ66" i="11"/>
  <c r="BD66" i="11"/>
  <c r="BH66" i="11"/>
  <c r="BL66" i="11"/>
  <c r="BP66" i="11"/>
  <c r="BT66" i="11"/>
  <c r="BX66" i="11"/>
  <c r="CC66" i="11"/>
  <c r="R68" i="11"/>
  <c r="V68" i="11"/>
  <c r="Z68" i="11"/>
  <c r="AD68" i="11"/>
  <c r="AH68" i="11"/>
  <c r="AL68" i="11"/>
  <c r="AP68" i="11"/>
  <c r="AT68" i="11"/>
  <c r="AX68" i="11"/>
  <c r="BB68" i="11"/>
  <c r="BF68" i="11"/>
  <c r="BJ68" i="11"/>
  <c r="BN68" i="11"/>
  <c r="BR68" i="11"/>
  <c r="BV68" i="11"/>
  <c r="BZ68" i="11"/>
  <c r="T70" i="11"/>
  <c r="X70" i="11"/>
  <c r="AB70" i="11"/>
  <c r="AF70" i="11"/>
  <c r="AJ70" i="11"/>
  <c r="AN70" i="11"/>
  <c r="AR70" i="11"/>
  <c r="AV70" i="11"/>
  <c r="AZ70" i="11"/>
  <c r="BD70" i="11"/>
  <c r="BH70" i="11"/>
  <c r="BL70" i="11"/>
  <c r="BP70" i="11"/>
  <c r="BT70" i="11"/>
  <c r="BX70" i="11"/>
  <c r="CB70" i="11"/>
  <c r="Q71" i="11"/>
  <c r="U71" i="11"/>
  <c r="Y71" i="11"/>
  <c r="AC71" i="11"/>
  <c r="AG71" i="11"/>
  <c r="AK71" i="11"/>
  <c r="AO71" i="11"/>
  <c r="AS71" i="11"/>
  <c r="AW71" i="11"/>
  <c r="BA71" i="11"/>
  <c r="BE71" i="11"/>
  <c r="BI71" i="11"/>
  <c r="BM71" i="11"/>
  <c r="BQ71" i="11"/>
  <c r="BU71" i="11"/>
  <c r="BY71" i="11"/>
  <c r="T78" i="6"/>
  <c r="T77" i="6"/>
  <c r="T76" i="6"/>
  <c r="T75" i="6"/>
  <c r="T74" i="6"/>
  <c r="T69" i="6"/>
  <c r="T66" i="6"/>
  <c r="T65" i="6"/>
  <c r="T64" i="6"/>
  <c r="T63" i="6"/>
  <c r="T62" i="6"/>
  <c r="T61" i="6"/>
  <c r="T60" i="6"/>
  <c r="T59" i="6"/>
  <c r="T57" i="6"/>
  <c r="T56" i="6"/>
  <c r="T55" i="6"/>
  <c r="T54" i="6"/>
  <c r="T53" i="6"/>
  <c r="T52" i="6"/>
  <c r="T50" i="6"/>
  <c r="T49" i="6"/>
  <c r="T48" i="6"/>
  <c r="T47" i="6"/>
  <c r="T46" i="6"/>
  <c r="T45" i="6"/>
  <c r="T43" i="6"/>
  <c r="T42" i="6"/>
  <c r="T41" i="6"/>
  <c r="T40" i="6"/>
  <c r="T39" i="6"/>
  <c r="T38" i="6"/>
  <c r="T37" i="6"/>
  <c r="T36" i="6"/>
  <c r="T35" i="6"/>
  <c r="T33" i="6"/>
  <c r="T32" i="6"/>
  <c r="T31" i="6"/>
  <c r="T30" i="6"/>
  <c r="T28" i="6"/>
  <c r="T27" i="6"/>
  <c r="T26" i="6"/>
  <c r="T25" i="6"/>
  <c r="T24" i="6"/>
  <c r="T23" i="6"/>
  <c r="T22" i="6"/>
  <c r="T21" i="6"/>
  <c r="T19" i="6"/>
  <c r="T18" i="6"/>
  <c r="T17" i="6"/>
  <c r="T16" i="6"/>
  <c r="T15" i="6"/>
  <c r="T14" i="6"/>
  <c r="T13" i="6"/>
  <c r="T12" i="6"/>
  <c r="T11" i="6"/>
  <c r="T10" i="6"/>
  <c r="T9" i="6"/>
  <c r="T8" i="6"/>
  <c r="T6" i="6"/>
  <c r="T5" i="6"/>
  <c r="T4" i="6"/>
  <c r="T3" i="6"/>
  <c r="T2" i="6"/>
  <c r="T44" i="6"/>
  <c r="E54" i="8"/>
  <c r="D54" i="8"/>
  <c r="P55" i="8"/>
  <c r="P56" i="8"/>
  <c r="P57" i="8"/>
  <c r="O55" i="8"/>
  <c r="O56" i="8"/>
  <c r="O57" i="8"/>
  <c r="J54" i="8"/>
  <c r="J55" i="8"/>
  <c r="J57" i="8"/>
  <c r="I54" i="8"/>
  <c r="I55" i="8"/>
  <c r="I57" i="8"/>
  <c r="M54" i="8"/>
  <c r="L54" i="8"/>
  <c r="M56" i="8"/>
  <c r="M55" i="8"/>
  <c r="L56" i="8"/>
  <c r="L55" i="8"/>
  <c r="L57" i="8"/>
  <c r="H56" i="8"/>
  <c r="G56" i="8"/>
  <c r="H55" i="8"/>
  <c r="G55" i="8"/>
  <c r="H54" i="8"/>
  <c r="G54" i="8"/>
  <c r="E55" i="8"/>
  <c r="D55" i="8"/>
  <c r="D11" i="3"/>
  <c r="D10" i="3"/>
  <c r="D9" i="3"/>
  <c r="D8" i="3"/>
  <c r="D7" i="3"/>
  <c r="D6" i="3"/>
  <c r="D5" i="3"/>
  <c r="C7" i="3"/>
  <c r="C5" i="3"/>
  <c r="AB74" i="6"/>
  <c r="Z74" i="6"/>
  <c r="AB66" i="6"/>
  <c r="Z66" i="6"/>
  <c r="AB65" i="6"/>
  <c r="Z65" i="6"/>
  <c r="AB64" i="6"/>
  <c r="Z64" i="6"/>
  <c r="AB63" i="6"/>
  <c r="Z63" i="6"/>
  <c r="AB62" i="6"/>
  <c r="Z62" i="6"/>
  <c r="AB61" i="6"/>
  <c r="Z61" i="6"/>
  <c r="X60" i="6"/>
  <c r="X59" i="6"/>
  <c r="X49" i="6"/>
  <c r="X48" i="6"/>
  <c r="X47" i="6"/>
  <c r="X46" i="6"/>
  <c r="X45" i="6"/>
  <c r="X43" i="6"/>
  <c r="X42" i="6"/>
  <c r="X40" i="6"/>
  <c r="X36" i="6"/>
  <c r="X35" i="6"/>
  <c r="AB30" i="6"/>
  <c r="Z30" i="6"/>
  <c r="AB19" i="6"/>
  <c r="Z19" i="6"/>
  <c r="O12" i="5"/>
  <c r="L8" i="5"/>
  <c r="L14" i="5"/>
  <c r="M14" i="5"/>
  <c r="N14" i="5"/>
  <c r="O9" i="5"/>
  <c r="O10" i="5"/>
  <c r="O14" i="5"/>
  <c r="P14" i="5"/>
  <c r="K14" i="5"/>
  <c r="C9" i="3"/>
  <c r="C11" i="3"/>
  <c r="C10" i="3"/>
  <c r="C8" i="3"/>
  <c r="C6" i="3"/>
  <c r="B11" i="5"/>
  <c r="F6" i="5"/>
  <c r="F7" i="5"/>
  <c r="C11" i="5"/>
  <c r="C15" i="5"/>
  <c r="D11" i="5"/>
  <c r="B8" i="5"/>
  <c r="D8" i="5"/>
  <c r="B9" i="5"/>
  <c r="D10" i="5"/>
  <c r="D9" i="5"/>
  <c r="B10" i="5"/>
  <c r="C10" i="5"/>
  <c r="C14" i="5"/>
  <c r="E21" i="5"/>
  <c r="E22" i="5"/>
  <c r="E23" i="5"/>
  <c r="E24" i="5"/>
  <c r="C9" i="5"/>
  <c r="C13" i="5"/>
  <c r="E10" i="5"/>
  <c r="D14" i="5"/>
  <c r="E14" i="5"/>
  <c r="E11" i="5"/>
  <c r="D15" i="5"/>
  <c r="E15" i="5"/>
  <c r="E8" i="5"/>
  <c r="D16" i="5"/>
  <c r="E9" i="5"/>
  <c r="D13" i="5"/>
  <c r="E13" i="5"/>
  <c r="C8" i="5"/>
  <c r="C16" i="5"/>
  <c r="E18" i="5"/>
  <c r="E16" i="5"/>
  <c r="E17" i="5"/>
  <c r="S56" i="8"/>
  <c r="H57" i="8"/>
  <c r="E57" i="8"/>
  <c r="D57" i="8"/>
  <c r="R55" i="8"/>
  <c r="G57" i="8"/>
  <c r="R57" i="8"/>
  <c r="S55" i="8"/>
  <c r="S54" i="8"/>
  <c r="R54" i="8"/>
  <c r="M57" i="8"/>
  <c r="R56" i="8"/>
  <c r="C12" i="3"/>
  <c r="D12" i="3"/>
  <c r="S57" i="8"/>
</calcChain>
</file>

<file path=xl/comments1.xml><?xml version="1.0" encoding="utf-8"?>
<comments xmlns="http://schemas.openxmlformats.org/spreadsheetml/2006/main">
  <authors>
    <author>mkosct</author>
    <author>dromancik</author>
    <author>gnunis</author>
    <author>kbrowne2</author>
    <author>George Hansen</author>
    <author>uwinkel</author>
    <author>Mattias Borgelin</author>
    <author>Koos Kruid</author>
  </authors>
  <commentList>
    <comment ref="I6" authorId="0">
      <text>
        <r>
          <rPr>
            <b/>
            <sz val="9"/>
            <color indexed="81"/>
            <rFont val="Tahoma"/>
            <family val="2"/>
          </rPr>
          <t>mkosct:</t>
        </r>
        <r>
          <rPr>
            <sz val="9"/>
            <color indexed="81"/>
            <rFont val="Tahoma"/>
            <family val="2"/>
          </rPr>
          <t xml:space="preserve">
This cage single client Raytheon, other Cyrus one facilities available</t>
        </r>
      </text>
    </comment>
    <comment ref="D8" authorId="0">
      <text>
        <r>
          <rPr>
            <b/>
            <sz val="9"/>
            <color indexed="81"/>
            <rFont val="Tahoma"/>
            <family val="2"/>
          </rPr>
          <t>mkosct:DRT Manages ELEC and Mech Infrastructure</t>
        </r>
        <r>
          <rPr>
            <sz val="9"/>
            <color indexed="81"/>
            <rFont val="Tahoma"/>
            <family val="2"/>
          </rPr>
          <t xml:space="preserve">
</t>
        </r>
      </text>
    </comment>
    <comment ref="F8" authorId="1">
      <text>
        <r>
          <rPr>
            <b/>
            <sz val="9"/>
            <color indexed="81"/>
            <rFont val="Tahoma"/>
            <family val="2"/>
          </rPr>
          <t>Working on 4 yr lease extension as of 2/6/13… contract is for 5yr extension</t>
        </r>
      </text>
    </comment>
    <comment ref="F9" authorId="1">
      <text>
        <r>
          <rPr>
            <b/>
            <sz val="9"/>
            <color indexed="81"/>
            <rFont val="Tahoma"/>
            <family val="2"/>
          </rPr>
          <t>Option for two  5 yr extensions.
End date w/ extensions is 09/30/2024</t>
        </r>
      </text>
    </comment>
    <comment ref="AO9" authorId="0">
      <text>
        <r>
          <rPr>
            <b/>
            <sz val="9"/>
            <color indexed="81"/>
            <rFont val="Tahoma"/>
            <family val="2"/>
          </rPr>
          <t>mkosct:</t>
        </r>
        <r>
          <rPr>
            <sz val="9"/>
            <color indexed="81"/>
            <rFont val="Tahoma"/>
            <family val="2"/>
          </rPr>
          <t xml:space="preserve">
AT&amp;T, Level 3, Sprint, XO, Verizon, Global Crossing.  We have a MUX onsite for AT&amp;T and L3 so we can bypass the Meet Me Room.  Also have the ability to connect to way more than this via our connectivity to the Meet Me Room.  Just haven't had client needs for it</t>
        </r>
      </text>
    </comment>
    <comment ref="F10" authorId="1">
      <text>
        <r>
          <rPr>
            <b/>
            <sz val="9"/>
            <color indexed="81"/>
            <rFont val="Tahoma"/>
            <family val="2"/>
          </rPr>
          <t>Option for two  5 yr extensions.
End date w/ extensions is 08/31/2028</t>
        </r>
      </text>
    </comment>
    <comment ref="E13" authorId="1">
      <text>
        <r>
          <rPr>
            <b/>
            <sz val="9"/>
            <color indexed="81"/>
            <rFont val="Tahoma"/>
            <family val="2"/>
          </rPr>
          <t>For Newington, CT (UTC Account) we began occupying this Data Center in 2000 the current contract ends 12/31/2019.  Normally the renew begin 5 years prior to the end date.</t>
        </r>
      </text>
    </comment>
    <comment ref="I21" authorId="0">
      <text>
        <r>
          <rPr>
            <b/>
            <sz val="9"/>
            <color indexed="81"/>
            <rFont val="Tahoma"/>
            <family val="2"/>
          </rPr>
          <t>mkosct:</t>
        </r>
        <r>
          <rPr>
            <sz val="9"/>
            <color indexed="81"/>
            <rFont val="Tahoma"/>
            <family val="2"/>
          </rPr>
          <t xml:space="preserve">
Maybank exiting by Oct 2014- Objective to move out by same time- Target closure Nov 2014- projected revenue issue Paul Salaeh Q4FY15?</t>
        </r>
      </text>
    </comment>
    <comment ref="X22" authorId="2">
      <text>
        <r>
          <rPr>
            <b/>
            <sz val="9"/>
            <color indexed="81"/>
            <rFont val="Tahoma"/>
            <family val="2"/>
          </rPr>
          <t>No dedicated UPS</t>
        </r>
      </text>
    </comment>
    <comment ref="Y22" authorId="2">
      <text>
        <r>
          <rPr>
            <b/>
            <sz val="9"/>
            <color indexed="81"/>
            <rFont val="Tahoma"/>
            <family val="2"/>
          </rPr>
          <t xml:space="preserve">No data provided by Colo partner
</t>
        </r>
      </text>
    </comment>
    <comment ref="Z22" authorId="2">
      <text>
        <r>
          <rPr>
            <b/>
            <sz val="9"/>
            <color indexed="81"/>
            <rFont val="Tahoma"/>
            <family val="2"/>
          </rPr>
          <t>No dedicated UPS</t>
        </r>
      </text>
    </comment>
    <comment ref="AA22" authorId="2">
      <text>
        <r>
          <rPr>
            <b/>
            <sz val="9"/>
            <color indexed="81"/>
            <rFont val="Tahoma"/>
            <family val="2"/>
          </rPr>
          <t>No dedicated UPS</t>
        </r>
      </text>
    </comment>
    <comment ref="AB22" authorId="2">
      <text>
        <r>
          <rPr>
            <b/>
            <sz val="9"/>
            <color indexed="81"/>
            <rFont val="Tahoma"/>
            <family val="2"/>
          </rPr>
          <t>No dedicated UPS</t>
        </r>
      </text>
    </comment>
    <comment ref="J24" authorId="0">
      <text>
        <r>
          <rPr>
            <b/>
            <sz val="9"/>
            <color indexed="81"/>
            <rFont val="Tahoma"/>
            <family val="2"/>
          </rPr>
          <t>mkosct:</t>
        </r>
        <r>
          <rPr>
            <sz val="9"/>
            <color indexed="81"/>
            <rFont val="Tahoma"/>
            <family val="2"/>
          </rPr>
          <t xml:space="preserve">
Changed from Tier II by Jeremy in DCQM 1/9/13</t>
        </r>
      </text>
    </comment>
    <comment ref="K24" authorId="0">
      <text>
        <r>
          <rPr>
            <b/>
            <sz val="9"/>
            <color indexed="81"/>
            <rFont val="Tahoma"/>
            <family val="2"/>
          </rPr>
          <t>mkosct:</t>
        </r>
        <r>
          <rPr>
            <sz val="9"/>
            <color indexed="81"/>
            <rFont val="Tahoma"/>
            <family val="2"/>
          </rPr>
          <t xml:space="preserve">
Changed from Tier II by Jeremy in DCQM 1/9/13</t>
        </r>
      </text>
    </comment>
    <comment ref="L24" authorId="0">
      <text>
        <r>
          <rPr>
            <b/>
            <sz val="9"/>
            <color indexed="81"/>
            <rFont val="Tahoma"/>
            <family val="2"/>
          </rPr>
          <t>mkosct:</t>
        </r>
        <r>
          <rPr>
            <sz val="9"/>
            <color indexed="81"/>
            <rFont val="Tahoma"/>
            <family val="2"/>
          </rPr>
          <t xml:space="preserve">
Changed from Tier II by Jeremy in DCQM 1/9/13</t>
        </r>
      </text>
    </comment>
    <comment ref="F32" authorId="0">
      <text>
        <r>
          <rPr>
            <b/>
            <sz val="9"/>
            <color indexed="81"/>
            <rFont val="Tahoma"/>
            <family val="2"/>
          </rPr>
          <t>mkosct:</t>
        </r>
        <r>
          <rPr>
            <sz val="9"/>
            <color indexed="81"/>
            <rFont val="Tahoma"/>
            <family val="2"/>
          </rPr>
          <t xml:space="preserve">
Needs to extend by nov 2014--- Need to get something to them by May 2014- per Curt
Per Larry Lease being extended by 5 years with an additional  5 year  clause</t>
        </r>
      </text>
    </comment>
    <comment ref="I35" authorId="0">
      <text>
        <r>
          <rPr>
            <b/>
            <sz val="9"/>
            <color indexed="81"/>
            <rFont val="Tahoma"/>
            <family val="2"/>
          </rPr>
          <t>mkosct:</t>
        </r>
        <r>
          <rPr>
            <sz val="9"/>
            <color indexed="81"/>
            <rFont val="Tahoma"/>
            <family val="2"/>
          </rPr>
          <t xml:space="preserve">
used exclusively for a govt dept DTFSS per Kim Browne 3/12/13</t>
        </r>
      </text>
    </comment>
    <comment ref="U35" authorId="3">
      <text>
        <r>
          <rPr>
            <b/>
            <sz val="8"/>
            <color indexed="81"/>
            <rFont val="Tahoma"/>
            <family val="2"/>
          </rPr>
          <t>kbrowne2:</t>
        </r>
        <r>
          <rPr>
            <sz val="8"/>
            <color indexed="81"/>
            <rFont val="Tahoma"/>
            <family val="2"/>
          </rPr>
          <t xml:space="preserve">
dedicated caged area of 70 sqm fit for 21 racks
Formal colo contract in place
Will go when client goes in 16 months</t>
        </r>
      </text>
    </comment>
    <comment ref="X35" authorId="4">
      <text>
        <r>
          <rPr>
            <b/>
            <sz val="8"/>
            <color indexed="81"/>
            <rFont val="Tahoma"/>
            <family val="2"/>
          </rPr>
          <t>George Hansen:</t>
        </r>
        <r>
          <rPr>
            <sz val="8"/>
            <color indexed="81"/>
            <rFont val="Tahoma"/>
            <family val="2"/>
          </rPr>
          <t xml:space="preserve">
Power capacity Unkown.  Assume 100 w/SF
</t>
        </r>
      </text>
    </comment>
    <comment ref="I36" authorId="0">
      <text>
        <r>
          <rPr>
            <b/>
            <sz val="9"/>
            <color indexed="81"/>
            <rFont val="Tahoma"/>
            <family val="2"/>
          </rPr>
          <t>mkosct:</t>
        </r>
        <r>
          <rPr>
            <sz val="9"/>
            <color indexed="81"/>
            <rFont val="Tahoma"/>
            <family val="2"/>
          </rPr>
          <t xml:space="preserve">
used exclusively for BHPB IO per Kim Browne 3/12/13</t>
        </r>
      </text>
    </comment>
    <comment ref="U36" authorId="3">
      <text>
        <r>
          <rPr>
            <b/>
            <sz val="8"/>
            <color indexed="81"/>
            <rFont val="Tahoma"/>
            <family val="2"/>
          </rPr>
          <t>kbrowne2:</t>
        </r>
        <r>
          <rPr>
            <sz val="8"/>
            <color indexed="81"/>
            <rFont val="Tahoma"/>
            <family val="2"/>
          </rPr>
          <t xml:space="preserve">
dedicated caged area of 40 sqm fit for 16 racks
Formal colo contract in place </t>
        </r>
      </text>
    </comment>
    <comment ref="X36" authorId="4">
      <text>
        <r>
          <rPr>
            <b/>
            <sz val="8"/>
            <color indexed="81"/>
            <rFont val="Tahoma"/>
            <family val="2"/>
          </rPr>
          <t>George Hansen:</t>
        </r>
        <r>
          <rPr>
            <sz val="8"/>
            <color indexed="81"/>
            <rFont val="Tahoma"/>
            <family val="2"/>
          </rPr>
          <t xml:space="preserve">
Power capacity Unkown.  Assume 100 w/SF
</t>
        </r>
      </text>
    </comment>
    <comment ref="V37" authorId="0">
      <text>
        <r>
          <rPr>
            <b/>
            <sz val="9"/>
            <color indexed="81"/>
            <rFont val="Tahoma"/>
            <family val="2"/>
          </rPr>
          <t>mkosct:</t>
        </r>
        <r>
          <rPr>
            <sz val="9"/>
            <color indexed="81"/>
            <rFont val="Tahoma"/>
            <family val="2"/>
          </rPr>
          <t xml:space="preserve">
HD and LD Combined from DCQM</t>
        </r>
      </text>
    </comment>
    <comment ref="F38" authorId="1">
      <text>
        <r>
          <rPr>
            <b/>
            <sz val="9"/>
            <color indexed="81"/>
            <rFont val="Tahoma"/>
            <family val="2"/>
          </rPr>
          <t>Closing 2013</t>
        </r>
      </text>
    </comment>
    <comment ref="D39" authorId="0">
      <text>
        <r>
          <rPr>
            <b/>
            <sz val="9"/>
            <color indexed="81"/>
            <rFont val="Tahoma"/>
            <family val="2"/>
          </rPr>
          <t>mkosct:</t>
        </r>
        <r>
          <rPr>
            <sz val="9"/>
            <color indexed="81"/>
            <rFont val="Tahoma"/>
            <family val="2"/>
          </rPr>
          <t xml:space="preserve">
Changed from Lease to Colo 12/31/13</t>
        </r>
      </text>
    </comment>
    <comment ref="I39" authorId="0">
      <text>
        <r>
          <rPr>
            <b/>
            <sz val="9"/>
            <color indexed="81"/>
            <rFont val="Tahoma"/>
            <family val="2"/>
          </rPr>
          <t>mkosct:</t>
        </r>
        <r>
          <rPr>
            <sz val="9"/>
            <color indexed="81"/>
            <rFont val="Tahoma"/>
            <family val="2"/>
          </rPr>
          <t xml:space="preserve">
As of 12/31/13 CSC now Colo Tenant not resp for Elec/Mech Maint</t>
        </r>
      </text>
    </comment>
    <comment ref="U40" authorId="0">
      <text>
        <r>
          <rPr>
            <b/>
            <sz val="9"/>
            <color indexed="81"/>
            <rFont val="Tahoma"/>
            <family val="2"/>
          </rPr>
          <t>mkosct:</t>
        </r>
        <r>
          <rPr>
            <sz val="9"/>
            <color indexed="81"/>
            <rFont val="Tahoma"/>
            <family val="2"/>
          </rPr>
          <t xml:space="preserve">
Peter Marshall, 491 sq m</t>
        </r>
      </text>
    </comment>
    <comment ref="X40" authorId="4">
      <text>
        <r>
          <rPr>
            <b/>
            <sz val="8"/>
            <color indexed="81"/>
            <rFont val="Tahoma"/>
            <family val="2"/>
          </rPr>
          <t>George Hansen:</t>
        </r>
        <r>
          <rPr>
            <sz val="8"/>
            <color indexed="81"/>
            <rFont val="Tahoma"/>
            <family val="2"/>
          </rPr>
          <t xml:space="preserve">
Power capacity Unkown.  Assume 100 w/SF
</t>
        </r>
      </text>
    </comment>
    <comment ref="Y40" authorId="5">
      <text>
        <r>
          <rPr>
            <b/>
            <sz val="9"/>
            <color indexed="81"/>
            <rFont val="Tahoma"/>
            <family val="2"/>
          </rPr>
          <t>uwinkel:</t>
        </r>
        <r>
          <rPr>
            <sz val="9"/>
            <color indexed="81"/>
            <rFont val="Tahoma"/>
            <family val="2"/>
          </rPr>
          <t xml:space="preserve">
No dedicated UPS units </t>
        </r>
      </text>
    </comment>
    <comment ref="Z40" authorId="5">
      <text>
        <r>
          <rPr>
            <b/>
            <sz val="9"/>
            <color indexed="81"/>
            <rFont val="Tahoma"/>
            <family val="2"/>
          </rPr>
          <t>uwinkel:</t>
        </r>
        <r>
          <rPr>
            <sz val="9"/>
            <color indexed="81"/>
            <rFont val="Tahoma"/>
            <family val="2"/>
          </rPr>
          <t xml:space="preserve">
No dedicated UPS units </t>
        </r>
      </text>
    </comment>
    <comment ref="AA40" authorId="5">
      <text>
        <r>
          <rPr>
            <b/>
            <sz val="9"/>
            <color indexed="81"/>
            <rFont val="Tahoma"/>
            <family val="2"/>
          </rPr>
          <t>uwinkel:</t>
        </r>
        <r>
          <rPr>
            <sz val="9"/>
            <color indexed="81"/>
            <rFont val="Tahoma"/>
            <family val="2"/>
          </rPr>
          <t xml:space="preserve">
No information available / delivered by Colo provider.</t>
        </r>
      </text>
    </comment>
    <comment ref="AB40" authorId="5">
      <text>
        <r>
          <rPr>
            <b/>
            <sz val="9"/>
            <color indexed="81"/>
            <rFont val="Tahoma"/>
            <family val="2"/>
          </rPr>
          <t>uwinkel:</t>
        </r>
        <r>
          <rPr>
            <sz val="9"/>
            <color indexed="81"/>
            <rFont val="Tahoma"/>
            <family val="2"/>
          </rPr>
          <t xml:space="preserve">
No information available / delivered by Colo provider.</t>
        </r>
      </text>
    </comment>
    <comment ref="U42" authorId="4">
      <text>
        <r>
          <rPr>
            <b/>
            <sz val="8"/>
            <color indexed="81"/>
            <rFont val="Tahoma"/>
            <family val="2"/>
          </rPr>
          <t>George Hansen:</t>
        </r>
        <r>
          <rPr>
            <sz val="8"/>
            <color indexed="81"/>
            <rFont val="Tahoma"/>
            <family val="2"/>
          </rPr>
          <t xml:space="preserve">
Peter Marshal not more than 100 SM</t>
        </r>
      </text>
    </comment>
    <comment ref="X42" authorId="4">
      <text>
        <r>
          <rPr>
            <b/>
            <sz val="8"/>
            <color indexed="81"/>
            <rFont val="Tahoma"/>
            <family val="2"/>
          </rPr>
          <t>George Hansen:</t>
        </r>
        <r>
          <rPr>
            <sz val="8"/>
            <color indexed="81"/>
            <rFont val="Tahoma"/>
            <family val="2"/>
          </rPr>
          <t xml:space="preserve">
Power capacity Unkown.  Assume 100 w/SF
</t>
        </r>
      </text>
    </comment>
    <comment ref="Y42" authorId="5">
      <text>
        <r>
          <rPr>
            <b/>
            <sz val="9"/>
            <color indexed="81"/>
            <rFont val="Tahoma"/>
            <family val="2"/>
          </rPr>
          <t>uwinkel:</t>
        </r>
        <r>
          <rPr>
            <sz val="9"/>
            <color indexed="81"/>
            <rFont val="Tahoma"/>
            <family val="2"/>
          </rPr>
          <t xml:space="preserve">
No dedicated UPS units </t>
        </r>
      </text>
    </comment>
    <comment ref="Z42" authorId="5">
      <text>
        <r>
          <rPr>
            <b/>
            <sz val="9"/>
            <color indexed="81"/>
            <rFont val="Tahoma"/>
            <family val="2"/>
          </rPr>
          <t>uwinkel:</t>
        </r>
        <r>
          <rPr>
            <sz val="9"/>
            <color indexed="81"/>
            <rFont val="Tahoma"/>
            <family val="2"/>
          </rPr>
          <t xml:space="preserve">
No dedicated UPS units </t>
        </r>
      </text>
    </comment>
    <comment ref="AA42" authorId="5">
      <text>
        <r>
          <rPr>
            <b/>
            <sz val="9"/>
            <color indexed="81"/>
            <rFont val="Tahoma"/>
            <family val="2"/>
          </rPr>
          <t>uwinkel:</t>
        </r>
        <r>
          <rPr>
            <sz val="9"/>
            <color indexed="81"/>
            <rFont val="Tahoma"/>
            <family val="2"/>
          </rPr>
          <t xml:space="preserve">
No information available / delivered by Colo provider.</t>
        </r>
      </text>
    </comment>
    <comment ref="AB42" authorId="5">
      <text>
        <r>
          <rPr>
            <b/>
            <sz val="9"/>
            <color indexed="81"/>
            <rFont val="Tahoma"/>
            <family val="2"/>
          </rPr>
          <t>uwinkel:</t>
        </r>
        <r>
          <rPr>
            <sz val="9"/>
            <color indexed="81"/>
            <rFont val="Tahoma"/>
            <family val="2"/>
          </rPr>
          <t xml:space="preserve">
No information available / delivered by Colo provider.</t>
        </r>
      </text>
    </comment>
    <comment ref="U43" authorId="0">
      <text>
        <r>
          <rPr>
            <b/>
            <sz val="9"/>
            <color indexed="81"/>
            <rFont val="Tahoma"/>
            <family val="2"/>
          </rPr>
          <t>mkosct:</t>
        </r>
        <r>
          <rPr>
            <sz val="9"/>
            <color indexed="81"/>
            <rFont val="Tahoma"/>
            <family val="2"/>
          </rPr>
          <t xml:space="preserve">
Peter Marshall, 110 sq m</t>
        </r>
      </text>
    </comment>
    <comment ref="X43" authorId="4">
      <text>
        <r>
          <rPr>
            <b/>
            <sz val="8"/>
            <color indexed="81"/>
            <rFont val="Tahoma"/>
            <family val="2"/>
          </rPr>
          <t>George Hansen:</t>
        </r>
        <r>
          <rPr>
            <sz val="8"/>
            <color indexed="81"/>
            <rFont val="Tahoma"/>
            <family val="2"/>
          </rPr>
          <t xml:space="preserve">
Power capacity Unkown.  Assume 100 w/SF
</t>
        </r>
      </text>
    </comment>
    <comment ref="Y43" authorId="5">
      <text>
        <r>
          <rPr>
            <b/>
            <sz val="9"/>
            <color indexed="81"/>
            <rFont val="Tahoma"/>
            <family val="2"/>
          </rPr>
          <t>uwinkel:</t>
        </r>
        <r>
          <rPr>
            <sz val="9"/>
            <color indexed="81"/>
            <rFont val="Tahoma"/>
            <family val="2"/>
          </rPr>
          <t xml:space="preserve">
No dedicated UPS units </t>
        </r>
      </text>
    </comment>
    <comment ref="Z43" authorId="5">
      <text>
        <r>
          <rPr>
            <b/>
            <sz val="9"/>
            <color indexed="81"/>
            <rFont val="Tahoma"/>
            <family val="2"/>
          </rPr>
          <t>uwinkel:</t>
        </r>
        <r>
          <rPr>
            <sz val="9"/>
            <color indexed="81"/>
            <rFont val="Tahoma"/>
            <family val="2"/>
          </rPr>
          <t xml:space="preserve">
No dedicated UPS units </t>
        </r>
      </text>
    </comment>
    <comment ref="AA43" authorId="5">
      <text>
        <r>
          <rPr>
            <b/>
            <sz val="9"/>
            <color indexed="81"/>
            <rFont val="Tahoma"/>
            <family val="2"/>
          </rPr>
          <t>uwinkel:</t>
        </r>
        <r>
          <rPr>
            <sz val="9"/>
            <color indexed="81"/>
            <rFont val="Tahoma"/>
            <family val="2"/>
          </rPr>
          <t xml:space="preserve">
No information available / delivered by Colo provider.</t>
        </r>
      </text>
    </comment>
    <comment ref="AB43" authorId="5">
      <text>
        <r>
          <rPr>
            <b/>
            <sz val="9"/>
            <color indexed="81"/>
            <rFont val="Tahoma"/>
            <family val="2"/>
          </rPr>
          <t>uwinkel:</t>
        </r>
        <r>
          <rPr>
            <sz val="9"/>
            <color indexed="81"/>
            <rFont val="Tahoma"/>
            <family val="2"/>
          </rPr>
          <t xml:space="preserve">
No information available / delivered by Colo provider.</t>
        </r>
      </text>
    </comment>
    <comment ref="F44" authorId="0">
      <text>
        <r>
          <rPr>
            <b/>
            <sz val="9"/>
            <color indexed="81"/>
            <rFont val="Tahoma"/>
            <family val="2"/>
          </rPr>
          <t>The contract end has a dependency to the migration of the FDH data centre to UK. Additional information will be provided by Uwe Winkel  (CR DCM).</t>
        </r>
        <r>
          <rPr>
            <sz val="9"/>
            <color indexed="81"/>
            <rFont val="Tahoma"/>
            <family val="2"/>
          </rPr>
          <t xml:space="preserve">
</t>
        </r>
      </text>
    </comment>
    <comment ref="U45" authorId="4">
      <text>
        <r>
          <rPr>
            <b/>
            <sz val="8"/>
            <color indexed="81"/>
            <rFont val="Tahoma"/>
            <family val="2"/>
          </rPr>
          <t>George Hansen:</t>
        </r>
        <r>
          <rPr>
            <sz val="8"/>
            <color indexed="81"/>
            <rFont val="Tahoma"/>
            <family val="2"/>
          </rPr>
          <t xml:space="preserve">
Peter Marshal not more than 100 SM</t>
        </r>
      </text>
    </comment>
    <comment ref="X45" authorId="4">
      <text>
        <r>
          <rPr>
            <b/>
            <sz val="8"/>
            <color indexed="81"/>
            <rFont val="Tahoma"/>
            <family val="2"/>
          </rPr>
          <t>George Hansen:</t>
        </r>
        <r>
          <rPr>
            <sz val="8"/>
            <color indexed="81"/>
            <rFont val="Tahoma"/>
            <family val="2"/>
          </rPr>
          <t xml:space="preserve">
Power capacity Unkown.  Assume 100 w/SF
</t>
        </r>
      </text>
    </comment>
    <comment ref="U46" authorId="4">
      <text>
        <r>
          <rPr>
            <b/>
            <sz val="8"/>
            <color indexed="81"/>
            <rFont val="Tahoma"/>
            <family val="2"/>
          </rPr>
          <t>George Hansen:</t>
        </r>
        <r>
          <rPr>
            <sz val="8"/>
            <color indexed="81"/>
            <rFont val="Tahoma"/>
            <family val="2"/>
          </rPr>
          <t xml:space="preserve">
Peter Marshal- 300 SM</t>
        </r>
      </text>
    </comment>
    <comment ref="Y46" authorId="5">
      <text>
        <r>
          <rPr>
            <b/>
            <sz val="9"/>
            <color indexed="81"/>
            <rFont val="Tahoma"/>
            <family val="2"/>
          </rPr>
          <t>uwinkel:</t>
        </r>
        <r>
          <rPr>
            <sz val="9"/>
            <color indexed="81"/>
            <rFont val="Tahoma"/>
            <family val="2"/>
          </rPr>
          <t xml:space="preserve">
No dedicated UPS units </t>
        </r>
      </text>
    </comment>
    <comment ref="Z46" authorId="5">
      <text>
        <r>
          <rPr>
            <b/>
            <sz val="9"/>
            <color indexed="81"/>
            <rFont val="Tahoma"/>
            <family val="2"/>
          </rPr>
          <t>uwinkel:</t>
        </r>
        <r>
          <rPr>
            <sz val="9"/>
            <color indexed="81"/>
            <rFont val="Tahoma"/>
            <family val="2"/>
          </rPr>
          <t xml:space="preserve">
No dedicated UPS units </t>
        </r>
      </text>
    </comment>
    <comment ref="AA46" authorId="5">
      <text>
        <r>
          <rPr>
            <b/>
            <sz val="9"/>
            <color indexed="81"/>
            <rFont val="Tahoma"/>
            <family val="2"/>
          </rPr>
          <t>uwinkel:</t>
        </r>
        <r>
          <rPr>
            <sz val="9"/>
            <color indexed="81"/>
            <rFont val="Tahoma"/>
            <family val="2"/>
          </rPr>
          <t xml:space="preserve">
No information available / delivered by Colo provider.</t>
        </r>
      </text>
    </comment>
    <comment ref="AB46" authorId="5">
      <text>
        <r>
          <rPr>
            <b/>
            <sz val="9"/>
            <color indexed="81"/>
            <rFont val="Tahoma"/>
            <family val="2"/>
          </rPr>
          <t>uwinkel:</t>
        </r>
        <r>
          <rPr>
            <sz val="9"/>
            <color indexed="81"/>
            <rFont val="Tahoma"/>
            <family val="2"/>
          </rPr>
          <t xml:space="preserve">
No information available / delivered by Colo provider.</t>
        </r>
      </text>
    </comment>
    <comment ref="U47" authorId="0">
      <text>
        <r>
          <rPr>
            <b/>
            <sz val="9"/>
            <color indexed="81"/>
            <rFont val="Tahoma"/>
            <family val="2"/>
          </rPr>
          <t>mkosct:</t>
        </r>
        <r>
          <rPr>
            <sz val="9"/>
            <color indexed="81"/>
            <rFont val="Tahoma"/>
            <family val="2"/>
          </rPr>
          <t xml:space="preserve">
Peter Marshall, 125 sq m</t>
        </r>
      </text>
    </comment>
    <comment ref="X47" authorId="4">
      <text>
        <r>
          <rPr>
            <b/>
            <sz val="8"/>
            <color indexed="81"/>
            <rFont val="Tahoma"/>
            <family val="2"/>
          </rPr>
          <t>George Hansen:</t>
        </r>
        <r>
          <rPr>
            <sz val="8"/>
            <color indexed="81"/>
            <rFont val="Tahoma"/>
            <family val="2"/>
          </rPr>
          <t xml:space="preserve">
Power capacity Unkown.  Assume 100 w/SF
</t>
        </r>
      </text>
    </comment>
    <comment ref="Y47" authorId="5">
      <text>
        <r>
          <rPr>
            <b/>
            <sz val="9"/>
            <color indexed="81"/>
            <rFont val="Tahoma"/>
            <family val="2"/>
          </rPr>
          <t>uwinkel:</t>
        </r>
        <r>
          <rPr>
            <sz val="9"/>
            <color indexed="81"/>
            <rFont val="Tahoma"/>
            <family val="2"/>
          </rPr>
          <t xml:space="preserve">
No dedicated UPS units </t>
        </r>
      </text>
    </comment>
    <comment ref="Z47" authorId="5">
      <text>
        <r>
          <rPr>
            <b/>
            <sz val="9"/>
            <color indexed="81"/>
            <rFont val="Tahoma"/>
            <family val="2"/>
          </rPr>
          <t>uwinkel:</t>
        </r>
        <r>
          <rPr>
            <sz val="9"/>
            <color indexed="81"/>
            <rFont val="Tahoma"/>
            <family val="2"/>
          </rPr>
          <t xml:space="preserve">
No dedicated UPS units </t>
        </r>
      </text>
    </comment>
    <comment ref="AA47" authorId="5">
      <text>
        <r>
          <rPr>
            <b/>
            <sz val="9"/>
            <color indexed="81"/>
            <rFont val="Tahoma"/>
            <family val="2"/>
          </rPr>
          <t>uwinkel:</t>
        </r>
        <r>
          <rPr>
            <sz val="9"/>
            <color indexed="81"/>
            <rFont val="Tahoma"/>
            <family val="2"/>
          </rPr>
          <t xml:space="preserve">
No information available / delivered by Colo provider.</t>
        </r>
      </text>
    </comment>
    <comment ref="AB47" authorId="5">
      <text>
        <r>
          <rPr>
            <b/>
            <sz val="9"/>
            <color indexed="81"/>
            <rFont val="Tahoma"/>
            <family val="2"/>
          </rPr>
          <t>uwinkel:</t>
        </r>
        <r>
          <rPr>
            <sz val="9"/>
            <color indexed="81"/>
            <rFont val="Tahoma"/>
            <family val="2"/>
          </rPr>
          <t xml:space="preserve">
No information available / delivered by Colo provider.</t>
        </r>
      </text>
    </comment>
    <comment ref="U48" authorId="0">
      <text>
        <r>
          <rPr>
            <b/>
            <sz val="9"/>
            <color indexed="81"/>
            <rFont val="Tahoma"/>
            <family val="2"/>
          </rPr>
          <t>mkosct:</t>
        </r>
        <r>
          <rPr>
            <sz val="9"/>
            <color indexed="81"/>
            <rFont val="Tahoma"/>
            <family val="2"/>
          </rPr>
          <t xml:space="preserve">
Peter Marshall, 466 sq m</t>
        </r>
      </text>
    </comment>
    <comment ref="X48" authorId="4">
      <text>
        <r>
          <rPr>
            <b/>
            <sz val="8"/>
            <color indexed="81"/>
            <rFont val="Tahoma"/>
            <family val="2"/>
          </rPr>
          <t>George Hansen:</t>
        </r>
        <r>
          <rPr>
            <sz val="8"/>
            <color indexed="81"/>
            <rFont val="Tahoma"/>
            <family val="2"/>
          </rPr>
          <t xml:space="preserve">
Power capacity Unkown.  Assume 100 w/SF
</t>
        </r>
      </text>
    </comment>
    <comment ref="U49" authorId="4">
      <text>
        <r>
          <rPr>
            <b/>
            <sz val="8"/>
            <color indexed="81"/>
            <rFont val="Tahoma"/>
            <family val="2"/>
          </rPr>
          <t>George Hansen:</t>
        </r>
        <r>
          <rPr>
            <sz val="8"/>
            <color indexed="81"/>
            <rFont val="Tahoma"/>
            <family val="2"/>
          </rPr>
          <t xml:space="preserve">
Peter Marshal not more than 100 SM</t>
        </r>
      </text>
    </comment>
    <comment ref="X49" authorId="4">
      <text>
        <r>
          <rPr>
            <b/>
            <sz val="8"/>
            <color indexed="81"/>
            <rFont val="Tahoma"/>
            <family val="2"/>
          </rPr>
          <t>George Hansen:</t>
        </r>
        <r>
          <rPr>
            <sz val="8"/>
            <color indexed="81"/>
            <rFont val="Tahoma"/>
            <family val="2"/>
          </rPr>
          <t xml:space="preserve">
Power capacity Unkown.  Assume 100 w/SF
</t>
        </r>
      </text>
    </comment>
    <comment ref="Y49" authorId="5">
      <text>
        <r>
          <rPr>
            <b/>
            <sz val="9"/>
            <color indexed="81"/>
            <rFont val="Tahoma"/>
            <family val="2"/>
          </rPr>
          <t>uwinkel:</t>
        </r>
        <r>
          <rPr>
            <sz val="9"/>
            <color indexed="81"/>
            <rFont val="Tahoma"/>
            <family val="2"/>
          </rPr>
          <t xml:space="preserve">
No dedicated UPS units </t>
        </r>
      </text>
    </comment>
    <comment ref="Z49" authorId="5">
      <text>
        <r>
          <rPr>
            <b/>
            <sz val="9"/>
            <color indexed="81"/>
            <rFont val="Tahoma"/>
            <family val="2"/>
          </rPr>
          <t>uwinkel:</t>
        </r>
        <r>
          <rPr>
            <sz val="9"/>
            <color indexed="81"/>
            <rFont val="Tahoma"/>
            <family val="2"/>
          </rPr>
          <t xml:space="preserve">
No dedicated UPS units </t>
        </r>
      </text>
    </comment>
    <comment ref="AA49" authorId="5">
      <text>
        <r>
          <rPr>
            <b/>
            <sz val="9"/>
            <color indexed="81"/>
            <rFont val="Tahoma"/>
            <family val="2"/>
          </rPr>
          <t>uwinkel:</t>
        </r>
        <r>
          <rPr>
            <sz val="9"/>
            <color indexed="81"/>
            <rFont val="Tahoma"/>
            <family val="2"/>
          </rPr>
          <t xml:space="preserve">
No information available / delivered by Colo provider.</t>
        </r>
      </text>
    </comment>
    <comment ref="AB49" authorId="5">
      <text>
        <r>
          <rPr>
            <b/>
            <sz val="9"/>
            <color indexed="81"/>
            <rFont val="Tahoma"/>
            <family val="2"/>
          </rPr>
          <t>uwinkel:</t>
        </r>
        <r>
          <rPr>
            <sz val="9"/>
            <color indexed="81"/>
            <rFont val="Tahoma"/>
            <family val="2"/>
          </rPr>
          <t xml:space="preserve">
No information available / delivered by Colo provider.</t>
        </r>
      </text>
    </comment>
    <comment ref="F50" authorId="0">
      <text>
        <r>
          <rPr>
            <b/>
            <sz val="9"/>
            <color indexed="81"/>
            <rFont val="Tahoma"/>
            <family val="2"/>
          </rPr>
          <t xml:space="preserve"> CSC required to provide 2 years (24 month) notice and Danske Bank have to provide 3 years to end. </t>
        </r>
        <r>
          <rPr>
            <sz val="9"/>
            <color indexed="81"/>
            <rFont val="Tahoma"/>
            <family val="2"/>
          </rPr>
          <t xml:space="preserve">
</t>
        </r>
      </text>
    </comment>
    <comment ref="J50" authorId="0">
      <text>
        <r>
          <rPr>
            <b/>
            <sz val="9"/>
            <color indexed="81"/>
            <rFont val="Tahoma"/>
            <family val="2"/>
          </rPr>
          <t>mkosct:</t>
        </r>
        <r>
          <rPr>
            <sz val="9"/>
            <color indexed="81"/>
            <rFont val="Tahoma"/>
            <family val="2"/>
          </rPr>
          <t xml:space="preserve">
Changed from tier 1 Feb 2014 per Gartner Cloud Info</t>
        </r>
      </text>
    </comment>
    <comment ref="K52" authorId="0">
      <text>
        <r>
          <rPr>
            <b/>
            <sz val="9"/>
            <color indexed="81"/>
            <rFont val="Tahoma"/>
            <family val="2"/>
          </rPr>
          <t>mkosct:</t>
        </r>
        <r>
          <rPr>
            <sz val="9"/>
            <color indexed="81"/>
            <rFont val="Tahoma"/>
            <family val="2"/>
          </rPr>
          <t xml:space="preserve">
close to tier 3 Feb 2013 per GH</t>
        </r>
      </text>
    </comment>
    <comment ref="L52" authorId="0">
      <text>
        <r>
          <rPr>
            <b/>
            <sz val="9"/>
            <color indexed="81"/>
            <rFont val="Tahoma"/>
            <family val="2"/>
          </rPr>
          <t>mkosct:</t>
        </r>
        <r>
          <rPr>
            <sz val="9"/>
            <color indexed="81"/>
            <rFont val="Tahoma"/>
            <family val="2"/>
          </rPr>
          <t xml:space="preserve">
cooling loop inhibits Tier 3
</t>
        </r>
      </text>
    </comment>
    <comment ref="V55" authorId="0">
      <text>
        <r>
          <rPr>
            <b/>
            <sz val="9"/>
            <color indexed="81"/>
            <rFont val="Tahoma"/>
            <family val="2"/>
          </rPr>
          <t>mkosct:</t>
        </r>
        <r>
          <rPr>
            <sz val="9"/>
            <color indexed="81"/>
            <rFont val="Tahoma"/>
            <family val="2"/>
          </rPr>
          <t xml:space="preserve">
HD and LD 1-3 from DCQM Combined </t>
        </r>
      </text>
    </comment>
    <comment ref="E56" authorId="1">
      <text>
        <r>
          <rPr>
            <b/>
            <sz val="9"/>
            <color indexed="81"/>
            <rFont val="Tahoma"/>
            <family val="2"/>
          </rPr>
          <t>2010-04-10 Initial contract 
2012-01-01 Expansion</t>
        </r>
      </text>
    </comment>
    <comment ref="F56" authorId="1">
      <text>
        <r>
          <rPr>
            <b/>
            <sz val="9"/>
            <color indexed="81"/>
            <rFont val="Tahoma"/>
            <family val="2"/>
          </rPr>
          <t xml:space="preserve">2014-12-31 if terminated by 2014-09-30, else automatic extension by 12 months. </t>
        </r>
      </text>
    </comment>
    <comment ref="U56" authorId="0">
      <text>
        <r>
          <rPr>
            <b/>
            <sz val="9"/>
            <color indexed="81"/>
            <rFont val="Tahoma"/>
            <family val="2"/>
          </rPr>
          <t>mkosct:</t>
        </r>
        <r>
          <rPr>
            <sz val="9"/>
            <color indexed="81"/>
            <rFont val="Tahoma"/>
            <family val="2"/>
          </rPr>
          <t xml:space="preserve">
Peter Marshall, 11 sq m</t>
        </r>
      </text>
    </comment>
    <comment ref="X56" authorId="0">
      <text>
        <r>
          <rPr>
            <b/>
            <sz val="9"/>
            <color indexed="81"/>
            <rFont val="Tahoma"/>
            <family val="2"/>
          </rPr>
          <t>mkosct:</t>
        </r>
        <r>
          <rPr>
            <sz val="9"/>
            <color indexed="81"/>
            <rFont val="Tahoma"/>
            <family val="2"/>
          </rPr>
          <t xml:space="preserve">
per Peter Marshall 1000W per sM , 93 W per SF</t>
        </r>
      </text>
    </comment>
    <comment ref="AB56" authorId="6">
      <text>
        <r>
          <rPr>
            <b/>
            <sz val="9"/>
            <color indexed="81"/>
            <rFont val="Tahoma"/>
            <family val="2"/>
          </rPr>
          <t>Telecity:</t>
        </r>
        <r>
          <rPr>
            <sz val="9"/>
            <color indexed="81"/>
            <rFont val="Tahoma"/>
            <family val="2"/>
          </rPr>
          <t xml:space="preserve">
(Actual around 1,7 due to the fact that customer load is still well below design capacities).</t>
        </r>
      </text>
    </comment>
    <comment ref="AI56" authorId="0">
      <text>
        <r>
          <rPr>
            <b/>
            <sz val="9"/>
            <color indexed="81"/>
            <rFont val="Tahoma"/>
            <family val="2"/>
          </rPr>
          <t>mkosct:</t>
        </r>
        <r>
          <rPr>
            <sz val="9"/>
            <color indexed="81"/>
            <rFont val="Tahoma"/>
            <family val="2"/>
          </rPr>
          <t xml:space="preserve">
Logica Norways A/S. POS transaction processing for Logica's customers Statoil Fuel and retail(Nordic, Russia &amp; Baltikum), Nordic Shell, Exxon Asia (Malaysia, Singapore, Hong Kong &amp; Guam), Exxon Switzerland) </t>
        </r>
      </text>
    </comment>
    <comment ref="E57" authorId="1">
      <text>
        <r>
          <rPr>
            <b/>
            <sz val="9"/>
            <color indexed="81"/>
            <rFont val="Tahoma"/>
            <family val="2"/>
          </rPr>
          <t>2006-06-30 Initial contract 
2009-11-01 Expansion</t>
        </r>
      </text>
    </comment>
    <comment ref="F57" authorId="1">
      <text>
        <r>
          <rPr>
            <b/>
            <sz val="9"/>
            <color indexed="81"/>
            <rFont val="Tahoma"/>
            <family val="2"/>
          </rPr>
          <t xml:space="preserve">2013-05-31 if terminated by 2013-03-31, else automatic extension by 12 months. </t>
        </r>
      </text>
    </comment>
    <comment ref="U57" authorId="0">
      <text>
        <r>
          <rPr>
            <b/>
            <sz val="9"/>
            <color indexed="81"/>
            <rFont val="Tahoma"/>
            <family val="2"/>
          </rPr>
          <t>mkosct:</t>
        </r>
        <r>
          <rPr>
            <sz val="9"/>
            <color indexed="81"/>
            <rFont val="Tahoma"/>
            <family val="2"/>
          </rPr>
          <t xml:space="preserve">
Peter Marshall, 11 sq m</t>
        </r>
      </text>
    </comment>
    <comment ref="X57" authorId="0">
      <text>
        <r>
          <rPr>
            <b/>
            <sz val="9"/>
            <color indexed="81"/>
            <rFont val="Tahoma"/>
            <family val="2"/>
          </rPr>
          <t>mkosct:</t>
        </r>
        <r>
          <rPr>
            <sz val="9"/>
            <color indexed="81"/>
            <rFont val="Tahoma"/>
            <family val="2"/>
          </rPr>
          <t xml:space="preserve">
per Peter Marshall 1000W per sM , 93 W per SF</t>
        </r>
      </text>
    </comment>
    <comment ref="U59" authorId="4">
      <text>
        <r>
          <rPr>
            <b/>
            <sz val="8"/>
            <color indexed="81"/>
            <rFont val="Tahoma"/>
            <family val="2"/>
          </rPr>
          <t>George Hansen:</t>
        </r>
        <r>
          <rPr>
            <sz val="8"/>
            <color indexed="81"/>
            <rFont val="Tahoma"/>
            <family val="2"/>
          </rPr>
          <t xml:space="preserve">
Peter Marshal not more than 100 SM</t>
        </r>
      </text>
    </comment>
    <comment ref="W59" authorId="7">
      <text>
        <r>
          <rPr>
            <b/>
            <sz val="8"/>
            <color indexed="81"/>
            <rFont val="Tahoma"/>
            <family val="2"/>
          </rPr>
          <t>Koos Kruid:</t>
        </r>
        <r>
          <rPr>
            <sz val="8"/>
            <color indexed="81"/>
            <rFont val="Tahoma"/>
            <family val="2"/>
          </rPr>
          <t xml:space="preserve">
60% based on power ussage.</t>
        </r>
      </text>
    </comment>
    <comment ref="X59" authorId="4">
      <text>
        <r>
          <rPr>
            <b/>
            <sz val="8"/>
            <color indexed="81"/>
            <rFont val="Tahoma"/>
            <family val="2"/>
          </rPr>
          <t>George Hansen:</t>
        </r>
        <r>
          <rPr>
            <sz val="8"/>
            <color indexed="81"/>
            <rFont val="Tahoma"/>
            <family val="2"/>
          </rPr>
          <t xml:space="preserve">
Power capacity Unkown.  Assume 100 w/SF
</t>
        </r>
      </text>
    </comment>
    <comment ref="Y59" authorId="7">
      <text>
        <r>
          <rPr>
            <b/>
            <sz val="8"/>
            <color indexed="81"/>
            <rFont val="Tahoma"/>
            <family val="2"/>
          </rPr>
          <t>Koos Kruid:</t>
        </r>
        <r>
          <rPr>
            <sz val="8"/>
            <color indexed="81"/>
            <rFont val="Tahoma"/>
            <family val="2"/>
          </rPr>
          <t xml:space="preserve">
No dedicated UPS. Whole site is on no-break.</t>
        </r>
      </text>
    </comment>
    <comment ref="Z59" authorId="7">
      <text>
        <r>
          <rPr>
            <b/>
            <sz val="8"/>
            <color indexed="81"/>
            <rFont val="Tahoma"/>
            <family val="2"/>
          </rPr>
          <t>Koos Kruid:</t>
        </r>
        <r>
          <rPr>
            <sz val="8"/>
            <color indexed="81"/>
            <rFont val="Tahoma"/>
            <family val="2"/>
          </rPr>
          <t xml:space="preserve">
No dedicated UPS. Whole site is on no-break.</t>
        </r>
      </text>
    </comment>
    <comment ref="AB59" authorId="5">
      <text>
        <r>
          <rPr>
            <b/>
            <sz val="9"/>
            <color indexed="81"/>
            <rFont val="Tahoma"/>
            <family val="2"/>
          </rPr>
          <t>uwinkel:</t>
        </r>
        <r>
          <rPr>
            <sz val="9"/>
            <color indexed="81"/>
            <rFont val="Tahoma"/>
            <family val="2"/>
          </rPr>
          <t xml:space="preserve">
No information available / delivered by Colo provider.</t>
        </r>
      </text>
    </comment>
    <comment ref="U60" authorId="4">
      <text>
        <r>
          <rPr>
            <b/>
            <sz val="8"/>
            <color indexed="81"/>
            <rFont val="Tahoma"/>
            <family val="2"/>
          </rPr>
          <t>George Hansen:</t>
        </r>
        <r>
          <rPr>
            <sz val="8"/>
            <color indexed="81"/>
            <rFont val="Tahoma"/>
            <family val="2"/>
          </rPr>
          <t xml:space="preserve">
Peter Marshal not more than 100 SM</t>
        </r>
      </text>
    </comment>
    <comment ref="W60" authorId="7">
      <text>
        <r>
          <rPr>
            <b/>
            <sz val="8"/>
            <color indexed="81"/>
            <rFont val="Tahoma"/>
            <family val="2"/>
          </rPr>
          <t>Koos Kruid:</t>
        </r>
        <r>
          <rPr>
            <sz val="8"/>
            <color indexed="81"/>
            <rFont val="Tahoma"/>
            <family val="2"/>
          </rPr>
          <t xml:space="preserve">
70% based on power usage.</t>
        </r>
      </text>
    </comment>
    <comment ref="X60" authorId="4">
      <text>
        <r>
          <rPr>
            <b/>
            <sz val="8"/>
            <color indexed="81"/>
            <rFont val="Tahoma"/>
            <family val="2"/>
          </rPr>
          <t>George Hansen:</t>
        </r>
        <r>
          <rPr>
            <sz val="8"/>
            <color indexed="81"/>
            <rFont val="Tahoma"/>
            <family val="2"/>
          </rPr>
          <t xml:space="preserve">
Power capacity Unkown.  Assume 100 w/SF
</t>
        </r>
      </text>
    </comment>
    <comment ref="Y60" authorId="7">
      <text>
        <r>
          <rPr>
            <b/>
            <sz val="8"/>
            <color indexed="81"/>
            <rFont val="Tahoma"/>
            <family val="2"/>
          </rPr>
          <t>Koos Kruid:</t>
        </r>
        <r>
          <rPr>
            <sz val="8"/>
            <color indexed="81"/>
            <rFont val="Tahoma"/>
            <family val="2"/>
          </rPr>
          <t xml:space="preserve">
No dedicated UPS. Whole site is on no-break.</t>
        </r>
      </text>
    </comment>
    <comment ref="Z60" authorId="7">
      <text>
        <r>
          <rPr>
            <b/>
            <sz val="8"/>
            <color indexed="81"/>
            <rFont val="Tahoma"/>
            <family val="2"/>
          </rPr>
          <t>Koos Kruid:</t>
        </r>
        <r>
          <rPr>
            <sz val="8"/>
            <color indexed="81"/>
            <rFont val="Tahoma"/>
            <family val="2"/>
          </rPr>
          <t xml:space="preserve">
No dedicated UPS. Whole site is on no-break.</t>
        </r>
      </text>
    </comment>
    <comment ref="AB60" authorId="5">
      <text>
        <r>
          <rPr>
            <b/>
            <sz val="9"/>
            <color indexed="81"/>
            <rFont val="Tahoma"/>
            <family val="2"/>
          </rPr>
          <t>uwinkel:</t>
        </r>
        <r>
          <rPr>
            <sz val="9"/>
            <color indexed="81"/>
            <rFont val="Tahoma"/>
            <family val="2"/>
          </rPr>
          <t xml:space="preserve">
No information available / delivered by Colo provider.</t>
        </r>
      </text>
    </comment>
    <comment ref="V61" authorId="0">
      <text>
        <r>
          <rPr>
            <b/>
            <sz val="9"/>
            <color indexed="81"/>
            <rFont val="Tahoma"/>
            <family val="2"/>
          </rPr>
          <t>mkosct:</t>
        </r>
        <r>
          <rPr>
            <sz val="9"/>
            <color indexed="81"/>
            <rFont val="Tahoma"/>
            <family val="2"/>
          </rPr>
          <t xml:space="preserve">
Legacy, Phase 1  &amp; 2 from DCQM  Combined</t>
        </r>
      </text>
    </comment>
    <comment ref="AL61" authorId="0">
      <text>
        <r>
          <rPr>
            <b/>
            <sz val="9"/>
            <color indexed="81"/>
            <rFont val="Tahoma"/>
            <family val="2"/>
          </rPr>
          <t>mkosct:</t>
        </r>
        <r>
          <rPr>
            <sz val="9"/>
            <color indexed="81"/>
            <rFont val="Tahoma"/>
            <family val="2"/>
          </rPr>
          <t xml:space="preserve">
Per Marcus Ingham 10-24-13</t>
        </r>
      </text>
    </comment>
    <comment ref="I69" authorId="0">
      <text>
        <r>
          <rPr>
            <b/>
            <sz val="9"/>
            <color indexed="81"/>
            <rFont val="Tahoma"/>
            <family val="2"/>
          </rPr>
          <t>mkosct:</t>
        </r>
        <r>
          <rPr>
            <sz val="9"/>
            <color indexed="81"/>
            <rFont val="Tahoma"/>
            <family val="2"/>
          </rPr>
          <t xml:space="preserve">
Use BRL 1200 per KVA in Hortolandia DC.
Use 500 BRL for each rack provided by DC.
Both are monthly costs. Source: Allex Paiotti,  5/30/14</t>
        </r>
      </text>
    </comment>
    <comment ref="F77" authorId="0">
      <text>
        <r>
          <rPr>
            <b/>
            <sz val="9"/>
            <color indexed="81"/>
            <rFont val="Tahoma"/>
            <family val="2"/>
          </rPr>
          <t>month-to-month with this site as of 10/1/12</t>
        </r>
        <r>
          <rPr>
            <sz val="9"/>
            <color indexed="81"/>
            <rFont val="Tahoma"/>
            <family val="2"/>
          </rPr>
          <t xml:space="preserve">
</t>
        </r>
      </text>
    </comment>
    <comment ref="J77" authorId="4">
      <text>
        <r>
          <rPr>
            <b/>
            <sz val="8"/>
            <color indexed="81"/>
            <rFont val="Tahoma"/>
            <family val="2"/>
          </rPr>
          <t>George Hansen:</t>
        </r>
        <r>
          <rPr>
            <sz val="8"/>
            <color indexed="81"/>
            <rFont val="Tahoma"/>
            <family val="2"/>
          </rPr>
          <t xml:space="preserve">
Peer Bryan Stout - assumed to be Tier 3
</t>
        </r>
      </text>
    </comment>
    <comment ref="X77" authorId="4">
      <text>
        <r>
          <rPr>
            <b/>
            <sz val="8"/>
            <color indexed="81"/>
            <rFont val="Tahoma"/>
            <family val="2"/>
          </rPr>
          <t>George Hansen:</t>
        </r>
        <r>
          <rPr>
            <sz val="8"/>
            <color indexed="81"/>
            <rFont val="Tahoma"/>
            <family val="2"/>
          </rPr>
          <t xml:space="preserve">
Power capacity Unkown.  Assume 100 w/SF</t>
        </r>
      </text>
    </comment>
    <comment ref="F78" authorId="1">
      <text>
        <r>
          <rPr>
            <b/>
            <sz val="9"/>
            <color indexed="81"/>
            <rFont val="Tahoma"/>
            <family val="2"/>
          </rPr>
          <t>no collo agreement for this site.... this was in place and charges come through as telecom expenses.</t>
        </r>
        <r>
          <rPr>
            <sz val="9"/>
            <color indexed="81"/>
            <rFont val="Tahoma"/>
            <family val="2"/>
          </rPr>
          <t xml:space="preserve">
</t>
        </r>
      </text>
    </comment>
    <comment ref="J78" authorId="4">
      <text>
        <r>
          <rPr>
            <b/>
            <sz val="8"/>
            <color indexed="81"/>
            <rFont val="Tahoma"/>
            <family val="2"/>
          </rPr>
          <t>George Hansen:</t>
        </r>
        <r>
          <rPr>
            <sz val="8"/>
            <color indexed="81"/>
            <rFont val="Tahoma"/>
            <family val="2"/>
          </rPr>
          <t xml:space="preserve">
Peer Bryan Stout - assumed to be Tier 3
</t>
        </r>
      </text>
    </comment>
    <comment ref="X78" authorId="4">
      <text>
        <r>
          <rPr>
            <b/>
            <sz val="8"/>
            <color indexed="81"/>
            <rFont val="Tahoma"/>
            <family val="2"/>
          </rPr>
          <t>George Hansen:</t>
        </r>
        <r>
          <rPr>
            <sz val="8"/>
            <color indexed="81"/>
            <rFont val="Tahoma"/>
            <family val="2"/>
          </rPr>
          <t xml:space="preserve">
Power capacity Unkown.  Assume 100 w/SF</t>
        </r>
      </text>
    </comment>
  </commentList>
</comments>
</file>

<file path=xl/comments2.xml><?xml version="1.0" encoding="utf-8"?>
<comments xmlns="http://schemas.openxmlformats.org/spreadsheetml/2006/main">
  <authors>
    <author>Mattias Borgelin</author>
    <author>uwinkel</author>
    <author>Koos Kruid</author>
    <author>Steve Lowe</author>
  </authors>
  <commentList>
    <comment ref="S4" authorId="0">
      <text>
        <r>
          <rPr>
            <b/>
            <sz val="9"/>
            <color indexed="81"/>
            <rFont val="Tahoma"/>
            <family val="2"/>
          </rPr>
          <t>Telecity:</t>
        </r>
        <r>
          <rPr>
            <sz val="9"/>
            <color indexed="81"/>
            <rFont val="Tahoma"/>
            <family val="2"/>
          </rPr>
          <t xml:space="preserve">
(Actual around 1,7 due to the fact that customer load is still well below design capacities).</t>
        </r>
      </text>
    </comment>
    <comment ref="O5" authorId="1">
      <text>
        <r>
          <rPr>
            <b/>
            <sz val="9"/>
            <color indexed="81"/>
            <rFont val="Tahoma"/>
            <family val="2"/>
          </rPr>
          <t>uwinkel:</t>
        </r>
        <r>
          <rPr>
            <sz val="9"/>
            <color indexed="81"/>
            <rFont val="Tahoma"/>
            <family val="2"/>
          </rPr>
          <t xml:space="preserve">
No dedicated UPS units </t>
        </r>
      </text>
    </comment>
    <comment ref="P5" authorId="1">
      <text>
        <r>
          <rPr>
            <b/>
            <sz val="9"/>
            <color indexed="81"/>
            <rFont val="Tahoma"/>
            <family val="2"/>
          </rPr>
          <t>uwinkel:</t>
        </r>
        <r>
          <rPr>
            <sz val="9"/>
            <color indexed="81"/>
            <rFont val="Tahoma"/>
            <family val="2"/>
          </rPr>
          <t xml:space="preserve">
No dedicated UPS units </t>
        </r>
      </text>
    </comment>
    <comment ref="Q5" authorId="1">
      <text>
        <r>
          <rPr>
            <b/>
            <sz val="9"/>
            <color indexed="81"/>
            <rFont val="Tahoma"/>
            <family val="2"/>
          </rPr>
          <t>uwinkel:</t>
        </r>
        <r>
          <rPr>
            <sz val="9"/>
            <color indexed="81"/>
            <rFont val="Tahoma"/>
            <family val="2"/>
          </rPr>
          <t xml:space="preserve">
No dedicated UPS units </t>
        </r>
      </text>
    </comment>
    <comment ref="R5" authorId="1">
      <text>
        <r>
          <rPr>
            <b/>
            <sz val="9"/>
            <color indexed="81"/>
            <rFont val="Tahoma"/>
            <family val="2"/>
          </rPr>
          <t>uwinkel:</t>
        </r>
        <r>
          <rPr>
            <sz val="9"/>
            <color indexed="81"/>
            <rFont val="Tahoma"/>
            <family val="2"/>
          </rPr>
          <t xml:space="preserve">
No information available / delivered by Colo provider.</t>
        </r>
      </text>
    </comment>
    <comment ref="S5" authorId="1">
      <text>
        <r>
          <rPr>
            <b/>
            <sz val="9"/>
            <color indexed="81"/>
            <rFont val="Tahoma"/>
            <family val="2"/>
          </rPr>
          <t>uwinkel:</t>
        </r>
        <r>
          <rPr>
            <sz val="9"/>
            <color indexed="81"/>
            <rFont val="Tahoma"/>
            <family val="2"/>
          </rPr>
          <t xml:space="preserve">
No information available / delivered by Colo provider.</t>
        </r>
      </text>
    </comment>
    <comment ref="O6" authorId="1">
      <text>
        <r>
          <rPr>
            <b/>
            <sz val="9"/>
            <color indexed="81"/>
            <rFont val="Tahoma"/>
            <family val="2"/>
          </rPr>
          <t>uwinkel:</t>
        </r>
        <r>
          <rPr>
            <sz val="9"/>
            <color indexed="81"/>
            <rFont val="Tahoma"/>
            <family val="2"/>
          </rPr>
          <t xml:space="preserve">
No dedicated UPS units </t>
        </r>
      </text>
    </comment>
    <comment ref="P6" authorId="1">
      <text>
        <r>
          <rPr>
            <b/>
            <sz val="9"/>
            <color indexed="81"/>
            <rFont val="Tahoma"/>
            <family val="2"/>
          </rPr>
          <t>uwinkel:</t>
        </r>
        <r>
          <rPr>
            <sz val="9"/>
            <color indexed="81"/>
            <rFont val="Tahoma"/>
            <family val="2"/>
          </rPr>
          <t xml:space="preserve">
No dedicated UPS units </t>
        </r>
      </text>
    </comment>
    <comment ref="Q6" authorId="1">
      <text>
        <r>
          <rPr>
            <b/>
            <sz val="9"/>
            <color indexed="81"/>
            <rFont val="Tahoma"/>
            <family val="2"/>
          </rPr>
          <t>uwinkel:</t>
        </r>
        <r>
          <rPr>
            <sz val="9"/>
            <color indexed="81"/>
            <rFont val="Tahoma"/>
            <family val="2"/>
          </rPr>
          <t xml:space="preserve">
No dedicated UPS units </t>
        </r>
      </text>
    </comment>
    <comment ref="R6" authorId="1">
      <text>
        <r>
          <rPr>
            <b/>
            <sz val="9"/>
            <color indexed="81"/>
            <rFont val="Tahoma"/>
            <family val="2"/>
          </rPr>
          <t>uwinkel:</t>
        </r>
        <r>
          <rPr>
            <sz val="9"/>
            <color indexed="81"/>
            <rFont val="Tahoma"/>
            <family val="2"/>
          </rPr>
          <t xml:space="preserve">
No information available / delivered by Colo provider.</t>
        </r>
      </text>
    </comment>
    <comment ref="S6" authorId="1">
      <text>
        <r>
          <rPr>
            <b/>
            <sz val="9"/>
            <color indexed="81"/>
            <rFont val="Tahoma"/>
            <family val="2"/>
          </rPr>
          <t>uwinkel:</t>
        </r>
        <r>
          <rPr>
            <sz val="9"/>
            <color indexed="81"/>
            <rFont val="Tahoma"/>
            <family val="2"/>
          </rPr>
          <t xml:space="preserve">
No information available / delivered by Colo provider.</t>
        </r>
      </text>
    </comment>
    <comment ref="O7" authorId="1">
      <text>
        <r>
          <rPr>
            <b/>
            <sz val="9"/>
            <color indexed="81"/>
            <rFont val="Tahoma"/>
            <family val="2"/>
          </rPr>
          <t>uwinkel:</t>
        </r>
        <r>
          <rPr>
            <sz val="9"/>
            <color indexed="81"/>
            <rFont val="Tahoma"/>
            <family val="2"/>
          </rPr>
          <t xml:space="preserve">
No dedicated UPS units </t>
        </r>
      </text>
    </comment>
    <comment ref="P7" authorId="1">
      <text>
        <r>
          <rPr>
            <b/>
            <sz val="9"/>
            <color indexed="81"/>
            <rFont val="Tahoma"/>
            <family val="2"/>
          </rPr>
          <t>uwinkel:</t>
        </r>
        <r>
          <rPr>
            <sz val="9"/>
            <color indexed="81"/>
            <rFont val="Tahoma"/>
            <family val="2"/>
          </rPr>
          <t xml:space="preserve">
No dedicated UPS units </t>
        </r>
      </text>
    </comment>
    <comment ref="Q7" authorId="1">
      <text>
        <r>
          <rPr>
            <b/>
            <sz val="9"/>
            <color indexed="81"/>
            <rFont val="Tahoma"/>
            <family val="2"/>
          </rPr>
          <t>uwinkel:</t>
        </r>
        <r>
          <rPr>
            <sz val="9"/>
            <color indexed="81"/>
            <rFont val="Tahoma"/>
            <family val="2"/>
          </rPr>
          <t xml:space="preserve">
No dedicated UPS units </t>
        </r>
      </text>
    </comment>
    <comment ref="R7" authorId="1">
      <text>
        <r>
          <rPr>
            <b/>
            <sz val="9"/>
            <color indexed="81"/>
            <rFont val="Tahoma"/>
            <family val="2"/>
          </rPr>
          <t>uwinkel:</t>
        </r>
        <r>
          <rPr>
            <sz val="9"/>
            <color indexed="81"/>
            <rFont val="Tahoma"/>
            <family val="2"/>
          </rPr>
          <t xml:space="preserve">
No information available / delivered by Colo provider.</t>
        </r>
      </text>
    </comment>
    <comment ref="S7" authorId="1">
      <text>
        <r>
          <rPr>
            <b/>
            <sz val="9"/>
            <color indexed="81"/>
            <rFont val="Tahoma"/>
            <family val="2"/>
          </rPr>
          <t>uwinkel:</t>
        </r>
        <r>
          <rPr>
            <sz val="9"/>
            <color indexed="81"/>
            <rFont val="Tahoma"/>
            <family val="2"/>
          </rPr>
          <t xml:space="preserve">
No information available / delivered by Colo provider.</t>
        </r>
      </text>
    </comment>
    <comment ref="N8" authorId="1">
      <text>
        <r>
          <rPr>
            <b/>
            <sz val="9"/>
            <color indexed="81"/>
            <rFont val="Tahoma"/>
            <family val="2"/>
          </rPr>
          <t>uwinkel:</t>
        </r>
        <r>
          <rPr>
            <sz val="9"/>
            <color indexed="81"/>
            <rFont val="Tahoma"/>
            <family val="2"/>
          </rPr>
          <t xml:space="preserve">
German Cloud cage: 15 sqm maximum occupancy based on power demand for cloud
Mewa: 46 sqm from 50 sqm in total occupied</t>
        </r>
      </text>
    </comment>
    <comment ref="O8" authorId="1">
      <text>
        <r>
          <rPr>
            <b/>
            <sz val="9"/>
            <color indexed="81"/>
            <rFont val="Tahoma"/>
            <family val="2"/>
          </rPr>
          <t>uwinkel:</t>
        </r>
        <r>
          <rPr>
            <sz val="9"/>
            <color indexed="81"/>
            <rFont val="Tahoma"/>
            <family val="2"/>
          </rPr>
          <t xml:space="preserve">
No dedicated UPS units </t>
        </r>
      </text>
    </comment>
    <comment ref="P8" authorId="1">
      <text>
        <r>
          <rPr>
            <b/>
            <sz val="9"/>
            <color indexed="81"/>
            <rFont val="Tahoma"/>
            <family val="2"/>
          </rPr>
          <t>uwinkel:</t>
        </r>
        <r>
          <rPr>
            <sz val="9"/>
            <color indexed="81"/>
            <rFont val="Tahoma"/>
            <family val="2"/>
          </rPr>
          <t xml:space="preserve">
No dedicated UPS units </t>
        </r>
      </text>
    </comment>
    <comment ref="Q8" authorId="1">
      <text>
        <r>
          <rPr>
            <b/>
            <sz val="9"/>
            <color indexed="81"/>
            <rFont val="Tahoma"/>
            <family val="2"/>
          </rPr>
          <t>uwinkel:</t>
        </r>
        <r>
          <rPr>
            <sz val="9"/>
            <color indexed="81"/>
            <rFont val="Tahoma"/>
            <family val="2"/>
          </rPr>
          <t xml:space="preserve">
No dedicated UPS units </t>
        </r>
      </text>
    </comment>
    <comment ref="R8" authorId="1">
      <text>
        <r>
          <rPr>
            <b/>
            <sz val="9"/>
            <color indexed="81"/>
            <rFont val="Tahoma"/>
            <family val="2"/>
          </rPr>
          <t>uwinkel:</t>
        </r>
        <r>
          <rPr>
            <sz val="9"/>
            <color indexed="81"/>
            <rFont val="Tahoma"/>
            <family val="2"/>
          </rPr>
          <t xml:space="preserve">
No information available / delivered by Colo provider.</t>
        </r>
      </text>
    </comment>
    <comment ref="S8" authorId="1">
      <text>
        <r>
          <rPr>
            <b/>
            <sz val="9"/>
            <color indexed="81"/>
            <rFont val="Tahoma"/>
            <family val="2"/>
          </rPr>
          <t>uwinkel:</t>
        </r>
        <r>
          <rPr>
            <sz val="9"/>
            <color indexed="81"/>
            <rFont val="Tahoma"/>
            <family val="2"/>
          </rPr>
          <t xml:space="preserve">
No information available / delivered by Colo provider.</t>
        </r>
      </text>
    </comment>
    <comment ref="O9" authorId="1">
      <text>
        <r>
          <rPr>
            <b/>
            <sz val="9"/>
            <color indexed="81"/>
            <rFont val="Tahoma"/>
            <family val="2"/>
          </rPr>
          <t>uwinkel:</t>
        </r>
        <r>
          <rPr>
            <sz val="9"/>
            <color indexed="81"/>
            <rFont val="Tahoma"/>
            <family val="2"/>
          </rPr>
          <t xml:space="preserve">
No dedicated UPS units </t>
        </r>
      </text>
    </comment>
    <comment ref="P9" authorId="1">
      <text>
        <r>
          <rPr>
            <b/>
            <sz val="9"/>
            <color indexed="81"/>
            <rFont val="Tahoma"/>
            <family val="2"/>
          </rPr>
          <t>uwinkel:</t>
        </r>
        <r>
          <rPr>
            <sz val="9"/>
            <color indexed="81"/>
            <rFont val="Tahoma"/>
            <family val="2"/>
          </rPr>
          <t xml:space="preserve">
No dedicated UPS units </t>
        </r>
      </text>
    </comment>
    <comment ref="Q9" authorId="1">
      <text>
        <r>
          <rPr>
            <b/>
            <sz val="9"/>
            <color indexed="81"/>
            <rFont val="Tahoma"/>
            <family val="2"/>
          </rPr>
          <t>uwinkel:</t>
        </r>
        <r>
          <rPr>
            <sz val="9"/>
            <color indexed="81"/>
            <rFont val="Tahoma"/>
            <family val="2"/>
          </rPr>
          <t xml:space="preserve">
No dedicated UPS units </t>
        </r>
      </text>
    </comment>
    <comment ref="R9" authorId="1">
      <text>
        <r>
          <rPr>
            <b/>
            <sz val="9"/>
            <color indexed="81"/>
            <rFont val="Tahoma"/>
            <family val="2"/>
          </rPr>
          <t>uwinkel:</t>
        </r>
        <r>
          <rPr>
            <sz val="9"/>
            <color indexed="81"/>
            <rFont val="Tahoma"/>
            <family val="2"/>
          </rPr>
          <t xml:space="preserve">
No information available / delivered by Colo provider.</t>
        </r>
      </text>
    </comment>
    <comment ref="S9" authorId="1">
      <text>
        <r>
          <rPr>
            <b/>
            <sz val="9"/>
            <color indexed="81"/>
            <rFont val="Tahoma"/>
            <family val="2"/>
          </rPr>
          <t>uwinkel:</t>
        </r>
        <r>
          <rPr>
            <sz val="9"/>
            <color indexed="81"/>
            <rFont val="Tahoma"/>
            <family val="2"/>
          </rPr>
          <t xml:space="preserve">
No information available / delivered by Colo provider.</t>
        </r>
      </text>
    </comment>
    <comment ref="O10" authorId="1">
      <text>
        <r>
          <rPr>
            <b/>
            <sz val="9"/>
            <color indexed="81"/>
            <rFont val="Tahoma"/>
            <family val="2"/>
          </rPr>
          <t>uwinkel:</t>
        </r>
        <r>
          <rPr>
            <sz val="9"/>
            <color indexed="81"/>
            <rFont val="Tahoma"/>
            <family val="2"/>
          </rPr>
          <t xml:space="preserve">
No dedicated UPS units </t>
        </r>
      </text>
    </comment>
    <comment ref="P10" authorId="1">
      <text>
        <r>
          <rPr>
            <b/>
            <sz val="9"/>
            <color indexed="81"/>
            <rFont val="Tahoma"/>
            <family val="2"/>
          </rPr>
          <t>uwinkel:</t>
        </r>
        <r>
          <rPr>
            <sz val="9"/>
            <color indexed="81"/>
            <rFont val="Tahoma"/>
            <family val="2"/>
          </rPr>
          <t xml:space="preserve">
No dedicated UPS units </t>
        </r>
      </text>
    </comment>
    <comment ref="Q10" authorId="1">
      <text>
        <r>
          <rPr>
            <b/>
            <sz val="9"/>
            <color indexed="81"/>
            <rFont val="Tahoma"/>
            <family val="2"/>
          </rPr>
          <t>uwinkel:</t>
        </r>
        <r>
          <rPr>
            <sz val="9"/>
            <color indexed="81"/>
            <rFont val="Tahoma"/>
            <family val="2"/>
          </rPr>
          <t xml:space="preserve">
No dedicated UPS units </t>
        </r>
      </text>
    </comment>
    <comment ref="R10" authorId="1">
      <text>
        <r>
          <rPr>
            <b/>
            <sz val="9"/>
            <color indexed="81"/>
            <rFont val="Tahoma"/>
            <family val="2"/>
          </rPr>
          <t>uwinkel:</t>
        </r>
        <r>
          <rPr>
            <sz val="9"/>
            <color indexed="81"/>
            <rFont val="Tahoma"/>
            <family val="2"/>
          </rPr>
          <t xml:space="preserve">
No information available / delivered by Colo provider.</t>
        </r>
      </text>
    </comment>
    <comment ref="S10" authorId="1">
      <text>
        <r>
          <rPr>
            <b/>
            <sz val="9"/>
            <color indexed="81"/>
            <rFont val="Tahoma"/>
            <family val="2"/>
          </rPr>
          <t>uwinkel:</t>
        </r>
        <r>
          <rPr>
            <sz val="9"/>
            <color indexed="81"/>
            <rFont val="Tahoma"/>
            <family val="2"/>
          </rPr>
          <t xml:space="preserve">
No information available / delivered by Colo provider.</t>
        </r>
      </text>
    </comment>
    <comment ref="M11" authorId="2">
      <text>
        <r>
          <rPr>
            <b/>
            <sz val="8"/>
            <color indexed="81"/>
            <rFont val="Tahoma"/>
            <family val="2"/>
          </rPr>
          <t>Koos Kruid:</t>
        </r>
        <r>
          <rPr>
            <sz val="8"/>
            <color indexed="81"/>
            <rFont val="Tahoma"/>
            <family val="2"/>
          </rPr>
          <t xml:space="preserve">
Floorspace relates to power reservation
</t>
        </r>
      </text>
    </comment>
    <comment ref="N11" authorId="2">
      <text>
        <r>
          <rPr>
            <b/>
            <sz val="8"/>
            <color indexed="81"/>
            <rFont val="Tahoma"/>
            <family val="2"/>
          </rPr>
          <t>Koos Kruid:</t>
        </r>
        <r>
          <rPr>
            <sz val="8"/>
            <color indexed="81"/>
            <rFont val="Tahoma"/>
            <family val="2"/>
          </rPr>
          <t xml:space="preserve">
60% based on power ussage.</t>
        </r>
      </text>
    </comment>
    <comment ref="O11" authorId="2">
      <text>
        <r>
          <rPr>
            <b/>
            <sz val="8"/>
            <color indexed="81"/>
            <rFont val="Tahoma"/>
            <family val="2"/>
          </rPr>
          <t>Koos Kruid:</t>
        </r>
        <r>
          <rPr>
            <sz val="8"/>
            <color indexed="81"/>
            <rFont val="Tahoma"/>
            <family val="2"/>
          </rPr>
          <t xml:space="preserve">
No dedicated UPS. Whole site is on no-break.</t>
        </r>
      </text>
    </comment>
    <comment ref="P11" authorId="2">
      <text>
        <r>
          <rPr>
            <b/>
            <sz val="8"/>
            <color indexed="81"/>
            <rFont val="Tahoma"/>
            <family val="2"/>
          </rPr>
          <t>Koos Kruid:</t>
        </r>
        <r>
          <rPr>
            <sz val="8"/>
            <color indexed="81"/>
            <rFont val="Tahoma"/>
            <family val="2"/>
          </rPr>
          <t xml:space="preserve">
No dedicated UPS. Whole site is on no-break.</t>
        </r>
      </text>
    </comment>
    <comment ref="Q11" authorId="2">
      <text>
        <r>
          <rPr>
            <b/>
            <sz val="8"/>
            <color indexed="81"/>
            <rFont val="Tahoma"/>
            <family val="2"/>
          </rPr>
          <t>Koos Kruid:</t>
        </r>
        <r>
          <rPr>
            <sz val="8"/>
            <color indexed="81"/>
            <rFont val="Tahoma"/>
            <family val="2"/>
          </rPr>
          <t xml:space="preserve">
No dedicated UPS. Whole site is on no-break.</t>
        </r>
      </text>
    </comment>
    <comment ref="S11" authorId="1">
      <text>
        <r>
          <rPr>
            <b/>
            <sz val="9"/>
            <color indexed="81"/>
            <rFont val="Tahoma"/>
            <family val="2"/>
          </rPr>
          <t>uwinkel:</t>
        </r>
        <r>
          <rPr>
            <sz val="9"/>
            <color indexed="81"/>
            <rFont val="Tahoma"/>
            <family val="2"/>
          </rPr>
          <t xml:space="preserve">
No information available / delivered by Colo provider.</t>
        </r>
      </text>
    </comment>
    <comment ref="M12" authorId="2">
      <text>
        <r>
          <rPr>
            <b/>
            <sz val="8"/>
            <color indexed="81"/>
            <rFont val="Tahoma"/>
            <family val="2"/>
          </rPr>
          <t>Koos Kruid:</t>
        </r>
        <r>
          <rPr>
            <sz val="8"/>
            <color indexed="81"/>
            <rFont val="Tahoma"/>
            <family val="2"/>
          </rPr>
          <t xml:space="preserve">
Floorspace relates to power reservation
</t>
        </r>
      </text>
    </comment>
    <comment ref="N12" authorId="2">
      <text>
        <r>
          <rPr>
            <b/>
            <sz val="8"/>
            <color indexed="81"/>
            <rFont val="Tahoma"/>
            <family val="2"/>
          </rPr>
          <t>Koos Kruid:</t>
        </r>
        <r>
          <rPr>
            <sz val="8"/>
            <color indexed="81"/>
            <rFont val="Tahoma"/>
            <family val="2"/>
          </rPr>
          <t xml:space="preserve">
70% based on power usage.</t>
        </r>
      </text>
    </comment>
    <comment ref="O12" authorId="2">
      <text>
        <r>
          <rPr>
            <b/>
            <sz val="8"/>
            <color indexed="81"/>
            <rFont val="Tahoma"/>
            <family val="2"/>
          </rPr>
          <t>Koos Kruid:</t>
        </r>
        <r>
          <rPr>
            <sz val="8"/>
            <color indexed="81"/>
            <rFont val="Tahoma"/>
            <family val="2"/>
          </rPr>
          <t xml:space="preserve">
No dedicated UPS. Whole site is on no-break.</t>
        </r>
      </text>
    </comment>
    <comment ref="P12" authorId="2">
      <text>
        <r>
          <rPr>
            <b/>
            <sz val="8"/>
            <color indexed="81"/>
            <rFont val="Tahoma"/>
            <family val="2"/>
          </rPr>
          <t>Koos Kruid:</t>
        </r>
        <r>
          <rPr>
            <sz val="8"/>
            <color indexed="81"/>
            <rFont val="Tahoma"/>
            <family val="2"/>
          </rPr>
          <t xml:space="preserve">
No dedicated UPS. Whole site is on no-break.</t>
        </r>
      </text>
    </comment>
    <comment ref="Q12" authorId="2">
      <text>
        <r>
          <rPr>
            <b/>
            <sz val="8"/>
            <color indexed="81"/>
            <rFont val="Tahoma"/>
            <family val="2"/>
          </rPr>
          <t>Koos Kruid:</t>
        </r>
        <r>
          <rPr>
            <sz val="8"/>
            <color indexed="81"/>
            <rFont val="Tahoma"/>
            <family val="2"/>
          </rPr>
          <t xml:space="preserve">
No dedicated UPS. Whole site is on no-break.</t>
        </r>
      </text>
    </comment>
    <comment ref="S12" authorId="1">
      <text>
        <r>
          <rPr>
            <b/>
            <sz val="9"/>
            <color indexed="81"/>
            <rFont val="Tahoma"/>
            <family val="2"/>
          </rPr>
          <t>uwinkel:</t>
        </r>
        <r>
          <rPr>
            <sz val="9"/>
            <color indexed="81"/>
            <rFont val="Tahoma"/>
            <family val="2"/>
          </rPr>
          <t xml:space="preserve">
No information available / delivered by Colo provider.</t>
        </r>
      </text>
    </comment>
    <comment ref="M13" authorId="3">
      <text>
        <r>
          <rPr>
            <b/>
            <sz val="9"/>
            <color indexed="81"/>
            <rFont val="Tahoma"/>
            <family val="2"/>
          </rPr>
          <t>Steve Lowe:</t>
        </r>
        <r>
          <rPr>
            <sz val="9"/>
            <color indexed="81"/>
            <rFont val="Tahoma"/>
            <family val="2"/>
          </rPr>
          <t xml:space="preserve">
In addition there is a Workspace suite (K1 362.56 sq m) used as a store for the client</t>
        </r>
      </text>
    </comment>
  </commentList>
</comments>
</file>

<file path=xl/comments3.xml><?xml version="1.0" encoding="utf-8"?>
<comments xmlns="http://schemas.openxmlformats.org/spreadsheetml/2006/main">
  <authors>
    <author>Steve Lowe</author>
    <author>Derick Jones</author>
  </authors>
  <commentList>
    <comment ref="N16" authorId="0">
      <text>
        <r>
          <rPr>
            <b/>
            <sz val="9"/>
            <color indexed="81"/>
            <rFont val="Tahoma"/>
            <family val="2"/>
          </rPr>
          <t>Steve Lowe:</t>
        </r>
        <r>
          <rPr>
            <sz val="9"/>
            <color indexed="81"/>
            <rFont val="Tahoma"/>
            <family val="2"/>
          </rPr>
          <t xml:space="preserve">
excludes media operations
</t>
        </r>
      </text>
    </comment>
    <comment ref="U16" authorId="0">
      <text>
        <r>
          <rPr>
            <b/>
            <sz val="9"/>
            <color indexed="81"/>
            <rFont val="Tahoma"/>
            <family val="2"/>
          </rPr>
          <t>Steve Lowe:</t>
        </r>
        <r>
          <rPr>
            <sz val="9"/>
            <color indexed="81"/>
            <rFont val="Tahoma"/>
            <family val="2"/>
          </rPr>
          <t xml:space="preserve">
This figure represents raw capacity</t>
        </r>
      </text>
    </comment>
    <comment ref="N17" authorId="0">
      <text>
        <r>
          <rPr>
            <b/>
            <sz val="9"/>
            <color indexed="81"/>
            <rFont val="Tahoma"/>
            <family val="2"/>
          </rPr>
          <t>Steve Lowe:</t>
        </r>
        <r>
          <rPr>
            <sz val="9"/>
            <color indexed="81"/>
            <rFont val="Tahoma"/>
            <family val="2"/>
          </rPr>
          <t xml:space="preserve">
excludes media operations
</t>
        </r>
      </text>
    </comment>
    <comment ref="U17" authorId="0">
      <text>
        <r>
          <rPr>
            <b/>
            <sz val="9"/>
            <color indexed="81"/>
            <rFont val="Tahoma"/>
            <family val="2"/>
          </rPr>
          <t>Steve Lowe:</t>
        </r>
        <r>
          <rPr>
            <sz val="9"/>
            <color indexed="81"/>
            <rFont val="Tahoma"/>
            <family val="2"/>
          </rPr>
          <t xml:space="preserve">
This figure represents raw capacity</t>
        </r>
      </text>
    </comment>
    <comment ref="U18" authorId="0">
      <text>
        <r>
          <rPr>
            <b/>
            <sz val="9"/>
            <color indexed="81"/>
            <rFont val="Tahoma"/>
            <family val="2"/>
          </rPr>
          <t>Steve Lowe:</t>
        </r>
        <r>
          <rPr>
            <sz val="9"/>
            <color indexed="81"/>
            <rFont val="Tahoma"/>
            <family val="2"/>
          </rPr>
          <t xml:space="preserve">
This figure represents raw capacity</t>
        </r>
      </text>
    </comment>
    <comment ref="U19" authorId="0">
      <text>
        <r>
          <rPr>
            <b/>
            <sz val="9"/>
            <color indexed="81"/>
            <rFont val="Tahoma"/>
            <family val="2"/>
          </rPr>
          <t>Steve Lowe:</t>
        </r>
        <r>
          <rPr>
            <sz val="9"/>
            <color indexed="81"/>
            <rFont val="Tahoma"/>
            <family val="2"/>
          </rPr>
          <t xml:space="preserve">
This figure represents raw capacity</t>
        </r>
      </text>
    </comment>
    <comment ref="N20" authorId="0">
      <text>
        <r>
          <rPr>
            <b/>
            <sz val="9"/>
            <color indexed="81"/>
            <rFont val="Tahoma"/>
            <family val="2"/>
          </rPr>
          <t>Steve Lowe:</t>
        </r>
        <r>
          <rPr>
            <sz val="9"/>
            <color indexed="81"/>
            <rFont val="Tahoma"/>
            <family val="2"/>
          </rPr>
          <t xml:space="preserve">
excludes media operations
</t>
        </r>
      </text>
    </comment>
    <comment ref="U20" authorId="0">
      <text>
        <r>
          <rPr>
            <b/>
            <sz val="9"/>
            <color indexed="81"/>
            <rFont val="Tahoma"/>
            <family val="2"/>
          </rPr>
          <t>Steve Lowe:</t>
        </r>
        <r>
          <rPr>
            <sz val="9"/>
            <color indexed="81"/>
            <rFont val="Tahoma"/>
            <family val="2"/>
          </rPr>
          <t xml:space="preserve">
This figure represents raw capacity</t>
        </r>
      </text>
    </comment>
    <comment ref="F92" authorId="1">
      <text>
        <r>
          <rPr>
            <b/>
            <sz val="9"/>
            <color indexed="81"/>
            <rFont val="Tahoma"/>
            <family val="2"/>
          </rPr>
          <t>Derick Jones:</t>
        </r>
        <r>
          <rPr>
            <sz val="9"/>
            <color indexed="81"/>
            <rFont val="Tahoma"/>
            <family val="2"/>
          </rPr>
          <t xml:space="preserve">
Includes virtual tele-workers</t>
        </r>
      </text>
    </comment>
    <comment ref="E94" authorId="1">
      <text>
        <r>
          <rPr>
            <b/>
            <sz val="9"/>
            <color indexed="81"/>
            <rFont val="Tahoma"/>
            <family val="2"/>
          </rPr>
          <t>Derick Jones:</t>
        </r>
        <r>
          <rPr>
            <sz val="9"/>
            <color indexed="81"/>
            <rFont val="Tahoma"/>
            <family val="2"/>
          </rPr>
          <t xml:space="preserve">
Virtual tele-workers</t>
        </r>
      </text>
    </comment>
  </commentList>
</comments>
</file>

<file path=xl/comments4.xml><?xml version="1.0" encoding="utf-8"?>
<comments xmlns="http://schemas.openxmlformats.org/spreadsheetml/2006/main">
  <authors>
    <author>George Hansen</author>
  </authors>
  <commentList>
    <comment ref="L8" authorId="0">
      <text>
        <r>
          <rPr>
            <b/>
            <sz val="8"/>
            <color indexed="81"/>
            <rFont val="Tahoma"/>
            <family val="2"/>
          </rPr>
          <t>George Hansen:</t>
        </r>
        <r>
          <rPr>
            <sz val="8"/>
            <color indexed="81"/>
            <rFont val="Tahoma"/>
            <family val="2"/>
          </rPr>
          <t xml:space="preserve">
Assume 16 SF/cabinet
</t>
        </r>
      </text>
    </comment>
    <comment ref="O9" authorId="0">
      <text>
        <r>
          <rPr>
            <b/>
            <sz val="8"/>
            <color indexed="81"/>
            <rFont val="Tahoma"/>
            <family val="2"/>
          </rPr>
          <t>George Hansen:</t>
        </r>
        <r>
          <rPr>
            <sz val="8"/>
            <color indexed="81"/>
            <rFont val="Tahoma"/>
            <family val="2"/>
          </rPr>
          <t xml:space="preserve">
Assume 16 SF/cabinet
</t>
        </r>
      </text>
    </comment>
    <comment ref="O10" authorId="0">
      <text>
        <r>
          <rPr>
            <b/>
            <sz val="8"/>
            <color indexed="81"/>
            <rFont val="Tahoma"/>
            <family val="2"/>
          </rPr>
          <t>George Hansen:</t>
        </r>
        <r>
          <rPr>
            <sz val="8"/>
            <color indexed="81"/>
            <rFont val="Tahoma"/>
            <family val="2"/>
          </rPr>
          <t xml:space="preserve">
Assume 16 SF/cabinet
</t>
        </r>
      </text>
    </comment>
    <comment ref="O12" authorId="0">
      <text>
        <r>
          <rPr>
            <b/>
            <sz val="8"/>
            <color indexed="81"/>
            <rFont val="Tahoma"/>
            <family val="2"/>
          </rPr>
          <t>George Hansen:</t>
        </r>
        <r>
          <rPr>
            <sz val="8"/>
            <color indexed="81"/>
            <rFont val="Tahoma"/>
            <family val="2"/>
          </rPr>
          <t xml:space="preserve">
Assume 16 SF/cabinet
</t>
        </r>
      </text>
    </comment>
  </commentList>
</comments>
</file>

<file path=xl/comments5.xml><?xml version="1.0" encoding="utf-8"?>
<comments xmlns="http://schemas.openxmlformats.org/spreadsheetml/2006/main">
  <authors>
    <author>George Hansen</author>
  </authors>
  <commentList>
    <comment ref="P47" authorId="0">
      <text>
        <r>
          <rPr>
            <b/>
            <sz val="8"/>
            <color indexed="81"/>
            <rFont val="Tahoma"/>
            <family val="2"/>
          </rPr>
          <t>George Hansen:</t>
        </r>
        <r>
          <rPr>
            <sz val="8"/>
            <color indexed="81"/>
            <rFont val="Tahoma"/>
            <family val="2"/>
          </rPr>
          <t xml:space="preserve">
Peter Marshal not more than 100 SM</t>
        </r>
      </text>
    </comment>
    <comment ref="P48" authorId="0">
      <text>
        <r>
          <rPr>
            <b/>
            <sz val="8"/>
            <color indexed="81"/>
            <rFont val="Tahoma"/>
            <family val="2"/>
          </rPr>
          <t>George Hansen:</t>
        </r>
        <r>
          <rPr>
            <sz val="8"/>
            <color indexed="81"/>
            <rFont val="Tahoma"/>
            <family val="2"/>
          </rPr>
          <t xml:space="preserve">
Peter Marshal not more than 100 SM</t>
        </r>
      </text>
    </comment>
    <comment ref="W105" authorId="0">
      <text>
        <r>
          <rPr>
            <b/>
            <sz val="8"/>
            <color indexed="81"/>
            <rFont val="Tahoma"/>
            <family val="2"/>
          </rPr>
          <t>George Hansen:</t>
        </r>
        <r>
          <rPr>
            <sz val="8"/>
            <color indexed="81"/>
            <rFont val="Tahoma"/>
            <family val="2"/>
          </rPr>
          <t xml:space="preserve">
Peter Marshal not more than 100 SM</t>
        </r>
      </text>
    </comment>
    <comment ref="W106" authorId="0">
      <text>
        <r>
          <rPr>
            <b/>
            <sz val="8"/>
            <color indexed="81"/>
            <rFont val="Tahoma"/>
            <family val="2"/>
          </rPr>
          <t>George Hansen:</t>
        </r>
        <r>
          <rPr>
            <sz val="8"/>
            <color indexed="81"/>
            <rFont val="Tahoma"/>
            <family val="2"/>
          </rPr>
          <t xml:space="preserve">
Peter Marshal not more than 100 SM</t>
        </r>
      </text>
    </comment>
  </commentList>
</comments>
</file>

<file path=xl/sharedStrings.xml><?xml version="1.0" encoding="utf-8"?>
<sst xmlns="http://schemas.openxmlformats.org/spreadsheetml/2006/main" count="3705" uniqueCount="1137">
  <si>
    <t>Location</t>
  </si>
  <si>
    <t>Maidstone</t>
  </si>
  <si>
    <t>Tunbridge Wells</t>
  </si>
  <si>
    <t>Meriden</t>
  </si>
  <si>
    <t>Newark</t>
  </si>
  <si>
    <t>Chantilly</t>
  </si>
  <si>
    <t>Newington</t>
  </si>
  <si>
    <t>Singapore</t>
  </si>
  <si>
    <t>Own</t>
  </si>
  <si>
    <t>Lease</t>
  </si>
  <si>
    <t>Data</t>
  </si>
  <si>
    <t>Grand Total</t>
  </si>
  <si>
    <t>Number of DC's</t>
  </si>
  <si>
    <t>Americas</t>
  </si>
  <si>
    <t>EMEA</t>
  </si>
  <si>
    <t>Australia</t>
  </si>
  <si>
    <t>Asia</t>
  </si>
  <si>
    <t>Total</t>
  </si>
  <si>
    <t>Subiaco</t>
  </si>
  <si>
    <t>Pyrmont</t>
  </si>
  <si>
    <t>Holding</t>
  </si>
  <si>
    <t>Aylesford</t>
  </si>
  <si>
    <t>High Density -Future</t>
  </si>
  <si>
    <t>High Density - Current</t>
  </si>
  <si>
    <t>Low Density (RF)</t>
  </si>
  <si>
    <t>Area - SF</t>
  </si>
  <si>
    <t>Dim A - Feet</t>
  </si>
  <si>
    <t>Dim B - Feet</t>
  </si>
  <si>
    <t>Total IT area</t>
  </si>
  <si>
    <t>IT Space</t>
  </si>
  <si>
    <t>IT Area - SF</t>
  </si>
  <si>
    <t>Sector</t>
  </si>
  <si>
    <t>UPS N Capacity Installed (kW)</t>
  </si>
  <si>
    <t>% of UPS Capcity Utilized</t>
  </si>
  <si>
    <t>Total Site Load (kW)</t>
  </si>
  <si>
    <t>PUE</t>
  </si>
  <si>
    <t>MSS</t>
  </si>
  <si>
    <t>Norwich (North &amp; South)</t>
  </si>
  <si>
    <t>NPS</t>
  </si>
  <si>
    <t>MSS Americas</t>
  </si>
  <si>
    <t>MSS EMEA</t>
  </si>
  <si>
    <t>MSS Asia</t>
  </si>
  <si>
    <t>MSS Australia</t>
  </si>
  <si>
    <t>Colo</t>
  </si>
  <si>
    <t>St. Louis</t>
  </si>
  <si>
    <t>Group</t>
  </si>
  <si>
    <t>TC&amp;H</t>
  </si>
  <si>
    <t>LATAM</t>
  </si>
  <si>
    <t>Sector/Group</t>
  </si>
  <si>
    <t>MSS TC&amp;H</t>
  </si>
  <si>
    <t>Total Number</t>
  </si>
  <si>
    <t>Number</t>
  </si>
  <si>
    <t>Data Center Holding by Tier Rating</t>
  </si>
  <si>
    <t>Site Summary</t>
  </si>
  <si>
    <t>ITIS</t>
  </si>
  <si>
    <t>MSS LATAM</t>
  </si>
  <si>
    <t>IT Area -  SF</t>
  </si>
  <si>
    <t>UPS Actual Load (kW)</t>
  </si>
  <si>
    <t>Total IT Area - (SF)</t>
  </si>
  <si>
    <t>IT Area - (SF)</t>
  </si>
  <si>
    <t>Data Center Holding by Business Unit and Tier Rating</t>
  </si>
  <si>
    <t>Floor Space Utilization</t>
  </si>
  <si>
    <t>CSC Global Data Center Portfolio</t>
  </si>
  <si>
    <t>Tokyo</t>
  </si>
  <si>
    <t>Osaka</t>
  </si>
  <si>
    <t>City</t>
  </si>
  <si>
    <t>Country</t>
  </si>
  <si>
    <t>Norwich</t>
  </si>
  <si>
    <t>Chicago</t>
  </si>
  <si>
    <t>Address</t>
  </si>
  <si>
    <t>DE</t>
  </si>
  <si>
    <t>CT</t>
  </si>
  <si>
    <t>Reston</t>
  </si>
  <si>
    <t>VA</t>
  </si>
  <si>
    <t>Austin</t>
  </si>
  <si>
    <t>TX</t>
  </si>
  <si>
    <t>IL</t>
  </si>
  <si>
    <t>Lewisville</t>
  </si>
  <si>
    <t>Brampton</t>
  </si>
  <si>
    <t>Canada</t>
  </si>
  <si>
    <t>CO</t>
  </si>
  <si>
    <t>USA</t>
  </si>
  <si>
    <t>Ontario</t>
  </si>
  <si>
    <t>Client Base</t>
  </si>
  <si>
    <t>Single</t>
  </si>
  <si>
    <t>Multiple</t>
  </si>
  <si>
    <t xml:space="preserve">Berkeley Heights </t>
  </si>
  <si>
    <t>NJ</t>
  </si>
  <si>
    <t>Luxembourg</t>
  </si>
  <si>
    <t>Kent</t>
  </si>
  <si>
    <t>UK</t>
  </si>
  <si>
    <t>State/Province/County</t>
  </si>
  <si>
    <t>Huthwaite</t>
  </si>
  <si>
    <t>Copenhagen</t>
  </si>
  <si>
    <t>Denmark</t>
  </si>
  <si>
    <t>France</t>
  </si>
  <si>
    <t>Frankfurt</t>
  </si>
  <si>
    <t>Germany</t>
  </si>
  <si>
    <t>London</t>
  </si>
  <si>
    <t>Amsterdam</t>
  </si>
  <si>
    <t>Netherlands</t>
  </si>
  <si>
    <t>Malaysia</t>
  </si>
  <si>
    <t>Hong Kong</t>
  </si>
  <si>
    <t>Cyberjaya</t>
  </si>
  <si>
    <t>Japan</t>
  </si>
  <si>
    <t>Perth</t>
  </si>
  <si>
    <t>Sao Paulo</t>
  </si>
  <si>
    <t>Brazil</t>
  </si>
  <si>
    <t>Northern (NDC)</t>
  </si>
  <si>
    <t>Newark (NDC)</t>
  </si>
  <si>
    <t>Meriden (MDC)</t>
  </si>
  <si>
    <t>Maidstone (MDC)</t>
  </si>
  <si>
    <t>Tunbridge Wells (RTW)</t>
  </si>
  <si>
    <t>Somerville</t>
  </si>
  <si>
    <t>MA</t>
  </si>
  <si>
    <t>Sunnyvale</t>
  </si>
  <si>
    <t>CA</t>
  </si>
  <si>
    <t>Santa Clara</t>
  </si>
  <si>
    <t>PA</t>
  </si>
  <si>
    <t xml:space="preserve">CoreSite </t>
  </si>
  <si>
    <t>Cloud Implementation</t>
  </si>
  <si>
    <t>CoreSite</t>
  </si>
  <si>
    <t>Yes</t>
  </si>
  <si>
    <t>Rensselaer</t>
  </si>
  <si>
    <t>NY</t>
  </si>
  <si>
    <t>Elmsford</t>
  </si>
  <si>
    <t>Bristol</t>
  </si>
  <si>
    <t>Friedrichshafen</t>
  </si>
  <si>
    <t>Terremark</t>
  </si>
  <si>
    <t>Unknown</t>
  </si>
  <si>
    <t>DC Count &amp; Area</t>
  </si>
  <si>
    <t>350 E. Cermak</t>
  </si>
  <si>
    <t>100 Locust Ave</t>
  </si>
  <si>
    <t>71 Deerfield Lane</t>
  </si>
  <si>
    <t>100 Winnendon Rd</t>
  </si>
  <si>
    <t>Sha Tin (STDC1)</t>
  </si>
  <si>
    <t>Sha Tin (STDC2)</t>
  </si>
  <si>
    <t>Sevenoaks</t>
  </si>
  <si>
    <t>ULA</t>
  </si>
  <si>
    <t>Raytheon</t>
  </si>
  <si>
    <t>Ingalls</t>
  </si>
  <si>
    <t>UTC</t>
  </si>
  <si>
    <t>British Telecom (BT)</t>
  </si>
  <si>
    <t>JP Morgan</t>
  </si>
  <si>
    <t>Verizon</t>
  </si>
  <si>
    <t>Global Switch</t>
  </si>
  <si>
    <t>Telecity</t>
  </si>
  <si>
    <t>Deutche Leasing / OVB</t>
  </si>
  <si>
    <t>eShelter</t>
  </si>
  <si>
    <t>Vacant  (Site listed for sale)</t>
  </si>
  <si>
    <t>Via West</t>
  </si>
  <si>
    <t>1380 Kifer Road</t>
  </si>
  <si>
    <t>Level 3</t>
  </si>
  <si>
    <t>70 Innerbelt Road</t>
  </si>
  <si>
    <t>2972 Stender Way</t>
  </si>
  <si>
    <t>401 Fieldcrest Drive</t>
  </si>
  <si>
    <t>Rue Guillaume J Kroll, 12D L-1862</t>
  </si>
  <si>
    <t>13a Union Street</t>
  </si>
  <si>
    <t>Pyrmont (Sydney)</t>
  </si>
  <si>
    <t>Clayton (Melbourne)</t>
  </si>
  <si>
    <t>Q9 Networks</t>
  </si>
  <si>
    <t>30 Bramtree Court</t>
  </si>
  <si>
    <t>Retorvej 8, 2500 Valby</t>
  </si>
  <si>
    <t>Pegasus Place, Lodge Road</t>
  </si>
  <si>
    <t>15000 Conference Center Drive</t>
  </si>
  <si>
    <t>11 On Sum Street, Topsail Plaza</t>
  </si>
  <si>
    <t>Notting Hill</t>
  </si>
  <si>
    <t>NSW</t>
  </si>
  <si>
    <t>VIC</t>
  </si>
  <si>
    <t>WA</t>
  </si>
  <si>
    <t>516 Hay Street</t>
  </si>
  <si>
    <t>Roissy</t>
  </si>
  <si>
    <t>Lersø ParkAlle 100-104</t>
  </si>
  <si>
    <t>Lersø ParkAlle ( LPA)</t>
  </si>
  <si>
    <t>Bristol, Station Road</t>
  </si>
  <si>
    <t>Nunn Brook Rise</t>
  </si>
  <si>
    <t>Engvej 153 - 169, Amager Strandvej 108</t>
  </si>
  <si>
    <t>Link 20, Bellingham Way, Unit 20</t>
  </si>
  <si>
    <t>SAS</t>
  </si>
  <si>
    <t>Stockholm</t>
  </si>
  <si>
    <t>Sweden</t>
  </si>
  <si>
    <t>25 Holly Drive</t>
  </si>
  <si>
    <t>Alte Ziegelei 3</t>
  </si>
  <si>
    <t>Immenstaad</t>
  </si>
  <si>
    <t>Retorvej (RTV) (aka Valby)</t>
  </si>
  <si>
    <t>645 Paper Mill Rd</t>
  </si>
  <si>
    <t>Petaling Jaya</t>
  </si>
  <si>
    <t>Wisma CSC, 10A Jalan Bersatu 13/14</t>
  </si>
  <si>
    <t>Robert A. Young Federal Office Building, 
1222 Spruce Street</t>
  </si>
  <si>
    <t xml:space="preserve">CyrusOne </t>
  </si>
  <si>
    <t>2501 South State Highway 121</t>
  </si>
  <si>
    <t>7401 East Ben White Blvd</t>
  </si>
  <si>
    <t>12100 Sunrise Valley Drive</t>
  </si>
  <si>
    <t>Selangor</t>
  </si>
  <si>
    <t>Sha Tin</t>
  </si>
  <si>
    <t>New Territories</t>
  </si>
  <si>
    <t>Seven Oaks</t>
  </si>
  <si>
    <t>11900 East Cornell Ave, Suite A</t>
  </si>
  <si>
    <t>Aurora</t>
  </si>
  <si>
    <t>Norwich (East)</t>
  </si>
  <si>
    <t>Softbank</t>
  </si>
  <si>
    <t xml:space="preserve">CyrusOne  </t>
  </si>
  <si>
    <t>Manulife</t>
  </si>
  <si>
    <t>MYLOCA</t>
  </si>
  <si>
    <t>Maybank</t>
  </si>
  <si>
    <t>No info</t>
  </si>
  <si>
    <t>Belldata</t>
  </si>
  <si>
    <t>Itenos</t>
  </si>
  <si>
    <t>Global Switch 2, 3  Nutmeg Lane, London E14 2AX</t>
  </si>
  <si>
    <t>Telecity (TCG/TC4)</t>
  </si>
  <si>
    <t>Telecity (TCG/TC3)</t>
  </si>
  <si>
    <t xml:space="preserve">e-shelter GmbH &amp; Co KG  Eschborner Landstraße 100     60489 Frankfurt am Main </t>
  </si>
  <si>
    <t>Rue De La Belle Etoile 167, 95700, Roissy</t>
  </si>
  <si>
    <t>Clichy, Paris</t>
  </si>
  <si>
    <t>NL Health</t>
  </si>
  <si>
    <t>Alstom</t>
  </si>
  <si>
    <t>Engvej</t>
  </si>
  <si>
    <t>Toronto</t>
  </si>
  <si>
    <t>Bombardier</t>
  </si>
  <si>
    <t>Planned</t>
  </si>
  <si>
    <t>MO</t>
  </si>
  <si>
    <t>Chambersburg</t>
  </si>
  <si>
    <t>Letterkenny Army Depot
3 North Overcash Avenue</t>
  </si>
  <si>
    <t>Culpeper</t>
  </si>
  <si>
    <t>327 Columbia Turnpike</t>
  </si>
  <si>
    <t>18155 Technology Drive</t>
  </si>
  <si>
    <t>ebrc - Windhof</t>
  </si>
  <si>
    <t>Perth CBD</t>
  </si>
  <si>
    <t>240 St Georges Terrace</t>
  </si>
  <si>
    <t>DTFSS (small WA Govt client)</t>
  </si>
  <si>
    <t>Belmont</t>
  </si>
  <si>
    <t>BHPB Iron Ore</t>
  </si>
  <si>
    <t xml:space="preserve"> </t>
  </si>
  <si>
    <t>Cabinets</t>
  </si>
  <si>
    <t>SF</t>
  </si>
  <si>
    <t>Kw</t>
  </si>
  <si>
    <t>CSC Cloud Brampton 900</t>
  </si>
  <si>
    <t>CSC Project Khalaf Brampton 900</t>
  </si>
  <si>
    <t>CSC Zurich Brampton 901</t>
  </si>
  <si>
    <t>CSC Bombardier: Brampton 895</t>
  </si>
  <si>
    <t>CSC Bombardier: Brampton 896</t>
  </si>
  <si>
    <t>CSC Bombardier: Toronto 104</t>
  </si>
  <si>
    <t>Data Center Acronym</t>
  </si>
  <si>
    <t>Data Center Manager (DCM)</t>
  </si>
  <si>
    <t>DC Headcount</t>
  </si>
  <si>
    <t>Ownership</t>
  </si>
  <si>
    <t>Ownership Contact</t>
  </si>
  <si>
    <t>CCE Contact</t>
  </si>
  <si>
    <t>FM Contact</t>
  </si>
  <si>
    <t>BHDC</t>
  </si>
  <si>
    <t>07922</t>
  </si>
  <si>
    <t>LDC1</t>
  </si>
  <si>
    <t>Lewisville, (Dallas)</t>
  </si>
  <si>
    <t>John Kammerer</t>
  </si>
  <si>
    <t>LDC2</t>
  </si>
  <si>
    <t xml:space="preserve">Caroline Brelsford </t>
  </si>
  <si>
    <t>AUDC</t>
  </si>
  <si>
    <t>CDC2</t>
  </si>
  <si>
    <t>Chicago (CDC) - 2nd floor</t>
  </si>
  <si>
    <t xml:space="preserve">Digital Realty Trust </t>
  </si>
  <si>
    <t>CDC3</t>
  </si>
  <si>
    <t>Chicago (CDC) - 3rd floor</t>
  </si>
  <si>
    <t>Scott Margolin</t>
  </si>
  <si>
    <t>Philip Grant</t>
  </si>
  <si>
    <t>CDC4</t>
  </si>
  <si>
    <t>Chicago (CDC) - 4th floor</t>
  </si>
  <si>
    <t>06450</t>
  </si>
  <si>
    <t>NDC</t>
  </si>
  <si>
    <t>NEDC</t>
  </si>
  <si>
    <t>NOR2</t>
  </si>
  <si>
    <t>06360</t>
  </si>
  <si>
    <t>NOR1</t>
  </si>
  <si>
    <t xml:space="preserve">Paul Hoar </t>
  </si>
  <si>
    <t>BRDC</t>
  </si>
  <si>
    <t>L6S 5Z7</t>
  </si>
  <si>
    <t>TODC</t>
  </si>
  <si>
    <t>M5K 1J3</t>
  </si>
  <si>
    <t>DDC</t>
  </si>
  <si>
    <t>Aurora, (Denver)</t>
  </si>
  <si>
    <t>TDC</t>
  </si>
  <si>
    <t>Henderson Building (HDC)</t>
  </si>
  <si>
    <t>Ganesh Arumugam</t>
  </si>
  <si>
    <t>KLDC1</t>
  </si>
  <si>
    <t>Kuala Lumpur (KLDC1)</t>
  </si>
  <si>
    <t>KLDC2</t>
  </si>
  <si>
    <t>Kuala Lumpur (KLDC2)</t>
  </si>
  <si>
    <t>Chong Lin Kong</t>
  </si>
  <si>
    <t>KLDC3</t>
  </si>
  <si>
    <t>Kuala Lumpur (KLDC3)</t>
  </si>
  <si>
    <t>CYDC</t>
  </si>
  <si>
    <t>STDC1</t>
  </si>
  <si>
    <t>STDC2</t>
  </si>
  <si>
    <t>ODC</t>
  </si>
  <si>
    <t>CLDC</t>
  </si>
  <si>
    <t>PYDC</t>
  </si>
  <si>
    <t>SUDC</t>
  </si>
  <si>
    <t>ADC</t>
  </si>
  <si>
    <t>BDC</t>
  </si>
  <si>
    <t>LXDC1</t>
  </si>
  <si>
    <t xml:space="preserve">Drosbach Data Centre </t>
  </si>
  <si>
    <t>EDH Wagner</t>
  </si>
  <si>
    <t>LXDC2</t>
  </si>
  <si>
    <t>ENGDC</t>
  </si>
  <si>
    <t>PDC1</t>
  </si>
  <si>
    <t>Paris</t>
  </si>
  <si>
    <t>FRDC1</t>
  </si>
  <si>
    <t>FDHDC</t>
  </si>
  <si>
    <t>AMDC1</t>
  </si>
  <si>
    <t>PDC2</t>
  </si>
  <si>
    <t>FRDC2</t>
  </si>
  <si>
    <t>LODC</t>
  </si>
  <si>
    <t>FRDC3</t>
  </si>
  <si>
    <t>LPADC</t>
  </si>
  <si>
    <t>MDC</t>
  </si>
  <si>
    <t>ME14 5EH</t>
  </si>
  <si>
    <t>NODC</t>
  </si>
  <si>
    <t>Chesterfield</t>
  </si>
  <si>
    <t>RTVDC</t>
  </si>
  <si>
    <t>SDC</t>
  </si>
  <si>
    <t>Units D2-D4, North Downs Business Park, Lime Pit Lane</t>
  </si>
  <si>
    <t xml:space="preserve">TN13 2TL </t>
  </si>
  <si>
    <t>AMDC3</t>
  </si>
  <si>
    <t>AMDC4</t>
  </si>
  <si>
    <t>RTWDC</t>
  </si>
  <si>
    <t>Spectrum House, Chapman Way, High Brooms</t>
  </si>
  <si>
    <t>TN2 3EF</t>
  </si>
  <si>
    <t>RDC</t>
  </si>
  <si>
    <t>Rensselaer (Albany)</t>
  </si>
  <si>
    <t>CHADC</t>
  </si>
  <si>
    <t>CHDC1</t>
  </si>
  <si>
    <t>SLDC</t>
  </si>
  <si>
    <t>CUDC</t>
  </si>
  <si>
    <t>SPDC</t>
  </si>
  <si>
    <t>Rodovia Jornalista Francisco Aguirre 
Proença, Km 9 Condomínio Tech Town - Chácara Assay-  Unidade 27. Hortolândia</t>
  </si>
  <si>
    <t>CEP: 131186-904</t>
  </si>
  <si>
    <t>CHDC2</t>
  </si>
  <si>
    <t>Bryan Stout</t>
  </si>
  <si>
    <t>SCDC</t>
  </si>
  <si>
    <t>SOMDC</t>
  </si>
  <si>
    <t>EDC</t>
  </si>
  <si>
    <t>Karen Barnett</t>
  </si>
  <si>
    <t>908-665-6077</t>
  </si>
  <si>
    <t>908-347-2382</t>
  </si>
  <si>
    <t>email</t>
  </si>
  <si>
    <t>dbrunson@csc.com</t>
  </si>
  <si>
    <t>Drenica Spears-Brunson</t>
  </si>
  <si>
    <t>jkammere@csc.com</t>
  </si>
  <si>
    <t>972.877.3640</t>
  </si>
  <si>
    <t>smargolin@csc.com</t>
  </si>
  <si>
    <t>312.225.8792</t>
  </si>
  <si>
    <t>203.317.4863</t>
  </si>
  <si>
    <t>wmcinty2@csc.com</t>
  </si>
  <si>
    <t>302.391.2616</t>
  </si>
  <si>
    <t>lbosick@csc.com</t>
  </si>
  <si>
    <t xml:space="preserve"> 860-665-1717</t>
  </si>
  <si>
    <t>860-371-4487</t>
  </si>
  <si>
    <t>Virginia Falconi</t>
  </si>
  <si>
    <t>860.863.2507</t>
  </si>
  <si>
    <t>bsmith1@csc.com</t>
  </si>
  <si>
    <t>720.891.2784</t>
  </si>
  <si>
    <t>ctribbet@csc.com</t>
  </si>
  <si>
    <t>Chris Tribbett</t>
  </si>
  <si>
    <t>vganesharumu@csc.com</t>
  </si>
  <si>
    <t>+61.3.9541.5854</t>
  </si>
  <si>
    <t>jmcshae@csc.com.au</t>
  </si>
  <si>
    <t>+61.2.9692.2901</t>
  </si>
  <si>
    <t xml:space="preserve"> lwaller2@csc.com.au</t>
  </si>
  <si>
    <t>Larry Waller</t>
  </si>
  <si>
    <t>+61.8.9254.5200</t>
  </si>
  <si>
    <t>kbrowne@csc.com</t>
  </si>
  <si>
    <t>Kim Browne</t>
  </si>
  <si>
    <t>+44.1622.714004</t>
  </si>
  <si>
    <t xml:space="preserve"> jparke24@csc.com</t>
  </si>
  <si>
    <t>John Parker</t>
  </si>
  <si>
    <t xml:space="preserve"> +44.1179.912638 </t>
  </si>
  <si>
    <t>droberts3@csc.com</t>
  </si>
  <si>
    <t>Darrell Roberts</t>
  </si>
  <si>
    <t>lmahy@csc.com</t>
  </si>
  <si>
    <t>Laurant Mahy</t>
  </si>
  <si>
    <t>011-49-7545-90918065</t>
  </si>
  <si>
    <t xml:space="preserve"> 011-49-1736665491</t>
  </si>
  <si>
    <t>Thomas Woelfle</t>
  </si>
  <si>
    <t>Lawrence Bosick</t>
  </si>
  <si>
    <t>Bill McIntyre</t>
  </si>
  <si>
    <t>703.391.1964</t>
  </si>
  <si>
    <t>Ben Smith</t>
  </si>
  <si>
    <t>John McShae</t>
  </si>
  <si>
    <t>+44.1622.622266</t>
  </si>
  <si>
    <t>apallin@csc.com</t>
  </si>
  <si>
    <t>Gary Pallin</t>
  </si>
  <si>
    <t xml:space="preserve">+44.1179.912638 </t>
  </si>
  <si>
    <t>+45.292.35878</t>
  </si>
  <si>
    <t>cjohns75@csc.com</t>
  </si>
  <si>
    <t>Craig Johnson</t>
  </si>
  <si>
    <t>+44.1732.748303</t>
  </si>
  <si>
    <t>pmann@csc.com</t>
  </si>
  <si>
    <t>Phil Mann</t>
  </si>
  <si>
    <t>+44.1892.705557</t>
  </si>
  <si>
    <t>ilevett@csc.com</t>
  </si>
  <si>
    <t>Iain Levett</t>
  </si>
  <si>
    <t>518.257.4414</t>
  </si>
  <si>
    <t>dricha26@csc.com</t>
  </si>
  <si>
    <t>David Richardson</t>
  </si>
  <si>
    <t>717-709-3109</t>
  </si>
  <si>
    <t>717-729-7607</t>
  </si>
  <si>
    <t>Kathy Stouffer</t>
  </si>
  <si>
    <t>703.829.0674</t>
  </si>
  <si>
    <t>rstout2@csc.com</t>
  </si>
  <si>
    <t xml:space="preserve"> 314-552-3206</t>
  </si>
  <si>
    <t>314-267-0903</t>
  </si>
  <si>
    <t xml:space="preserve">David Gosch </t>
  </si>
  <si>
    <t xml:space="preserve"> 302-391-2608</t>
  </si>
  <si>
    <t>302-690-8382</t>
  </si>
  <si>
    <t>William C Human</t>
  </si>
  <si>
    <t xml:space="preserve"> +55.11.3545.6501</t>
  </si>
  <si>
    <t xml:space="preserve">Allex Paiotti </t>
  </si>
  <si>
    <t xml:space="preserve">apaiotti@csc.com </t>
  </si>
  <si>
    <t>Office Phone</t>
  </si>
  <si>
    <t>Mobile Phone</t>
  </si>
  <si>
    <t>David Gosch</t>
  </si>
  <si>
    <t xml:space="preserve"> 713-821-1282</t>
  </si>
  <si>
    <t>713-882-8937</t>
  </si>
  <si>
    <t>cbrelsford@cyrusone.com</t>
  </si>
  <si>
    <t>Title</t>
  </si>
  <si>
    <t>National Accounts Director</t>
  </si>
  <si>
    <t>Caroline Brelsford</t>
  </si>
  <si>
    <t>Company</t>
  </si>
  <si>
    <t>Q9 Networks Inc.</t>
  </si>
  <si>
    <t xml:space="preserve">Regis Malloy
</t>
  </si>
  <si>
    <t>Account Manager</t>
  </si>
  <si>
    <t>CyrusOne</t>
  </si>
  <si>
    <t>Regis Malloy</t>
  </si>
  <si>
    <t>908-665-6207</t>
  </si>
  <si>
    <t>908-821-4058</t>
  </si>
  <si>
    <t>ftabertshofe@csc.com</t>
  </si>
  <si>
    <t>JCI</t>
  </si>
  <si>
    <t>Fred Tabertshofer</t>
  </si>
  <si>
    <t xml:space="preserve"> 312-225-8781</t>
  </si>
  <si>
    <t>773-640-6408</t>
  </si>
  <si>
    <t>pgrant9@csc.com</t>
  </si>
  <si>
    <t>203-317-5018</t>
  </si>
  <si>
    <t>860-625-3202</t>
  </si>
  <si>
    <t>gcresta@csc.com</t>
  </si>
  <si>
    <t>Jerry Cresta</t>
  </si>
  <si>
    <t>302-391-2746</t>
  </si>
  <si>
    <t>302-275-4572</t>
  </si>
  <si>
    <t>jpratt4@csc.com</t>
  </si>
  <si>
    <t>John Pratt</t>
  </si>
  <si>
    <t>860- 665-1833</t>
  </si>
  <si>
    <t>860-637-0979</t>
  </si>
  <si>
    <t>arieding@csc.com</t>
  </si>
  <si>
    <t>August Riedinger</t>
  </si>
  <si>
    <t>860-425-6166</t>
  </si>
  <si>
    <t>860-373-1472</t>
  </si>
  <si>
    <t>phoar@csc.com</t>
  </si>
  <si>
    <t>Paul Hoar</t>
  </si>
  <si>
    <t xml:space="preserve"> 65-6741-3228</t>
  </si>
  <si>
    <t>jimmy@smpasean.com</t>
  </si>
  <si>
    <t>65-9694-0402
65 6347 8761 (JCI)
65 6551 (CSC)</t>
  </si>
  <si>
    <t>Jimmy Cheong Chee Siong</t>
  </si>
  <si>
    <t>60-16-336-8630</t>
  </si>
  <si>
    <t>60-3-7663-7878
Ext #7385</t>
  </si>
  <si>
    <t>lchong@csc.com</t>
  </si>
  <si>
    <t>852-2145-5902</t>
  </si>
  <si>
    <t>852-6117-1530
JCI: 65-6347-8761
CSC: 65-6551</t>
  </si>
  <si>
    <t>echeng7@csc.com
Edward.CW.Cheng@jci.com</t>
  </si>
  <si>
    <t>Edward Cheng</t>
  </si>
  <si>
    <t xml:space="preserve">JCI: 65-6347-8761
CSC: 65-6551-583  </t>
  </si>
  <si>
    <t xml:space="preserve">65-9062-0805 </t>
  </si>
  <si>
    <t>acavazos2@csc.com 
alejandro.cavazos@jci.com</t>
  </si>
  <si>
    <t>Alejandro Cavazos</t>
  </si>
  <si>
    <t>011-44-1622-714011</t>
  </si>
  <si>
    <t xml:space="preserve"> 011-44- 7714 - 540032</t>
  </si>
  <si>
    <t>phatton2@csc.com</t>
  </si>
  <si>
    <t>Peter Hatton</t>
  </si>
  <si>
    <t>011-44-1179-912836</t>
  </si>
  <si>
    <t>011-44-7966-563514</t>
  </si>
  <si>
    <t>pgrimshaw@csc.com</t>
  </si>
  <si>
    <t>Paul Grimshaw</t>
  </si>
  <si>
    <t>011-352-24-834-315</t>
  </si>
  <si>
    <t>011-352-661240006</t>
  </si>
  <si>
    <t>mlouridi@csc.com</t>
  </si>
  <si>
    <t>Mohamed Louridi</t>
  </si>
  <si>
    <t xml:space="preserve"> 011-45-36145704</t>
  </si>
  <si>
    <t>011-45-23216027</t>
  </si>
  <si>
    <t>jens.t.nielsen@jci.com</t>
  </si>
  <si>
    <t>Jens Thor Nielsen</t>
  </si>
  <si>
    <t xml:space="preserve"> 011-44-1622-622248 </t>
  </si>
  <si>
    <t xml:space="preserve"> 011-44-7921- 069774</t>
  </si>
  <si>
    <t>ghollands@csc.com</t>
  </si>
  <si>
    <t>Gary Hollands</t>
  </si>
  <si>
    <t xml:space="preserve"> 011-44-1179-912836</t>
  </si>
  <si>
    <t xml:space="preserve"> 011-44-7966-563514</t>
  </si>
  <si>
    <t>011-44-01732-748311</t>
  </si>
  <si>
    <t>011-44-7714-540030</t>
  </si>
  <si>
    <t>dgreenwood3@csc.com</t>
  </si>
  <si>
    <t>Dave Greenwood</t>
  </si>
  <si>
    <t xml:space="preserve"> 011-44-1892-705394</t>
  </si>
  <si>
    <t>07714 540026</t>
  </si>
  <si>
    <t>epusey@csc.com</t>
  </si>
  <si>
    <t>Eddie Pusey</t>
  </si>
  <si>
    <t xml:space="preserve"> 518-449-6771</t>
  </si>
  <si>
    <t>518-275-3615</t>
  </si>
  <si>
    <t>mplonka2@csc.com</t>
  </si>
  <si>
    <t>Mike Plonka</t>
  </si>
  <si>
    <t>703-818-5253</t>
  </si>
  <si>
    <t xml:space="preserve"> 703-439-8181</t>
  </si>
  <si>
    <t>vhernandez3@csc.com</t>
  </si>
  <si>
    <t>Victor Hernandez</t>
  </si>
  <si>
    <t>Program Manager</t>
  </si>
  <si>
    <t>Terremark Federal Group (TFG)</t>
  </si>
  <si>
    <t>540-827-1264</t>
  </si>
  <si>
    <t>540-219-7693</t>
  </si>
  <si>
    <t>John Wilson</t>
  </si>
  <si>
    <t>Operations Manager</t>
  </si>
  <si>
    <t>Craig.Lee@coresite.com</t>
  </si>
  <si>
    <t>703-829-0674</t>
  </si>
  <si>
    <t>Craig Lee</t>
  </si>
  <si>
    <t>100 Wellington St. West</t>
  </si>
  <si>
    <t>221 Henderson Road, #05-1</t>
  </si>
  <si>
    <t>2nd Floor,TMNET CBJ1, TM Complex, 
Lingkaran Usahawan 1 Timur</t>
  </si>
  <si>
    <t>37-39 Robinson Avenue
 (cnr Francisco Street)</t>
  </si>
  <si>
    <t>Tokyo Dia Building #5 10F, 1-28-23, Shinkawa, Chuo-ku</t>
  </si>
  <si>
    <t>Panasonic denko Osaka Chuo data centre</t>
  </si>
  <si>
    <t xml:space="preserve"> 7F Keihanshi-kitahorie building 3-6-11 Kitahorie Nishi-ku</t>
  </si>
  <si>
    <t>PEDC1</t>
  </si>
  <si>
    <t>PEDC2</t>
  </si>
  <si>
    <t>Zip/Postal Code</t>
  </si>
  <si>
    <t>CCE</t>
  </si>
  <si>
    <t>Troy Wildrick</t>
  </si>
  <si>
    <t>Tim McGuire</t>
  </si>
  <si>
    <t>Jeremy Mun Onn Yew</t>
  </si>
  <si>
    <t>Allan Oernsted</t>
  </si>
  <si>
    <t>Phillip Saxton</t>
  </si>
  <si>
    <t>Steven Atkey</t>
  </si>
  <si>
    <t>Ralph Birch</t>
  </si>
  <si>
    <t>Overall Tier Level</t>
  </si>
  <si>
    <t>Electrical Tier Level</t>
  </si>
  <si>
    <t>Mechanical Tier Level</t>
  </si>
  <si>
    <t>Overal Tier Level</t>
  </si>
  <si>
    <t>Owned</t>
  </si>
  <si>
    <t>Leased</t>
  </si>
  <si>
    <t>Copenhagen (Envej)</t>
  </si>
  <si>
    <t>Toronto - Q9 Networks</t>
  </si>
  <si>
    <t>Frankfurt - Itenos</t>
  </si>
  <si>
    <t>Grand Totals</t>
  </si>
  <si>
    <t>Retain; Maintain</t>
  </si>
  <si>
    <t>Retain; Replace Legacy UPS &amp; main swboards</t>
  </si>
  <si>
    <t>Retain; consider Tier 3 cooling modifications</t>
  </si>
  <si>
    <t>Replace; new lease or Colo</t>
  </si>
  <si>
    <t>Retain; Maintain; add new Colo capacity</t>
  </si>
  <si>
    <t>Close 2015; migrate to new Colo</t>
  </si>
  <si>
    <t>Evaluate to migrate/close</t>
  </si>
  <si>
    <t>Close; migrate to Santa Clara</t>
  </si>
  <si>
    <t>Retain for one year; migrate &amp; close</t>
  </si>
  <si>
    <t>Retain</t>
  </si>
  <si>
    <t>Close</t>
  </si>
  <si>
    <t>Evaluate to migrate/close?? Subject to contract</t>
  </si>
  <si>
    <t>Total Number of DC's</t>
  </si>
  <si>
    <t>Total IT Area - SF</t>
  </si>
  <si>
    <t>Newark, DE</t>
  </si>
  <si>
    <t>Meriden, CT</t>
  </si>
  <si>
    <t>Maidstone, UK</t>
  </si>
  <si>
    <t>Royal Tunbridge Wells, UK</t>
  </si>
  <si>
    <t>1984</t>
  </si>
  <si>
    <t>2007</t>
  </si>
  <si>
    <t>1990</t>
  </si>
  <si>
    <t>1996</t>
  </si>
  <si>
    <t>2nd floor</t>
  </si>
  <si>
    <t>3rd floor</t>
  </si>
  <si>
    <t>4th floor</t>
  </si>
  <si>
    <t>1974;  1985 expansion</t>
  </si>
  <si>
    <t>1986; Expansion 1 -  2005; Expansion 2 - 2008</t>
  </si>
  <si>
    <t>Data Center</t>
  </si>
  <si>
    <t>Date of first construction/deployment</t>
  </si>
  <si>
    <t>Phase 1 - 2008; Phase 2 - 2010</t>
  </si>
  <si>
    <t>KLDC</t>
  </si>
  <si>
    <t>Phase 2A - 2010; Phase 2B - 2011</t>
  </si>
  <si>
    <t>Level 1</t>
  </si>
  <si>
    <t>Level 2</t>
  </si>
  <si>
    <t>2004; Blade center expansion 2006</t>
  </si>
  <si>
    <t>per 2006; expansion - 2011</t>
  </si>
  <si>
    <t>Norwich,CT</t>
  </si>
  <si>
    <t>North &amp; South Legacy</t>
  </si>
  <si>
    <t>East Data Hall</t>
  </si>
  <si>
    <t>Count of Overall Tier Level</t>
  </si>
  <si>
    <t>Director of Sales
Central and Eastern Region, Canada/USA
Eastern Region, Canada</t>
  </si>
  <si>
    <t>Henry Wu</t>
  </si>
  <si>
    <t>Glenn Nunis</t>
  </si>
  <si>
    <t>Zaidi Bajuri</t>
  </si>
  <si>
    <t>hwu4@csc.com</t>
  </si>
  <si>
    <t>gnunis@csc.com</t>
  </si>
  <si>
    <t>zbajuri2@csc.com</t>
  </si>
  <si>
    <t>+65.6371.9882</t>
  </si>
  <si>
    <t>+603.7663.7346</t>
  </si>
  <si>
    <t>+852.2145.5988</t>
  </si>
  <si>
    <t>HBDC</t>
  </si>
  <si>
    <t>y</t>
  </si>
  <si>
    <t>Strategic Location</t>
  </si>
  <si>
    <t>Multiple- Maybank</t>
  </si>
  <si>
    <t>RESDC</t>
  </si>
  <si>
    <t>MERDC</t>
  </si>
  <si>
    <t>Meriden (MERDC)</t>
  </si>
  <si>
    <t>Henderson Building (HBDC)</t>
  </si>
  <si>
    <t>Ganesh Arumugam / Zaidi Bajuri</t>
  </si>
  <si>
    <t>Ganesh Arumugam / Glenn Nunis</t>
  </si>
  <si>
    <t>Ganesh Arumugam / Henry Wu</t>
  </si>
  <si>
    <t>Mariehällsvägen 36, Bromma</t>
  </si>
  <si>
    <t>n/a</t>
  </si>
  <si>
    <t>Evry Card Services (providing POS for Visa &amp; Master Card in Sweden and ATM card transactions)</t>
  </si>
  <si>
    <t>Bo Jonsson</t>
  </si>
  <si>
    <t>?</t>
  </si>
  <si>
    <t>-</t>
  </si>
  <si>
    <t>95(+10%)</t>
  </si>
  <si>
    <t>Kvastvägen 25-29, 128 62 Sköndal, Stockholm,
Sweden</t>
  </si>
  <si>
    <t>&lt;50%</t>
  </si>
  <si>
    <t>Design &lt;1,3</t>
  </si>
  <si>
    <t>rue petit 7,  92110, Clichy</t>
  </si>
  <si>
    <t>Clichy</t>
  </si>
  <si>
    <t>Grand Paris</t>
  </si>
  <si>
    <t>Andre Goffin</t>
  </si>
  <si>
    <t>see comment</t>
  </si>
  <si>
    <t>Equinix (PA1)</t>
  </si>
  <si>
    <t>No</t>
  </si>
  <si>
    <t>Hessen</t>
  </si>
  <si>
    <t>Uwe Winkel</t>
  </si>
  <si>
    <t xml:space="preserve">Global Switch FM 
Eschborner Landstrasse 110
D-60489 Frankfurt am Main / Germany </t>
  </si>
  <si>
    <t>MEWA, German Cloud</t>
  </si>
  <si>
    <t>Itenos Kleyerstraße 90, 60326 Frankfurt am Main / Germany</t>
  </si>
  <si>
    <t>Mewa</t>
  </si>
  <si>
    <t>Windhof</t>
  </si>
  <si>
    <t>CSC Computer Sciences BV, c/o TelecityGroup, Gyroscoppweg 2e-2f, 1042 AB Amsterdam</t>
  </si>
  <si>
    <t>Koos Kruid</t>
  </si>
  <si>
    <t>9kW reservation</t>
  </si>
  <si>
    <t>CSC Computer Sciences BV, c/o TelecityGroup, Wenckebachweg 127, 1096 AM Amsterdam</t>
  </si>
  <si>
    <t>105kW reservation</t>
  </si>
  <si>
    <t>Greater London</t>
  </si>
  <si>
    <t>David Dykes</t>
  </si>
  <si>
    <t>ebrc - Windhof, Windhof Data Centre, 3 rue Pierre Flammang
L-8399 Windhof (Koerich), Luxembourg</t>
  </si>
  <si>
    <t>Multiple - CACEIS, Arcelor Mittal, Ingersol Rand, Arcelor Aperam</t>
  </si>
  <si>
    <t>STODC1</t>
  </si>
  <si>
    <t>STODC2</t>
  </si>
  <si>
    <t>Subiaco (Perth)</t>
  </si>
  <si>
    <t>CURRENT METRIC INFORMATION for Columns R-W in DCQM</t>
  </si>
  <si>
    <t>Contract Start Date</t>
  </si>
  <si>
    <t>Contract End Date</t>
  </si>
  <si>
    <t>SLA</t>
  </si>
  <si>
    <t>Benjamin Jacob</t>
  </si>
  <si>
    <t>HDC</t>
  </si>
  <si>
    <t>Shah Alam</t>
  </si>
  <si>
    <t>Shah Alam (HDC)</t>
  </si>
  <si>
    <t>Level 3A, HDC DATA CENTRE
M-3A, Block M, No. 6, Persiaran Multimedia, i-City, Seksyen 7, 40000 Shah Alam, Selangor Darul Ehsan.</t>
  </si>
  <si>
    <t>MTM</t>
  </si>
  <si>
    <t>t.b.d.</t>
  </si>
  <si>
    <t>CLIENT OWNED LEASE</t>
  </si>
  <si>
    <t>Cage B02-MB02: 01/11/2008 / Cage C07-MB07: 01/05/2012</t>
  </si>
  <si>
    <t>Cage B02-MB02: 31/03/2015 / Cage C07-MB07: 30/04/2017</t>
  </si>
  <si>
    <t>No End Date- See comment</t>
  </si>
  <si>
    <t>Benjamin Jacob, P.Eng-           (Replaced David Newall, Jan 2013)</t>
  </si>
  <si>
    <t xml:space="preserve">benjamin.jacob@q9.com
</t>
  </si>
  <si>
    <t>416-807-7039</t>
  </si>
  <si>
    <t>See Comment</t>
  </si>
  <si>
    <t>x</t>
  </si>
  <si>
    <t xml:space="preserve">Yes </t>
  </si>
  <si>
    <t>HDC, CSC Partner</t>
  </si>
  <si>
    <t>Managed Hosting</t>
  </si>
  <si>
    <t>IT Area - SM</t>
  </si>
  <si>
    <t>Allex Paiotti, Daniel D Silveira</t>
  </si>
  <si>
    <t>DC Location</t>
  </si>
  <si>
    <t>AP</t>
  </si>
  <si>
    <t>Culpeper (Terremark)</t>
  </si>
  <si>
    <t>Woodside Energy</t>
  </si>
  <si>
    <t>Datacom</t>
  </si>
  <si>
    <t>Fortune House Development</t>
  </si>
  <si>
    <t>310 Ferntree Gully Road, Building 1</t>
  </si>
  <si>
    <t>Goodman</t>
  </si>
  <si>
    <t>Goodman Property Services</t>
  </si>
  <si>
    <t>Nick Georgetta</t>
  </si>
  <si>
    <t>CB Richard Ellis</t>
  </si>
  <si>
    <t>Region</t>
  </si>
  <si>
    <t>Lat</t>
  </si>
  <si>
    <t>Long</t>
  </si>
  <si>
    <t>350 E. Cermak Rd</t>
  </si>
  <si>
    <t>100 Winnenden Rd</t>
  </si>
  <si>
    <t>Level 3A, HDC DATA CENTRE
M-3A, Block M, No. 6, Persiaran Multimedia, i-City, Seksyen 7</t>
  </si>
  <si>
    <t>Selangor Darul Ehsan</t>
  </si>
  <si>
    <t>46200 PJ</t>
  </si>
  <si>
    <t>7F Keihanshi-kitahorie building 3-6-11 Kitahorie Nishi-ku</t>
  </si>
  <si>
    <t>310 Ferntree Gully Road</t>
  </si>
  <si>
    <t>37-39 Robinson Avenue</t>
  </si>
  <si>
    <t>ME20 6SP</t>
  </si>
  <si>
    <t>Rue Guillaume J Kroll, 12D</t>
  </si>
  <si>
    <t>L-1862</t>
  </si>
  <si>
    <t>Windhof Data Centre</t>
  </si>
  <si>
    <t>ebrc - Windhof, 3 rue Pierre Flammang</t>
  </si>
  <si>
    <t>Windhof (Koerich)</t>
  </si>
  <si>
    <t>L-8399</t>
  </si>
  <si>
    <t>Rue De La Belle Etoile 167</t>
  </si>
  <si>
    <t>e-shelter GmbH &amp; Co KG  Eschborner Landstraße 100</t>
  </si>
  <si>
    <t xml:space="preserve">Frankfurt am Main </t>
  </si>
  <si>
    <t>D-60489</t>
  </si>
  <si>
    <t>Global Switch FM 
Eschborner Landstrasse 110</t>
  </si>
  <si>
    <t>rue petit 7</t>
  </si>
  <si>
    <t>Global Switch 2, 3 Nutmeg Lane</t>
  </si>
  <si>
    <t>E14 2AX</t>
  </si>
  <si>
    <t>Itenos Kleyerstraße 90</t>
  </si>
  <si>
    <t>Northern (NDC)or spend 40M to fix</t>
  </si>
  <si>
    <t>Kvastvägen 25-29, 128 62 Sköndal</t>
  </si>
  <si>
    <t>CSC Computer Sciences BV, c/o TelecityGroup, Gyroscoppweg 2e-2f</t>
  </si>
  <si>
    <t xml:space="preserve">1042 AB </t>
  </si>
  <si>
    <t>CSC Computer Sciences BV, c/o TelecityGroup, Wenckebachweg 127</t>
  </si>
  <si>
    <t>1096 AM</t>
  </si>
  <si>
    <t>Robert A. Young Federal Office Building, Room 6.100
1222 Spruce Street</t>
  </si>
  <si>
    <t>SUDC'</t>
  </si>
  <si>
    <t>Cambridge</t>
  </si>
  <si>
    <t>10 Moulton St</t>
  </si>
  <si>
    <t>Apeldoorn</t>
  </si>
  <si>
    <t>Het Rietveld 57E</t>
  </si>
  <si>
    <t>7321 CT</t>
  </si>
  <si>
    <t>Cape Town</t>
  </si>
  <si>
    <t>Cape Town MPK</t>
  </si>
  <si>
    <t>West Tower, Canal Walk, Century City</t>
  </si>
  <si>
    <t>RSA</t>
  </si>
  <si>
    <t>C-site Chicago</t>
  </si>
  <si>
    <t>Coresite Chicago</t>
  </si>
  <si>
    <t>427 S Lasalle</t>
  </si>
  <si>
    <t>C-site K-Street</t>
  </si>
  <si>
    <t>Coresite K-Street</t>
  </si>
  <si>
    <t>1275 K Street NW</t>
  </si>
  <si>
    <t>Washington</t>
  </si>
  <si>
    <t>DC</t>
  </si>
  <si>
    <t>C-site Santa Clara</t>
  </si>
  <si>
    <t>Coresite Santa Clara</t>
  </si>
  <si>
    <t>3001 Coronado Drive</t>
  </si>
  <si>
    <t>Q9 Colo Data Extrpolation</t>
  </si>
  <si>
    <t>31/01/2014 (SAS Owns Lease)</t>
  </si>
  <si>
    <t>Belmont (Perth)</t>
  </si>
  <si>
    <t>St. Louis (DR for CHADC Army)</t>
  </si>
  <si>
    <t>Chambersburg (Army)</t>
  </si>
  <si>
    <t>Chicago (CDC) - 2nd floor- (colo 1st)</t>
  </si>
  <si>
    <t>Next Gen DC</t>
  </si>
  <si>
    <t>E</t>
  </si>
  <si>
    <t>DC Sold</t>
  </si>
  <si>
    <t xml:space="preserve"> Q1FY14</t>
  </si>
  <si>
    <t>São Paulo - Campinas</t>
  </si>
  <si>
    <t>SPDC2</t>
  </si>
  <si>
    <t>Ascenty</t>
  </si>
  <si>
    <t>Alstom, AES</t>
  </si>
  <si>
    <t>AES</t>
  </si>
  <si>
    <t>Campinas</t>
  </si>
  <si>
    <t>Hortolândia</t>
  </si>
  <si>
    <t>SP</t>
  </si>
  <si>
    <t>131186-904</t>
  </si>
  <si>
    <t>13069-320</t>
  </si>
  <si>
    <t>Avenida Pierre Simon De Laplace 1211, TECHNO PARK, Campinas/SP</t>
  </si>
  <si>
    <t>Vinicius Mineto</t>
  </si>
  <si>
    <t>Paired with NDC</t>
  </si>
  <si>
    <t>William (Carl) Human</t>
  </si>
  <si>
    <t>Single-  BBT, bombieder</t>
  </si>
  <si>
    <t>John McShae, Simon Brown</t>
  </si>
  <si>
    <t>Brampton-single cage Vblock, 7 racks, 3 Vblk, 2 NW, 2 Exp of Vblk</t>
  </si>
  <si>
    <t>Comments</t>
  </si>
  <si>
    <t>(blank)</t>
  </si>
  <si>
    <t>Bristol- Closed, Lights off 1/31/13- Keys handed over 7/8/13 after 2.6M reinstatement project</t>
  </si>
  <si>
    <t>Tier Rating</t>
  </si>
  <si>
    <t>Benchmark Availability Target</t>
  </si>
  <si>
    <t>São Paulo - Hortolândia</t>
  </si>
  <si>
    <t>Osaka Chuo data centre</t>
  </si>
  <si>
    <t>Friedrichshafen- client bears full DC cost- Meeting to Discuss with Client move to other non-CSC DC's-Greg/ closure on hold until Q1FY15 per client plans- no risk to CSC.- however client could default</t>
  </si>
  <si>
    <t>Reston- Retain Long Term</t>
  </si>
  <si>
    <t>EMEA Co-Location Data Centre Portfolio</t>
  </si>
  <si>
    <t>Updated</t>
  </si>
  <si>
    <t>Tier Level</t>
  </si>
  <si>
    <t>CSC point of contact</t>
  </si>
  <si>
    <t>IT Area - sq m</t>
  </si>
  <si>
    <t>3000 kW</t>
  </si>
  <si>
    <t>Tier 3</t>
  </si>
  <si>
    <t xml:space="preserve">Logica Norways A/S. POS transaction processing for Logica's customers Statoil Fuel and retail(Nordic, Russia &amp; Baltikum), Nordic Shell, Exxon Asia (Malaysia, Singapore, Hong Kong &amp; Guam), Exxon Switzerland) </t>
  </si>
  <si>
    <t>10000 KW</t>
  </si>
  <si>
    <t>e-BRC</t>
  </si>
  <si>
    <t xml:space="preserve">ebrc - Windhof, Windhof Data Centre, 3 rue Pierre Flammang, L-8399 Windhof (Koerich), Luxembourg
</t>
  </si>
  <si>
    <t>CACEIS, Arcelor Mittal, Ingersol Rand, Arcelor Aperam</t>
  </si>
  <si>
    <t>yes</t>
  </si>
  <si>
    <t>Multiple - TBA</t>
  </si>
  <si>
    <t>N+2</t>
  </si>
  <si>
    <t>Tier 2- per larry</t>
  </si>
  <si>
    <t>Own Building not land (wGov)</t>
  </si>
  <si>
    <t>Retorvej, Denmark (RTV)</t>
  </si>
  <si>
    <t>Acquired from Gov</t>
  </si>
  <si>
    <t>Fiber between LPA and RTV</t>
  </si>
  <si>
    <t>Copenhagen- exit planned, but SAS ownes plan, do not want eq or staff 200.- want CSC to "mop up" (close to Airport)</t>
  </si>
  <si>
    <t>Mainframe</t>
  </si>
  <si>
    <t>Total Usable DC Raised Floor Space (DCQM)</t>
  </si>
  <si>
    <t>Northern (NDC) 40M invest to up tier 3- Closed for new business</t>
  </si>
  <si>
    <t>Multiple- RMG largest Client</t>
  </si>
  <si>
    <t>YES- MAIN</t>
  </si>
  <si>
    <t>Zurich- Bears all costs for space</t>
  </si>
  <si>
    <t>Cloud Backup for Frankfurt (paired)</t>
  </si>
  <si>
    <t>Backup cloud in Amsterdam (Paired)</t>
  </si>
  <si>
    <t>Data Centre</t>
  </si>
  <si>
    <t>DR for NOR</t>
  </si>
  <si>
    <t>MDC RTW have leveraged cloud.</t>
  </si>
  <si>
    <t>CPH RTV LPA leveraged cloud being installed</t>
  </si>
  <si>
    <t>And Lux DDC</t>
  </si>
  <si>
    <t>Other cloud DCs in netherlands co los and frankfurt.</t>
  </si>
  <si>
    <t xml:space="preserve">Subiaco (Perth), </t>
  </si>
  <si>
    <t>Amsterdam (Telecity 4)</t>
  </si>
  <si>
    <t>Amsterdam (Telecity 3)</t>
  </si>
  <si>
    <t>FY16</t>
  </si>
  <si>
    <t>y- Long term</t>
  </si>
  <si>
    <t>Chicago (CDC) - 2nd-4th floors</t>
  </si>
  <si>
    <t>Chicago (CDC) floors 2-4</t>
  </si>
  <si>
    <t>Multiple- CAP moving 10/13, CSC-FSG targeting 3/14, other cust may stay direct with Verizon</t>
  </si>
  <si>
    <t>1/1/2014, extended to 2/20/2014 to allign with JPM contract</t>
  </si>
  <si>
    <t>Royal Tunbridge Wells Data Centre RTW</t>
  </si>
  <si>
    <t>Maidstone Data Centre MDC</t>
  </si>
  <si>
    <t>Aylesford Data Centre ADC</t>
  </si>
  <si>
    <t>Nothern Data Centre NDC</t>
  </si>
  <si>
    <t>Seven Oaks Data Centre SDC</t>
  </si>
  <si>
    <t>Copenhagen Data Centre (LPA &amp; RTV)</t>
  </si>
  <si>
    <t>Droshbach Data Centre DDC</t>
  </si>
  <si>
    <t>Friedrichshafen Data Center FDH</t>
  </si>
  <si>
    <t>Sunnyvale-Closed 9/2013</t>
  </si>
  <si>
    <t>Frankfurt (eshelter) - Closed 10/2013</t>
  </si>
  <si>
    <t xml:space="preserve">Subiaco (Perth), contract extension to 2019 </t>
  </si>
  <si>
    <t>CSC Proprietary</t>
  </si>
  <si>
    <t>% of UPS Capacity Utilized</t>
  </si>
  <si>
    <t>Chantilly (Collection of Server rooms)</t>
  </si>
  <si>
    <t>Multiple- State and Federal Healthcare clients- FISMA (Moderate)</t>
  </si>
  <si>
    <t>Single- Army DIACAT Moderate MAC 2 Sensitive, DCTI</t>
  </si>
  <si>
    <t>Frankfurt-Was Proposed fpor AbbVie</t>
  </si>
  <si>
    <t>Chicago (CDC) - 3rd floor- (NW on 2nd)</t>
  </si>
  <si>
    <t>Chicago (CDC) - 4th floor - (NW on 2nd)</t>
  </si>
  <si>
    <t>ISP's: see comment</t>
  </si>
  <si>
    <t>Average PUE Sept 2013 no weighting=</t>
  </si>
  <si>
    <t>Mirrored Redun at LXDC2</t>
  </si>
  <si>
    <t>Cloud DR From CDC (Avamar Data Domain)</t>
  </si>
  <si>
    <t xml:space="preserve">350 E. Cermak </t>
  </si>
  <si>
    <t>ASL (divested from CSC)</t>
  </si>
  <si>
    <t>Elmsford-Closing, 2 remaining clients as of 12-5-13, closure projected July 2014</t>
  </si>
  <si>
    <t>Chantilly- plans to close at lease end- Move to Reston-CoreSite DC</t>
  </si>
  <si>
    <t>3/31/2014 Extended to 3/31/2017</t>
  </si>
  <si>
    <t>sep from GIS</t>
  </si>
  <si>
    <t>Chicago (CDC)</t>
  </si>
  <si>
    <t>Sister DC Somerville</t>
  </si>
  <si>
    <t>Sister DC S</t>
  </si>
  <si>
    <t>CGEN NODE</t>
  </si>
  <si>
    <r>
      <t xml:space="preserve">Aurora, (Denver)- Contract novated to IBM 8-2013 Final 2-2014                 </t>
    </r>
    <r>
      <rPr>
        <b/>
        <sz val="10"/>
        <rFont val="Arial"/>
        <family val="2"/>
      </rPr>
      <t>NO LONGER CSC DC</t>
    </r>
  </si>
  <si>
    <t>n/at</t>
  </si>
  <si>
    <t>Lersø ParkAlle ( LPA) (Copenhagen)  No New Kit after Mar 1 2014-GClark</t>
  </si>
  <si>
    <r>
      <t xml:space="preserve">Ganesh Arumugam / </t>
    </r>
    <r>
      <rPr>
        <b/>
        <sz val="10"/>
        <rFont val="Arial"/>
        <family val="2"/>
      </rPr>
      <t>Glenn Nunis</t>
    </r>
  </si>
  <si>
    <r>
      <t xml:space="preserve">Retorvej (RTV) (aka Valby) </t>
    </r>
    <r>
      <rPr>
        <b/>
        <sz val="10"/>
        <rFont val="Arial"/>
        <family val="2"/>
      </rPr>
      <t>(Copenhagen)</t>
    </r>
  </si>
  <si>
    <t xml:space="preserve">Newark (NDC) - Possible Planned Mega Ctr </t>
  </si>
  <si>
    <t>Information required as part of the 2014 North America/European Magic Quadrant briefing on Data Center Outsourcing and Utility Services</t>
  </si>
  <si>
    <t>Note: see Read me section - this section reports all the worldwide Data Centre and relevant Control Centre capabilities</t>
  </si>
  <si>
    <t>Geography (EU,NA,AP,ROW)</t>
  </si>
  <si>
    <t>2014 Part of a dual DC or cluster</t>
  </si>
  <si>
    <t xml:space="preserve">2014 Square Meters (single DC) </t>
  </si>
  <si>
    <t>2014 Number of clients supported</t>
  </si>
  <si>
    <t>2014 Countries Served by the Data Center (number and names)</t>
  </si>
  <si>
    <t>2014 Data Center Tier 1 to 4 (Uptime Institute)</t>
  </si>
  <si>
    <t>2014 Power Supply: Watt per square Meter</t>
  </si>
  <si>
    <t>2014 Data Center PUE</t>
  </si>
  <si>
    <t>2014 DC Staff (Local to the DC)</t>
  </si>
  <si>
    <t>2014 DC managed mostly from</t>
  </si>
  <si>
    <r>
      <t>2014  N</t>
    </r>
    <r>
      <rPr>
        <sz val="10"/>
        <rFont val="Arial"/>
      </rPr>
      <t>ew/</t>
    </r>
    <r>
      <rPr>
        <b/>
        <sz val="10"/>
        <rFont val="Arial"/>
        <family val="2"/>
      </rPr>
      <t>E</t>
    </r>
    <r>
      <rPr>
        <sz val="10"/>
        <rFont val="Arial"/>
      </rPr>
      <t>xisting/</t>
    </r>
    <r>
      <rPr>
        <b/>
        <sz val="10"/>
        <rFont val="Arial"/>
        <family val="2"/>
      </rPr>
      <t>P</t>
    </r>
    <r>
      <rPr>
        <sz val="10"/>
        <rFont val="Arial"/>
      </rPr>
      <t>lanned Expansion</t>
    </r>
  </si>
  <si>
    <r>
      <t>2014 S</t>
    </r>
    <r>
      <rPr>
        <sz val="10"/>
        <rFont val="Arial"/>
      </rPr>
      <t>trategic</t>
    </r>
    <r>
      <rPr>
        <b/>
        <sz val="10"/>
        <rFont val="Arial"/>
        <family val="2"/>
      </rPr>
      <t>/N</t>
    </r>
    <r>
      <rPr>
        <sz val="10"/>
        <rFont val="Arial"/>
      </rPr>
      <t>on Strategic</t>
    </r>
    <r>
      <rPr>
        <b/>
        <sz val="10"/>
        <rFont val="Arial"/>
        <family val="2"/>
      </rPr>
      <t>/T</t>
    </r>
    <r>
      <rPr>
        <sz val="10"/>
        <rFont val="Arial"/>
      </rPr>
      <t>o be consolidated</t>
    </r>
  </si>
  <si>
    <t>2014 Major Client References served from this DC</t>
  </si>
  <si>
    <t>2014 Total Mainframe MIPS Installed</t>
  </si>
  <si>
    <t>2014 Total Servers Installed (Physical)</t>
  </si>
  <si>
    <t>2014 Total Storage Installed (TB)</t>
  </si>
  <si>
    <t>2014 Name of the 3rd party owning the DC</t>
  </si>
  <si>
    <t>2014 Number of Network Carriers Connected</t>
  </si>
  <si>
    <t>N</t>
  </si>
  <si>
    <t>Y</t>
  </si>
  <si>
    <t>P</t>
  </si>
  <si>
    <t>Global</t>
  </si>
  <si>
    <t>Local</t>
  </si>
  <si>
    <t>S</t>
  </si>
  <si>
    <t>Goodman International</t>
  </si>
  <si>
    <t>HONG KONG</t>
  </si>
  <si>
    <t>China</t>
  </si>
  <si>
    <t>C8</t>
  </si>
  <si>
    <t>N/a</t>
  </si>
  <si>
    <t>KUALA LUMPUR</t>
  </si>
  <si>
    <t>C</t>
  </si>
  <si>
    <t>OSAKA</t>
  </si>
  <si>
    <t>1 (Japan)</t>
  </si>
  <si>
    <t>N/A</t>
  </si>
  <si>
    <t>Pyrmont, Sydney</t>
  </si>
  <si>
    <t>Future House Pty Ltd Building only</t>
  </si>
  <si>
    <t>SHAH ALAM</t>
  </si>
  <si>
    <t>1 (Malaysia)</t>
  </si>
  <si>
    <t>SINGAPORE</t>
  </si>
  <si>
    <t>1 (Singapore)</t>
  </si>
  <si>
    <t>Subiaco, Perth</t>
  </si>
  <si>
    <t>Australia,</t>
  </si>
  <si>
    <t>DEXUS property group</t>
  </si>
  <si>
    <t>TOKYO</t>
  </si>
  <si>
    <t>ROW</t>
  </si>
  <si>
    <t>Sao Paulo, Brazil</t>
  </si>
  <si>
    <t>1 (Brazil)</t>
  </si>
  <si>
    <t>C1</t>
  </si>
  <si>
    <t>AES Eletropaulo, Alstom</t>
  </si>
  <si>
    <t>BT</t>
  </si>
  <si>
    <t>Campinas, SP</t>
  </si>
  <si>
    <t>EU</t>
  </si>
  <si>
    <t>MAIDSTONE DATA CENTRE (MDC)</t>
  </si>
  <si>
    <t>United Kingdom</t>
  </si>
  <si>
    <t>Cluster UK</t>
  </si>
  <si>
    <t>ROYAL TUNBRIDGE WELLS (RTW)</t>
  </si>
  <si>
    <t>AYLESFORD DATA CENTRE (ADC)</t>
  </si>
  <si>
    <t>LD = 1,000  HD = 10,000</t>
  </si>
  <si>
    <t>SEVENOAKS DATA CENTRE (SDC)</t>
  </si>
  <si>
    <t>LD = 1,200  HD = 10,000</t>
  </si>
  <si>
    <t>NORTHERN DATA CENTRE (NDC)</t>
  </si>
  <si>
    <t>FRIEDRICHSHAFEN DATA CENTRE (FDH)</t>
  </si>
  <si>
    <t>2 (Germany, Canada)</t>
  </si>
  <si>
    <t>T</t>
  </si>
  <si>
    <t>COPENHAGEN DATA CENTRE (CPH RTV)</t>
  </si>
  <si>
    <t>Cluster CPH</t>
  </si>
  <si>
    <t>6 (Denmark, Sweden, Norway, UK, USA, Germany)</t>
  </si>
  <si>
    <t>LD = 700  HD = 6,000</t>
  </si>
  <si>
    <t>COPENHAGEN DATA CENTRE (CPH LPA)</t>
  </si>
  <si>
    <t>Danske Bank</t>
  </si>
  <si>
    <t>Warton</t>
  </si>
  <si>
    <t>1 (UK)</t>
  </si>
  <si>
    <t>Arlanda</t>
  </si>
  <si>
    <t>1 (Sweden)</t>
  </si>
  <si>
    <t>Swedavia</t>
  </si>
  <si>
    <t>1 (Denmark)</t>
  </si>
  <si>
    <t>Merkenich</t>
  </si>
  <si>
    <t>Koblenz</t>
  </si>
  <si>
    <t>Baden</t>
  </si>
  <si>
    <t>Switzerland</t>
  </si>
  <si>
    <t>Europe</t>
  </si>
  <si>
    <t>Zurich Bonn</t>
  </si>
  <si>
    <t>Local.</t>
  </si>
  <si>
    <t>Zurich Cologne</t>
  </si>
  <si>
    <t>Zurich Schlieren</t>
  </si>
  <si>
    <t>Uentrop</t>
  </si>
  <si>
    <t xml:space="preserve">C </t>
  </si>
  <si>
    <t>Wuppertal</t>
  </si>
  <si>
    <t>Zurich E-Shelter</t>
  </si>
  <si>
    <t>ZFS Schlieren</t>
  </si>
  <si>
    <t>Zurich Six Group</t>
  </si>
  <si>
    <t xml:space="preserve"> Frankfurt </t>
  </si>
  <si>
    <t>Germany, NL</t>
  </si>
  <si>
    <t>Global switch</t>
  </si>
  <si>
    <t>Frankfurt 2</t>
  </si>
  <si>
    <t>1 Germany</t>
  </si>
  <si>
    <t>Vienna</t>
  </si>
  <si>
    <t>Austria</t>
  </si>
  <si>
    <t>Interxion</t>
  </si>
  <si>
    <t>none</t>
  </si>
  <si>
    <t>equinix</t>
  </si>
  <si>
    <t>managed by client</t>
  </si>
  <si>
    <t xml:space="preserve"> Clichy</t>
  </si>
  <si>
    <t>planned</t>
  </si>
  <si>
    <t>Guyencourt</t>
  </si>
  <si>
    <t>n</t>
  </si>
  <si>
    <t>p</t>
  </si>
  <si>
    <t>Euriware</t>
  </si>
  <si>
    <t>LUXEMBOURG (Windhof Data Centre)</t>
  </si>
  <si>
    <t>both</t>
  </si>
  <si>
    <t>EBRC</t>
  </si>
  <si>
    <t>LUXEMBOURG (Drosbach Data Centre)</t>
  </si>
  <si>
    <t>nil</t>
  </si>
  <si>
    <t>EDH</t>
  </si>
  <si>
    <t xml:space="preserve"> Amsterdam (AMDC3/TC3)</t>
  </si>
  <si>
    <t>(1) Netherlands</t>
  </si>
  <si>
    <t>2000 (or 4 kW per rack)</t>
  </si>
  <si>
    <t>unknown</t>
  </si>
  <si>
    <t>Utrecht</t>
  </si>
  <si>
    <t>Amsterdam (AMDC4/TC4)</t>
  </si>
  <si>
    <t>7000 (or 14kW per rack)</t>
  </si>
  <si>
    <t>S?</t>
  </si>
  <si>
    <t xml:space="preserve"> London (LODC)</t>
  </si>
  <si>
    <t>3+</t>
  </si>
  <si>
    <t>Remote</t>
  </si>
  <si>
    <t xml:space="preserve"> Stockholm (STODC1) - Bromma</t>
  </si>
  <si>
    <t>Nordic</t>
  </si>
  <si>
    <t>EVRY Card Services</t>
  </si>
  <si>
    <t>0
(HP NonStop)</t>
  </si>
  <si>
    <t>Unknown
(Client managed)</t>
  </si>
  <si>
    <t>All Swe carriers</t>
  </si>
  <si>
    <t>Stockholm (STODC2) - Sköndal</t>
  </si>
  <si>
    <t>CGI Card Services</t>
  </si>
  <si>
    <t>NA</t>
  </si>
  <si>
    <t>Austin, TX</t>
  </si>
  <si>
    <t>D</t>
  </si>
  <si>
    <t>1 (USA)</t>
  </si>
  <si>
    <t xml:space="preserve">Brampton, ON  </t>
  </si>
  <si>
    <t>Chambersburg, PA</t>
  </si>
  <si>
    <t>US Gov't</t>
  </si>
  <si>
    <t>Chantilly, VA</t>
  </si>
  <si>
    <t>COPT</t>
  </si>
  <si>
    <t>Chicago, IL</t>
  </si>
  <si>
    <t>1.90
1.39
1.97</t>
  </si>
  <si>
    <t>Digital Realty Trust</t>
  </si>
  <si>
    <t>Culpeper, VA</t>
  </si>
  <si>
    <t>Dallas, TX (Lewisville)</t>
  </si>
  <si>
    <t>Elmsford, NY</t>
  </si>
  <si>
    <t>L,C1</t>
  </si>
  <si>
    <t>L,C2</t>
  </si>
  <si>
    <t>Newington, CT</t>
  </si>
  <si>
    <t>Norwich, CT</t>
  </si>
  <si>
    <t xml:space="preserve">Y (Private Cloud) </t>
  </si>
  <si>
    <t>2 &amp; 3</t>
  </si>
  <si>
    <t>1.57
1.40</t>
  </si>
  <si>
    <t>NPS Chantilly, VA</t>
  </si>
  <si>
    <t>C14</t>
  </si>
  <si>
    <t>Rensselaer, NY (Albany)</t>
  </si>
  <si>
    <t>L,C23</t>
  </si>
  <si>
    <t>Reston, VA</t>
  </si>
  <si>
    <t>_</t>
  </si>
  <si>
    <t>Santa Clara, CA</t>
  </si>
  <si>
    <t>Coresite</t>
  </si>
  <si>
    <t>Somerville, MA</t>
  </si>
  <si>
    <t>St Louis, MO</t>
  </si>
  <si>
    <t>Stennis, MS</t>
  </si>
  <si>
    <t>Toronto, ON</t>
  </si>
  <si>
    <t>1 (Canada)</t>
  </si>
  <si>
    <t>Q9</t>
  </si>
  <si>
    <t>T2) List of Worldwide Control Centres managing DC described in T1</t>
  </si>
  <si>
    <t>Please provide the information using ONE ROW per Control Centre</t>
  </si>
  <si>
    <t>Control Centre #ID (to be reported in DC list T1, column O)</t>
  </si>
  <si>
    <t>Location (CC city)</t>
  </si>
  <si>
    <t>2014 Seat Number</t>
  </si>
  <si>
    <t>2014 Total Staff Number</t>
  </si>
  <si>
    <t>2014 C(Control Centre), HD(Help Desk), I (C+HD Integrated)</t>
  </si>
  <si>
    <t>India</t>
  </si>
  <si>
    <t xml:space="preserve">India </t>
  </si>
  <si>
    <t>I</t>
  </si>
  <si>
    <t>C, HD</t>
  </si>
  <si>
    <t>C10</t>
  </si>
  <si>
    <t>C11</t>
  </si>
  <si>
    <t>Sydney</t>
  </si>
  <si>
    <t>HD</t>
  </si>
  <si>
    <t>C9</t>
  </si>
  <si>
    <t>Tianjin</t>
  </si>
  <si>
    <t>C16</t>
  </si>
  <si>
    <t>C17</t>
  </si>
  <si>
    <t>C20</t>
  </si>
  <si>
    <t>Retorvej</t>
  </si>
  <si>
    <t>C26</t>
  </si>
  <si>
    <t>Preston</t>
  </si>
  <si>
    <t>C27</t>
  </si>
  <si>
    <t>Daventry</t>
  </si>
  <si>
    <t>C23</t>
  </si>
  <si>
    <t>Albany</t>
  </si>
  <si>
    <t>C15</t>
  </si>
  <si>
    <t>H</t>
  </si>
  <si>
    <t>C2</t>
  </si>
  <si>
    <t>Coppell, TX</t>
  </si>
  <si>
    <t>C13</t>
  </si>
  <si>
    <t>Marlton, NJ</t>
  </si>
  <si>
    <t>C3</t>
  </si>
  <si>
    <t>Montreal, Quebec</t>
  </si>
  <si>
    <t>C12</t>
  </si>
  <si>
    <t>C28</t>
  </si>
  <si>
    <t>C29</t>
  </si>
  <si>
    <t>Aviles</t>
  </si>
  <si>
    <t>Spain</t>
  </si>
  <si>
    <t>C30</t>
  </si>
  <si>
    <t>Prague</t>
  </si>
  <si>
    <t>Czech Republic</t>
  </si>
  <si>
    <t>C31</t>
  </si>
  <si>
    <t>Vilnius</t>
  </si>
  <si>
    <t>Lithuania</t>
  </si>
  <si>
    <t>C32</t>
  </si>
  <si>
    <t>Erfurt</t>
  </si>
  <si>
    <t>Lawrence Bosick                        Bryan Stout - Tour                        Contact at DC: Drenica L Brunson</t>
  </si>
  <si>
    <t>Lewisville, (Dallas) - New DC in Carrollton for expansion</t>
  </si>
  <si>
    <t>Colo Style Lease</t>
  </si>
  <si>
    <t>6K Pod, willing to start at 2k</t>
  </si>
  <si>
    <t xml:space="preserve">Lersø ParkAlle ( LPA) (Copenhagen) </t>
  </si>
  <si>
    <t xml:space="preserve">Data Center Manager </t>
  </si>
  <si>
    <t xml:space="preserve">Chicago </t>
  </si>
  <si>
    <t xml:space="preserve">Retorvej (RTV) </t>
  </si>
  <si>
    <t>State/Province</t>
  </si>
  <si>
    <t>Coverage</t>
  </si>
  <si>
    <t>AMERICAS</t>
  </si>
  <si>
    <t>APAC</t>
  </si>
  <si>
    <t>New Hong Kong Space being looked at (small Take-up for Cloud) @ Equnix Data Center</t>
  </si>
  <si>
    <t>NEW Space</t>
  </si>
  <si>
    <t>Pyrmont (Sydney)- 5 yesr extension planned to 2019 looking at additional 3+2</t>
  </si>
  <si>
    <t>Equnix</t>
  </si>
  <si>
    <t>Newington, Leased from UTC</t>
  </si>
  <si>
    <t>Paired with New Equnix DC in Hong Kong</t>
  </si>
  <si>
    <t>Pair to Sha Alam (HDC)</t>
  </si>
  <si>
    <t>UK leveraged Cloud with RTW</t>
  </si>
  <si>
    <t>Sevenoaks---FULL</t>
  </si>
  <si>
    <t>Multiple, VW, GIS Space for Zurich</t>
  </si>
  <si>
    <t>New Copenhagen Colo to replace LPA</t>
  </si>
  <si>
    <t>y- Retain</t>
  </si>
  <si>
    <t>TBD</t>
  </si>
  <si>
    <t>Norway</t>
  </si>
  <si>
    <t>New Green Mtn DC in Norway proposed for Brønnøysund Registrene - Altinn RFP - INT PUB - 10115094 - $50m-  QR May 28 2014</t>
  </si>
  <si>
    <t>Negotiation Sept-Dec 2014</t>
  </si>
  <si>
    <t>Max Power per Cabinet KW</t>
  </si>
  <si>
    <t>4.7-7.0</t>
  </si>
  <si>
    <t>Average PUE May 2014 no weighting=</t>
  </si>
  <si>
    <t xml:space="preserve">25 Holly Drive </t>
  </si>
  <si>
    <t>Meriden (MERDC) Tier 3 Mech Upgrades for 2nd cooling loop removed from consideration (major disruption)</t>
  </si>
  <si>
    <t>Austin- DC Foundry- Service Mesh DC- Aquired, 2013/4</t>
  </si>
  <si>
    <t>Singapore PACNET- (proposed for Shift from HBDC) MPS102 4-2014 - Now July- Bus Case Approved per Mike- DC Filling up Hang onto 2000sqft</t>
  </si>
  <si>
    <t>Noida, India (current CSC space in Computer Room)</t>
  </si>
  <si>
    <t>Berkeley Heights (BHDC) Closed, Sale Closed end of Sept 2013</t>
  </si>
  <si>
    <t>CLOSED</t>
  </si>
  <si>
    <t>Nodia, India (Leverage ATT DC FY15)</t>
  </si>
  <si>
    <t>Banglore Hyderabad (Leverage ATT DC FY15)</t>
  </si>
  <si>
    <t>ATT</t>
  </si>
  <si>
    <t>CSC</t>
  </si>
  <si>
    <t>Not a DC</t>
  </si>
  <si>
    <t>Close FY15</t>
  </si>
  <si>
    <t>y-Exit Planned</t>
  </si>
  <si>
    <t>y- Exit Likely due to RMG Loss (80% of space)</t>
  </si>
  <si>
    <t>Exit Planned</t>
  </si>
  <si>
    <t>NPS DC and LA Tech Ctr</t>
  </si>
  <si>
    <t>NPS DC and PA Tech Ctr</t>
  </si>
  <si>
    <t>LADC</t>
  </si>
  <si>
    <t>PADC</t>
  </si>
  <si>
    <t>Norwich (East)  - Near capacity</t>
  </si>
  <si>
    <t>Sha Tin (STDC2)- Lease Extension in Progress- July 2014</t>
  </si>
  <si>
    <t>Clayton (Melbourne)-  Have 5 year extension option- Must Exit at lease expiration-  prop owner would like to tear down and re-purpose land</t>
  </si>
  <si>
    <t>Subiaco (Perth) + other Locations, New MSA with NextDC- July 2014,  DC Consolidation PJT</t>
  </si>
  <si>
    <t>Data Center Workloads (Purpose)</t>
  </si>
  <si>
    <t>Watts Per SQ FT</t>
  </si>
  <si>
    <t>Geography (EU  NA  AP  ROW)</t>
  </si>
  <si>
    <t>Location (DC nearby city   name of the DC - use an alias in case of confidential issues/corporate rules)</t>
  </si>
  <si>
    <t>2014 Delivers IUS   IaaS   cloud offerings (Y/N)</t>
  </si>
  <si>
    <t>2014 Number of IUS   IaaS   Cloud service clients</t>
  </si>
  <si>
    <t xml:space="preserve">2014 DC ownership C(lient)   P(rovider) or 3(rd Party) </t>
  </si>
  <si>
    <t>Clayton   Melbourne</t>
  </si>
  <si>
    <t>3 (Hong Kong   Malaysia   Japan)</t>
  </si>
  <si>
    <t>3 (Malaysia   Hong Kong   Japan)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</si>
</sst>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_);_(* \(#,##0\);_(* &quot;-&quot;_);_(@_)"/>
    <numFmt numFmtId="165" formatCode="_(* #,##0.00_);_(* \(#,##0.00\);_(* &quot;-&quot;??_);_(@_)"/>
    <numFmt numFmtId="166" formatCode="_(* #,##0_);_(* \(#,##0\);_(* &quot;-&quot;??_);_(@_)"/>
    <numFmt numFmtId="167" formatCode="0.0%"/>
    <numFmt numFmtId="169" formatCode="0.000&quot; N&quot;;0.000&quot; S&quot;"/>
    <numFmt numFmtId="170" formatCode="0.000&quot; E&quot;;0.000&quot; W&quot;"/>
    <numFmt numFmtId="171" formatCode="_(* #,##0.0_);_(* \(#,##0.0\);_(* &quot;-&quot;??_);_(@_)"/>
    <numFmt numFmtId="172" formatCode="0.0000000000000000"/>
    <numFmt numFmtId="173" formatCode="0.000%"/>
  </numFmts>
  <fonts count="29" x14ac:knownFonts="1">
    <font>
      <sz val="10"/>
      <name val="Arial"/>
    </font>
    <font>
      <sz val="11"/>
      <color theme="1"/>
      <name val="Calibri"/>
      <family val="2"/>
      <scheme val="minor"/>
    </font>
    <font>
      <sz val="10"/>
      <name val="Arial"/>
      <family val="2"/>
    </font>
    <font>
      <b/>
      <sz val="12"/>
      <name val="Arial"/>
      <family val="2"/>
    </font>
    <font>
      <sz val="8"/>
      <name val="Arial"/>
      <family val="2"/>
    </font>
    <font>
      <b/>
      <sz val="10"/>
      <name val="Arial"/>
      <family val="2"/>
    </font>
    <font>
      <b/>
      <sz val="14"/>
      <name val="Arial"/>
      <family val="2"/>
    </font>
    <font>
      <b/>
      <sz val="11"/>
      <name val="Arial"/>
      <family val="2"/>
    </font>
    <font>
      <sz val="9"/>
      <name val="Tahoma"/>
      <family val="2"/>
    </font>
    <font>
      <sz val="10"/>
      <color indexed="8"/>
      <name val="Arial"/>
      <family val="2"/>
    </font>
    <font>
      <sz val="7"/>
      <color rgb="FF000000"/>
      <name val="Arial"/>
      <family val="2"/>
    </font>
    <font>
      <sz val="10"/>
      <color theme="1"/>
      <name val="Arial"/>
      <family val="2"/>
    </font>
    <font>
      <sz val="8"/>
      <color indexed="81"/>
      <name val="Tahoma"/>
      <family val="2"/>
    </font>
    <font>
      <b/>
      <sz val="8"/>
      <color indexed="81"/>
      <name val="Tahoma"/>
      <family val="2"/>
    </font>
    <font>
      <u/>
      <sz val="10"/>
      <color theme="10"/>
      <name val="Arial"/>
      <family val="2"/>
    </font>
    <font>
      <sz val="10"/>
      <color rgb="FFFF0000"/>
      <name val="Arial"/>
      <family val="2"/>
    </font>
    <font>
      <b/>
      <sz val="9"/>
      <color indexed="81"/>
      <name val="Tahoma"/>
      <family val="2"/>
    </font>
    <font>
      <sz val="9"/>
      <color indexed="81"/>
      <name val="Tahoma"/>
      <family val="2"/>
    </font>
    <font>
      <b/>
      <sz val="10"/>
      <color theme="1"/>
      <name val="Arial"/>
      <family val="2"/>
    </font>
    <font>
      <b/>
      <sz val="9"/>
      <name val="Arial"/>
      <family val="2"/>
    </font>
    <font>
      <sz val="10"/>
      <color rgb="FF000000"/>
      <name val="Arial"/>
      <family val="2"/>
    </font>
    <font>
      <sz val="7.5"/>
      <color rgb="FFFFFFFF"/>
      <name val="Arial"/>
      <family val="2"/>
    </font>
    <font>
      <sz val="7.5"/>
      <color rgb="FF000000"/>
      <name val="Arial"/>
      <family val="2"/>
    </font>
    <font>
      <sz val="11"/>
      <color rgb="FF006100"/>
      <name val="Calibri"/>
      <family val="2"/>
      <scheme val="minor"/>
    </font>
    <font>
      <b/>
      <sz val="10"/>
      <color indexed="12"/>
      <name val="Arial"/>
      <family val="2"/>
    </font>
    <font>
      <b/>
      <i/>
      <sz val="10"/>
      <name val="Arial"/>
      <family val="2"/>
    </font>
    <font>
      <sz val="10"/>
      <color theme="9" tint="0.39997558519241921"/>
      <name val="Arial"/>
    </font>
    <font>
      <sz val="10"/>
      <color theme="6" tint="0.39997558519241921"/>
      <name val="Arial"/>
    </font>
    <font>
      <u/>
      <sz val="10"/>
      <color theme="11"/>
      <name val="Arial"/>
    </font>
  </fonts>
  <fills count="30">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theme="3" tint="0.79998168889431442"/>
        <bgColor indexed="64"/>
      </patternFill>
    </fill>
    <fill>
      <patternFill patternType="solid">
        <fgColor theme="6"/>
        <bgColor indexed="64"/>
      </patternFill>
    </fill>
    <fill>
      <patternFill patternType="solid">
        <fgColor rgb="FFFFC0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tint="-0.249977111117893"/>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008000"/>
        <bgColor indexed="64"/>
      </patternFill>
    </fill>
    <fill>
      <patternFill patternType="solid">
        <fgColor rgb="FFC6EFCE"/>
      </patternFill>
    </fill>
    <fill>
      <patternFill patternType="solid">
        <fgColor theme="1"/>
        <bgColor indexed="64"/>
      </patternFill>
    </fill>
    <fill>
      <patternFill patternType="solid">
        <fgColor rgb="FFFA56D5"/>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top style="thin">
        <color indexed="65"/>
      </top>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indexed="65"/>
      </left>
      <right/>
      <top style="medium">
        <color auto="1"/>
      </top>
      <bottom/>
      <diagonal/>
    </border>
    <border>
      <left style="thin">
        <color indexed="8"/>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indexed="8"/>
      </top>
      <bottom/>
      <diagonal/>
    </border>
    <border>
      <left style="thin">
        <color indexed="8"/>
      </left>
      <right style="medium">
        <color auto="1"/>
      </right>
      <top style="thin">
        <color indexed="65"/>
      </top>
      <bottom/>
      <diagonal/>
    </border>
  </borders>
  <cellStyleXfs count="29">
    <xf numFmtId="0" fontId="0" fillId="0" borderId="0"/>
    <xf numFmtId="165" fontId="2" fillId="0" borderId="0" applyFont="0" applyFill="0" applyBorder="0" applyAlignment="0" applyProtection="0"/>
    <xf numFmtId="9" fontId="2" fillId="0" borderId="0" applyFont="0" applyFill="0" applyBorder="0" applyAlignment="0" applyProtection="0"/>
    <xf numFmtId="0" fontId="9" fillId="0" borderId="0"/>
    <xf numFmtId="0" fontId="14" fillId="0" borderId="0" applyNumberFormat="0" applyFill="0" applyBorder="0" applyAlignment="0" applyProtection="0">
      <alignment vertical="top"/>
      <protection locked="0"/>
    </xf>
    <xf numFmtId="0" fontId="2" fillId="0" borderId="0"/>
    <xf numFmtId="0" fontId="1" fillId="0" borderId="0"/>
    <xf numFmtId="165" fontId="2" fillId="0" borderId="0" applyFont="0" applyFill="0" applyBorder="0" applyAlignment="0" applyProtection="0"/>
    <xf numFmtId="0" fontId="23" fillId="27" borderId="0" applyNumberFormat="0" applyBorder="0" applyAlignment="0" applyProtection="0"/>
    <xf numFmtId="0" fontId="2"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478">
    <xf numFmtId="0" fontId="0" fillId="0" borderId="0" xfId="0"/>
    <xf numFmtId="166" fontId="0" fillId="0" borderId="0" xfId="1" applyNumberFormat="1" applyFont="1"/>
    <xf numFmtId="0" fontId="5" fillId="0" borderId="0" xfId="0" applyFont="1" applyFill="1" applyBorder="1"/>
    <xf numFmtId="166" fontId="5" fillId="0" borderId="0" xfId="1" applyNumberFormat="1" applyFont="1" applyFill="1" applyBorder="1"/>
    <xf numFmtId="0" fontId="6" fillId="0" borderId="0" xfId="0" applyFont="1" applyAlignment="1">
      <alignment vertical="center"/>
    </xf>
    <xf numFmtId="0" fontId="5" fillId="0" borderId="0" xfId="0" applyFont="1" applyFill="1" applyBorder="1" applyAlignment="1">
      <alignment horizontal="center"/>
    </xf>
    <xf numFmtId="165" fontId="0" fillId="0" borderId="0" xfId="1" applyFont="1"/>
    <xf numFmtId="0" fontId="5" fillId="0" borderId="0" xfId="0" applyFont="1"/>
    <xf numFmtId="166" fontId="5" fillId="0" borderId="0" xfId="1" applyNumberFormat="1" applyFont="1"/>
    <xf numFmtId="0" fontId="0" fillId="0" borderId="0" xfId="0" applyBorder="1"/>
    <xf numFmtId="0" fontId="8" fillId="0" borderId="0" xfId="0" applyFont="1" applyFill="1" applyBorder="1" applyAlignment="1">
      <alignment vertical="center" wrapText="1"/>
    </xf>
    <xf numFmtId="0" fontId="8" fillId="0" borderId="0" xfId="3" applyFont="1" applyFill="1" applyBorder="1" applyAlignment="1">
      <alignment wrapText="1"/>
    </xf>
    <xf numFmtId="0" fontId="3" fillId="2" borderId="1" xfId="0" applyFont="1" applyFill="1" applyBorder="1" applyAlignment="1">
      <alignment horizontal="center" vertical="center" wrapText="1"/>
    </xf>
    <xf numFmtId="166" fontId="3" fillId="7" borderId="1" xfId="1" applyNumberFormat="1" applyFont="1" applyFill="1" applyBorder="1" applyAlignment="1">
      <alignment vertical="center"/>
    </xf>
    <xf numFmtId="0" fontId="10" fillId="0" borderId="0" xfId="0" applyFont="1"/>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166" fontId="3" fillId="0" borderId="0" xfId="1" applyNumberFormat="1" applyFont="1" applyFill="1" applyBorder="1" applyAlignment="1">
      <alignment vertical="center"/>
    </xf>
    <xf numFmtId="0" fontId="5" fillId="9" borderId="12" xfId="0" applyFont="1" applyFill="1" applyBorder="1" applyAlignment="1">
      <alignment horizontal="center" vertical="center" wrapText="1"/>
    </xf>
    <xf numFmtId="0" fontId="2" fillId="12" borderId="11" xfId="0" applyFont="1" applyFill="1" applyBorder="1" applyAlignment="1">
      <alignment vertical="center" wrapText="1"/>
    </xf>
    <xf numFmtId="0" fontId="2" fillId="12" borderId="11" xfId="0" applyFont="1" applyFill="1" applyBorder="1" applyAlignment="1">
      <alignment vertical="center"/>
    </xf>
    <xf numFmtId="9" fontId="5" fillId="12" borderId="11" xfId="2" applyFont="1" applyFill="1" applyBorder="1" applyAlignment="1">
      <alignment horizontal="center" vertical="center"/>
    </xf>
    <xf numFmtId="0" fontId="2" fillId="4" borderId="13" xfId="0" applyFont="1" applyFill="1" applyBorder="1" applyAlignment="1">
      <alignment vertical="center"/>
    </xf>
    <xf numFmtId="0" fontId="2" fillId="4" borderId="4" xfId="0" applyFont="1" applyFill="1" applyBorder="1" applyAlignment="1">
      <alignment vertical="center"/>
    </xf>
    <xf numFmtId="0" fontId="2" fillId="10" borderId="4" xfId="0" applyFont="1" applyFill="1" applyBorder="1" applyAlignment="1">
      <alignment vertical="center"/>
    </xf>
    <xf numFmtId="0" fontId="2" fillId="7" borderId="4" xfId="0" applyFont="1" applyFill="1" applyBorder="1" applyAlignment="1">
      <alignment vertical="center"/>
    </xf>
    <xf numFmtId="0" fontId="2" fillId="12" borderId="4" xfId="0" applyFont="1" applyFill="1" applyBorder="1" applyAlignment="1">
      <alignment vertical="center"/>
    </xf>
    <xf numFmtId="0" fontId="2" fillId="12" borderId="11" xfId="0" applyFont="1" applyFill="1" applyBorder="1" applyAlignment="1">
      <alignment horizontal="center" vertical="center"/>
    </xf>
    <xf numFmtId="166" fontId="2" fillId="12" borderId="11" xfId="1" applyNumberFormat="1" applyFont="1" applyFill="1" applyBorder="1" applyAlignment="1">
      <alignment vertical="center"/>
    </xf>
    <xf numFmtId="167" fontId="2" fillId="12" borderId="11" xfId="2" applyNumberFormat="1" applyFont="1" applyFill="1" applyBorder="1" applyAlignment="1">
      <alignment vertical="center"/>
    </xf>
    <xf numFmtId="2" fontId="2" fillId="12" borderId="11" xfId="0" applyNumberFormat="1" applyFont="1" applyFill="1" applyBorder="1" applyAlignment="1">
      <alignment horizontal="center" vertical="center"/>
    </xf>
    <xf numFmtId="0" fontId="2" fillId="8" borderId="4" xfId="0" applyFont="1" applyFill="1" applyBorder="1" applyAlignment="1">
      <alignment vertical="center"/>
    </xf>
    <xf numFmtId="0" fontId="2" fillId="0" borderId="0" xfId="0" applyFont="1" applyFill="1"/>
    <xf numFmtId="0" fontId="2" fillId="0" borderId="0" xfId="0" applyFont="1" applyFill="1" applyAlignment="1">
      <alignment wrapTex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7" borderId="16" xfId="0" applyFont="1" applyFill="1" applyBorder="1" applyAlignment="1">
      <alignment vertical="center"/>
    </xf>
    <xf numFmtId="166" fontId="3" fillId="7" borderId="17" xfId="1" applyNumberFormat="1" applyFont="1" applyFill="1" applyBorder="1" applyAlignment="1">
      <alignment vertical="center"/>
    </xf>
    <xf numFmtId="0" fontId="3" fillId="11" borderId="18" xfId="0" applyFont="1" applyFill="1" applyBorder="1" applyAlignment="1">
      <alignment horizontal="right" vertical="center"/>
    </xf>
    <xf numFmtId="166" fontId="3" fillId="11" borderId="19" xfId="0" applyNumberFormat="1" applyFont="1" applyFill="1" applyBorder="1" applyAlignment="1">
      <alignment vertical="center"/>
    </xf>
    <xf numFmtId="166" fontId="3" fillId="11" borderId="20" xfId="1" applyNumberFormat="1" applyFont="1" applyFill="1" applyBorder="1" applyAlignment="1">
      <alignment vertical="center"/>
    </xf>
    <xf numFmtId="0" fontId="2" fillId="4" borderId="11" xfId="0" applyFont="1" applyFill="1" applyBorder="1" applyAlignment="1">
      <alignment vertical="center"/>
    </xf>
    <xf numFmtId="0" fontId="2" fillId="4" borderId="11" xfId="0" applyFont="1" applyFill="1" applyBorder="1" applyAlignment="1">
      <alignment vertical="center" wrapText="1"/>
    </xf>
    <xf numFmtId="0" fontId="2" fillId="4" borderId="0" xfId="0" applyFont="1" applyFill="1" applyBorder="1" applyAlignment="1">
      <alignment vertical="center" wrapText="1"/>
    </xf>
    <xf numFmtId="0" fontId="2" fillId="4" borderId="11" xfId="0" applyFont="1" applyFill="1" applyBorder="1" applyAlignment="1">
      <alignment horizontal="center" vertical="center"/>
    </xf>
    <xf numFmtId="166" fontId="2" fillId="4" borderId="11" xfId="1" applyNumberFormat="1" applyFont="1" applyFill="1" applyBorder="1" applyAlignment="1">
      <alignment vertical="center"/>
    </xf>
    <xf numFmtId="9" fontId="5" fillId="4" borderId="11" xfId="2" applyFont="1" applyFill="1" applyBorder="1" applyAlignment="1">
      <alignment horizontal="center" vertical="center"/>
    </xf>
    <xf numFmtId="2" fontId="2" fillId="4" borderId="11" xfId="0" applyNumberFormat="1" applyFont="1" applyFill="1" applyBorder="1" applyAlignment="1">
      <alignment horizontal="center" vertical="center"/>
    </xf>
    <xf numFmtId="0" fontId="2" fillId="5" borderId="11" xfId="0" applyFont="1" applyFill="1" applyBorder="1" applyAlignment="1">
      <alignment vertical="center"/>
    </xf>
    <xf numFmtId="0" fontId="2" fillId="5" borderId="11" xfId="0" applyFont="1" applyFill="1" applyBorder="1" applyAlignment="1">
      <alignment vertical="center" wrapText="1"/>
    </xf>
    <xf numFmtId="0" fontId="2" fillId="5" borderId="11" xfId="0" applyFont="1" applyFill="1" applyBorder="1" applyAlignment="1">
      <alignment horizontal="center" vertical="center"/>
    </xf>
    <xf numFmtId="9" fontId="2" fillId="5" borderId="11" xfId="2" applyFont="1" applyFill="1" applyBorder="1" applyAlignment="1">
      <alignment horizontal="center" vertical="center"/>
    </xf>
    <xf numFmtId="2" fontId="2" fillId="5" borderId="11" xfId="0" applyNumberFormat="1" applyFont="1" applyFill="1" applyBorder="1" applyAlignment="1">
      <alignment horizontal="center" vertical="center"/>
    </xf>
    <xf numFmtId="166" fontId="2" fillId="5" borderId="11" xfId="1" applyNumberFormat="1" applyFont="1" applyFill="1" applyBorder="1" applyAlignment="1">
      <alignment vertical="center"/>
    </xf>
    <xf numFmtId="167" fontId="2" fillId="5" borderId="11" xfId="2" applyNumberFormat="1" applyFont="1" applyFill="1" applyBorder="1" applyAlignment="1">
      <alignment vertical="center"/>
    </xf>
    <xf numFmtId="167" fontId="2" fillId="5" borderId="11" xfId="1" applyNumberFormat="1" applyFont="1" applyFill="1" applyBorder="1" applyAlignment="1">
      <alignment vertical="center"/>
    </xf>
    <xf numFmtId="0" fontId="0" fillId="7" borderId="21" xfId="0" applyFill="1" applyBorder="1" applyAlignment="1">
      <alignment horizontal="center"/>
    </xf>
    <xf numFmtId="0" fontId="0" fillId="7" borderId="22" xfId="0" applyFill="1" applyBorder="1" applyAlignment="1">
      <alignment horizontal="center"/>
    </xf>
    <xf numFmtId="0" fontId="2" fillId="7" borderId="11" xfId="0" applyFont="1" applyFill="1" applyBorder="1" applyAlignment="1">
      <alignment vertical="center"/>
    </xf>
    <xf numFmtId="0" fontId="2" fillId="7" borderId="11" xfId="0" applyFont="1" applyFill="1" applyBorder="1" applyAlignment="1">
      <alignment vertical="center" wrapText="1"/>
    </xf>
    <xf numFmtId="0" fontId="2" fillId="7" borderId="11" xfId="0" applyFont="1" applyFill="1" applyBorder="1" applyAlignment="1">
      <alignment horizontal="center" vertical="center"/>
    </xf>
    <xf numFmtId="166" fontId="2" fillId="7" borderId="11" xfId="1" applyNumberFormat="1" applyFont="1" applyFill="1" applyBorder="1" applyAlignment="1">
      <alignment vertical="center"/>
    </xf>
    <xf numFmtId="167" fontId="2" fillId="7" borderId="11" xfId="2" applyNumberFormat="1" applyFont="1" applyFill="1" applyBorder="1" applyAlignment="1">
      <alignment vertical="center"/>
    </xf>
    <xf numFmtId="9" fontId="5" fillId="7" borderId="11" xfId="2" applyFont="1" applyFill="1" applyBorder="1" applyAlignment="1">
      <alignment horizontal="center" vertical="center"/>
    </xf>
    <xf numFmtId="2" fontId="2" fillId="7" borderId="11" xfId="0" applyNumberFormat="1" applyFont="1" applyFill="1" applyBorder="1" applyAlignment="1">
      <alignment horizontal="center" vertical="center"/>
    </xf>
    <xf numFmtId="0" fontId="5" fillId="0" borderId="0" xfId="0" applyFont="1" applyAlignment="1">
      <alignment horizontal="center"/>
    </xf>
    <xf numFmtId="0" fontId="5" fillId="0" borderId="0" xfId="0" applyFont="1" applyAlignment="1">
      <alignment horizontal="right"/>
    </xf>
    <xf numFmtId="0" fontId="2" fillId="0" borderId="0" xfId="0" applyFont="1"/>
    <xf numFmtId="0" fontId="5" fillId="9" borderId="11" xfId="0" applyFont="1" applyFill="1" applyBorder="1" applyAlignment="1">
      <alignment horizontal="center" vertical="center" wrapText="1"/>
    </xf>
    <xf numFmtId="49" fontId="2" fillId="4" borderId="11" xfId="0" applyNumberFormat="1" applyFont="1" applyFill="1" applyBorder="1" applyAlignment="1">
      <alignment horizontal="right" vertical="center" wrapText="1"/>
    </xf>
    <xf numFmtId="167" fontId="2" fillId="4" borderId="11" xfId="2" applyNumberFormat="1" applyFont="1" applyFill="1" applyBorder="1" applyAlignment="1">
      <alignment vertical="center"/>
    </xf>
    <xf numFmtId="0" fontId="2" fillId="4" borderId="11" xfId="0" applyFont="1" applyFill="1" applyBorder="1" applyAlignment="1">
      <alignment horizontal="center" vertical="center" wrapText="1"/>
    </xf>
    <xf numFmtId="0" fontId="2" fillId="4" borderId="11" xfId="0" applyFont="1" applyFill="1" applyBorder="1" applyAlignment="1">
      <alignment horizontal="right" vertical="center" wrapText="1"/>
    </xf>
    <xf numFmtId="0" fontId="2" fillId="4" borderId="13" xfId="0" applyFont="1" applyFill="1" applyBorder="1" applyAlignment="1">
      <alignment horizontal="center" vertical="center" wrapText="1"/>
    </xf>
    <xf numFmtId="0" fontId="2" fillId="10" borderId="11" xfId="0" applyFont="1" applyFill="1" applyBorder="1" applyAlignment="1">
      <alignment vertical="center"/>
    </xf>
    <xf numFmtId="0" fontId="11" fillId="10" borderId="11" xfId="0" applyFont="1" applyFill="1" applyBorder="1" applyAlignment="1">
      <alignment vertical="center" wrapText="1"/>
    </xf>
    <xf numFmtId="0" fontId="2" fillId="10" borderId="11" xfId="0" applyFont="1" applyFill="1" applyBorder="1" applyAlignment="1">
      <alignment horizontal="center" vertical="center" wrapText="1"/>
    </xf>
    <xf numFmtId="0" fontId="2" fillId="10" borderId="11" xfId="0" applyFont="1" applyFill="1" applyBorder="1" applyAlignment="1">
      <alignment vertical="center" wrapText="1"/>
    </xf>
    <xf numFmtId="166" fontId="2" fillId="10" borderId="11" xfId="1" applyNumberFormat="1" applyFont="1" applyFill="1" applyBorder="1" applyAlignment="1">
      <alignment vertical="center"/>
    </xf>
    <xf numFmtId="167" fontId="2" fillId="10" borderId="11" xfId="2" applyNumberFormat="1" applyFont="1" applyFill="1" applyBorder="1" applyAlignment="1">
      <alignment vertical="center"/>
    </xf>
    <xf numFmtId="9" fontId="5" fillId="10" borderId="11" xfId="2" applyFont="1" applyFill="1" applyBorder="1" applyAlignment="1">
      <alignment horizontal="center" vertical="center"/>
    </xf>
    <xf numFmtId="2" fontId="2" fillId="10" borderId="11" xfId="0" applyNumberFormat="1" applyFont="1" applyFill="1" applyBorder="1" applyAlignment="1">
      <alignment horizontal="center" vertical="center"/>
    </xf>
    <xf numFmtId="0" fontId="2" fillId="10" borderId="11" xfId="0" applyFont="1" applyFill="1" applyBorder="1" applyAlignment="1">
      <alignment horizontal="center" vertical="center"/>
    </xf>
    <xf numFmtId="166" fontId="2" fillId="10" borderId="11" xfId="1" applyNumberFormat="1" applyFont="1" applyFill="1" applyBorder="1" applyAlignment="1">
      <alignment horizontal="center" vertical="center"/>
    </xf>
    <xf numFmtId="0" fontId="2" fillId="7"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5" borderId="4" xfId="0" applyFont="1" applyFill="1" applyBorder="1" applyAlignment="1">
      <alignment horizontal="left" vertical="center"/>
    </xf>
    <xf numFmtId="0" fontId="2" fillId="5" borderId="4" xfId="0" applyFont="1" applyFill="1" applyBorder="1" applyAlignment="1">
      <alignment vertical="center"/>
    </xf>
    <xf numFmtId="0" fontId="2" fillId="5" borderId="11" xfId="0" applyFont="1" applyFill="1" applyBorder="1" applyAlignment="1">
      <alignment horizontal="center" vertical="center" wrapText="1"/>
    </xf>
    <xf numFmtId="0" fontId="2" fillId="8" borderId="11" xfId="0" applyFont="1" applyFill="1" applyBorder="1" applyAlignment="1">
      <alignment vertical="center"/>
    </xf>
    <xf numFmtId="0" fontId="2" fillId="8" borderId="11" xfId="0" applyFont="1" applyFill="1" applyBorder="1" applyAlignment="1">
      <alignment vertical="center" wrapText="1"/>
    </xf>
    <xf numFmtId="0" fontId="2" fillId="8" borderId="11" xfId="0" applyFont="1" applyFill="1" applyBorder="1" applyAlignment="1">
      <alignment horizontal="center" vertical="center"/>
    </xf>
    <xf numFmtId="166" fontId="2" fillId="8" borderId="11" xfId="1" applyNumberFormat="1" applyFont="1" applyFill="1" applyBorder="1" applyAlignment="1">
      <alignment vertical="center"/>
    </xf>
    <xf numFmtId="9" fontId="5" fillId="8" borderId="11" xfId="2" applyFont="1" applyFill="1" applyBorder="1" applyAlignment="1">
      <alignment horizontal="center" vertical="center"/>
    </xf>
    <xf numFmtId="2" fontId="2" fillId="8" borderId="11" xfId="0" applyNumberFormat="1" applyFont="1" applyFill="1" applyBorder="1" applyAlignment="1">
      <alignment horizontal="center" vertical="center"/>
    </xf>
    <xf numFmtId="0" fontId="2" fillId="8" borderId="11" xfId="0" applyFont="1" applyFill="1" applyBorder="1" applyAlignment="1">
      <alignment horizontal="center" vertical="center" wrapText="1"/>
    </xf>
    <xf numFmtId="0" fontId="2" fillId="14" borderId="11" xfId="0" applyFont="1" applyFill="1" applyBorder="1" applyAlignment="1">
      <alignment vertical="center"/>
    </xf>
    <xf numFmtId="0" fontId="2" fillId="14" borderId="11" xfId="0" applyFont="1" applyFill="1" applyBorder="1" applyAlignment="1">
      <alignment vertical="center" wrapText="1"/>
    </xf>
    <xf numFmtId="0" fontId="2" fillId="14" borderId="11" xfId="0" applyFont="1" applyFill="1" applyBorder="1" applyAlignment="1">
      <alignment horizontal="center" vertical="center"/>
    </xf>
    <xf numFmtId="166" fontId="2" fillId="14" borderId="11" xfId="1" applyNumberFormat="1" applyFont="1" applyFill="1" applyBorder="1" applyAlignment="1">
      <alignment vertical="center"/>
    </xf>
    <xf numFmtId="167" fontId="2" fillId="14" borderId="11" xfId="2" applyNumberFormat="1" applyFont="1" applyFill="1" applyBorder="1" applyAlignment="1">
      <alignment vertical="center"/>
    </xf>
    <xf numFmtId="9" fontId="5" fillId="14" borderId="11" xfId="2" applyFont="1" applyFill="1" applyBorder="1" applyAlignment="1">
      <alignment horizontal="center" vertical="center"/>
    </xf>
    <xf numFmtId="2" fontId="2" fillId="14" borderId="11" xfId="0" applyNumberFormat="1" applyFont="1" applyFill="1" applyBorder="1" applyAlignment="1">
      <alignment horizontal="center" vertical="center"/>
    </xf>
    <xf numFmtId="0" fontId="2" fillId="14" borderId="11" xfId="0" applyFont="1" applyFill="1" applyBorder="1" applyAlignment="1">
      <alignment horizontal="center" vertical="center" wrapText="1"/>
    </xf>
    <xf numFmtId="0" fontId="2" fillId="4" borderId="11" xfId="0" applyFont="1" applyFill="1" applyBorder="1" applyAlignment="1">
      <alignment horizontal="left" vertical="center" wrapText="1"/>
    </xf>
    <xf numFmtId="0" fontId="2" fillId="4" borderId="13" xfId="0" applyFont="1" applyFill="1" applyBorder="1" applyAlignment="1">
      <alignment horizontal="left" vertical="center" wrapText="1"/>
    </xf>
    <xf numFmtId="0" fontId="2" fillId="10" borderId="11" xfId="0" applyFont="1" applyFill="1" applyBorder="1" applyAlignment="1">
      <alignment horizontal="left" vertical="center" wrapText="1"/>
    </xf>
    <xf numFmtId="0" fontId="2" fillId="7" borderId="11" xfId="0" applyFont="1" applyFill="1" applyBorder="1" applyAlignment="1">
      <alignment horizontal="left" vertical="center" wrapText="1"/>
    </xf>
    <xf numFmtId="0" fontId="2" fillId="12" borderId="11"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8" borderId="11"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0" fillId="0" borderId="11" xfId="0" applyBorder="1"/>
    <xf numFmtId="0" fontId="2" fillId="0" borderId="11" xfId="0" applyFont="1" applyFill="1" applyBorder="1" applyAlignment="1">
      <alignment horizontal="left" vertical="center" wrapText="1"/>
    </xf>
    <xf numFmtId="0" fontId="0" fillId="0" borderId="11" xfId="0" applyFill="1" applyBorder="1"/>
    <xf numFmtId="0" fontId="2" fillId="0" borderId="11" xfId="0" applyFont="1" applyFill="1" applyBorder="1" applyAlignment="1">
      <alignment vertical="center"/>
    </xf>
    <xf numFmtId="0" fontId="2" fillId="0" borderId="11" xfId="0" applyFont="1" applyFill="1" applyBorder="1" applyAlignment="1">
      <alignment vertical="center" wrapText="1"/>
    </xf>
    <xf numFmtId="0" fontId="14" fillId="0" borderId="11" xfId="4" applyFill="1" applyBorder="1" applyAlignment="1" applyProtection="1"/>
    <xf numFmtId="0" fontId="0" fillId="0" borderId="11" xfId="0" applyFill="1" applyBorder="1" applyAlignment="1">
      <alignment vertical="center"/>
    </xf>
    <xf numFmtId="0" fontId="14" fillId="0" borderId="11" xfId="4" applyFill="1" applyBorder="1" applyAlignment="1" applyProtection="1">
      <alignment vertical="center"/>
    </xf>
    <xf numFmtId="0" fontId="0" fillId="0" borderId="11" xfId="0" applyFill="1" applyBorder="1" applyAlignment="1">
      <alignment vertical="center" wrapText="1"/>
    </xf>
    <xf numFmtId="0" fontId="15" fillId="12" borderId="11" xfId="0" applyFont="1" applyFill="1" applyBorder="1" applyAlignment="1">
      <alignment horizontal="center" vertical="center"/>
    </xf>
    <xf numFmtId="0" fontId="0" fillId="0" borderId="0" xfId="0" applyFill="1"/>
    <xf numFmtId="166" fontId="2" fillId="0" borderId="0" xfId="1" applyNumberFormat="1" applyFont="1" applyFill="1" applyBorder="1" applyAlignment="1">
      <alignment vertical="center"/>
    </xf>
    <xf numFmtId="0" fontId="2" fillId="0" borderId="0" xfId="0" applyFont="1" applyFill="1" applyBorder="1" applyAlignment="1">
      <alignment vertical="center" wrapText="1"/>
    </xf>
    <xf numFmtId="0" fontId="0" fillId="0" borderId="0" xfId="0" applyFill="1" applyBorder="1"/>
    <xf numFmtId="166" fontId="2" fillId="0" borderId="0" xfId="1" applyNumberFormat="1" applyFont="1" applyFill="1" applyBorder="1" applyAlignment="1">
      <alignment vertical="center" wrapText="1"/>
    </xf>
    <xf numFmtId="0" fontId="5" fillId="0" borderId="0" xfId="0" applyFont="1" applyBorder="1" applyAlignment="1">
      <alignment horizontal="center"/>
    </xf>
    <xf numFmtId="0" fontId="2" fillId="12" borderId="23" xfId="0" applyFont="1" applyFill="1" applyBorder="1" applyAlignment="1">
      <alignment vertical="center" wrapText="1"/>
    </xf>
    <xf numFmtId="0" fontId="2" fillId="13" borderId="23" xfId="0" applyFont="1" applyFill="1" applyBorder="1" applyAlignment="1">
      <alignment vertical="center" wrapText="1"/>
    </xf>
    <xf numFmtId="0" fontId="2" fillId="7" borderId="23" xfId="0" applyFont="1" applyFill="1" applyBorder="1" applyAlignment="1">
      <alignment vertical="center" wrapText="1"/>
    </xf>
    <xf numFmtId="0" fontId="2" fillId="7" borderId="23" xfId="0" applyFont="1" applyFill="1" applyBorder="1" applyAlignment="1">
      <alignment vertical="center"/>
    </xf>
    <xf numFmtId="0" fontId="2" fillId="7" borderId="25" xfId="0" applyFont="1" applyFill="1" applyBorder="1" applyAlignment="1">
      <alignment vertical="center" wrapText="1"/>
    </xf>
    <xf numFmtId="166" fontId="2" fillId="7" borderId="24" xfId="1" applyNumberFormat="1" applyFont="1" applyFill="1" applyBorder="1" applyAlignment="1">
      <alignment vertical="center" wrapText="1"/>
    </xf>
    <xf numFmtId="166" fontId="2" fillId="7" borderId="27" xfId="1" applyNumberFormat="1" applyFont="1" applyFill="1" applyBorder="1" applyAlignment="1">
      <alignment vertical="center" wrapText="1"/>
    </xf>
    <xf numFmtId="166" fontId="2" fillId="12" borderId="24" xfId="1" applyNumberFormat="1" applyFont="1" applyFill="1" applyBorder="1" applyAlignment="1">
      <alignment vertical="center" wrapText="1"/>
    </xf>
    <xf numFmtId="0" fontId="2" fillId="12" borderId="25" xfId="0" applyFont="1" applyFill="1" applyBorder="1" applyAlignment="1">
      <alignment vertical="center" wrapText="1"/>
    </xf>
    <xf numFmtId="166" fontId="2" fillId="12" borderId="27" xfId="1" applyNumberFormat="1" applyFont="1" applyFill="1" applyBorder="1" applyAlignment="1">
      <alignment vertical="center" wrapText="1"/>
    </xf>
    <xf numFmtId="0" fontId="2" fillId="13" borderId="8" xfId="0" applyFont="1" applyFill="1" applyBorder="1" applyAlignment="1">
      <alignment vertical="center" wrapText="1"/>
    </xf>
    <xf numFmtId="166" fontId="2" fillId="13" borderId="2" xfId="1" applyNumberFormat="1" applyFont="1" applyFill="1" applyBorder="1" applyAlignment="1">
      <alignment vertical="center" wrapText="1"/>
    </xf>
    <xf numFmtId="166" fontId="2" fillId="13" borderId="24" xfId="1" applyNumberFormat="1" applyFont="1" applyFill="1" applyBorder="1" applyAlignment="1">
      <alignment vertical="center" wrapText="1"/>
    </xf>
    <xf numFmtId="166" fontId="2" fillId="7" borderId="24" xfId="1" applyNumberFormat="1" applyFont="1" applyFill="1" applyBorder="1" applyAlignment="1">
      <alignment vertical="center"/>
    </xf>
    <xf numFmtId="0" fontId="2" fillId="7" borderId="25" xfId="0" applyFont="1" applyFill="1" applyBorder="1" applyAlignment="1">
      <alignment vertical="center"/>
    </xf>
    <xf numFmtId="166" fontId="2" fillId="12" borderId="24" xfId="1" applyNumberFormat="1" applyFont="1" applyFill="1" applyBorder="1" applyAlignment="1">
      <alignment vertical="center"/>
    </xf>
    <xf numFmtId="166" fontId="2" fillId="12" borderId="27" xfId="1" applyNumberFormat="1" applyFont="1" applyFill="1" applyBorder="1" applyAlignment="1">
      <alignment vertical="center"/>
    </xf>
    <xf numFmtId="0" fontId="5" fillId="15" borderId="11" xfId="0" applyFont="1" applyFill="1" applyBorder="1" applyAlignment="1">
      <alignment horizontal="center"/>
    </xf>
    <xf numFmtId="0" fontId="5" fillId="7" borderId="11" xfId="0" applyFont="1" applyFill="1" applyBorder="1" applyAlignment="1">
      <alignment horizontal="center"/>
    </xf>
    <xf numFmtId="0" fontId="5" fillId="9" borderId="11" xfId="0" applyFont="1" applyFill="1" applyBorder="1" applyAlignment="1">
      <alignment horizontal="center"/>
    </xf>
    <xf numFmtId="166" fontId="5" fillId="7" borderId="11" xfId="1" applyNumberFormat="1" applyFont="1" applyFill="1" applyBorder="1" applyAlignment="1">
      <alignment horizontal="center"/>
    </xf>
    <xf numFmtId="166" fontId="5" fillId="15" borderId="11" xfId="1" applyNumberFormat="1" applyFont="1" applyFill="1" applyBorder="1"/>
    <xf numFmtId="166" fontId="5" fillId="7" borderId="11" xfId="1" applyNumberFormat="1" applyFont="1" applyFill="1" applyBorder="1"/>
    <xf numFmtId="166" fontId="5" fillId="9" borderId="11" xfId="1" applyNumberFormat="1" applyFont="1" applyFill="1" applyBorder="1"/>
    <xf numFmtId="166" fontId="5" fillId="15" borderId="11" xfId="1" applyNumberFormat="1" applyFont="1" applyFill="1" applyBorder="1" applyAlignment="1">
      <alignment horizontal="center"/>
    </xf>
    <xf numFmtId="166" fontId="5" fillId="9" borderId="11" xfId="1" applyNumberFormat="1" applyFont="1" applyFill="1" applyBorder="1" applyAlignment="1">
      <alignment horizontal="center"/>
    </xf>
    <xf numFmtId="0" fontId="0" fillId="0" borderId="0" xfId="0" applyAlignment="1">
      <alignment vertical="center"/>
    </xf>
    <xf numFmtId="0" fontId="0" fillId="0" borderId="0" xfId="0" applyFill="1" applyBorder="1" applyAlignment="1">
      <alignment vertical="center"/>
    </xf>
    <xf numFmtId="0" fontId="0" fillId="0" borderId="0" xfId="0" applyFill="1" applyAlignment="1">
      <alignment vertical="center"/>
    </xf>
    <xf numFmtId="0" fontId="5" fillId="18" borderId="11" xfId="0" applyFont="1" applyFill="1" applyBorder="1" applyAlignment="1">
      <alignment horizontal="right" vertical="center"/>
    </xf>
    <xf numFmtId="0" fontId="5" fillId="18" borderId="11" xfId="0" applyFont="1" applyFill="1" applyBorder="1" applyAlignment="1">
      <alignment horizontal="center" vertical="center"/>
    </xf>
    <xf numFmtId="166" fontId="5" fillId="18" borderId="11" xfId="1" applyNumberFormat="1" applyFont="1" applyFill="1" applyBorder="1" applyAlignment="1">
      <alignment horizontal="center" vertical="center"/>
    </xf>
    <xf numFmtId="0" fontId="2" fillId="9" borderId="11" xfId="0" applyFont="1" applyFill="1" applyBorder="1" applyAlignment="1">
      <alignment horizontal="center" vertical="center"/>
    </xf>
    <xf numFmtId="0" fontId="5" fillId="15" borderId="11" xfId="0" applyFont="1" applyFill="1" applyBorder="1"/>
    <xf numFmtId="0" fontId="5" fillId="9" borderId="11" xfId="0" applyFont="1" applyFill="1" applyBorder="1"/>
    <xf numFmtId="0" fontId="5" fillId="15" borderId="11" xfId="0" applyFont="1" applyFill="1" applyBorder="1" applyAlignment="1">
      <alignment horizontal="center" vertical="center"/>
    </xf>
    <xf numFmtId="166" fontId="5" fillId="15" borderId="11" xfId="1" applyNumberFormat="1" applyFont="1" applyFill="1" applyBorder="1" applyAlignment="1">
      <alignment horizontal="center" vertical="center"/>
    </xf>
    <xf numFmtId="0" fontId="5" fillId="18" borderId="11" xfId="0" applyFont="1" applyFill="1" applyBorder="1"/>
    <xf numFmtId="0" fontId="5" fillId="18" borderId="11" xfId="0" applyFont="1" applyFill="1" applyBorder="1" applyAlignment="1">
      <alignment horizontal="right"/>
    </xf>
    <xf numFmtId="0" fontId="5" fillId="0" borderId="11" xfId="0" applyFont="1" applyBorder="1"/>
    <xf numFmtId="0" fontId="5" fillId="0" borderId="38" xfId="0" applyFont="1" applyFill="1" applyBorder="1"/>
    <xf numFmtId="0" fontId="5" fillId="0" borderId="11" xfId="0" applyFont="1" applyFill="1" applyBorder="1"/>
    <xf numFmtId="0" fontId="0" fillId="9" borderId="6" xfId="0" applyFill="1" applyBorder="1" applyAlignment="1">
      <alignment horizontal="center"/>
    </xf>
    <xf numFmtId="0" fontId="0" fillId="9" borderId="8" xfId="0" applyFill="1" applyBorder="1" applyAlignment="1">
      <alignment horizontal="center"/>
    </xf>
    <xf numFmtId="0" fontId="0" fillId="9" borderId="21" xfId="0" applyFill="1" applyBorder="1" applyAlignment="1">
      <alignment horizontal="center"/>
    </xf>
    <xf numFmtId="0" fontId="0" fillId="9" borderId="22" xfId="0" applyFill="1" applyBorder="1" applyAlignment="1">
      <alignment horizontal="center"/>
    </xf>
    <xf numFmtId="0" fontId="0" fillId="0" borderId="0" xfId="0" applyAlignment="1">
      <alignment horizontal="left"/>
    </xf>
    <xf numFmtId="0" fontId="7" fillId="0" borderId="0" xfId="0" applyFont="1" applyAlignment="1">
      <alignment horizontal="center"/>
    </xf>
    <xf numFmtId="0" fontId="0" fillId="0" borderId="0" xfId="0" applyBorder="1" applyAlignment="1">
      <alignment horizontal="left" indent="1"/>
    </xf>
    <xf numFmtId="0" fontId="2" fillId="0" borderId="0" xfId="0" applyFont="1" applyFill="1" applyBorder="1" applyAlignment="1">
      <alignment horizontal="left" indent="1"/>
    </xf>
    <xf numFmtId="0" fontId="0" fillId="0" borderId="0" xfId="0" applyFont="1" applyFill="1" applyBorder="1" applyAlignment="1">
      <alignment horizontal="left" indent="1"/>
    </xf>
    <xf numFmtId="0" fontId="7" fillId="0" borderId="0" xfId="0" applyFont="1" applyAlignment="1">
      <alignment horizontal="left"/>
    </xf>
    <xf numFmtId="0" fontId="0" fillId="0" borderId="0" xfId="0" applyFill="1" applyBorder="1" applyAlignment="1">
      <alignment horizontal="left" indent="1"/>
    </xf>
    <xf numFmtId="0" fontId="0" fillId="0" borderId="0" xfId="0" applyBorder="1" applyAlignment="1">
      <alignment horizontal="left" indent="2"/>
    </xf>
    <xf numFmtId="0" fontId="2" fillId="0" borderId="0" xfId="0" applyFont="1" applyFill="1" applyBorder="1" applyAlignment="1">
      <alignment horizontal="left" vertical="center" wrapText="1" indent="1"/>
    </xf>
    <xf numFmtId="0" fontId="0" fillId="0" borderId="0" xfId="0" applyFont="1" applyFill="1" applyBorder="1" applyAlignment="1">
      <alignment horizontal="left" indent="2"/>
    </xf>
    <xf numFmtId="0" fontId="2" fillId="0" borderId="0" xfId="0" applyFont="1" applyFill="1" applyBorder="1" applyAlignment="1">
      <alignment horizontal="left" indent="2"/>
    </xf>
    <xf numFmtId="0" fontId="0" fillId="9" borderId="10" xfId="0" applyFill="1" applyBorder="1" applyAlignment="1">
      <alignment horizontal="center" vertical="center"/>
    </xf>
    <xf numFmtId="0" fontId="0" fillId="12" borderId="11" xfId="0" applyFill="1" applyBorder="1"/>
    <xf numFmtId="0" fontId="2" fillId="12" borderId="5" xfId="0" applyFont="1" applyFill="1" applyBorder="1" applyAlignment="1">
      <alignment horizontal="left" vertical="center"/>
    </xf>
    <xf numFmtId="0" fontId="2" fillId="12" borderId="4" xfId="0" applyFont="1" applyFill="1" applyBorder="1" applyAlignment="1">
      <alignment horizontal="left" vertical="center"/>
    </xf>
    <xf numFmtId="0" fontId="0" fillId="12" borderId="11" xfId="0" applyFill="1" applyBorder="1" applyAlignment="1">
      <alignment horizontal="left" vertical="center"/>
    </xf>
    <xf numFmtId="9" fontId="2" fillId="12" borderId="11" xfId="2" applyNumberFormat="1" applyFont="1" applyFill="1" applyBorder="1" applyAlignment="1">
      <alignment horizontal="center" vertical="center"/>
    </xf>
    <xf numFmtId="166" fontId="2" fillId="12" borderId="11" xfId="1" applyNumberFormat="1" applyFont="1" applyFill="1" applyBorder="1" applyAlignment="1">
      <alignment horizontal="center" vertical="center"/>
    </xf>
    <xf numFmtId="166" fontId="2" fillId="12" borderId="11" xfId="1" applyNumberFormat="1" applyFont="1" applyFill="1" applyBorder="1" applyAlignment="1">
      <alignment horizontal="left" vertical="top" wrapText="1"/>
    </xf>
    <xf numFmtId="2" fontId="2" fillId="12" borderId="11" xfId="0" applyNumberFormat="1" applyFont="1" applyFill="1" applyBorder="1" applyAlignment="1">
      <alignment horizontal="left" vertical="top" wrapText="1"/>
    </xf>
    <xf numFmtId="0" fontId="0" fillId="12" borderId="0" xfId="0" applyFill="1"/>
    <xf numFmtId="9" fontId="2" fillId="12" borderId="11" xfId="1" applyNumberFormat="1" applyFont="1" applyFill="1" applyBorder="1" applyAlignment="1">
      <alignment horizontal="center" vertical="center"/>
    </xf>
    <xf numFmtId="166" fontId="2" fillId="12" borderId="11" xfId="1" applyNumberFormat="1" applyFont="1" applyFill="1" applyBorder="1" applyAlignment="1">
      <alignment horizontal="center" vertical="center" wrapText="1"/>
    </xf>
    <xf numFmtId="0" fontId="2" fillId="12" borderId="11" xfId="0" applyFont="1" applyFill="1" applyBorder="1" applyAlignment="1">
      <alignment horizontal="left" vertical="center"/>
    </xf>
    <xf numFmtId="166" fontId="2" fillId="12" borderId="11" xfId="1" applyNumberFormat="1" applyFont="1" applyFill="1" applyBorder="1" applyAlignment="1">
      <alignment horizontal="right" vertical="center"/>
    </xf>
    <xf numFmtId="166" fontId="2" fillId="12" borderId="11" xfId="1" applyNumberFormat="1" applyFont="1" applyFill="1" applyBorder="1" applyAlignment="1">
      <alignment horizontal="right" vertical="center" wrapText="1"/>
    </xf>
    <xf numFmtId="2" fontId="2" fillId="12" borderId="11" xfId="0" applyNumberFormat="1" applyFont="1" applyFill="1" applyBorder="1" applyAlignment="1">
      <alignment horizontal="right" vertical="center" wrapText="1"/>
    </xf>
    <xf numFmtId="9" fontId="5" fillId="12" borderId="11" xfId="2" applyFont="1" applyFill="1" applyBorder="1" applyAlignment="1">
      <alignment horizontal="center" vertical="center" wrapText="1"/>
    </xf>
    <xf numFmtId="0" fontId="2" fillId="20" borderId="11" xfId="0" applyFont="1" applyFill="1" applyBorder="1" applyAlignment="1">
      <alignment vertical="center" wrapText="1"/>
    </xf>
    <xf numFmtId="0" fontId="2" fillId="19" borderId="11" xfId="0" applyFont="1" applyFill="1" applyBorder="1" applyAlignment="1">
      <alignment vertical="center" wrapText="1"/>
    </xf>
    <xf numFmtId="0" fontId="14" fillId="19" borderId="11" xfId="4" applyFill="1" applyBorder="1" applyAlignment="1" applyProtection="1">
      <alignment wrapText="1"/>
    </xf>
    <xf numFmtId="0" fontId="0" fillId="19" borderId="11" xfId="0" applyFill="1" applyBorder="1"/>
    <xf numFmtId="14" fontId="5" fillId="8" borderId="11" xfId="0" applyNumberFormat="1" applyFont="1" applyFill="1" applyBorder="1" applyAlignment="1">
      <alignment horizontal="center"/>
    </xf>
    <xf numFmtId="0" fontId="2" fillId="10" borderId="4" xfId="0" applyFont="1" applyFill="1" applyBorder="1" applyAlignment="1">
      <alignment horizontal="left"/>
    </xf>
    <xf numFmtId="0" fontId="2" fillId="10" borderId="11" xfId="0" applyFont="1" applyFill="1" applyBorder="1" applyAlignment="1">
      <alignment horizontal="left"/>
    </xf>
    <xf numFmtId="14" fontId="5" fillId="10" borderId="11" xfId="0" applyNumberFormat="1" applyFont="1" applyFill="1" applyBorder="1" applyAlignment="1">
      <alignment horizontal="center"/>
    </xf>
    <xf numFmtId="0" fontId="0" fillId="10" borderId="0" xfId="0" applyFill="1"/>
    <xf numFmtId="0" fontId="11" fillId="10" borderId="11" xfId="0" applyFont="1" applyFill="1" applyBorder="1" applyAlignment="1">
      <alignment horizontal="left" wrapText="1"/>
    </xf>
    <xf numFmtId="0" fontId="2" fillId="10" borderId="11" xfId="0" applyFont="1" applyFill="1" applyBorder="1" applyAlignment="1">
      <alignment horizontal="left" wrapText="1"/>
    </xf>
    <xf numFmtId="0" fontId="2" fillId="10" borderId="41" xfId="0" applyFont="1" applyFill="1" applyBorder="1" applyAlignment="1">
      <alignment horizontal="left" wrapText="1"/>
    </xf>
    <xf numFmtId="14" fontId="5" fillId="4" borderId="40" xfId="5" applyNumberFormat="1" applyFont="1" applyFill="1" applyBorder="1" applyAlignment="1">
      <alignment horizontal="center" wrapText="1"/>
    </xf>
    <xf numFmtId="14" fontId="5" fillId="4" borderId="11" xfId="0" applyNumberFormat="1" applyFont="1" applyFill="1" applyBorder="1" applyAlignment="1">
      <alignment horizontal="center" wrapText="1"/>
    </xf>
    <xf numFmtId="14" fontId="18" fillId="4" borderId="11" xfId="0" applyNumberFormat="1" applyFont="1" applyFill="1" applyBorder="1" applyAlignment="1">
      <alignment horizontal="center"/>
    </xf>
    <xf numFmtId="14" fontId="5" fillId="4" borderId="11" xfId="0" applyNumberFormat="1" applyFont="1" applyFill="1" applyBorder="1" applyAlignment="1">
      <alignment horizontal="center"/>
    </xf>
    <xf numFmtId="14" fontId="19" fillId="4" borderId="11" xfId="0" applyNumberFormat="1" applyFont="1" applyFill="1" applyBorder="1" applyAlignment="1">
      <alignment horizontal="center"/>
    </xf>
    <xf numFmtId="14" fontId="5" fillId="7" borderId="40" xfId="5" applyNumberFormat="1" applyFont="1" applyFill="1" applyBorder="1" applyAlignment="1">
      <alignment horizontal="center" wrapText="1"/>
    </xf>
    <xf numFmtId="14" fontId="5" fillId="7" borderId="11" xfId="0" applyNumberFormat="1" applyFont="1" applyFill="1" applyBorder="1" applyAlignment="1">
      <alignment horizontal="center"/>
    </xf>
    <xf numFmtId="0" fontId="2" fillId="9" borderId="11" xfId="0" applyFont="1" applyFill="1" applyBorder="1" applyAlignment="1">
      <alignment horizontal="center" vertical="center" wrapText="1"/>
    </xf>
    <xf numFmtId="14" fontId="5" fillId="12" borderId="11" xfId="0" applyNumberFormat="1" applyFont="1" applyFill="1" applyBorder="1" applyAlignment="1">
      <alignment horizontal="center"/>
    </xf>
    <xf numFmtId="14" fontId="5" fillId="12" borderId="11" xfId="0" applyNumberFormat="1" applyFont="1" applyFill="1" applyBorder="1" applyAlignment="1">
      <alignment horizontal="center" wrapText="1"/>
    </xf>
    <xf numFmtId="14" fontId="18" fillId="12" borderId="11" xfId="0" applyNumberFormat="1" applyFont="1" applyFill="1" applyBorder="1" applyAlignment="1">
      <alignment horizontal="center"/>
    </xf>
    <xf numFmtId="14" fontId="5" fillId="5" borderId="11" xfId="0" applyNumberFormat="1" applyFont="1" applyFill="1" applyBorder="1" applyAlignment="1">
      <alignment horizontal="center"/>
    </xf>
    <xf numFmtId="14" fontId="5" fillId="5" borderId="11" xfId="5" applyNumberFormat="1" applyFont="1" applyFill="1" applyBorder="1" applyAlignment="1">
      <alignment horizontal="center" wrapText="1"/>
    </xf>
    <xf numFmtId="14" fontId="5" fillId="5" borderId="11" xfId="0" applyNumberFormat="1" applyFont="1" applyFill="1" applyBorder="1" applyAlignment="1">
      <alignment horizontal="center" wrapText="1"/>
    </xf>
    <xf numFmtId="14" fontId="5" fillId="14" borderId="11" xfId="0" applyNumberFormat="1" applyFont="1" applyFill="1" applyBorder="1" applyAlignment="1">
      <alignment horizontal="center"/>
    </xf>
    <xf numFmtId="0" fontId="5" fillId="9" borderId="42" xfId="0" applyFont="1" applyFill="1" applyBorder="1" applyAlignment="1">
      <alignment horizontal="center" vertical="center" wrapText="1"/>
    </xf>
    <xf numFmtId="0" fontId="5" fillId="9" borderId="35"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1" fillId="0" borderId="0" xfId="6" applyBorder="1" applyAlignment="1">
      <alignment textRotation="45"/>
    </xf>
    <xf numFmtId="0" fontId="0" fillId="0" borderId="0" xfId="0" applyAlignment="1">
      <alignment textRotation="45"/>
    </xf>
    <xf numFmtId="0" fontId="2" fillId="4" borderId="30" xfId="0" applyFont="1" applyFill="1" applyBorder="1" applyAlignment="1">
      <alignment vertical="center"/>
    </xf>
    <xf numFmtId="169" fontId="11" fillId="0" borderId="0" xfId="6" applyNumberFormat="1" applyFont="1" applyBorder="1" applyAlignment="1"/>
    <xf numFmtId="170" fontId="11" fillId="0" borderId="0" xfId="6" applyNumberFormat="1" applyFont="1" applyBorder="1" applyAlignment="1"/>
    <xf numFmtId="2" fontId="11" fillId="0" borderId="0" xfId="6" applyNumberFormat="1" applyFont="1" applyBorder="1" applyAlignment="1"/>
    <xf numFmtId="166" fontId="0" fillId="0" borderId="11" xfId="7" applyNumberFormat="1" applyFont="1" applyBorder="1"/>
    <xf numFmtId="170" fontId="2" fillId="0" borderId="0" xfId="6" applyNumberFormat="1" applyFont="1" applyBorder="1" applyAlignment="1"/>
    <xf numFmtId="169" fontId="2" fillId="0" borderId="0" xfId="6" applyNumberFormat="1" applyFont="1" applyBorder="1" applyAlignment="1"/>
    <xf numFmtId="0" fontId="2" fillId="10" borderId="30" xfId="0" applyFont="1" applyFill="1" applyBorder="1" applyAlignment="1">
      <alignment vertical="center"/>
    </xf>
    <xf numFmtId="0" fontId="2" fillId="10" borderId="30" xfId="0" applyFont="1" applyFill="1" applyBorder="1" applyAlignment="1">
      <alignment horizontal="left"/>
    </xf>
    <xf numFmtId="0" fontId="11" fillId="10" borderId="0" xfId="0" applyFont="1" applyFill="1" applyBorder="1" applyAlignment="1">
      <alignment horizontal="left" wrapText="1"/>
    </xf>
    <xf numFmtId="0" fontId="2" fillId="10" borderId="43" xfId="0" applyFont="1" applyFill="1" applyBorder="1" applyAlignment="1">
      <alignment horizontal="left" wrapText="1"/>
    </xf>
    <xf numFmtId="0" fontId="2" fillId="10" borderId="0" xfId="0" applyFont="1" applyFill="1" applyBorder="1" applyAlignment="1">
      <alignment vertical="center" wrapText="1"/>
    </xf>
    <xf numFmtId="0" fontId="2" fillId="7" borderId="30" xfId="0" applyFont="1" applyFill="1" applyBorder="1" applyAlignment="1">
      <alignment vertical="center"/>
    </xf>
    <xf numFmtId="0" fontId="2" fillId="7" borderId="0" xfId="0" applyFont="1" applyFill="1" applyBorder="1" applyAlignment="1">
      <alignment vertical="center" wrapText="1"/>
    </xf>
    <xf numFmtId="0" fontId="2" fillId="12" borderId="30" xfId="0" applyFont="1" applyFill="1" applyBorder="1" applyAlignment="1">
      <alignment vertical="center"/>
    </xf>
    <xf numFmtId="0" fontId="2" fillId="12" borderId="0" xfId="0" applyFont="1" applyFill="1" applyBorder="1" applyAlignment="1">
      <alignment vertical="center" wrapText="1"/>
    </xf>
    <xf numFmtId="0" fontId="2" fillId="12" borderId="30" xfId="0" applyFont="1" applyFill="1" applyBorder="1" applyAlignment="1">
      <alignment horizontal="left" vertical="center"/>
    </xf>
    <xf numFmtId="171" fontId="0" fillId="0" borderId="11" xfId="7" applyNumberFormat="1" applyFont="1" applyBorder="1"/>
    <xf numFmtId="169" fontId="20" fillId="0" borderId="0" xfId="6" applyNumberFormat="1" applyFont="1" applyBorder="1" applyAlignment="1"/>
    <xf numFmtId="0" fontId="2" fillId="5" borderId="30" xfId="0" applyFont="1" applyFill="1" applyBorder="1" applyAlignment="1">
      <alignment horizontal="left" vertical="center"/>
    </xf>
    <xf numFmtId="0" fontId="2" fillId="5" borderId="30" xfId="0" applyFont="1" applyFill="1" applyBorder="1" applyAlignment="1">
      <alignment vertical="center"/>
    </xf>
    <xf numFmtId="0" fontId="2" fillId="8" borderId="30" xfId="0" applyFont="1" applyFill="1" applyBorder="1" applyAlignment="1">
      <alignment vertical="center"/>
    </xf>
    <xf numFmtId="165" fontId="0" fillId="0" borderId="11" xfId="7" applyNumberFormat="1" applyFont="1" applyBorder="1"/>
    <xf numFmtId="0" fontId="0" fillId="21" borderId="11" xfId="0" applyFill="1" applyBorder="1"/>
    <xf numFmtId="0" fontId="1" fillId="21" borderId="11" xfId="6" applyFill="1" applyBorder="1" applyAlignment="1"/>
    <xf numFmtId="0" fontId="2" fillId="21" borderId="11" xfId="6" applyFont="1" applyFill="1" applyBorder="1" applyAlignment="1">
      <alignment horizontal="left"/>
    </xf>
    <xf numFmtId="0" fontId="1" fillId="21" borderId="11" xfId="6" applyFill="1" applyBorder="1" applyAlignment="1">
      <alignment horizontal="left"/>
    </xf>
    <xf numFmtId="0" fontId="1" fillId="21" borderId="11" xfId="6" applyFill="1" applyBorder="1"/>
    <xf numFmtId="172" fontId="0" fillId="0" borderId="0" xfId="0" applyNumberFormat="1"/>
    <xf numFmtId="0" fontId="2" fillId="4" borderId="44" xfId="0" applyFont="1" applyFill="1" applyBorder="1" applyAlignment="1">
      <alignment vertical="center"/>
    </xf>
    <xf numFmtId="0" fontId="5" fillId="19" borderId="11" xfId="0" applyFont="1" applyFill="1" applyBorder="1" applyAlignment="1">
      <alignment horizontal="center" vertical="center" wrapText="1"/>
    </xf>
    <xf numFmtId="167" fontId="2" fillId="8" borderId="11" xfId="1" applyNumberFormat="1" applyFont="1" applyFill="1" applyBorder="1" applyAlignment="1">
      <alignment vertical="center"/>
    </xf>
    <xf numFmtId="0" fontId="5" fillId="9" borderId="45" xfId="0" applyFont="1" applyFill="1" applyBorder="1" applyAlignment="1">
      <alignment horizontal="center" vertical="center" wrapText="1"/>
    </xf>
    <xf numFmtId="0" fontId="6" fillId="0" borderId="3" xfId="0" applyFont="1" applyFill="1" applyBorder="1" applyAlignment="1">
      <alignment horizontal="left" vertical="center"/>
    </xf>
    <xf numFmtId="0" fontId="0" fillId="0" borderId="0" xfId="0" applyAlignment="1">
      <alignment horizontal="center"/>
    </xf>
    <xf numFmtId="0" fontId="0" fillId="0" borderId="0" xfId="0" applyAlignment="1">
      <alignment horizontal="right"/>
    </xf>
    <xf numFmtId="0" fontId="6" fillId="0" borderId="3" xfId="0" applyFont="1" applyFill="1" applyBorder="1" applyAlignment="1">
      <alignment horizontal="right" vertical="center"/>
    </xf>
    <xf numFmtId="0" fontId="5" fillId="9" borderId="11" xfId="0" applyFont="1" applyFill="1" applyBorder="1" applyAlignment="1">
      <alignment horizontal="right" vertical="center" wrapText="1"/>
    </xf>
    <xf numFmtId="0" fontId="2" fillId="22" borderId="31" xfId="0" applyFont="1" applyFill="1" applyBorder="1" applyAlignment="1">
      <alignment horizontal="center" vertical="center"/>
    </xf>
    <xf numFmtId="0" fontId="2" fillId="22" borderId="30" xfId="0" applyFont="1" applyFill="1" applyBorder="1" applyAlignment="1">
      <alignment horizontal="center" vertical="center"/>
    </xf>
    <xf numFmtId="0" fontId="2" fillId="22" borderId="11" xfId="0" applyFont="1" applyFill="1" applyBorder="1" applyAlignment="1">
      <alignment horizontal="center" vertical="center"/>
    </xf>
    <xf numFmtId="0" fontId="2" fillId="22" borderId="11" xfId="0" applyFont="1" applyFill="1" applyBorder="1" applyAlignment="1">
      <alignment horizontal="center" vertical="center" wrapText="1"/>
    </xf>
    <xf numFmtId="0" fontId="2" fillId="22" borderId="11" xfId="0" applyFont="1" applyFill="1" applyBorder="1" applyAlignment="1">
      <alignment horizontal="left" vertical="center" wrapText="1"/>
    </xf>
    <xf numFmtId="1" fontId="2" fillId="22" borderId="11" xfId="1" applyNumberFormat="1" applyFont="1" applyFill="1" applyBorder="1" applyAlignment="1">
      <alignment horizontal="center" vertical="center"/>
    </xf>
    <xf numFmtId="9" fontId="2" fillId="22" borderId="11" xfId="2" applyNumberFormat="1" applyFont="1" applyFill="1" applyBorder="1" applyAlignment="1">
      <alignment horizontal="center" vertical="center"/>
    </xf>
    <xf numFmtId="166" fontId="2" fillId="22" borderId="11" xfId="1" applyNumberFormat="1" applyFont="1" applyFill="1" applyBorder="1" applyAlignment="1">
      <alignment horizontal="center" vertical="center"/>
    </xf>
    <xf numFmtId="9" fontId="5" fillId="22" borderId="11" xfId="2" applyFont="1" applyFill="1" applyBorder="1" applyAlignment="1">
      <alignment horizontal="center" vertical="center"/>
    </xf>
    <xf numFmtId="2" fontId="2" fillId="22" borderId="11" xfId="0" applyNumberFormat="1" applyFont="1" applyFill="1" applyBorder="1" applyAlignment="1">
      <alignment horizontal="center" vertical="center"/>
    </xf>
    <xf numFmtId="0" fontId="2" fillId="22" borderId="11" xfId="0" applyFont="1" applyFill="1" applyBorder="1" applyAlignment="1">
      <alignment vertical="center" wrapText="1"/>
    </xf>
    <xf numFmtId="9" fontId="2" fillId="22" borderId="11" xfId="1" applyNumberFormat="1" applyFont="1" applyFill="1" applyBorder="1" applyAlignment="1">
      <alignment horizontal="center" vertical="center"/>
    </xf>
    <xf numFmtId="166" fontId="2" fillId="22" borderId="11" xfId="1" applyNumberFormat="1" applyFont="1" applyFill="1" applyBorder="1" applyAlignment="1">
      <alignment horizontal="center" vertical="center" wrapText="1"/>
    </xf>
    <xf numFmtId="3" fontId="2" fillId="22" borderId="11" xfId="1" applyNumberFormat="1" applyFont="1" applyFill="1" applyBorder="1" applyAlignment="1">
      <alignment horizontal="center" vertical="center"/>
    </xf>
    <xf numFmtId="164" fontId="2" fillId="10" borderId="11" xfId="0" applyNumberFormat="1" applyFont="1" applyFill="1" applyBorder="1" applyAlignment="1">
      <alignment vertical="center"/>
    </xf>
    <xf numFmtId="164" fontId="2" fillId="4" borderId="11" xfId="0" applyNumberFormat="1" applyFont="1" applyFill="1" applyBorder="1" applyAlignment="1">
      <alignment vertical="center"/>
    </xf>
    <xf numFmtId="164" fontId="2" fillId="7" borderId="11" xfId="0" applyNumberFormat="1" applyFont="1" applyFill="1" applyBorder="1" applyAlignment="1">
      <alignment vertical="center"/>
    </xf>
    <xf numFmtId="164" fontId="2" fillId="12" borderId="11" xfId="0" applyNumberFormat="1" applyFont="1" applyFill="1" applyBorder="1" applyAlignment="1">
      <alignment vertical="center"/>
    </xf>
    <xf numFmtId="164" fontId="2" fillId="5" borderId="11" xfId="0" applyNumberFormat="1" applyFont="1" applyFill="1" applyBorder="1" applyAlignment="1">
      <alignment vertical="center"/>
    </xf>
    <xf numFmtId="14" fontId="18" fillId="5" borderId="11" xfId="0" applyNumberFormat="1" applyFont="1" applyFill="1" applyBorder="1" applyAlignment="1">
      <alignment horizontal="center"/>
    </xf>
    <xf numFmtId="0" fontId="2" fillId="12" borderId="11" xfId="0" applyFont="1" applyFill="1" applyBorder="1" applyAlignment="1">
      <alignment wrapText="1"/>
    </xf>
    <xf numFmtId="0" fontId="2" fillId="24" borderId="0" xfId="0" applyFont="1" applyFill="1"/>
    <xf numFmtId="0" fontId="2" fillId="24" borderId="0" xfId="0" applyFont="1" applyFill="1" applyAlignment="1">
      <alignment wrapText="1"/>
    </xf>
    <xf numFmtId="0" fontId="11" fillId="25" borderId="11" xfId="0" applyFont="1" applyFill="1" applyBorder="1" applyAlignment="1">
      <alignment vertical="center" wrapText="1"/>
    </xf>
    <xf numFmtId="0" fontId="2" fillId="25" borderId="11" xfId="0" applyFont="1" applyFill="1" applyBorder="1" applyAlignment="1">
      <alignment vertical="center" wrapText="1"/>
    </xf>
    <xf numFmtId="0" fontId="2" fillId="25" borderId="11" xfId="0" applyFont="1" applyFill="1" applyBorder="1" applyAlignment="1">
      <alignment horizontal="center" vertical="center" wrapText="1"/>
    </xf>
    <xf numFmtId="173" fontId="11" fillId="25" borderId="11" xfId="0" applyNumberFormat="1" applyFont="1" applyFill="1" applyBorder="1" applyAlignment="1">
      <alignment horizontal="center" vertical="center" wrapText="1"/>
    </xf>
    <xf numFmtId="0" fontId="2" fillId="25" borderId="11" xfId="0" applyFont="1" applyFill="1" applyBorder="1" applyAlignment="1">
      <alignment horizontal="center" vertical="center"/>
    </xf>
    <xf numFmtId="0" fontId="11" fillId="25" borderId="11" xfId="0" applyFont="1" applyFill="1" applyBorder="1" applyAlignment="1">
      <alignment horizontal="left" wrapText="1"/>
    </xf>
    <xf numFmtId="0" fontId="2" fillId="25" borderId="41" xfId="0" applyFont="1" applyFill="1" applyBorder="1" applyAlignment="1">
      <alignment horizontal="left" wrapText="1"/>
    </xf>
    <xf numFmtId="0" fontId="2" fillId="25" borderId="11" xfId="0" applyFont="1" applyFill="1" applyBorder="1" applyAlignment="1">
      <alignment vertical="center"/>
    </xf>
    <xf numFmtId="0" fontId="2" fillId="25" borderId="11" xfId="0" applyFont="1" applyFill="1" applyBorder="1" applyAlignment="1">
      <alignment horizontal="left"/>
    </xf>
    <xf numFmtId="0" fontId="2" fillId="25" borderId="11" xfId="0" applyFont="1" applyFill="1" applyBorder="1" applyAlignment="1">
      <alignment horizontal="left" wrapText="1"/>
    </xf>
    <xf numFmtId="0" fontId="5" fillId="24" borderId="11" xfId="0" applyFont="1" applyFill="1" applyBorder="1" applyAlignment="1">
      <alignment horizontal="center" vertical="center" wrapText="1"/>
    </xf>
    <xf numFmtId="166" fontId="2" fillId="19" borderId="11" xfId="1" applyNumberFormat="1" applyFont="1" applyFill="1" applyBorder="1" applyAlignment="1">
      <alignment vertical="center"/>
    </xf>
    <xf numFmtId="10" fontId="2" fillId="5" borderId="11" xfId="0" applyNumberFormat="1" applyFont="1" applyFill="1" applyBorder="1" applyAlignment="1">
      <alignment vertical="center" wrapText="1"/>
    </xf>
    <xf numFmtId="0" fontId="21" fillId="26" borderId="0" xfId="0" applyFont="1" applyFill="1" applyAlignment="1">
      <alignment horizontal="right" wrapText="1"/>
    </xf>
    <xf numFmtId="0" fontId="22" fillId="19" borderId="0" xfId="0" applyFont="1" applyFill="1" applyAlignment="1">
      <alignment horizontal="right" wrapText="1"/>
    </xf>
    <xf numFmtId="0" fontId="2" fillId="4" borderId="45" xfId="0" applyFont="1" applyFill="1" applyBorder="1" applyAlignment="1">
      <alignment vertical="center"/>
    </xf>
    <xf numFmtId="0" fontId="3" fillId="0" borderId="0" xfId="0" applyFont="1"/>
    <xf numFmtId="0" fontId="24" fillId="0" borderId="0" xfId="0" applyFont="1"/>
    <xf numFmtId="0" fontId="24" fillId="19" borderId="0" xfId="0" applyFont="1" applyFill="1"/>
    <xf numFmtId="0" fontId="2" fillId="19" borderId="0" xfId="0" applyFont="1" applyFill="1"/>
    <xf numFmtId="0" fontId="5" fillId="0" borderId="46" xfId="0" applyFont="1" applyBorder="1" applyAlignment="1">
      <alignment horizontal="center" wrapText="1"/>
    </xf>
    <xf numFmtId="0" fontId="5" fillId="0" borderId="46" xfId="0" applyFont="1" applyFill="1" applyBorder="1" applyAlignment="1">
      <alignment horizontal="center" wrapText="1"/>
    </xf>
    <xf numFmtId="0" fontId="5" fillId="0" borderId="0" xfId="0" applyFont="1" applyAlignment="1">
      <alignment horizontal="center" wrapText="1"/>
    </xf>
    <xf numFmtId="0" fontId="2" fillId="28" borderId="46" xfId="0" applyFont="1" applyFill="1" applyBorder="1" applyAlignment="1">
      <alignment horizontal="center" vertical="center"/>
    </xf>
    <xf numFmtId="0" fontId="2" fillId="28" borderId="46" xfId="0" applyFont="1" applyFill="1" applyBorder="1" applyAlignment="1">
      <alignment horizontal="center" vertical="center" wrapText="1"/>
    </xf>
    <xf numFmtId="0" fontId="2" fillId="28" borderId="46" xfId="0" applyFont="1" applyFill="1" applyBorder="1" applyAlignment="1">
      <alignment vertical="center"/>
    </xf>
    <xf numFmtId="0" fontId="2" fillId="0" borderId="46" xfId="0" applyFont="1" applyFill="1" applyBorder="1" applyAlignment="1">
      <alignment horizontal="center" vertical="center" wrapText="1"/>
    </xf>
    <xf numFmtId="0" fontId="2" fillId="0" borderId="46" xfId="9" applyFont="1" applyFill="1" applyBorder="1" applyAlignment="1">
      <alignment horizontal="center" vertical="center" wrapText="1"/>
    </xf>
    <xf numFmtId="0" fontId="11" fillId="0" borderId="46" xfId="0" applyFont="1" applyFill="1" applyBorder="1" applyAlignment="1">
      <alignment horizontal="center" vertical="center"/>
    </xf>
    <xf numFmtId="0" fontId="11" fillId="0" borderId="0" xfId="0" applyFont="1" applyBorder="1"/>
    <xf numFmtId="0" fontId="2" fillId="0" borderId="46" xfId="0" applyFont="1" applyFill="1" applyBorder="1" applyAlignment="1">
      <alignment horizontal="center" vertical="center"/>
    </xf>
    <xf numFmtId="0" fontId="2" fillId="0" borderId="0" xfId="0" applyFont="1" applyBorder="1"/>
    <xf numFmtId="0" fontId="11" fillId="0" borderId="46" xfId="0" applyFont="1" applyFill="1" applyBorder="1" applyAlignment="1">
      <alignment horizontal="center" vertical="center" wrapText="1"/>
    </xf>
    <xf numFmtId="0" fontId="5" fillId="0" borderId="46" xfId="0" applyFont="1" applyFill="1" applyBorder="1" applyAlignment="1">
      <alignment horizontal="center" vertical="center"/>
    </xf>
    <xf numFmtId="0" fontId="2" fillId="0" borderId="46" xfId="9" applyFont="1" applyFill="1" applyBorder="1" applyAlignment="1">
      <alignment horizontal="center" vertical="center"/>
    </xf>
    <xf numFmtId="0" fontId="5" fillId="0" borderId="0" xfId="0" applyFont="1" applyAlignment="1">
      <alignment wrapText="1"/>
    </xf>
    <xf numFmtId="0" fontId="5" fillId="0" borderId="0" xfId="0" applyFont="1" applyFill="1" applyAlignment="1">
      <alignment wrapText="1"/>
    </xf>
    <xf numFmtId="0" fontId="5" fillId="28" borderId="46" xfId="0" applyFont="1" applyFill="1" applyBorder="1" applyAlignment="1">
      <alignment horizontal="center" vertical="center"/>
    </xf>
    <xf numFmtId="0" fontId="2" fillId="28" borderId="46" xfId="9" applyFont="1" applyFill="1" applyBorder="1" applyAlignment="1">
      <alignment horizontal="center" vertical="center"/>
    </xf>
    <xf numFmtId="0" fontId="2" fillId="28" borderId="46" xfId="9" applyFont="1" applyFill="1" applyBorder="1" applyAlignment="1">
      <alignment horizontal="center" vertical="center" wrapText="1"/>
    </xf>
    <xf numFmtId="0" fontId="5" fillId="28" borderId="46" xfId="0" applyFont="1" applyFill="1" applyBorder="1" applyAlignment="1">
      <alignment vertical="center" wrapText="1"/>
    </xf>
    <xf numFmtId="0" fontId="20" fillId="0" borderId="46" xfId="0" applyFont="1" applyBorder="1" applyAlignment="1">
      <alignment horizontal="center" vertical="center"/>
    </xf>
    <xf numFmtId="0" fontId="20" fillId="23" borderId="46" xfId="0" applyFont="1" applyFill="1" applyBorder="1" applyAlignment="1">
      <alignment horizontal="center" vertical="center" wrapText="1"/>
    </xf>
    <xf numFmtId="0" fontId="11" fillId="0" borderId="46" xfId="0" applyFont="1" applyBorder="1" applyAlignment="1">
      <alignment horizontal="center" vertical="center"/>
    </xf>
    <xf numFmtId="0" fontId="11" fillId="0" borderId="0" xfId="0" applyFont="1"/>
    <xf numFmtId="0" fontId="2" fillId="23" borderId="46" xfId="0" applyFont="1" applyFill="1" applyBorder="1" applyAlignment="1">
      <alignment horizontal="center" vertical="center" wrapText="1"/>
    </xf>
    <xf numFmtId="3" fontId="2" fillId="0" borderId="46" xfId="0" applyNumberFormat="1" applyFont="1" applyFill="1" applyBorder="1" applyAlignment="1">
      <alignment horizontal="center" vertical="center" wrapText="1"/>
    </xf>
    <xf numFmtId="0" fontId="2" fillId="0" borderId="46" xfId="0" applyFont="1" applyFill="1" applyBorder="1" applyAlignment="1">
      <alignment vertical="center"/>
    </xf>
    <xf numFmtId="0" fontId="2" fillId="0" borderId="4" xfId="0" applyFont="1" applyFill="1" applyBorder="1" applyAlignment="1">
      <alignment horizontal="center" vertical="center" wrapText="1"/>
    </xf>
    <xf numFmtId="0" fontId="11" fillId="0" borderId="4" xfId="0" applyFont="1" applyFill="1" applyBorder="1" applyAlignment="1">
      <alignment horizontal="center" vertical="center"/>
    </xf>
    <xf numFmtId="0" fontId="11" fillId="0" borderId="46" xfId="0" applyFont="1" applyFill="1" applyBorder="1" applyAlignment="1">
      <alignment vertical="center"/>
    </xf>
    <xf numFmtId="0" fontId="25" fillId="0" borderId="0" xfId="0" applyFont="1"/>
    <xf numFmtId="0" fontId="5" fillId="0" borderId="4" xfId="0" applyFont="1" applyBorder="1" applyAlignment="1">
      <alignment horizontal="center" wrapText="1"/>
    </xf>
    <xf numFmtId="0" fontId="2" fillId="0" borderId="4" xfId="8" applyFont="1" applyFill="1" applyBorder="1" applyAlignment="1">
      <alignment horizontal="center" wrapText="1"/>
    </xf>
    <xf numFmtId="0" fontId="2" fillId="0" borderId="46" xfId="0" applyFont="1" applyBorder="1" applyAlignment="1">
      <alignment horizontal="center" vertical="center"/>
    </xf>
    <xf numFmtId="0" fontId="2" fillId="0" borderId="46" xfId="8" applyFont="1" applyFill="1" applyBorder="1" applyAlignment="1">
      <alignment horizontal="center" vertical="center"/>
    </xf>
    <xf numFmtId="0" fontId="2" fillId="0" borderId="46" xfId="8" applyFont="1" applyFill="1" applyBorder="1" applyAlignment="1">
      <alignment horizontal="center"/>
    </xf>
    <xf numFmtId="0" fontId="2" fillId="0" borderId="46" xfId="8" applyFont="1" applyFill="1" applyBorder="1" applyAlignment="1">
      <alignment horizontal="center" vertical="center" wrapText="1"/>
    </xf>
    <xf numFmtId="0" fontId="2" fillId="0" borderId="46" xfId="0" applyFont="1" applyBorder="1" applyAlignment="1">
      <alignment horizontal="center"/>
    </xf>
    <xf numFmtId="0" fontId="2" fillId="0" borderId="46" xfId="0" applyFont="1" applyBorder="1" applyAlignment="1">
      <alignment horizontal="center" vertical="center" wrapText="1"/>
    </xf>
    <xf numFmtId="0" fontId="2" fillId="0" borderId="46" xfId="0" applyFont="1" applyFill="1" applyBorder="1" applyAlignment="1">
      <alignment horizontal="center"/>
    </xf>
    <xf numFmtId="0" fontId="2" fillId="0" borderId="0" xfId="0" applyFont="1" applyFill="1" applyBorder="1" applyAlignment="1">
      <alignment horizontal="center" vertical="center" wrapText="1"/>
    </xf>
    <xf numFmtId="0" fontId="2" fillId="7" borderId="46" xfId="0" applyFont="1" applyFill="1" applyBorder="1" applyAlignment="1">
      <alignment vertical="center"/>
    </xf>
    <xf numFmtId="14" fontId="5" fillId="7" borderId="46" xfId="0" applyNumberFormat="1" applyFont="1" applyFill="1" applyBorder="1" applyAlignment="1">
      <alignment horizontal="center"/>
    </xf>
    <xf numFmtId="0" fontId="2" fillId="7" borderId="46" xfId="0" applyFont="1" applyFill="1" applyBorder="1" applyAlignment="1">
      <alignment vertical="center" wrapText="1"/>
    </xf>
    <xf numFmtId="0" fontId="2" fillId="7" borderId="46" xfId="0" applyFont="1" applyFill="1" applyBorder="1" applyAlignment="1">
      <alignment horizontal="center" vertical="center"/>
    </xf>
    <xf numFmtId="164" fontId="2" fillId="7" borderId="46" xfId="0" applyNumberFormat="1" applyFont="1" applyFill="1" applyBorder="1" applyAlignment="1">
      <alignment vertical="center"/>
    </xf>
    <xf numFmtId="166" fontId="2" fillId="7" borderId="46" xfId="1" applyNumberFormat="1" applyFont="1" applyFill="1" applyBorder="1" applyAlignment="1">
      <alignment vertical="center"/>
    </xf>
    <xf numFmtId="167" fontId="2" fillId="7" borderId="46" xfId="2" applyNumberFormat="1" applyFont="1" applyFill="1" applyBorder="1" applyAlignment="1">
      <alignment vertical="center"/>
    </xf>
    <xf numFmtId="9" fontId="5" fillId="7" borderId="46" xfId="2" applyFont="1" applyFill="1" applyBorder="1" applyAlignment="1">
      <alignment horizontal="center" vertical="center"/>
    </xf>
    <xf numFmtId="2" fontId="2" fillId="7" borderId="46" xfId="0" applyNumberFormat="1" applyFont="1" applyFill="1" applyBorder="1" applyAlignment="1">
      <alignment horizontal="center" vertical="center"/>
    </xf>
    <xf numFmtId="0" fontId="2" fillId="7" borderId="46" xfId="0" applyFont="1" applyFill="1" applyBorder="1" applyAlignment="1">
      <alignment horizontal="left" vertical="center" wrapText="1"/>
    </xf>
    <xf numFmtId="0" fontId="2" fillId="7" borderId="46" xfId="0" applyFont="1" applyFill="1" applyBorder="1" applyAlignment="1">
      <alignment horizontal="center" vertical="center" wrapText="1"/>
    </xf>
    <xf numFmtId="0" fontId="2" fillId="4" borderId="11" xfId="0" applyFont="1" applyFill="1" applyBorder="1" applyAlignment="1">
      <alignment horizontal="left" wrapText="1"/>
    </xf>
    <xf numFmtId="0" fontId="2" fillId="4" borderId="46" xfId="0" applyFont="1" applyFill="1" applyBorder="1" applyAlignment="1">
      <alignment vertical="center" wrapText="1"/>
    </xf>
    <xf numFmtId="0" fontId="2" fillId="12" borderId="46" xfId="0" applyFont="1" applyFill="1" applyBorder="1" applyAlignment="1">
      <alignment vertical="center" wrapText="1"/>
    </xf>
    <xf numFmtId="0" fontId="2" fillId="10" borderId="46" xfId="0" applyFont="1" applyFill="1" applyBorder="1" applyAlignment="1">
      <alignment vertical="center"/>
    </xf>
    <xf numFmtId="14" fontId="5" fillId="10" borderId="46" xfId="0" applyNumberFormat="1" applyFont="1" applyFill="1" applyBorder="1" applyAlignment="1">
      <alignment horizontal="center"/>
    </xf>
    <xf numFmtId="0" fontId="2" fillId="10" borderId="46" xfId="0" applyFont="1" applyFill="1" applyBorder="1" applyAlignment="1">
      <alignment vertical="center" wrapText="1"/>
    </xf>
    <xf numFmtId="0" fontId="2" fillId="10" borderId="46" xfId="0" applyFont="1" applyFill="1" applyBorder="1" applyAlignment="1">
      <alignment horizontal="center" vertical="center"/>
    </xf>
    <xf numFmtId="164" fontId="2" fillId="10" borderId="46" xfId="0" applyNumberFormat="1" applyFont="1" applyFill="1" applyBorder="1" applyAlignment="1">
      <alignment vertical="center"/>
    </xf>
    <xf numFmtId="166" fontId="2" fillId="10" borderId="46" xfId="1" applyNumberFormat="1" applyFont="1" applyFill="1" applyBorder="1" applyAlignment="1">
      <alignment vertical="center"/>
    </xf>
    <xf numFmtId="167" fontId="2" fillId="10" borderId="46" xfId="2" applyNumberFormat="1" applyFont="1" applyFill="1" applyBorder="1" applyAlignment="1">
      <alignment vertical="center"/>
    </xf>
    <xf numFmtId="9" fontId="5" fillId="10" borderId="46" xfId="2" applyFont="1" applyFill="1" applyBorder="1" applyAlignment="1">
      <alignment horizontal="center" vertical="center"/>
    </xf>
    <xf numFmtId="2" fontId="2" fillId="10" borderId="46" xfId="0" applyNumberFormat="1" applyFont="1" applyFill="1" applyBorder="1" applyAlignment="1">
      <alignment horizontal="center" vertical="center"/>
    </xf>
    <xf numFmtId="0" fontId="2" fillId="10" borderId="46" xfId="0" applyFont="1" applyFill="1" applyBorder="1" applyAlignment="1">
      <alignment horizontal="left" vertical="center" wrapText="1"/>
    </xf>
    <xf numFmtId="0" fontId="2" fillId="10" borderId="46" xfId="0" applyFont="1" applyFill="1" applyBorder="1" applyAlignment="1">
      <alignment horizontal="center" vertical="center" wrapText="1"/>
    </xf>
    <xf numFmtId="0" fontId="0" fillId="0" borderId="39" xfId="0" applyBorder="1" applyAlignment="1">
      <alignment horizontal="center" vertical="center" wrapText="1"/>
    </xf>
    <xf numFmtId="0" fontId="0" fillId="7" borderId="39" xfId="0" applyFill="1" applyBorder="1" applyAlignment="1">
      <alignment horizontal="center" vertical="center" wrapText="1"/>
    </xf>
    <xf numFmtId="0" fontId="0" fillId="7" borderId="47" xfId="0" applyFill="1" applyBorder="1" applyAlignment="1">
      <alignment horizontal="center" vertical="center" wrapText="1"/>
    </xf>
    <xf numFmtId="0" fontId="0" fillId="12" borderId="11" xfId="0" applyFill="1" applyBorder="1" applyAlignment="1">
      <alignment wrapText="1"/>
    </xf>
    <xf numFmtId="0" fontId="26" fillId="9" borderId="8" xfId="0" applyFont="1" applyFill="1" applyBorder="1" applyAlignment="1">
      <alignment horizontal="center"/>
    </xf>
    <xf numFmtId="0" fontId="26" fillId="9" borderId="9" xfId="0" applyFont="1" applyFill="1" applyBorder="1" applyAlignment="1">
      <alignment horizontal="center"/>
    </xf>
    <xf numFmtId="0" fontId="27" fillId="7" borderId="21" xfId="0" applyFont="1" applyFill="1" applyBorder="1" applyAlignment="1">
      <alignment horizontal="center" vertical="center"/>
    </xf>
    <xf numFmtId="166" fontId="0" fillId="11" borderId="24" xfId="0" applyNumberFormat="1" applyFont="1" applyFill="1" applyBorder="1" applyAlignment="1">
      <alignment vertical="center"/>
    </xf>
    <xf numFmtId="0" fontId="2" fillId="12" borderId="31" xfId="0" applyFont="1" applyFill="1" applyBorder="1" applyAlignment="1">
      <alignment horizontal="left" vertical="center"/>
    </xf>
    <xf numFmtId="0" fontId="2" fillId="6" borderId="30" xfId="0" applyFont="1" applyFill="1" applyBorder="1" applyAlignment="1">
      <alignment vertical="center"/>
    </xf>
    <xf numFmtId="0" fontId="2" fillId="6" borderId="11" xfId="0" applyFont="1" applyFill="1" applyBorder="1" applyAlignment="1">
      <alignment vertical="center"/>
    </xf>
    <xf numFmtId="14" fontId="5" fillId="6" borderId="11" xfId="0" applyNumberFormat="1" applyFont="1" applyFill="1" applyBorder="1" applyAlignment="1">
      <alignment horizontal="center"/>
    </xf>
    <xf numFmtId="0" fontId="2" fillId="6" borderId="11" xfId="0" applyFont="1" applyFill="1" applyBorder="1" applyAlignment="1">
      <alignment vertical="center" wrapText="1"/>
    </xf>
    <xf numFmtId="0" fontId="2" fillId="6" borderId="11" xfId="0" applyFont="1" applyFill="1" applyBorder="1" applyAlignment="1">
      <alignment horizontal="center" vertical="center"/>
    </xf>
    <xf numFmtId="164" fontId="2" fillId="6" borderId="11" xfId="0" applyNumberFormat="1" applyFont="1" applyFill="1" applyBorder="1" applyAlignment="1">
      <alignment vertical="center"/>
    </xf>
    <xf numFmtId="166" fontId="2" fillId="6" borderId="11" xfId="1" applyNumberFormat="1" applyFont="1" applyFill="1" applyBorder="1" applyAlignment="1">
      <alignment vertical="center"/>
    </xf>
    <xf numFmtId="167" fontId="2" fillId="6" borderId="11" xfId="1" applyNumberFormat="1" applyFont="1" applyFill="1" applyBorder="1" applyAlignment="1">
      <alignment vertical="center"/>
    </xf>
    <xf numFmtId="9" fontId="5" fillId="6" borderId="11" xfId="2" applyFont="1" applyFill="1" applyBorder="1" applyAlignment="1">
      <alignment horizontal="center" vertical="center"/>
    </xf>
    <xf numFmtId="2" fontId="2" fillId="6" borderId="11" xfId="0" applyNumberFormat="1" applyFont="1" applyFill="1" applyBorder="1" applyAlignment="1">
      <alignment horizontal="center" vertical="center"/>
    </xf>
    <xf numFmtId="0" fontId="2" fillId="6" borderId="11" xfId="0" applyFont="1" applyFill="1" applyBorder="1" applyAlignment="1">
      <alignment horizontal="left" vertical="center" wrapText="1"/>
    </xf>
    <xf numFmtId="0" fontId="2" fillId="6" borderId="11" xfId="0" applyFont="1" applyFill="1" applyBorder="1" applyAlignment="1">
      <alignment horizontal="center" vertical="center" wrapText="1"/>
    </xf>
    <xf numFmtId="0" fontId="0" fillId="2" borderId="46" xfId="0" applyFill="1" applyBorder="1" applyAlignment="1">
      <alignment horizontal="center"/>
    </xf>
    <xf numFmtId="0" fontId="5" fillId="2" borderId="46" xfId="0" applyFont="1" applyFill="1" applyBorder="1" applyAlignment="1">
      <alignment horizontal="center"/>
    </xf>
    <xf numFmtId="0" fontId="0" fillId="0" borderId="46" xfId="0" applyBorder="1" applyAlignment="1">
      <alignment horizontal="center"/>
    </xf>
    <xf numFmtId="166" fontId="5" fillId="3" borderId="46" xfId="0" applyNumberFormat="1" applyFont="1" applyFill="1" applyBorder="1"/>
    <xf numFmtId="0" fontId="5" fillId="9" borderId="46" xfId="0" applyFont="1" applyFill="1" applyBorder="1" applyAlignment="1">
      <alignment horizontal="center" vertical="center"/>
    </xf>
    <xf numFmtId="0" fontId="0" fillId="12" borderId="46" xfId="0" applyFill="1" applyBorder="1" applyAlignment="1">
      <alignment horizontal="center" vertical="center" wrapText="1"/>
    </xf>
    <xf numFmtId="0" fontId="5" fillId="3" borderId="46" xfId="0" applyFont="1" applyFill="1" applyBorder="1" applyAlignment="1">
      <alignment horizontal="center" vertical="center" wrapText="1"/>
    </xf>
    <xf numFmtId="0" fontId="0" fillId="3" borderId="46" xfId="0" applyNumberFormat="1" applyFill="1" applyBorder="1" applyAlignment="1">
      <alignment vertical="center"/>
    </xf>
    <xf numFmtId="0" fontId="5" fillId="13" borderId="46" xfId="0" applyNumberFormat="1" applyFont="1" applyFill="1" applyBorder="1" applyAlignment="1">
      <alignment horizontal="center" vertical="center"/>
    </xf>
    <xf numFmtId="0" fontId="7" fillId="9" borderId="39" xfId="0" applyFont="1" applyFill="1" applyBorder="1" applyAlignment="1">
      <alignment horizontal="left"/>
    </xf>
    <xf numFmtId="0" fontId="7" fillId="9" borderId="28" xfId="0" applyFont="1" applyFill="1" applyBorder="1" applyAlignment="1">
      <alignment horizontal="left"/>
    </xf>
    <xf numFmtId="0" fontId="3" fillId="13" borderId="24" xfId="0" applyNumberFormat="1" applyFont="1" applyFill="1" applyBorder="1" applyAlignment="1">
      <alignment horizontal="center" vertical="center"/>
    </xf>
    <xf numFmtId="0" fontId="3" fillId="11" borderId="26" xfId="0" applyNumberFormat="1" applyFont="1" applyFill="1" applyBorder="1" applyAlignment="1">
      <alignment horizontal="center" vertical="center"/>
    </xf>
    <xf numFmtId="0" fontId="3" fillId="11" borderId="27" xfId="0" applyNumberFormat="1" applyFont="1" applyFill="1" applyBorder="1" applyAlignment="1">
      <alignment horizontal="center" vertical="center"/>
    </xf>
    <xf numFmtId="0" fontId="7" fillId="9" borderId="32" xfId="0" applyFont="1" applyFill="1" applyBorder="1" applyAlignment="1">
      <alignment horizontal="center" vertical="center" wrapText="1"/>
    </xf>
    <xf numFmtId="0" fontId="7" fillId="9" borderId="31" xfId="0" applyFont="1" applyFill="1" applyBorder="1" applyAlignment="1">
      <alignment horizontal="center" vertical="center" wrapText="1"/>
    </xf>
    <xf numFmtId="0" fontId="5" fillId="9" borderId="3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7" borderId="46" xfId="0" applyNumberFormat="1" applyFill="1" applyBorder="1" applyAlignment="1">
      <alignment horizontal="center" vertical="center"/>
    </xf>
    <xf numFmtId="166" fontId="0" fillId="7" borderId="46" xfId="0" applyNumberFormat="1" applyFill="1" applyBorder="1" applyAlignment="1">
      <alignment vertical="center"/>
    </xf>
    <xf numFmtId="0" fontId="0" fillId="11" borderId="46" xfId="0" applyNumberFormat="1" applyFont="1" applyFill="1" applyBorder="1" applyAlignment="1">
      <alignment horizontal="center" vertical="center"/>
    </xf>
    <xf numFmtId="0" fontId="5" fillId="7" borderId="21" xfId="0" applyFont="1" applyFill="1" applyBorder="1" applyAlignment="1">
      <alignment horizontal="left" vertical="center"/>
    </xf>
    <xf numFmtId="0" fontId="7" fillId="11" borderId="26" xfId="0" applyNumberFormat="1" applyFont="1" applyFill="1" applyBorder="1" applyAlignment="1">
      <alignment horizontal="center" vertical="center"/>
    </xf>
    <xf numFmtId="166" fontId="7" fillId="11" borderId="26" xfId="0" applyNumberFormat="1" applyFont="1" applyFill="1" applyBorder="1" applyAlignment="1">
      <alignment horizontal="right" vertical="center"/>
    </xf>
    <xf numFmtId="0" fontId="7" fillId="11" borderId="26" xfId="0" applyNumberFormat="1" applyFont="1" applyFill="1" applyBorder="1" applyAlignment="1">
      <alignment horizontal="right" vertical="center"/>
    </xf>
    <xf numFmtId="166" fontId="7" fillId="11" borderId="27" xfId="0" applyNumberFormat="1" applyFont="1" applyFill="1" applyBorder="1" applyAlignment="1">
      <alignment horizontal="right" vertical="center"/>
    </xf>
    <xf numFmtId="0" fontId="5" fillId="9" borderId="31" xfId="0" applyFont="1" applyFill="1" applyBorder="1" applyAlignment="1">
      <alignment horizontal="center" vertical="center"/>
    </xf>
    <xf numFmtId="0" fontId="5" fillId="9" borderId="32" xfId="0" applyFont="1" applyFill="1" applyBorder="1" applyAlignment="1">
      <alignment horizontal="center" vertical="center" wrapText="1"/>
    </xf>
    <xf numFmtId="0" fontId="5" fillId="9" borderId="31" xfId="0" applyFont="1" applyFill="1" applyBorder="1" applyAlignment="1">
      <alignment horizontal="center" vertical="center" wrapText="1"/>
    </xf>
    <xf numFmtId="0" fontId="7" fillId="11" borderId="25" xfId="0" applyFont="1" applyFill="1" applyBorder="1" applyAlignment="1">
      <alignment horizontal="center" vertical="center" wrapText="1"/>
    </xf>
    <xf numFmtId="0" fontId="7" fillId="7" borderId="31" xfId="0" applyFont="1" applyFill="1" applyBorder="1" applyAlignment="1">
      <alignment horizontal="center" vertical="center" wrapText="1"/>
    </xf>
    <xf numFmtId="0" fontId="0" fillId="4" borderId="11" xfId="0" applyFont="1" applyFill="1" applyBorder="1" applyAlignment="1">
      <alignment horizontal="left" vertical="center" wrapText="1"/>
    </xf>
    <xf numFmtId="0" fontId="5" fillId="29" borderId="45" xfId="0" applyFont="1" applyFill="1" applyBorder="1" applyAlignment="1">
      <alignment horizontal="center" vertical="center" wrapText="1"/>
    </xf>
    <xf numFmtId="1" fontId="0" fillId="0" borderId="0" xfId="0" applyNumberFormat="1"/>
    <xf numFmtId="1" fontId="5" fillId="29" borderId="45" xfId="0" applyNumberFormat="1" applyFont="1" applyFill="1" applyBorder="1" applyAlignment="1">
      <alignment horizontal="center" vertical="center" wrapText="1"/>
    </xf>
    <xf numFmtId="0" fontId="0" fillId="9" borderId="46" xfId="0" applyFill="1" applyBorder="1" applyAlignment="1">
      <alignment horizontal="center" vertical="center" wrapText="1"/>
    </xf>
    <xf numFmtId="0" fontId="0" fillId="9" borderId="46" xfId="0" applyFill="1" applyBorder="1" applyAlignment="1">
      <alignment horizontal="center"/>
    </xf>
    <xf numFmtId="0" fontId="7" fillId="7" borderId="30" xfId="0" applyFont="1" applyFill="1" applyBorder="1" applyAlignment="1">
      <alignment horizontal="center" vertical="center" wrapText="1"/>
    </xf>
    <xf numFmtId="0" fontId="7" fillId="9" borderId="28" xfId="0" applyFont="1" applyFill="1" applyBorder="1" applyAlignment="1">
      <alignment horizontal="center" vertical="center" wrapText="1"/>
    </xf>
    <xf numFmtId="17" fontId="6" fillId="0" borderId="21" xfId="0" applyNumberFormat="1" applyFont="1" applyFill="1" applyBorder="1" applyAlignment="1">
      <alignment horizontal="left" vertical="center"/>
    </xf>
    <xf numFmtId="0" fontId="6" fillId="0" borderId="21" xfId="0" applyNumberFormat="1" applyFont="1" applyFill="1" applyBorder="1" applyAlignment="1">
      <alignment horizontal="left" vertical="center"/>
    </xf>
    <xf numFmtId="0" fontId="3" fillId="0" borderId="0" xfId="0" applyFont="1" applyFill="1" applyBorder="1" applyAlignment="1">
      <alignment horizontal="center"/>
    </xf>
    <xf numFmtId="0" fontId="0" fillId="9" borderId="46" xfId="0" applyFill="1" applyBorder="1" applyAlignment="1">
      <alignment horizontal="center" vertical="center" wrapText="1"/>
    </xf>
    <xf numFmtId="0" fontId="0" fillId="9" borderId="46" xfId="0" applyFill="1" applyBorder="1" applyAlignment="1">
      <alignment horizontal="center"/>
    </xf>
    <xf numFmtId="0" fontId="3" fillId="2" borderId="1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5" xfId="0" applyFont="1" applyFill="1" applyBorder="1" applyAlignment="1">
      <alignment horizontal="center" vertical="center"/>
    </xf>
    <xf numFmtId="0" fontId="7" fillId="9" borderId="28" xfId="0" applyFont="1" applyFill="1" applyBorder="1" applyAlignment="1">
      <alignment horizontal="center" vertical="center" wrapText="1"/>
    </xf>
    <xf numFmtId="0" fontId="7" fillId="9" borderId="6" xfId="0" applyFont="1" applyFill="1" applyBorder="1" applyAlignment="1">
      <alignment horizontal="center"/>
    </xf>
    <xf numFmtId="0" fontId="3" fillId="11" borderId="25" xfId="0" applyFont="1" applyFill="1" applyBorder="1" applyAlignment="1">
      <alignment horizontal="center" vertical="center" wrapText="1"/>
    </xf>
    <xf numFmtId="0" fontId="3" fillId="11" borderId="26" xfId="0" applyFont="1" applyFill="1" applyBorder="1" applyAlignment="1">
      <alignment horizontal="right" vertical="center"/>
    </xf>
    <xf numFmtId="0" fontId="7" fillId="7" borderId="30" xfId="0" applyFont="1" applyFill="1" applyBorder="1" applyAlignment="1">
      <alignment horizontal="center" vertical="center" wrapText="1"/>
    </xf>
    <xf numFmtId="0" fontId="7" fillId="7" borderId="30" xfId="0" applyFont="1" applyFill="1" applyBorder="1" applyAlignment="1">
      <alignment horizontal="center"/>
    </xf>
    <xf numFmtId="0" fontId="7" fillId="3" borderId="30" xfId="0" applyFont="1" applyFill="1" applyBorder="1" applyAlignment="1">
      <alignment horizontal="center" vertical="center" wrapText="1"/>
    </xf>
    <xf numFmtId="0" fontId="7" fillId="3" borderId="30" xfId="0" applyFont="1" applyFill="1" applyBorder="1" applyAlignment="1">
      <alignment horizontal="center"/>
    </xf>
    <xf numFmtId="0" fontId="7" fillId="11" borderId="46" xfId="0" applyFont="1" applyFill="1" applyBorder="1" applyAlignment="1">
      <alignment horizontal="center" vertical="center" wrapText="1"/>
    </xf>
    <xf numFmtId="0" fontId="7" fillId="11" borderId="30" xfId="0" applyFont="1" applyFill="1" applyBorder="1" applyAlignment="1">
      <alignment horizontal="center"/>
    </xf>
    <xf numFmtId="0" fontId="7" fillId="11" borderId="29" xfId="0" applyFont="1" applyFill="1" applyBorder="1" applyAlignment="1">
      <alignment horizontal="center" vertical="center" wrapText="1"/>
    </xf>
    <xf numFmtId="0" fontId="7" fillId="11" borderId="48" xfId="0" applyFont="1" applyFill="1" applyBorder="1" applyAlignment="1">
      <alignment horizontal="center"/>
    </xf>
    <xf numFmtId="0" fontId="7" fillId="7" borderId="46" xfId="0" applyFont="1" applyFill="1" applyBorder="1" applyAlignment="1">
      <alignment horizontal="center" vertical="center" wrapText="1"/>
    </xf>
    <xf numFmtId="0" fontId="7" fillId="7" borderId="46" xfId="0" applyFont="1" applyFill="1" applyBorder="1" applyAlignment="1">
      <alignment horizontal="center"/>
    </xf>
    <xf numFmtId="0" fontId="0" fillId="0" borderId="0" xfId="0" applyAlignment="1">
      <alignment horizontal="center" vertical="center"/>
    </xf>
    <xf numFmtId="0" fontId="5" fillId="0" borderId="0" xfId="0" applyFont="1" applyAlignment="1">
      <alignment horizontal="center"/>
    </xf>
    <xf numFmtId="0" fontId="5" fillId="10" borderId="11" xfId="0" applyFont="1" applyFill="1" applyBorder="1" applyAlignment="1">
      <alignment horizontal="center"/>
    </xf>
    <xf numFmtId="0" fontId="5" fillId="18" borderId="31" xfId="0" applyFont="1" applyFill="1" applyBorder="1" applyAlignment="1">
      <alignment horizontal="center" vertical="center"/>
    </xf>
    <xf numFmtId="0" fontId="5" fillId="18" borderId="33" xfId="0" applyFont="1" applyFill="1" applyBorder="1" applyAlignment="1">
      <alignment horizontal="center" vertical="center"/>
    </xf>
    <xf numFmtId="0" fontId="5" fillId="18" borderId="35" xfId="0" applyFont="1" applyFill="1" applyBorder="1" applyAlignment="1">
      <alignment horizontal="center" vertical="center"/>
    </xf>
    <xf numFmtId="0" fontId="5" fillId="18" borderId="7" xfId="0" applyFont="1" applyFill="1" applyBorder="1" applyAlignment="1">
      <alignment horizontal="center" vertical="center"/>
    </xf>
    <xf numFmtId="0" fontId="5" fillId="18" borderId="36" xfId="0" applyFont="1" applyFill="1" applyBorder="1" applyAlignment="1">
      <alignment horizontal="center" vertical="center"/>
    </xf>
    <xf numFmtId="0" fontId="5" fillId="18" borderId="37" xfId="0" applyFont="1" applyFill="1" applyBorder="1" applyAlignment="1">
      <alignment horizontal="center" vertical="center"/>
    </xf>
    <xf numFmtId="0" fontId="5" fillId="17" borderId="11" xfId="0" applyFont="1" applyFill="1" applyBorder="1" applyAlignment="1">
      <alignment horizontal="center"/>
    </xf>
    <xf numFmtId="0" fontId="5" fillId="6" borderId="11" xfId="0" applyFont="1" applyFill="1" applyBorder="1" applyAlignment="1">
      <alignment horizontal="center"/>
    </xf>
    <xf numFmtId="0" fontId="5" fillId="16" borderId="11" xfId="0" applyFont="1" applyFill="1" applyBorder="1" applyAlignment="1">
      <alignment horizontal="center"/>
    </xf>
    <xf numFmtId="0" fontId="5" fillId="16" borderId="32" xfId="0" applyFont="1" applyFill="1" applyBorder="1" applyAlignment="1">
      <alignment horizontal="center"/>
    </xf>
    <xf numFmtId="0" fontId="5" fillId="16" borderId="34" xfId="0" applyFont="1" applyFill="1" applyBorder="1" applyAlignment="1">
      <alignment horizontal="center"/>
    </xf>
  </cellXfs>
  <cellStyles count="29">
    <cellStyle name="Comma" xfId="1" builtinId="3"/>
    <cellStyle name="Comma 3" xfId="7"/>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Good" xfId="8" builtinId="26"/>
    <cellStyle name="Hyperlink" xfId="4" builtinId="8"/>
    <cellStyle name="Normal" xfId="0" builtinId="0"/>
    <cellStyle name="Normal 2" xfId="6"/>
    <cellStyle name="Normal 3" xfId="5"/>
    <cellStyle name="Normal_Gartner Metrics v4.0 070614" xfId="9"/>
    <cellStyle name="Normal_Real_Estate" xfId="3"/>
    <cellStyle name="Percent" xfId="2" builtinId="5"/>
  </cellStyles>
  <dxfs count="255">
    <dxf>
      <alignment vertical="center" readingOrder="0"/>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ont>
        <b/>
      </font>
    </dxf>
    <dxf>
      <font>
        <b/>
      </font>
    </dxf>
    <dxf>
      <border>
        <left style="medium">
          <color indexed="64"/>
        </left>
        <right style="medium">
          <color indexed="64"/>
        </right>
        <top style="medium">
          <color indexed="64"/>
        </top>
        <bottom style="medium">
          <color indexed="64"/>
        </bottom>
      </border>
    </dxf>
    <dxf>
      <fill>
        <patternFill>
          <bgColor theme="6" tint="0.39997558519241921"/>
        </patternFill>
      </fill>
    </dxf>
    <dxf>
      <border>
        <top style="thin">
          <color indexed="64"/>
        </top>
        <bottom style="thin">
          <color indexed="64"/>
        </bottom>
        <horizontal style="thin">
          <color indexed="64"/>
        </horizontal>
      </border>
    </dxf>
    <dxf>
      <border>
        <left/>
        <right/>
        <top/>
        <bottom/>
      </border>
    </dxf>
    <dxf>
      <border>
        <left/>
        <right/>
        <top/>
        <bottom/>
      </border>
    </dxf>
    <dxf>
      <fill>
        <patternFill>
          <bgColor theme="6" tint="0.39997558519241921"/>
        </patternFill>
      </fill>
    </dxf>
    <dxf>
      <alignment horizontal="left" readingOrder="0"/>
    </dxf>
    <dxf>
      <font>
        <color auto="1"/>
      </font>
    </dxf>
    <dxf>
      <fill>
        <patternFill>
          <bgColor theme="4" tint="0.39997558519241921"/>
        </patternFill>
      </fill>
    </dxf>
    <dxf>
      <fill>
        <patternFill>
          <bgColor theme="4" tint="0.39997558519241921"/>
        </patternFill>
      </fill>
    </dxf>
    <dxf>
      <font>
        <color theme="0"/>
      </font>
    </dxf>
    <dxf>
      <font>
        <color theme="0"/>
      </font>
    </dxf>
    <dxf>
      <fill>
        <patternFill>
          <bgColor theme="9" tint="-0.249977111117893"/>
        </patternFill>
      </fill>
    </dxf>
    <dxf>
      <fill>
        <patternFill>
          <bgColor theme="9" tint="-0.249977111117893"/>
        </patternFill>
      </fill>
    </dxf>
    <dxf>
      <fill>
        <patternFill>
          <bgColor theme="6" tint="0.39997558519241921"/>
        </patternFill>
      </fill>
    </dxf>
    <dxf>
      <font>
        <color theme="6" tint="0.39997558519241921"/>
      </font>
    </dxf>
    <dxf>
      <fill>
        <patternFill>
          <bgColor theme="6" tint="0.39997558519241921"/>
        </patternFill>
      </fill>
    </dxf>
    <dxf>
      <border>
        <left style="thin">
          <color indexed="64"/>
        </left>
        <right style="thin">
          <color indexed="64"/>
        </right>
        <top style="thin">
          <color indexed="64"/>
        </top>
      </border>
    </dxf>
    <dxf>
      <fill>
        <patternFill>
          <bgColor theme="6" tint="0.39997558519241921"/>
        </patternFill>
      </fill>
    </dxf>
    <dxf>
      <fill>
        <patternFill>
          <bgColor theme="6" tint="0.39997558519241921"/>
        </patternFill>
      </fill>
    </dxf>
    <dxf>
      <fill>
        <patternFill>
          <bgColor theme="6" tint="0.39997558519241921"/>
        </patternFill>
      </fill>
    </dxf>
    <dxf>
      <border>
        <left/>
        <right/>
        <top/>
        <bottom/>
        <vertical/>
      </border>
    </dxf>
    <dxf>
      <fill>
        <patternFill>
          <bgColor theme="6" tint="0.39997558519241921"/>
        </patternFill>
      </fill>
    </dxf>
    <dxf>
      <fill>
        <patternFill>
          <bgColor theme="9" tint="0.39997558519241921"/>
        </patternFill>
      </fill>
    </dxf>
    <dxf>
      <font>
        <color theme="9" tint="0.59999389629810485"/>
      </font>
    </dxf>
    <dxf>
      <font>
        <b val="0"/>
        <i val="0"/>
        <strike val="0"/>
        <condense val="0"/>
        <extend val="0"/>
        <outline val="0"/>
        <shadow val="0"/>
        <u val="none"/>
        <vertAlign val="baseline"/>
        <sz val="10"/>
        <color auto="1"/>
        <name val="Arial"/>
        <scheme val="none"/>
      </font>
      <fill>
        <patternFill>
          <bgColor indexed="64"/>
        </patternFill>
      </fill>
    </dxf>
    <dxf>
      <numFmt numFmtId="166" formatCode="_(* #,##0_);_(* \(#,##0\);_(* &quot;-&quot;??_);_(@_)"/>
    </dxf>
    <dxf>
      <font>
        <sz val="11"/>
      </font>
    </dxf>
    <dxf>
      <font>
        <sz val="11"/>
      </font>
    </dxf>
    <dxf>
      <fill>
        <patternFill>
          <bgColor rgb="FFFFC000"/>
        </patternFill>
      </fill>
    </dxf>
    <dxf>
      <fill>
        <patternFill>
          <bgColor rgb="FFFFC000"/>
        </patternFill>
      </fill>
    </dxf>
    <dxf>
      <numFmt numFmtId="166" formatCode="_(* #,##0_);_(* \(#,##0\);_(* &quot;-&quot;??_);_(@_)"/>
    </dxf>
    <dxf>
      <numFmt numFmtId="166" formatCode="_(* #,##0_);_(* \(#,##0\);_(* &quot;-&quot;??_);_(@_)"/>
    </dxf>
    <dxf>
      <numFmt numFmtId="166" formatCode="_(* #,##0_);_(* \(#,##0\);_(* &quot;-&quot;??_);_(@_)"/>
    </dxf>
    <dxf>
      <font>
        <b/>
        <sz val="11"/>
      </font>
      <fill>
        <patternFill patternType="solid">
          <fgColor indexed="64"/>
          <bgColor indexed="41"/>
        </patternFill>
      </fill>
    </dxf>
    <dxf>
      <font>
        <b/>
        <sz val="11"/>
      </font>
      <fill>
        <patternFill patternType="solid">
          <fgColor indexed="64"/>
          <bgColor indexed="41"/>
        </patternFill>
      </fill>
    </dxf>
    <dxf>
      <font>
        <b/>
        <sz val="11"/>
      </font>
      <fill>
        <patternFill patternType="solid">
          <fgColor indexed="64"/>
          <bgColor indexed="4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indexed="47"/>
        </patternFill>
      </fill>
    </dxf>
    <dxf>
      <font>
        <b val="0"/>
        <i val="0"/>
        <strike val="0"/>
        <condense val="0"/>
        <extend val="0"/>
        <outline val="0"/>
        <shadow val="0"/>
        <u val="none"/>
        <vertAlign val="baseline"/>
        <sz val="10"/>
        <color auto="1"/>
        <name val="Arial"/>
        <scheme val="none"/>
      </font>
      <fill>
        <patternFill>
          <bgColor indexed="64"/>
        </patternFill>
      </fill>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font>
        <sz val="11"/>
      </font>
    </dxf>
    <dxf>
      <font>
        <sz val="11"/>
      </font>
    </dxf>
    <dxf>
      <alignment vertical="center" readingOrder="0"/>
    </dxf>
    <dxf>
      <alignment vertical="center" readingOrder="0"/>
    </dxf>
    <dxf>
      <fill>
        <patternFill>
          <bgColor indexed="64"/>
        </patternFill>
      </fill>
      <alignment horizontal="right" readingOrder="0"/>
    </dxf>
    <dxf>
      <fill>
        <patternFill>
          <bgColor indexed="64"/>
        </patternFill>
      </fill>
      <alignment horizontal="right" readingOrder="0"/>
    </dxf>
    <dxf>
      <fill>
        <patternFill>
          <bgColor theme="9" tint="0.39997558519241921"/>
        </patternFill>
      </fill>
    </dxf>
    <dxf>
      <fill>
        <patternFill>
          <bgColor theme="9" tint="0.39997558519241921"/>
        </patternFill>
      </fill>
    </dxf>
    <dxf>
      <font>
        <b val="0"/>
        <i val="0"/>
        <strike val="0"/>
        <condense val="0"/>
        <extend val="0"/>
        <outline val="0"/>
        <shadow val="0"/>
        <u val="none"/>
        <vertAlign val="baseline"/>
        <sz val="10"/>
        <color auto="1"/>
        <name val="Arial"/>
        <scheme val="none"/>
      </font>
      <fill>
        <patternFill>
          <bgColor indexed="64"/>
        </patternFill>
      </fill>
    </dxf>
    <dxf>
      <fill>
        <patternFill patternType="solid">
          <bgColor rgb="FFFFC000"/>
        </patternFill>
      </fill>
    </dxf>
    <dxf>
      <fill>
        <patternFill patternType="solid">
          <bgColor rgb="FFFFFF00"/>
        </patternFill>
      </fill>
    </dxf>
    <dxf>
      <fill>
        <patternFill patternType="solid">
          <fgColor indexed="64"/>
          <bgColor indexed="4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b/>
      </font>
    </dxf>
    <dxf>
      <font>
        <b/>
      </font>
    </dxf>
    <dxf>
      <alignment vertical="center" readingOrder="0"/>
    </dxf>
    <dxf>
      <alignment vertical="center" readingOrder="0"/>
    </dxf>
    <dxf>
      <font>
        <b/>
      </font>
    </dxf>
    <dxf>
      <font>
        <sz val="11"/>
      </font>
    </dxf>
    <dxf>
      <font>
        <sz val="11"/>
      </font>
    </dxf>
    <dxf>
      <font>
        <sz val="11"/>
      </font>
    </dxf>
    <dxf>
      <font>
        <sz val="11"/>
      </font>
    </dxf>
    <dxf>
      <font>
        <sz val="11"/>
      </font>
    </dxf>
    <dxf>
      <font>
        <sz val="11"/>
      </font>
    </dxf>
    <dxf>
      <font>
        <b/>
      </font>
    </dxf>
    <dxf>
      <font>
        <b/>
      </font>
    </dxf>
    <dxf>
      <font>
        <b/>
      </font>
    </dxf>
    <dxf>
      <font>
        <b/>
      </font>
    </dxf>
    <dxf>
      <font>
        <b/>
      </font>
    </dxf>
    <dxf>
      <alignment horizontal="center" readingOrder="0"/>
    </dxf>
    <dxf>
      <fill>
        <patternFill>
          <bgColor indexed="41"/>
        </patternFill>
      </fill>
    </dxf>
    <dxf>
      <border>
        <right style="thin">
          <color indexed="64"/>
        </right>
      </border>
    </dxf>
    <dxf>
      <border>
        <right style="thin">
          <color indexed="64"/>
        </right>
      </border>
    </dxf>
    <dxf>
      <alignment vertical="top" readingOrder="0"/>
    </dxf>
    <dxf>
      <border>
        <right style="medium">
          <color indexed="64"/>
        </right>
      </border>
    </dxf>
    <dxf>
      <border>
        <left style="medium">
          <color indexed="64"/>
        </left>
        <right style="medium">
          <color indexed="64"/>
        </right>
        <bottom style="medium">
          <color indexed="64"/>
        </bottom>
      </border>
    </dxf>
    <dxf>
      <border>
        <left/>
        <right/>
        <top/>
        <bottom/>
      </border>
    </dxf>
    <dxf>
      <font>
        <b/>
      </font>
    </dxf>
    <dxf>
      <fill>
        <patternFill patternType="solid">
          <bgColor indexed="47"/>
        </patternFill>
      </fill>
    </dxf>
    <dxf>
      <font>
        <b/>
      </font>
    </dxf>
    <dxf>
      <fill>
        <patternFill patternType="solid">
          <bgColor indexed="41"/>
        </patternFill>
      </fill>
    </dxf>
    <dxf>
      <font>
        <b/>
      </font>
    </dxf>
    <dxf>
      <fill>
        <patternFill patternType="solid">
          <bgColor indexed="41"/>
        </patternFill>
      </fill>
    </dxf>
    <dxf>
      <fill>
        <patternFill>
          <bgColor indexed="41"/>
        </patternFill>
      </fill>
    </dxf>
    <dxf>
      <fill>
        <patternFill patternType="solid">
          <bgColor indexed="42"/>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ont>
        <b/>
      </font>
    </dxf>
    <dxf>
      <alignment horizontal="center" readingOrder="0"/>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4" tint="0.59999389629810485"/>
        </patternFill>
      </fill>
    </dxf>
    <dxf>
      <alignment vertical="center" readingOrder="0"/>
    </dxf>
    <dxf>
      <fill>
        <patternFill patternType="solid">
          <bgColor theme="9" tint="0.39997558519241921"/>
        </patternFill>
      </fill>
    </dxf>
    <dxf>
      <fill>
        <patternFill patternType="solid">
          <bgColor theme="9" tint="0.39997558519241921"/>
        </patternFill>
      </fill>
    </dxf>
    <dxf>
      <font>
        <color theme="9" tint="0.39997558519241921"/>
      </font>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alignment horizontal="left" readingOrder="0"/>
    </dxf>
    <dxf>
      <font>
        <sz val="12"/>
      </font>
    </dxf>
    <dxf>
      <font>
        <sz val="12"/>
      </font>
    </dxf>
    <dxf>
      <fill>
        <patternFill>
          <bgColor theme="4" tint="0.59999389629810485"/>
        </patternFill>
      </fill>
    </dxf>
    <dxf>
      <alignment horizontal="left" readingOrder="0"/>
    </dxf>
    <dxf>
      <fill>
        <patternFill>
          <bgColor theme="4" tint="0.59999389629810485"/>
        </patternFill>
      </fill>
    </dxf>
    <dxf>
      <fill>
        <patternFill>
          <bgColor theme="3" tint="0.79998168889431442"/>
        </patternFill>
      </fill>
    </dxf>
    <dxf>
      <font>
        <sz val="12"/>
      </font>
    </dxf>
    <dxf>
      <font>
        <sz val="12"/>
      </font>
    </dxf>
    <dxf>
      <font>
        <b/>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b/>
      </font>
    </dxf>
    <dxf>
      <font>
        <b/>
      </font>
    </dxf>
    <dxf>
      <font>
        <b/>
      </font>
    </dxf>
    <dxf>
      <font>
        <b/>
      </font>
    </dxf>
    <dxf>
      <font>
        <b/>
      </font>
    </dxf>
    <dxf>
      <font>
        <sz val="11"/>
      </font>
    </dxf>
    <dxf>
      <font>
        <sz val="11"/>
      </font>
    </dxf>
    <dxf>
      <font>
        <sz val="11"/>
      </font>
    </dxf>
    <dxf>
      <font>
        <sz val="11"/>
      </font>
    </dxf>
    <dxf>
      <font>
        <sz val="11"/>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alignment horizontal="center" readingOrder="0"/>
    </dxf>
    <dxf>
      <fill>
        <patternFill>
          <bgColor theme="4" tint="0.39997558519241921"/>
        </patternFill>
      </fill>
    </dxf>
    <dxf>
      <font>
        <color theme="6" tint="0.39997558519241921"/>
      </font>
    </dxf>
    <dxf>
      <fill>
        <patternFill>
          <bgColor theme="6" tint="0.39997558519241921"/>
        </patternFill>
      </fill>
    </dxf>
    <dxf>
      <border>
        <left style="thin">
          <color indexed="64"/>
        </left>
        <right style="thin">
          <color indexed="64"/>
        </right>
        <top style="thin">
          <color indexed="64"/>
        </top>
      </border>
    </dxf>
    <dxf>
      <border>
        <left/>
        <right/>
        <top/>
        <bottom/>
        <vertical/>
      </border>
    </dxf>
    <dxf>
      <fill>
        <patternFill>
          <bgColor theme="9" tint="0.39997558519241921"/>
        </patternFill>
      </fill>
    </dxf>
    <dxf>
      <font>
        <color theme="9" tint="0.59999389629810485"/>
      </font>
    </dxf>
    <dxf>
      <font>
        <b val="0"/>
        <i val="0"/>
        <strike val="0"/>
        <condense val="0"/>
        <extend val="0"/>
        <outline val="0"/>
        <shadow val="0"/>
        <u val="none"/>
        <vertAlign val="baseline"/>
        <sz val="10"/>
        <color auto="1"/>
        <name val="Arial"/>
        <scheme val="none"/>
      </font>
      <fill>
        <patternFill>
          <bgColor indexed="6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indexed="47"/>
        </patternFill>
      </fill>
    </dxf>
    <dxf>
      <font>
        <b val="0"/>
        <i val="0"/>
        <strike val="0"/>
        <condense val="0"/>
        <extend val="0"/>
        <outline val="0"/>
        <shadow val="0"/>
        <u val="none"/>
        <vertAlign val="baseline"/>
        <sz val="10"/>
        <color auto="1"/>
        <name val="Arial"/>
        <scheme val="none"/>
      </font>
      <fill>
        <patternFill>
          <bgColor indexed="64"/>
        </patternFill>
      </fill>
    </dxf>
    <dxf>
      <alignment vertical="center" readingOrder="0"/>
    </dxf>
    <dxf>
      <alignment vertical="center" readingOrder="0"/>
    </dxf>
    <dxf>
      <alignment vertical="center" readingOrder="0"/>
    </dxf>
    <dxf>
      <alignment horizontal="center" readingOrder="0"/>
    </dxf>
    <dxf>
      <alignment vertical="center" readingOrder="0"/>
    </dxf>
    <dxf>
      <font>
        <sz val="11"/>
      </font>
    </dxf>
    <dxf>
      <alignment vertical="center" readingOrder="0"/>
    </dxf>
    <dxf>
      <alignment vertical="center" readingOrder="0"/>
    </dxf>
    <dxf>
      <fill>
        <patternFill>
          <bgColor indexed="64"/>
        </patternFill>
      </fill>
      <alignment horizontal="right" readingOrder="0"/>
    </dxf>
    <dxf>
      <fill>
        <patternFill>
          <bgColor indexed="64"/>
        </patternFill>
      </fill>
      <alignment horizontal="right" readingOrder="0"/>
    </dxf>
    <dxf>
      <font>
        <b val="0"/>
        <i val="0"/>
        <strike val="0"/>
        <condense val="0"/>
        <extend val="0"/>
        <outline val="0"/>
        <shadow val="0"/>
        <u val="none"/>
        <vertAlign val="baseline"/>
        <sz val="10"/>
        <color auto="1"/>
        <name val="Arial"/>
        <scheme val="none"/>
      </font>
      <fill>
        <patternFill>
          <bgColor indexed="64"/>
        </patternFill>
      </fill>
    </dxf>
    <dxf>
      <fill>
        <patternFill patternType="solid">
          <bgColor rgb="FFFFC0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1"/>
      </font>
    </dxf>
    <dxf>
      <font>
        <b/>
      </font>
    </dxf>
    <dxf>
      <font>
        <b/>
      </font>
    </dxf>
    <dxf>
      <alignment vertical="center" readingOrder="0"/>
    </dxf>
    <dxf>
      <alignment vertical="center" readingOrder="0"/>
    </dxf>
    <dxf>
      <font>
        <b/>
      </font>
    </dxf>
    <dxf>
      <font>
        <sz val="11"/>
      </font>
    </dxf>
    <dxf>
      <fill>
        <patternFill>
          <bgColor indexed="41"/>
        </patternFill>
      </fill>
    </dxf>
    <dxf>
      <alignment vertical="top" readingOrder="0"/>
    </dxf>
    <dxf>
      <border>
        <right style="medium">
          <color indexed="64"/>
        </right>
      </border>
    </dxf>
    <dxf>
      <border>
        <left style="medium">
          <color indexed="64"/>
        </left>
        <right style="medium">
          <color indexed="64"/>
        </right>
        <bottom style="medium">
          <color indexed="64"/>
        </bottom>
      </border>
    </dxf>
    <dxf>
      <border>
        <left/>
        <right/>
        <top/>
        <bottom/>
      </border>
    </dxf>
    <dxf>
      <font>
        <b/>
      </font>
    </dxf>
    <dxf>
      <fill>
        <patternFill patternType="solid">
          <bgColor indexed="47"/>
        </patternFill>
      </fill>
    </dxf>
    <dxf>
      <font>
        <b/>
      </font>
    </dxf>
    <dxf>
      <fill>
        <patternFill patternType="solid">
          <bgColor indexed="41"/>
        </patternFill>
      </fill>
    </dxf>
    <dxf>
      <fill>
        <patternFill patternType="solid">
          <bgColor indexed="42"/>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ont>
        <b/>
      </font>
    </dxf>
    <dxf>
      <alignment horizontal="center" readingOrder="0"/>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alignment vertical="center" readingOrder="0"/>
    </dxf>
    <dxf>
      <alignment vertical="center" readingOrder="0"/>
    </dxf>
    <dxf>
      <alignment vertical="center" readingOrder="0"/>
    </dxf>
    <dxf>
      <border>
        <left style="medium">
          <color indexed="64"/>
        </left>
        <right style="medium">
          <color indexed="64"/>
        </right>
        <top style="medium">
          <color indexed="64"/>
        </top>
      </border>
    </dxf>
    <dxf>
      <font>
        <b/>
      </font>
    </dxf>
    <dxf>
      <numFmt numFmtId="166" formatCode="_(* #,##0_);_(* \(#,##0\);_(* &quot;-&quot;??_);_(@_)"/>
    </dxf>
    <dxf>
      <border>
        <right style="medium">
          <color indexed="64"/>
        </right>
      </border>
    </dxf>
    <dxf>
      <border>
        <left style="medium">
          <color indexed="64"/>
        </left>
        <right style="medium">
          <color indexed="64"/>
        </right>
        <bottom style="medium">
          <color indexed="64"/>
        </bottom>
      </border>
    </dxf>
    <dxf>
      <border>
        <left/>
        <right/>
        <top/>
        <bottom/>
      </border>
    </dxf>
    <dxf>
      <font>
        <b/>
      </font>
    </dxf>
    <dxf>
      <fill>
        <patternFill patternType="solid">
          <bgColor indexed="47"/>
        </patternFill>
      </fill>
    </dxf>
    <dxf>
      <font>
        <b/>
      </font>
    </dxf>
    <dxf>
      <fill>
        <patternFill patternType="solid">
          <bgColor indexed="41"/>
        </patternFill>
      </fill>
    </dxf>
    <dxf>
      <font>
        <b/>
      </font>
    </dxf>
    <dxf>
      <fill>
        <patternFill>
          <bgColor indexed="43"/>
        </patternFill>
      </fill>
    </dxf>
    <dxf>
      <fill>
        <patternFill patternType="solid">
          <bgColor indexed="41"/>
        </patternFill>
      </fill>
    </dxf>
    <dxf>
      <fill>
        <patternFill>
          <bgColor indexed="41"/>
        </patternFill>
      </fill>
    </dxf>
    <dxf>
      <fill>
        <patternFill patternType="solid">
          <bgColor indexed="42"/>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ill>
        <patternFill patternType="solid">
          <bgColor indexed="47"/>
        </patternFill>
      </fill>
    </dxf>
    <dxf>
      <font>
        <b/>
      </font>
    </dxf>
    <dxf>
      <alignment horizontal="center"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pivotCacheDefinition" Target="pivotCache/pivotCacheDefinition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466725</xdr:colOff>
      <xdr:row>1</xdr:row>
      <xdr:rowOff>0</xdr:rowOff>
    </xdr:from>
    <xdr:to>
      <xdr:col>10</xdr:col>
      <xdr:colOff>293282</xdr:colOff>
      <xdr:row>8</xdr:row>
      <xdr:rowOff>125430</xdr:rowOff>
    </xdr:to>
    <xdr:pic>
      <xdr:nvPicPr>
        <xdr:cNvPr id="2" name="Picture 1"/>
        <xdr:cNvPicPr/>
      </xdr:nvPicPr>
      <xdr:blipFill>
        <a:blip xmlns:r="http://schemas.openxmlformats.org/officeDocument/2006/relationships" r:embed="rId1"/>
        <a:srcRect/>
        <a:stretch>
          <a:fillRect/>
        </a:stretch>
      </xdr:blipFill>
      <xdr:spPr bwMode="auto">
        <a:xfrm>
          <a:off x="5476875" y="114300"/>
          <a:ext cx="3455582" cy="1763730"/>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Eugene Goldberg" refreshedDate="42156.823181944441" createdVersion="3" refreshedVersion="4" minRefreshableVersion="3" recordCount="77">
  <cacheSource type="worksheet">
    <worksheetSource ref="B1:AA78" sheet="DC Portfolio"/>
  </cacheSource>
  <cacheFields count="26">
    <cacheField name="Sector" numFmtId="0">
      <sharedItems containsBlank="1" count="3">
        <s v="MSS"/>
        <m/>
        <s v="NPS"/>
      </sharedItems>
    </cacheField>
    <cacheField name="Group" numFmtId="0">
      <sharedItems containsBlank="1" count="8">
        <s v="Americas"/>
        <s v="Asia"/>
        <m/>
        <s v="Australia"/>
        <s v="EMEA"/>
        <s v="ITIS"/>
        <s v="LATAM"/>
        <s v="TC&amp;H"/>
      </sharedItems>
    </cacheField>
    <cacheField name="Holding" numFmtId="0">
      <sharedItems containsBlank="1" count="5">
        <s v="Own"/>
        <s v="Colo"/>
        <s v="Colo Style Lease"/>
        <s v="Lease"/>
        <m/>
      </sharedItems>
    </cacheField>
    <cacheField name="Contract Start Date" numFmtId="0">
      <sharedItems containsDate="1" containsBlank="1" containsMixedTypes="1" minDate="1999-01-12T00:00:00" maxDate="2013-03-16T00:00:00"/>
    </cacheField>
    <cacheField name="Contract End Date" numFmtId="0">
      <sharedItems containsDate="1" containsBlank="1" containsMixedTypes="1" minDate="2013-02-15T00:00:00" maxDate="2025-01-02T00:00:00"/>
    </cacheField>
    <cacheField name="Data Center Acronym" numFmtId="0">
      <sharedItems containsBlank="1"/>
    </cacheField>
    <cacheField name="Strategic Location" numFmtId="0">
      <sharedItems containsBlank="1"/>
    </cacheField>
    <cacheField name="Location" numFmtId="0">
      <sharedItems/>
    </cacheField>
    <cacheField name="Overall Tier Level" numFmtId="0">
      <sharedItems containsBlank="1" containsMixedTypes="1" containsNumber="1" containsInteger="1" minValue="1" maxValue="4" count="7">
        <n v="2"/>
        <n v="3"/>
        <n v="1"/>
        <m/>
        <n v="4"/>
        <s v="n/at"/>
        <s v="n/a"/>
      </sharedItems>
    </cacheField>
    <cacheField name="Electrical Tier Level" numFmtId="0">
      <sharedItems containsString="0" containsBlank="1" containsNumber="1" containsInteger="1" minValue="1" maxValue="4"/>
    </cacheField>
    <cacheField name="Mechanical Tier Level" numFmtId="0">
      <sharedItems containsString="0" containsBlank="1" containsNumber="1" containsInteger="1" minValue="1" maxValue="4"/>
    </cacheField>
    <cacheField name="SLA" numFmtId="0">
      <sharedItems containsBlank="1"/>
    </cacheField>
    <cacheField name="Address" numFmtId="0">
      <sharedItems containsBlank="1"/>
    </cacheField>
    <cacheField name="City" numFmtId="0">
      <sharedItems containsBlank="1"/>
    </cacheField>
    <cacheField name="State/Province/County" numFmtId="0">
      <sharedItems containsBlank="1"/>
    </cacheField>
    <cacheField name="Country" numFmtId="0">
      <sharedItems containsBlank="1"/>
    </cacheField>
    <cacheField name="Zip/Postal Code" numFmtId="0">
      <sharedItems containsBlank="1" containsMixedTypes="1" containsNumber="1" containsInteger="1" minValue="19711" maxValue="95054"/>
    </cacheField>
    <cacheField name="Max Power per Cabinet KW" numFmtId="0">
      <sharedItems containsBlank="1" containsMixedTypes="1" containsNumber="1" minValue="3.2" maxValue="3.2"/>
    </cacheField>
    <cacheField name="IT Area - SM" numFmtId="164">
      <sharedItems containsString="0" containsBlank="1" containsNumber="1" minValue="10.962558720000001" maxValue="8194.0481280000004"/>
    </cacheField>
    <cacheField name="IT Area - SF" numFmtId="166">
      <sharedItems containsString="0" containsBlank="1" containsNumber="1" containsInteger="1" minValue="118" maxValue="88200"/>
    </cacheField>
    <cacheField name="Total Usable DC Raised Floor Space (DCQM)" numFmtId="166">
      <sharedItems containsBlank="1" containsMixedTypes="1" containsNumber="1" containsInteger="1" minValue="1690" maxValue="48756"/>
    </cacheField>
    <cacheField name="Floor Space Utilization" numFmtId="0">
      <sharedItems containsBlank="1" containsMixedTypes="1" containsNumber="1" minValue="0" maxValue="1"/>
    </cacheField>
    <cacheField name="UPS N Capacity Installed (kW)" numFmtId="0">
      <sharedItems containsString="0" containsBlank="1" containsNumber="1" minValue="10.9" maxValue="1920"/>
    </cacheField>
    <cacheField name="UPS Actual Load (kW)" numFmtId="0">
      <sharedItems containsBlank="1" containsMixedTypes="1" containsNumber="1" containsInteger="1" minValue="98" maxValue="750"/>
    </cacheField>
    <cacheField name="% of UPS Capacity Utilized" numFmtId="0">
      <sharedItems containsBlank="1" containsMixedTypes="1" containsNumber="1" minValue="0" maxValue="0.9"/>
    </cacheField>
    <cacheField name="Total Site Load (kW)" numFmtId="166">
      <sharedItems containsBlank="1" containsMixedTypes="1" containsNumber="1" containsInteger="1" minValue="120" maxValue="14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
  <r>
    <x v="0"/>
    <x v="0"/>
    <x v="0"/>
    <s v="DC Sold"/>
    <s v=" Q1FY14"/>
    <s v="BHDC"/>
    <s v="CLOSED"/>
    <s v="Berkeley Heights (BHDC) Closed, Sale Closed end of Sept 2013"/>
    <x v="0"/>
    <n v="2"/>
    <n v="2"/>
    <m/>
    <s v="100 Locust Ave"/>
    <s v="Berkeley Heights "/>
    <s v="NJ"/>
    <s v="USA"/>
    <s v="07922"/>
    <m/>
    <n v="2486.8285747200002"/>
    <n v="26768"/>
    <m/>
    <n v="0"/>
    <n v="1100"/>
    <m/>
    <m/>
    <m/>
  </r>
  <r>
    <x v="0"/>
    <x v="0"/>
    <x v="1"/>
    <d v="2010-03-01T00:00:00"/>
    <d v="2020-03-31T00:00:00"/>
    <s v="RESDC"/>
    <s v="y"/>
    <s v="Reston- Retain Long Term"/>
    <x v="1"/>
    <n v="3"/>
    <n v="3"/>
    <m/>
    <s v="12100 Sunrise Valley Drive"/>
    <s v="Reston"/>
    <s v="VA"/>
    <s v="USA"/>
    <n v="20191"/>
    <m/>
    <n v="1498.34022912"/>
    <n v="16128"/>
    <m/>
    <m/>
    <n v="1920"/>
    <m/>
    <m/>
    <m/>
  </r>
  <r>
    <x v="0"/>
    <x v="0"/>
    <x v="1"/>
    <d v="2011-09-13T00:00:00"/>
    <d v="2016-09-12T00:00:00"/>
    <s v="LDC1"/>
    <m/>
    <s v="Lewisville, (Dallas) - New DC in Carrollton for expansion"/>
    <x v="1"/>
    <n v="3"/>
    <n v="3"/>
    <m/>
    <s v="2501 South State Highway 121"/>
    <s v="Lewisville"/>
    <s v="TX"/>
    <s v="USA"/>
    <n v="75067"/>
    <m/>
    <n v="139.35456000000002"/>
    <n v="1500"/>
    <m/>
    <m/>
    <n v="300"/>
    <m/>
    <m/>
    <m/>
  </r>
  <r>
    <x v="0"/>
    <x v="0"/>
    <x v="1"/>
    <d v="2011-01-01T00:00:00"/>
    <d v="2020-12-31T00:00:00"/>
    <s v="LDC2"/>
    <m/>
    <s v="Lewisville, (Dallas)"/>
    <x v="1"/>
    <n v="3"/>
    <n v="3"/>
    <m/>
    <s v="2501 South State Highway 121"/>
    <s v="Lewisville"/>
    <s v="TX"/>
    <s v="USA"/>
    <n v="75067"/>
    <m/>
    <n v="278.70912000000004"/>
    <n v="3000"/>
    <m/>
    <m/>
    <n v="375"/>
    <m/>
    <m/>
    <m/>
  </r>
  <r>
    <x v="0"/>
    <x v="0"/>
    <x v="1"/>
    <d v="2010-10-17T00:00:00"/>
    <d v="2020-10-16T00:00:00"/>
    <s v="AUDC"/>
    <m/>
    <s v="Austin"/>
    <x v="1"/>
    <n v="3"/>
    <n v="3"/>
    <m/>
    <s v="7401 East Ben White Blvd"/>
    <s v="Austin"/>
    <s v="TX"/>
    <s v="USA"/>
    <n v="78744"/>
    <m/>
    <n v="278.70912000000004"/>
    <n v="3000"/>
    <m/>
    <m/>
    <n v="375"/>
    <m/>
    <m/>
    <m/>
  </r>
  <r>
    <x v="0"/>
    <x v="0"/>
    <x v="1"/>
    <m/>
    <m/>
    <m/>
    <m/>
    <s v="Austin- DC Foundry- Service Mesh DC- Aquired, 2013/4"/>
    <x v="1"/>
    <n v="3"/>
    <n v="3"/>
    <m/>
    <m/>
    <m/>
    <m/>
    <m/>
    <m/>
    <m/>
    <m/>
    <m/>
    <m/>
    <m/>
    <m/>
    <m/>
    <m/>
    <m/>
  </r>
  <r>
    <x v="0"/>
    <x v="0"/>
    <x v="2"/>
    <d v="2007-10-15T00:00:00"/>
    <d v="2014-10-31T00:00:00"/>
    <s v="CDC2"/>
    <s v="y"/>
    <s v="Chicago (CDC) - 2nd floor- (colo 1st)"/>
    <x v="1"/>
    <n v="3"/>
    <n v="3"/>
    <m/>
    <s v="350 E. Cermak "/>
    <s v="Chicago"/>
    <s v="IL"/>
    <s v="USA"/>
    <n v="60616"/>
    <s v="4.7-7.0"/>
    <n v="622.45036800000003"/>
    <n v="6700"/>
    <n v="3644"/>
    <s v="CURRENT METRIC INFORMATION for Columns R-W in DCQM"/>
    <m/>
    <m/>
    <m/>
    <m/>
  </r>
  <r>
    <x v="0"/>
    <x v="0"/>
    <x v="3"/>
    <d v="2004-06-01T00:00:00"/>
    <d v="2014-09-30T00:00:00"/>
    <s v="CDC3"/>
    <s v="y"/>
    <s v="Chicago (CDC) - 3rd floor- (NW on 2nd)"/>
    <x v="1"/>
    <n v="3"/>
    <n v="3"/>
    <m/>
    <s v="350 E. Cermak"/>
    <s v="Chicago"/>
    <s v="IL"/>
    <s v="USA"/>
    <n v="60616"/>
    <s v="4.7-7.0"/>
    <n v="2843.2046361600001"/>
    <n v="30604"/>
    <n v="18796"/>
    <s v="CURRENT METRIC INFORMATION for Columns R-W in DCQM"/>
    <m/>
    <m/>
    <m/>
    <m/>
  </r>
  <r>
    <x v="0"/>
    <x v="0"/>
    <x v="3"/>
    <d v="2008-09-01T00:00:00"/>
    <d v="2018-08-31T00:00:00"/>
    <s v="CDC4"/>
    <s v="y"/>
    <s v="Chicago (CDC) - 4th floor - (NW on 2nd)"/>
    <x v="1"/>
    <n v="3"/>
    <n v="3"/>
    <m/>
    <s v="350 E. Cermak"/>
    <s v="Chicago"/>
    <s v="IL"/>
    <s v="USA"/>
    <n v="60616"/>
    <s v="4.7-7.0"/>
    <n v="1858.0608000000002"/>
    <n v="20000"/>
    <n v="10652"/>
    <s v="CURRENT METRIC INFORMATION for Columns R-W in DCQM"/>
    <m/>
    <m/>
    <m/>
    <m/>
  </r>
  <r>
    <x v="0"/>
    <x v="0"/>
    <x v="0"/>
    <m/>
    <m/>
    <s v="MERDC"/>
    <s v="y"/>
    <s v="Meriden (MERDC) Tier 3 Mech Upgrades for 2nd cooling loop removed from consideration (major disruption)"/>
    <x v="0"/>
    <n v="3"/>
    <n v="2"/>
    <m/>
    <s v="71 Deerfield Lane"/>
    <s v="Meriden"/>
    <s v="CT"/>
    <s v="USA"/>
    <s v="06450"/>
    <m/>
    <n v="5992.2460800000008"/>
    <n v="64500"/>
    <n v="31353"/>
    <s v="CURRENT METRIC INFORMATION for Columns R-W in DCQM"/>
    <m/>
    <m/>
    <m/>
    <m/>
  </r>
  <r>
    <x v="0"/>
    <x v="0"/>
    <x v="0"/>
    <m/>
    <m/>
    <s v="NDC"/>
    <s v="YES- MAIN"/>
    <s v="Newark (NDC) - Possible Planned Mega Ctr "/>
    <x v="1"/>
    <n v="3"/>
    <n v="3"/>
    <m/>
    <s v="645 Paper Mill Rd"/>
    <s v="Newark"/>
    <s v="DE"/>
    <s v="USA"/>
    <n v="19711"/>
    <n v="3.2"/>
    <n v="8194.0481280000004"/>
    <n v="88200"/>
    <n v="48756"/>
    <s v="CURRENT METRIC INFORMATION for Columns R-W in DCQM"/>
    <m/>
    <m/>
    <m/>
    <m/>
  </r>
  <r>
    <x v="0"/>
    <x v="0"/>
    <x v="3"/>
    <d v="2009-01-12T00:00:00"/>
    <d v="2019-12-31T00:00:00"/>
    <s v="NEDC"/>
    <m/>
    <s v="Newington, Leased from UTC"/>
    <x v="2"/>
    <n v="1"/>
    <n v="1"/>
    <m/>
    <s v="25 Holly Drive "/>
    <s v="Newington"/>
    <s v="CT"/>
    <s v="USA"/>
    <m/>
    <m/>
    <n v="1615.02644736"/>
    <n v="17384"/>
    <m/>
    <m/>
    <m/>
    <m/>
    <m/>
    <m/>
  </r>
  <r>
    <x v="0"/>
    <x v="0"/>
    <x v="0"/>
    <m/>
    <m/>
    <s v="NOR2"/>
    <s v="YES- MAIN"/>
    <s v="Norwich (East)  - Near capacity"/>
    <x v="1"/>
    <n v="3"/>
    <n v="3"/>
    <m/>
    <s v="100 Winnendon Rd"/>
    <s v="Norwich"/>
    <s v="CT"/>
    <s v="USA"/>
    <s v="06360"/>
    <m/>
    <n v="1579.3516800000002"/>
    <n v="17000"/>
    <n v="10156"/>
    <s v="CURRENT METRIC INFORMATION for Columns R-W in DCQM"/>
    <m/>
    <m/>
    <m/>
    <m/>
  </r>
  <r>
    <x v="0"/>
    <x v="0"/>
    <x v="0"/>
    <m/>
    <m/>
    <s v="NOR1"/>
    <s v="YES- MAIN"/>
    <s v="Norwich (North &amp; South)"/>
    <x v="0"/>
    <n v="3"/>
    <n v="2"/>
    <m/>
    <s v="100 Winnendon Rd"/>
    <s v="Norwich"/>
    <s v="CT"/>
    <s v="USA"/>
    <s v="06360"/>
    <m/>
    <n v="3010.4301081600001"/>
    <n v="32404"/>
    <n v="16071"/>
    <s v="CURRENT METRIC INFORMATION for Columns R-W in DCQM"/>
    <m/>
    <m/>
    <m/>
    <m/>
  </r>
  <r>
    <x v="0"/>
    <x v="0"/>
    <x v="1"/>
    <d v="2012-03-09T00:00:00"/>
    <d v="2015-04-19T00:00:00"/>
    <s v="BRDC"/>
    <s v="y"/>
    <s v="Brampton-single cage Vblock, 7 racks, 3 Vblk, 2 NW, 2 Exp of Vblk"/>
    <x v="1"/>
    <n v="3"/>
    <n v="3"/>
    <m/>
    <s v="30 Bramtree Court"/>
    <s v="Brampton"/>
    <s v="Ontario"/>
    <s v="Canada"/>
    <s v="L6S 5Z7"/>
    <m/>
    <n v="23.41156608"/>
    <n v="252"/>
    <m/>
    <m/>
    <n v="25"/>
    <m/>
    <m/>
    <m/>
  </r>
  <r>
    <x v="0"/>
    <x v="0"/>
    <x v="1"/>
    <d v="2009-02-02T00:00:00"/>
    <d v="2013-11-26T00:00:00"/>
    <s v="TODC"/>
    <m/>
    <s v="Toronto"/>
    <x v="0"/>
    <n v="2"/>
    <n v="2"/>
    <m/>
    <s v="100 Wellington St. West"/>
    <s v="Toronto"/>
    <s v="Ontario"/>
    <s v="Canada"/>
    <s v="M5K 1J3"/>
    <m/>
    <n v="46.451520000000002"/>
    <n v="500"/>
    <m/>
    <m/>
    <m/>
    <m/>
    <m/>
    <m/>
  </r>
  <r>
    <x v="0"/>
    <x v="0"/>
    <x v="1"/>
    <d v="2011-09-01T00:00:00"/>
    <d v="2014-08-31T00:00:00"/>
    <s v="DDC"/>
    <m/>
    <s v="Aurora, (Denver)- Contract novated to IBM 8-2013 Final 2-2014                 NO LONGER CSC DC"/>
    <x v="1"/>
    <n v="3"/>
    <n v="3"/>
    <m/>
    <s v="11900 East Cornell Ave, Suite A"/>
    <s v="Aurora"/>
    <s v="CO"/>
    <s v="USA"/>
    <n v="80014"/>
    <m/>
    <n v="167.22547200000002"/>
    <n v="1800"/>
    <m/>
    <m/>
    <n v="243"/>
    <m/>
    <m/>
    <m/>
  </r>
  <r>
    <x v="0"/>
    <x v="1"/>
    <x v="1"/>
    <d v="2011-04-25T00:00:00"/>
    <d v="2013-04-24T00:00:00"/>
    <s v="TDC"/>
    <m/>
    <s v="Tokyo"/>
    <x v="1"/>
    <n v="3"/>
    <n v="3"/>
    <m/>
    <s v="Tokyo Dia Building #5 10F, 1-28-23, Shinkawa, Chuo-ku"/>
    <s v="Tokyo"/>
    <s v="Tokyo"/>
    <s v="Japan"/>
    <m/>
    <m/>
    <n v="139.35456000000002"/>
    <n v="1500"/>
    <m/>
    <n v="0.83"/>
    <n v="174"/>
    <n v="148"/>
    <n v="0.85057471264367812"/>
    <n v="174"/>
  </r>
  <r>
    <x v="0"/>
    <x v="1"/>
    <x v="1"/>
    <m/>
    <m/>
    <m/>
    <m/>
    <s v="Singapore PACNET- (proposed for Shift from HBDC) MPS102 4-2014 - Now July- Bus Case Approved per Mike- DC Filling up Hang onto 2000sqft"/>
    <x v="3"/>
    <m/>
    <m/>
    <m/>
    <m/>
    <m/>
    <m/>
    <m/>
    <m/>
    <m/>
    <n v="185.80608000000001"/>
    <n v="2000"/>
    <s v="6K Pod, willing to start at 2k"/>
    <m/>
    <m/>
    <m/>
    <m/>
    <m/>
  </r>
  <r>
    <x v="0"/>
    <x v="1"/>
    <x v="0"/>
    <m/>
    <m/>
    <s v="HBDC"/>
    <s v="y"/>
    <s v="Henderson Building (HBDC)"/>
    <x v="0"/>
    <n v="2"/>
    <n v="2"/>
    <m/>
    <s v="221 Henderson Road, #05-1"/>
    <s v="Singapore"/>
    <s v="Singapore"/>
    <s v="Singapore"/>
    <m/>
    <m/>
    <n v="526.10991552000007"/>
    <n v="5663"/>
    <n v="5663"/>
    <s v="CURRENT METRIC INFORMATION for Columns R-W in DCQM"/>
    <m/>
    <m/>
    <m/>
    <m/>
  </r>
  <r>
    <x v="0"/>
    <x v="1"/>
    <x v="1"/>
    <d v="2012-11-01T00:00:00"/>
    <d v="2017-10-31T00:00:00"/>
    <s v="HDC"/>
    <s v="y"/>
    <s v="Shah Alam (HDC)"/>
    <x v="1"/>
    <n v="3"/>
    <n v="3"/>
    <m/>
    <s v="Level 3A, HDC DATA CENTRE_x000d_M-3A, Block M, No. 6, Persiaran Multimedia, i-City, Seksyen 7, 40000 Shah Alam, Selangor Darul Ehsan."/>
    <s v="Shah Alam"/>
    <s v="Selangor"/>
    <s v="Malaysia"/>
    <m/>
    <m/>
    <n v="287.62781183999999"/>
    <n v="3096"/>
    <m/>
    <n v="0.4"/>
    <n v="129.6"/>
    <s v="See Comment"/>
    <s v="See Comment"/>
    <s v="See Comment"/>
  </r>
  <r>
    <x v="0"/>
    <x v="1"/>
    <x v="0"/>
    <m/>
    <m/>
    <s v="KLDC1"/>
    <s v="y"/>
    <s v="Kuala Lumpur (KLDC1)"/>
    <x v="1"/>
    <n v="3"/>
    <n v="3"/>
    <m/>
    <s v="Wisma CSC, 10A Jalan Bersatu 13/14"/>
    <s v="Petaling Jaya"/>
    <s v="Selangor"/>
    <s v="Malaysia"/>
    <m/>
    <m/>
    <n v="333.5219136"/>
    <n v="3590"/>
    <n v="3590"/>
    <s v="CURRENT METRIC INFORMATION for Columns R-W in DCQM"/>
    <m/>
    <m/>
    <m/>
    <m/>
  </r>
  <r>
    <x v="0"/>
    <x v="1"/>
    <x v="0"/>
    <m/>
    <m/>
    <s v="KLDC2"/>
    <s v="y"/>
    <s v="Kuala Lumpur (KLDC2)"/>
    <x v="1"/>
    <n v="3"/>
    <n v="3"/>
    <m/>
    <s v="Wisma CSC, 10A Jalan Bersatu 13/14"/>
    <s v="Petaling Jaya"/>
    <s v="Selangor"/>
    <s v="Malaysia"/>
    <m/>
    <m/>
    <n v="1630.9128672000002"/>
    <n v="17555"/>
    <n v="17555"/>
    <s v="CURRENT METRIC INFORMATION for Columns R-W in DCQM"/>
    <m/>
    <m/>
    <m/>
    <m/>
  </r>
  <r>
    <x v="0"/>
    <x v="1"/>
    <x v="0"/>
    <m/>
    <m/>
    <s v="KLDC3"/>
    <s v="y"/>
    <s v="Kuala Lumpur (KLDC3)"/>
    <x v="1"/>
    <n v="3"/>
    <n v="3"/>
    <m/>
    <s v="Wisma CSC, 10A Jalan Bersatu 13/14"/>
    <s v="Petaling Jaya"/>
    <s v="Selangor"/>
    <s v="Malaysia"/>
    <m/>
    <m/>
    <n v="157.00613760000002"/>
    <n v="1690"/>
    <n v="1690"/>
    <s v="CURRENT METRIC INFORMATION for Columns R-W in DCQM"/>
    <m/>
    <m/>
    <m/>
    <m/>
  </r>
  <r>
    <x v="0"/>
    <x v="1"/>
    <x v="1"/>
    <d v="2010-01-01T00:00:00"/>
    <d v="2014-12-31T00:00:00"/>
    <s v="CYDC"/>
    <m/>
    <s v="Cyberjaya"/>
    <x v="1"/>
    <n v="3"/>
    <n v="3"/>
    <m/>
    <s v="2nd Floor,TMNET CBJ1, TM Complex, _x000d_Lingkaran Usahawan 1 Timur"/>
    <s v="Cyberjaya"/>
    <s v="Selangor"/>
    <s v="Malaysia"/>
    <m/>
    <m/>
    <n v="401.34113280000003"/>
    <n v="4320"/>
    <m/>
    <n v="0.98599999999999999"/>
    <n v="200"/>
    <n v="120"/>
    <n v="0.9"/>
    <n v="120"/>
  </r>
  <r>
    <x v="0"/>
    <x v="1"/>
    <x v="3"/>
    <d v="2012-08-29T00:00:00"/>
    <d v="2015-08-28T00:00:00"/>
    <s v="STDC1"/>
    <s v="y"/>
    <s v="Sha Tin (STDC1)"/>
    <x v="0"/>
    <n v="2"/>
    <n v="2"/>
    <m/>
    <s v="11 On Sum Street, Topsail Plaza"/>
    <s v="Sha Tin"/>
    <s v="New Territories"/>
    <s v="Hong Kong"/>
    <m/>
    <m/>
    <n v="297.28972800000003"/>
    <n v="3200"/>
    <n v="3200"/>
    <s v="CURRENT METRIC INFORMATION for Columns R-W in DCQM"/>
    <m/>
    <m/>
    <m/>
    <m/>
  </r>
  <r>
    <x v="0"/>
    <x v="1"/>
    <x v="3"/>
    <d v="2012-08-29T00:00:00"/>
    <d v="2015-08-28T00:00:00"/>
    <s v="STDC2"/>
    <s v="y"/>
    <s v="Sha Tin (STDC2)- Lease Extension in Progress- July 2014"/>
    <x v="1"/>
    <n v="3"/>
    <n v="3"/>
    <m/>
    <s v="11 On Sum Street, Topsail Plaza"/>
    <s v="Sha Tin"/>
    <s v="New Territories"/>
    <s v="Hong Kong"/>
    <m/>
    <m/>
    <n v="232.25760000000002"/>
    <n v="2500"/>
    <n v="2500"/>
    <s v="CURRENT METRIC INFORMATION for Columns R-W in DCQM"/>
    <m/>
    <m/>
    <m/>
    <m/>
  </r>
  <r>
    <x v="1"/>
    <x v="2"/>
    <x v="4"/>
    <s v="NEW Space"/>
    <m/>
    <m/>
    <m/>
    <s v="New Hong Kong Space being looked at (small Take-up for Cloud) @ Equnix Data Center"/>
    <x v="3"/>
    <m/>
    <m/>
    <m/>
    <m/>
    <m/>
    <m/>
    <m/>
    <m/>
    <m/>
    <m/>
    <m/>
    <m/>
    <m/>
    <m/>
    <m/>
    <m/>
    <m/>
  </r>
  <r>
    <x v="0"/>
    <x v="1"/>
    <x v="1"/>
    <d v="2012-11-01T00:00:00"/>
    <d v="2015-10-31T00:00:00"/>
    <s v="ODC"/>
    <m/>
    <s v="Panasonic denko Osaka Chuo data centre"/>
    <x v="1"/>
    <n v="3"/>
    <n v="3"/>
    <m/>
    <s v=" 7F Keihanshi-kitahorie building 3-6-11 Kitahorie Nishi-ku"/>
    <s v="Osaka"/>
    <s v="Osaka"/>
    <s v="Japan"/>
    <m/>
    <m/>
    <n v="139.35456000000002"/>
    <n v="1500"/>
    <m/>
    <n v="1"/>
    <n v="150"/>
    <n v="98"/>
    <n v="0.65333333333333332"/>
    <n v="150"/>
  </r>
  <r>
    <x v="0"/>
    <x v="3"/>
    <x v="3"/>
    <d v="2004-04-01T00:00:00"/>
    <s v="3/31/2014 Extended to 3/31/2017"/>
    <s v="CLDC"/>
    <s v="y"/>
    <s v="Clayton (Melbourne)-  Have 5 year extension option- Must Exit at lease expiration-  prop owner would like to tear down and re-purpose land"/>
    <x v="1"/>
    <n v="3"/>
    <n v="3"/>
    <m/>
    <s v="310 Ferntree Gully Road, Building 1"/>
    <s v="Notting Hill"/>
    <s v="VIC"/>
    <s v="Australia"/>
    <m/>
    <m/>
    <n v="1474.4641478400001"/>
    <n v="15871"/>
    <n v="10522"/>
    <s v="CURRENT METRIC INFORMATION for Columns R-W in DCQM"/>
    <m/>
    <m/>
    <m/>
    <m/>
  </r>
  <r>
    <x v="0"/>
    <x v="3"/>
    <x v="3"/>
    <d v="1999-01-12T00:00:00"/>
    <d v="2019-01-12T00:00:00"/>
    <s v="PYDC"/>
    <s v="y"/>
    <s v="Pyrmont (Sydney)- 5 yesr extension planned to 2019 looking at additional 3+2"/>
    <x v="1"/>
    <n v="3"/>
    <n v="3"/>
    <m/>
    <s v="13a Union Street"/>
    <s v="Pyrmont"/>
    <s v="NSW"/>
    <s v="Australia"/>
    <m/>
    <m/>
    <n v="2224.0987776000002"/>
    <n v="23940"/>
    <n v="24112"/>
    <s v="CURRENT METRIC INFORMATION for Columns R-W in DCQM"/>
    <m/>
    <m/>
    <m/>
    <m/>
  </r>
  <r>
    <x v="0"/>
    <x v="3"/>
    <x v="3"/>
    <d v="2004-03-01T00:00:00"/>
    <d v="2019-09-29T00:00:00"/>
    <s v="SUDC"/>
    <s v="y"/>
    <s v="Subiaco (Perth), contract extension to 2019 "/>
    <x v="1"/>
    <n v="3"/>
    <n v="3"/>
    <m/>
    <s v="516 Hay Street"/>
    <s v="Perth"/>
    <s v="WA"/>
    <s v="Australia"/>
    <m/>
    <m/>
    <n v="291.90135168"/>
    <n v="3142"/>
    <n v="3142"/>
    <s v="CURRENT METRIC INFORMATION for Columns R-W in DCQM"/>
    <m/>
    <m/>
    <m/>
    <m/>
  </r>
  <r>
    <x v="0"/>
    <x v="3"/>
    <x v="1"/>
    <s v="TBD"/>
    <m/>
    <m/>
    <m/>
    <s v="Subiaco (Perth) + other Locations, New MSA with NextDC- July 2014,  DC Consolidation PJT"/>
    <x v="3"/>
    <m/>
    <m/>
    <m/>
    <m/>
    <m/>
    <m/>
    <m/>
    <m/>
    <m/>
    <m/>
    <m/>
    <m/>
    <m/>
    <m/>
    <m/>
    <m/>
    <m/>
  </r>
  <r>
    <x v="0"/>
    <x v="3"/>
    <x v="1"/>
    <d v="2010-07-01T00:00:00"/>
    <d v="2013-06-30T00:00:00"/>
    <s v="PEDC1"/>
    <m/>
    <s v="Perth CBD"/>
    <x v="1"/>
    <n v="3"/>
    <n v="3"/>
    <m/>
    <s v="240 St Georges Terrace"/>
    <s v="Perth"/>
    <s v="WA"/>
    <s v="Australia"/>
    <m/>
    <m/>
    <n v="69.955989119999998"/>
    <n v="753"/>
    <m/>
    <n v="1"/>
    <n v="75.3"/>
    <m/>
    <m/>
    <m/>
  </r>
  <r>
    <x v="0"/>
    <x v="3"/>
    <x v="1"/>
    <d v="2009-12-09T00:00:00"/>
    <d v="2014-12-08T00:00:00"/>
    <s v="PEDC2"/>
    <m/>
    <s v="Belmont (Perth)"/>
    <x v="0"/>
    <n v="3"/>
    <n v="3"/>
    <s v="Tier 2- per larry"/>
    <s v="37-39 Robinson Avenue_x000d_ (cnr Francisco Street)"/>
    <s v="Perth"/>
    <s v="WA"/>
    <s v="Australia"/>
    <m/>
    <m/>
    <n v="40.041210240000005"/>
    <n v="431"/>
    <m/>
    <n v="1"/>
    <n v="43.1"/>
    <m/>
    <m/>
    <m/>
  </r>
  <r>
    <x v="0"/>
    <x v="4"/>
    <x v="3"/>
    <d v="2006-01-13T00:00:00"/>
    <d v="2016-01-12T00:00:00"/>
    <s v="ADC"/>
    <s v="YES- MAIN"/>
    <s v="Aylesford"/>
    <x v="0"/>
    <n v="3"/>
    <n v="2"/>
    <m/>
    <s v="Link 20, Bellingham Way, Unit 20"/>
    <s v="Maidstone"/>
    <s v="Kent"/>
    <s v="UK"/>
    <m/>
    <m/>
    <n v="845.60347008000008"/>
    <n v="9102"/>
    <n v="7847"/>
    <s v="CURRENT METRIC INFORMATION for Columns R-W in DCQM"/>
    <m/>
    <m/>
    <m/>
    <m/>
  </r>
  <r>
    <x v="0"/>
    <x v="4"/>
    <x v="3"/>
    <m/>
    <d v="2013-02-15T00:00:00"/>
    <s v="BDC"/>
    <s v="CLOSED"/>
    <s v="Bristol- Closed, Lights off 1/31/13- Keys handed over 7/8/13 after 2.6M reinstatement project"/>
    <x v="0"/>
    <n v="2"/>
    <n v="2"/>
    <m/>
    <s v="Bristol, Station Road"/>
    <s v="Bristol"/>
    <m/>
    <s v="UK"/>
    <m/>
    <m/>
    <n v="1648.9360569600001"/>
    <n v="17749"/>
    <m/>
    <s v="CURRENT METRIC INFORMATION for Columns R-W in DCQM"/>
    <m/>
    <m/>
    <m/>
    <m/>
  </r>
  <r>
    <x v="0"/>
    <x v="4"/>
    <x v="1"/>
    <d v="2010-01-01T00:00:00"/>
    <d v="2025-01-01T00:00:00"/>
    <s v="LXDC1"/>
    <s v="y"/>
    <s v="Drosbach Data Centre "/>
    <x v="4"/>
    <n v="4"/>
    <n v="4"/>
    <m/>
    <s v="Rue Guillaume J Kroll, 12D L-1862"/>
    <s v="Luxembourg"/>
    <m/>
    <s v="Luxembourg"/>
    <m/>
    <m/>
    <n v="1858.0608000000002"/>
    <n v="20000"/>
    <n v="4951"/>
    <s v="CURRENT METRIC INFORMATION for Columns R-W in DCQM"/>
    <m/>
    <m/>
    <m/>
    <m/>
  </r>
  <r>
    <x v="0"/>
    <x v="4"/>
    <x v="1"/>
    <d v="2007-09-01T00:00:00"/>
    <d v="2019-06-30T00:00:00"/>
    <s v="LXDC2"/>
    <s v="y"/>
    <s v="Luxembourg"/>
    <x v="4"/>
    <n v="4"/>
    <n v="4"/>
    <m/>
    <s v="ebrc - Windhof, Windhof Data Centre, 3 rue Pierre Flammang_x000d_L-8399 Windhof (Koerich), Luxembourg"/>
    <s v="Windhof"/>
    <s v="Luxembourg"/>
    <s v="Luxembourg"/>
    <m/>
    <m/>
    <n v="490.99256640000004"/>
    <n v="5285"/>
    <m/>
    <n v="0.8"/>
    <n v="528.5"/>
    <s v="See Comment"/>
    <s v="See Comment"/>
    <s v="See Comment"/>
  </r>
  <r>
    <x v="0"/>
    <x v="4"/>
    <x v="3"/>
    <d v="2004-01-31T00:00:00"/>
    <s v="31/01/2014 (SAS Owns Lease)"/>
    <s v="ENGDC"/>
    <m/>
    <s v="Copenhagen- exit planned, but SAS ownes plan, do not want eq or staff 200.- want CSC to &quot;mop up&quot; (close to Airport)"/>
    <x v="2"/>
    <n v="1"/>
    <n v="1"/>
    <m/>
    <s v="Engvej 153 - 169, Amager Strandvej 108"/>
    <s v="Copenhagen"/>
    <m/>
    <s v="Denmark"/>
    <m/>
    <m/>
    <n v="2399.1281049600002"/>
    <n v="25824"/>
    <m/>
    <m/>
    <n v="840"/>
    <m/>
    <m/>
    <m/>
  </r>
  <r>
    <x v="0"/>
    <x v="4"/>
    <x v="1"/>
    <d v="2005-11-01T00:00:00"/>
    <s v="MTM"/>
    <s v="PDC1"/>
    <m/>
    <s v="Paris"/>
    <x v="0"/>
    <n v="3"/>
    <n v="2"/>
    <m/>
    <s v="Rue De La Belle Etoile 167, 95700, Roissy"/>
    <s v="Roissy"/>
    <s v="Grand Paris"/>
    <s v="France"/>
    <m/>
    <m/>
    <n v="99.963671040000008"/>
    <n v="1076"/>
    <m/>
    <n v="0.9"/>
    <n v="107.6"/>
    <s v="See Comment"/>
    <s v="See Comment"/>
    <s v="See Comment"/>
  </r>
  <r>
    <x v="0"/>
    <x v="4"/>
    <x v="1"/>
    <d v="2007-08-24T00:00:00"/>
    <d v="2013-10-30T00:00:00"/>
    <s v="FRDC1"/>
    <m/>
    <s v="Frankfurt (eshelter) - Closed 10/2013"/>
    <x v="1"/>
    <n v="3"/>
    <n v="3"/>
    <m/>
    <s v="e-shelter GmbH &amp; Co KG  Eschborner Landstraße 100     60489 Frankfurt am Main "/>
    <s v="Frankfurt"/>
    <s v="Hessen"/>
    <s v="Germany"/>
    <m/>
    <m/>
    <n v="109.99719936000001"/>
    <n v="1184"/>
    <m/>
    <n v="0.77"/>
    <n v="118.4"/>
    <s v="See Comment"/>
    <s v="See Comment"/>
    <s v="See Comment"/>
  </r>
  <r>
    <x v="0"/>
    <x v="4"/>
    <x v="3"/>
    <d v="2002-01-01T00:00:00"/>
    <s v="t.b.d."/>
    <s v="FDHDC"/>
    <s v="Exit Planned"/>
    <s v="Friedrichshafen- client bears full DC cost- Meeting to Discuss with Client move to other non-CSC DC's-Greg/ closure on hold until Q1FY15 per client plans- no risk to CSC.- however client could default"/>
    <x v="5"/>
    <n v="1"/>
    <n v="1"/>
    <m/>
    <s v="Alte Ziegelei 3"/>
    <s v="Immenstaad"/>
    <m/>
    <s v="Germany"/>
    <m/>
    <m/>
    <n v="510.03768960000002"/>
    <n v="5490"/>
    <n v="5490"/>
    <m/>
    <n v="240"/>
    <m/>
    <m/>
    <m/>
  </r>
  <r>
    <x v="0"/>
    <x v="4"/>
    <x v="1"/>
    <s v="CLIENT OWNED LEASE"/>
    <s v="CLIENT OWNED LEASE"/>
    <s v="AMDC1"/>
    <m/>
    <s v="Amsterdam"/>
    <x v="1"/>
    <n v="3"/>
    <n v="3"/>
    <m/>
    <m/>
    <s v="Amsterdam"/>
    <m/>
    <s v="Netherlands"/>
    <m/>
    <m/>
    <n v="99.963671040000008"/>
    <n v="1076"/>
    <m/>
    <m/>
    <n v="107.6"/>
    <m/>
    <m/>
    <m/>
  </r>
  <r>
    <x v="0"/>
    <x v="4"/>
    <x v="1"/>
    <d v="2012-10-01T00:00:00"/>
    <d v="2019-06-30T00:00:00"/>
    <s v="PDC2"/>
    <m/>
    <s v="Clichy, Paris"/>
    <x v="1"/>
    <n v="3"/>
    <n v="3"/>
    <m/>
    <s v="rue petit 7,  92110, Clichy"/>
    <s v="Clichy"/>
    <s v="Grand Paris"/>
    <s v="France"/>
    <m/>
    <m/>
    <n v="299.89101312000003"/>
    <n v="3228"/>
    <m/>
    <n v="0.95"/>
    <n v="322.8"/>
    <s v="See Comment"/>
    <s v="See Comment"/>
    <s v="See Comment"/>
  </r>
  <r>
    <x v="0"/>
    <x v="4"/>
    <x v="1"/>
    <s v="Cage B02-MB02: 01/11/2008 / Cage C07-MB07: 01/05/2012"/>
    <s v="Cage B02-MB02: 31/03/2015 / Cage C07-MB07: 30/04/2017"/>
    <s v="FRDC2"/>
    <m/>
    <s v="Frankfurt-Was Proposed fpor AbbVie"/>
    <x v="1"/>
    <n v="3"/>
    <n v="3"/>
    <m/>
    <s v="Global Switch FM _x000d_Eschborner Landstrasse 110_x000d_D-60489 Frankfurt am Main / Germany "/>
    <s v="Frankfurt"/>
    <s v="Hessen"/>
    <s v="Germany"/>
    <m/>
    <m/>
    <n v="124.95458880000001"/>
    <n v="1345"/>
    <m/>
    <n v="0.61"/>
    <n v="134.5"/>
    <s v="See Comment"/>
    <s v="See Comment"/>
    <s v="See Comment"/>
  </r>
  <r>
    <x v="0"/>
    <x v="4"/>
    <x v="1"/>
    <d v="2008-01-01T00:00:00"/>
    <s v="1/1/2014, extended to 2/20/2014 to allign with JPM contract"/>
    <s v="LODC"/>
    <m/>
    <s v="London"/>
    <x v="1"/>
    <n v="3"/>
    <n v="3"/>
    <m/>
    <s v="Global Switch 2, 3  Nutmeg Lane, London E14 2AX"/>
    <s v="London"/>
    <s v="Greater London"/>
    <s v="UK"/>
    <s v="No"/>
    <m/>
    <n v="466.37326080000003"/>
    <n v="5020"/>
    <m/>
    <n v="1"/>
    <n v="502"/>
    <n v="750"/>
    <m/>
    <m/>
  </r>
  <r>
    <x v="0"/>
    <x v="4"/>
    <x v="1"/>
    <d v="2008-11-01T00:00:00"/>
    <d v="2015-03-31T00:00:00"/>
    <s v="FRDC3"/>
    <m/>
    <s v="Frankfurt"/>
    <x v="0"/>
    <n v="2"/>
    <n v="2"/>
    <m/>
    <s v="Itenos Kleyerstraße 90, 60326 Frankfurt am Main / Germany"/>
    <s v="Frankfurt"/>
    <s v="Hessen"/>
    <s v="Germany"/>
    <m/>
    <m/>
    <n v="24.990917760000002"/>
    <n v="269"/>
    <m/>
    <n v="0.25"/>
    <n v="26.9"/>
    <s v="See Comment"/>
    <s v="See Comment"/>
    <s v="See Comment"/>
  </r>
  <r>
    <x v="0"/>
    <x v="4"/>
    <x v="3"/>
    <d v="2008-04-01T00:00:00"/>
    <s v="No End Date- See comment"/>
    <s v="LPADC"/>
    <s v="y-Exit Planned"/>
    <s v="Lersø ParkAlle ( LPA) (Copenhagen)  No New Kit after Mar 1 2014-GClark"/>
    <x v="0"/>
    <n v="2"/>
    <n v="2"/>
    <m/>
    <s v="Lersø ParkAlle 100-104"/>
    <s v="Copenhagen"/>
    <m/>
    <s v="Denmark"/>
    <m/>
    <m/>
    <n v="2039.4075340800002"/>
    <n v="21952"/>
    <n v="26910"/>
    <s v="CURRENT METRIC INFORMATION for Columns R-W in DCQM"/>
    <m/>
    <m/>
    <m/>
    <m/>
  </r>
  <r>
    <x v="0"/>
    <x v="4"/>
    <x v="1"/>
    <s v="TBD"/>
    <m/>
    <m/>
    <m/>
    <s v="New Copenhagen Colo to replace LPA"/>
    <x v="3"/>
    <m/>
    <m/>
    <m/>
    <m/>
    <s v="Copenhagen"/>
    <m/>
    <s v="Denmark"/>
    <m/>
    <m/>
    <m/>
    <m/>
    <m/>
    <m/>
    <m/>
    <m/>
    <m/>
    <m/>
  </r>
  <r>
    <x v="0"/>
    <x v="4"/>
    <x v="0"/>
    <m/>
    <m/>
    <s v="MDC"/>
    <s v="YES- MAIN"/>
    <s v="Maidstone (MDC)"/>
    <x v="0"/>
    <n v="2"/>
    <n v="2"/>
    <m/>
    <s v="Pegasus Place, Lodge Road"/>
    <s v="Maidstone"/>
    <s v="Kent"/>
    <s v="UK"/>
    <s v="ME14 5EH"/>
    <m/>
    <n v="3389.0099961600004"/>
    <n v="36479"/>
    <n v="23573"/>
    <s v="CURRENT METRIC INFORMATION for Columns R-W in DCQM"/>
    <m/>
    <m/>
    <m/>
    <m/>
  </r>
  <r>
    <x v="0"/>
    <x v="4"/>
    <x v="0"/>
    <m/>
    <m/>
    <s v="NODC"/>
    <s v="y- Exit Likely due to RMG Loss (80% of space)"/>
    <s v="Northern (NDC) 40M invest to up tier 3- Closed for new business"/>
    <x v="0"/>
    <n v="2"/>
    <n v="2"/>
    <m/>
    <s v="Nunn Brook Rise"/>
    <s v="Huthwaite"/>
    <s v="Chesterfield"/>
    <s v="UK"/>
    <m/>
    <m/>
    <n v="1048.0391942400001"/>
    <n v="11281"/>
    <n v="7879"/>
    <s v="CURRENT METRIC INFORMATION for Columns R-W in DCQM"/>
    <m/>
    <m/>
    <m/>
    <m/>
  </r>
  <r>
    <x v="0"/>
    <x v="4"/>
    <x v="0"/>
    <m/>
    <s v="Own Building not land (wGov)"/>
    <s v="RTVDC"/>
    <s v="y"/>
    <s v="Retorvej (RTV) (aka Valby) (Copenhagen)"/>
    <x v="0"/>
    <n v="3"/>
    <n v="2"/>
    <m/>
    <s v="Retorvej 8, 2500 Valby"/>
    <s v="Copenhagen"/>
    <m/>
    <s v="Denmark"/>
    <m/>
    <m/>
    <n v="3737.0247840000002"/>
    <n v="40225"/>
    <n v="16275"/>
    <s v="CURRENT METRIC INFORMATION for Columns R-W in DCQM"/>
    <m/>
    <m/>
    <m/>
    <m/>
  </r>
  <r>
    <x v="0"/>
    <x v="4"/>
    <x v="3"/>
    <d v="2007-04-04T00:00:00"/>
    <d v="2017-04-03T00:00:00"/>
    <s v="SDC"/>
    <s v="YES- MAIN"/>
    <s v="Sevenoaks---FULL"/>
    <x v="1"/>
    <n v="3"/>
    <n v="3"/>
    <m/>
    <s v="Units D2-D4, North Downs Business Park, Lime Pit Lane"/>
    <s v="Seven Oaks"/>
    <s v="Kent"/>
    <s v="UK"/>
    <s v="TN13 2TL "/>
    <m/>
    <n v="1071.1720512000002"/>
    <n v="11530"/>
    <n v="10139"/>
    <s v="CURRENT METRIC INFORMATION for Columns R-W in DCQM"/>
    <m/>
    <m/>
    <m/>
    <m/>
  </r>
  <r>
    <x v="0"/>
    <x v="4"/>
    <x v="1"/>
    <d v="2010-04-10T00:00:00"/>
    <d v="2014-12-31T00:00:00"/>
    <s v="STODC1"/>
    <m/>
    <s v="Stockholm"/>
    <x v="1"/>
    <n v="3"/>
    <n v="3"/>
    <m/>
    <s v="Kvastvägen 25-29, 128 62 Sköndal, Stockholm,_x000d_Sweden"/>
    <s v="Stockholm"/>
    <s v="Stockholm"/>
    <s v="Sweden"/>
    <m/>
    <m/>
    <n v="10.962558720000001"/>
    <n v="118"/>
    <m/>
    <n v="0.8"/>
    <n v="10.9"/>
    <s v="-"/>
    <s v="&lt;50%"/>
    <s v="-"/>
  </r>
  <r>
    <x v="0"/>
    <x v="4"/>
    <x v="1"/>
    <d v="2006-06-30T00:00:00"/>
    <d v="2013-05-31T00:00:00"/>
    <s v="STODC2"/>
    <m/>
    <s v="Stockholm"/>
    <x v="6"/>
    <m/>
    <m/>
    <m/>
    <s v="Mariehällsvägen 36, Bromma"/>
    <s v="Stockholm"/>
    <s v="Stockholm"/>
    <s v="Sweden"/>
    <m/>
    <m/>
    <n v="22.018020480000001"/>
    <n v="237"/>
    <m/>
    <n v="0.85"/>
    <n v="22"/>
    <s v="-"/>
    <s v="95(+10%)"/>
    <s v="-"/>
  </r>
  <r>
    <x v="1"/>
    <x v="2"/>
    <x v="4"/>
    <m/>
    <m/>
    <m/>
    <m/>
    <s v="New Green Mtn DC in Norway proposed for Brønnøysund Registrene - Altinn RFP - INT PUB - 10115094 - $50m-  QR May 28 2014"/>
    <x v="3"/>
    <m/>
    <m/>
    <m/>
    <s v="Negotiation Sept-Dec 2014"/>
    <m/>
    <m/>
    <s v="Norway"/>
    <m/>
    <m/>
    <m/>
    <m/>
    <m/>
    <m/>
    <m/>
    <m/>
    <m/>
    <m/>
  </r>
  <r>
    <x v="0"/>
    <x v="4"/>
    <x v="1"/>
    <d v="2009-04-01T00:00:00"/>
    <d v="2014-04-01T00:00:00"/>
    <s v="AMDC3"/>
    <s v="FY16"/>
    <s v="Amsterdam (Telecity 3)"/>
    <x v="1"/>
    <n v="3"/>
    <n v="3"/>
    <m/>
    <s v="CSC Computer Sciences BV, c/o TelecityGroup, Gyroscoppweg 2e-2f, 1042 AB Amsterdam"/>
    <s v="Amsterdam"/>
    <m/>
    <s v="Netherlands"/>
    <m/>
    <m/>
    <n v="99.963671040000008"/>
    <n v="1076"/>
    <m/>
    <n v="0.6"/>
    <n v="107.6"/>
    <s v="See Comment"/>
    <s v="See Comment"/>
    <s v="9kW reservation"/>
  </r>
  <r>
    <x v="0"/>
    <x v="4"/>
    <x v="1"/>
    <d v="2008-04-01T00:00:00"/>
    <d v="2016-04-01T00:00:00"/>
    <s v="AMDC4"/>
    <s v="y- Long term"/>
    <s v="Amsterdam (Telecity 4)"/>
    <x v="4"/>
    <n v="4"/>
    <n v="4"/>
    <m/>
    <s v="CSC Computer Sciences BV, c/o TelecityGroup, Wenckebachweg 127, 1096 AM Amsterdam"/>
    <s v="Amsterdam"/>
    <m/>
    <s v="Netherlands"/>
    <m/>
    <m/>
    <n v="99.963671040000008"/>
    <n v="1076"/>
    <m/>
    <n v="0.7"/>
    <n v="107.6"/>
    <s v="See Comment"/>
    <s v="See Comment"/>
    <s v="105kW reservation"/>
  </r>
  <r>
    <x v="0"/>
    <x v="4"/>
    <x v="0"/>
    <m/>
    <m/>
    <s v="RTWDC"/>
    <s v="y- Retain"/>
    <s v="Tunbridge Wells (RTW)"/>
    <x v="0"/>
    <n v="2"/>
    <n v="2"/>
    <m/>
    <s v="Spectrum House, Chapman Way, High Brooms"/>
    <s v="Tunbridge Wells"/>
    <s v="Kent"/>
    <s v="UK"/>
    <s v="TN2 3EF"/>
    <m/>
    <n v="1622.9232057600002"/>
    <n v="17469"/>
    <n v="7966"/>
    <n v="0.85"/>
    <n v="1264"/>
    <n v="677"/>
    <n v="0.53560126582278478"/>
    <n v="1431"/>
  </r>
  <r>
    <x v="2"/>
    <x v="5"/>
    <x v="3"/>
    <d v="2008-06-01T00:00:00"/>
    <d v="2018-05-30T00:00:00"/>
    <s v="RDC"/>
    <s v="y"/>
    <s v="Rensselaer (Albany)"/>
    <x v="1"/>
    <n v="3"/>
    <n v="3"/>
    <m/>
    <s v="327 Columbia Turnpike"/>
    <s v="Rensselaer"/>
    <s v="NY"/>
    <s v="USA"/>
    <m/>
    <m/>
    <n v="938.04199488000006"/>
    <n v="10097"/>
    <m/>
    <n v="0.86"/>
    <n v="1350"/>
    <n v="321"/>
    <n v="0.23777777777777778"/>
    <n v="779"/>
  </r>
  <r>
    <x v="2"/>
    <x v="5"/>
    <x v="3"/>
    <d v="2000-07-01T00:00:00"/>
    <d v="2015-06-30T00:00:00"/>
    <s v="CHADC"/>
    <m/>
    <s v="Chambersburg (Army)"/>
    <x v="0"/>
    <n v="2"/>
    <n v="2"/>
    <m/>
    <s v="Letterkenny Army Depot_x000d_3 North Overcash Avenue"/>
    <s v="Chambersburg"/>
    <s v="PA"/>
    <s v="USA"/>
    <m/>
    <m/>
    <n v="564.85048319999999"/>
    <n v="6080"/>
    <m/>
    <n v="0.85"/>
    <n v="900"/>
    <n v="145"/>
    <n v="0.16111111111111112"/>
    <n v="335"/>
  </r>
  <r>
    <x v="2"/>
    <x v="5"/>
    <x v="3"/>
    <d v="2006-06-01T00:00:00"/>
    <d v="2015-12-31T00:00:00"/>
    <s v="CHDC1"/>
    <s v="sep from GIS"/>
    <s v="Chantilly (Collection of Server rooms)"/>
    <x v="2"/>
    <n v="1"/>
    <n v="1"/>
    <m/>
    <s v="15000 Conference Center Drive"/>
    <s v="Chantilly"/>
    <s v="VA"/>
    <s v="USA"/>
    <m/>
    <m/>
    <n v="120.77395200000001"/>
    <n v="1300"/>
    <m/>
    <n v="0.85"/>
    <n v="720"/>
    <m/>
    <n v="0"/>
    <m/>
  </r>
  <r>
    <x v="2"/>
    <x v="5"/>
    <x v="3"/>
    <d v="2000-07-01T00:00:00"/>
    <d v="2013-12-31T00:00:00"/>
    <s v="SLDC"/>
    <m/>
    <s v="St. Louis (DR for CHADC Army)"/>
    <x v="2"/>
    <n v="1"/>
    <n v="1"/>
    <m/>
    <s v="Robert A. Young Federal Office Building, _x000d_1222 Spruce Street"/>
    <s v="St. Louis"/>
    <s v="MO"/>
    <s v="USA"/>
    <m/>
    <m/>
    <n v="966.19161600000007"/>
    <n v="10400"/>
    <m/>
    <n v="0.8"/>
    <n v="308"/>
    <n v="156"/>
    <n v="0.50649350649350644"/>
    <m/>
  </r>
  <r>
    <x v="2"/>
    <x v="5"/>
    <x v="1"/>
    <d v="2008-05-20T00:00:00"/>
    <d v="2013-12-31T00:00:00"/>
    <s v="CUDC"/>
    <m/>
    <s v="Culpeper (Terremark)"/>
    <x v="1"/>
    <n v="3"/>
    <n v="3"/>
    <m/>
    <s v="18155 Technology Drive"/>
    <s v="Culpeper"/>
    <s v="VA"/>
    <s v="USA"/>
    <m/>
    <m/>
    <n v="139.35456000000002"/>
    <n v="1500"/>
    <m/>
    <n v="0.5"/>
    <n v="480"/>
    <m/>
    <n v="0"/>
    <m/>
  </r>
  <r>
    <x v="2"/>
    <x v="5"/>
    <x v="0"/>
    <s v="TBD"/>
    <m/>
    <s v="LADC"/>
    <m/>
    <s v="NPS DC and LA Tech Ctr"/>
    <x v="3"/>
    <m/>
    <m/>
    <m/>
    <m/>
    <m/>
    <m/>
    <m/>
    <m/>
    <m/>
    <m/>
    <m/>
    <m/>
    <m/>
    <m/>
    <m/>
    <m/>
    <m/>
  </r>
  <r>
    <x v="2"/>
    <x v="5"/>
    <x v="0"/>
    <s v="TBD"/>
    <m/>
    <s v="PADC"/>
    <m/>
    <s v="NPS DC and PA Tech Ctr"/>
    <x v="3"/>
    <m/>
    <m/>
    <m/>
    <m/>
    <m/>
    <m/>
    <m/>
    <m/>
    <m/>
    <m/>
    <m/>
    <m/>
    <m/>
    <m/>
    <m/>
    <m/>
    <m/>
  </r>
  <r>
    <x v="0"/>
    <x v="6"/>
    <x v="1"/>
    <d v="2010-06-25T00:00:00"/>
    <d v="2020-06-25T00:00:00"/>
    <s v="SPDC"/>
    <s v="y"/>
    <s v="São Paulo - Hortolândia"/>
    <x v="1"/>
    <n v="3"/>
    <n v="3"/>
    <m/>
    <s v="Rodovia Jornalista Francisco Aguirre _x000d_Proença, Km 9 Condomínio Tech Town - Chácara Assay-  Unidade 27. Hortolândia"/>
    <s v="Hortolândia"/>
    <s v="SP"/>
    <s v="Brazil"/>
    <s v="131186-904"/>
    <m/>
    <n v="77.945650560000004"/>
    <n v="839"/>
    <m/>
    <n v="0.3"/>
    <n v="162"/>
    <m/>
    <m/>
    <m/>
  </r>
  <r>
    <x v="0"/>
    <x v="6"/>
    <x v="1"/>
    <d v="2013-03-15T00:00:00"/>
    <d v="2018-03-15T00:00:00"/>
    <s v="SPDC2"/>
    <s v="y"/>
    <s v="São Paulo - Campinas"/>
    <x v="1"/>
    <n v="3"/>
    <n v="3"/>
    <m/>
    <s v="Avenida Pierre Simon De Laplace 1211, TECHNO PARK, Campinas/SP"/>
    <s v="Campinas"/>
    <s v="SP"/>
    <s v="Brazil"/>
    <s v="13069-320"/>
    <m/>
    <n v="240"/>
    <n v="500"/>
    <m/>
    <n v="0.1"/>
    <n v="1200"/>
    <m/>
    <m/>
    <m/>
  </r>
  <r>
    <x v="1"/>
    <x v="2"/>
    <x v="4"/>
    <m/>
    <m/>
    <m/>
    <s v="Not a DC"/>
    <s v="Noida, India (current CSC space in Computer Room)"/>
    <x v="3"/>
    <m/>
    <m/>
    <m/>
    <m/>
    <m/>
    <m/>
    <m/>
    <m/>
    <m/>
    <m/>
    <m/>
    <m/>
    <m/>
    <m/>
    <m/>
    <m/>
    <m/>
  </r>
  <r>
    <x v="1"/>
    <x v="2"/>
    <x v="4"/>
    <m/>
    <m/>
    <m/>
    <m/>
    <s v="Nodia, India (Leverage ATT DC FY15)"/>
    <x v="3"/>
    <m/>
    <m/>
    <m/>
    <m/>
    <m/>
    <m/>
    <m/>
    <m/>
    <m/>
    <m/>
    <m/>
    <m/>
    <m/>
    <m/>
    <m/>
    <m/>
    <m/>
  </r>
  <r>
    <x v="1"/>
    <x v="2"/>
    <x v="4"/>
    <m/>
    <m/>
    <m/>
    <m/>
    <s v="Banglore Hyderabad (Leverage ATT DC FY15)"/>
    <x v="3"/>
    <m/>
    <m/>
    <m/>
    <m/>
    <m/>
    <m/>
    <m/>
    <m/>
    <m/>
    <m/>
    <m/>
    <m/>
    <m/>
    <m/>
    <m/>
    <m/>
    <m/>
  </r>
  <r>
    <x v="0"/>
    <x v="7"/>
    <x v="3"/>
    <d v="2011-01-01T00:00:00"/>
    <d v="2015-12-31T00:00:00"/>
    <s v="CHDC2"/>
    <s v="Close FY15"/>
    <s v="Chantilly- plans to close at lease end- Move to Reston-CoreSite DC"/>
    <x v="0"/>
    <n v="2"/>
    <n v="2"/>
    <m/>
    <s v="15000 Conference Center Drive"/>
    <s v="Chantilly"/>
    <s v="VA"/>
    <s v="USA"/>
    <m/>
    <m/>
    <n v="1244.9007360000001"/>
    <n v="13400"/>
    <n v="10720"/>
    <m/>
    <n v="1280"/>
    <n v="461"/>
    <n v="0.36015625000000001"/>
    <n v="934"/>
  </r>
  <r>
    <x v="0"/>
    <x v="7"/>
    <x v="1"/>
    <d v="2012-03-15T00:00:00"/>
    <d v="2017-03-14T00:00:00"/>
    <s v="SCDC"/>
    <s v="y"/>
    <s v="Santa Clara"/>
    <x v="1"/>
    <n v="3"/>
    <n v="3"/>
    <m/>
    <s v="2972 Stender Way"/>
    <s v="Santa Clara"/>
    <s v="CA"/>
    <s v="USA"/>
    <n v="95054"/>
    <m/>
    <n v="464.51520000000005"/>
    <n v="5000"/>
    <n v="5000"/>
    <m/>
    <n v="1000"/>
    <m/>
    <m/>
    <m/>
  </r>
  <r>
    <x v="0"/>
    <x v="7"/>
    <x v="1"/>
    <d v="2011-09-01T00:00:00"/>
    <d v="2016-08-31T00:00:00"/>
    <s v="SOMDC"/>
    <s v="y"/>
    <s v="Somerville"/>
    <x v="1"/>
    <n v="3"/>
    <n v="3"/>
    <m/>
    <s v="70 Innerbelt Road"/>
    <s v="Somerville"/>
    <s v="MA"/>
    <s v="USA"/>
    <m/>
    <m/>
    <n v="529.54732799999999"/>
    <n v="5700"/>
    <n v="5700"/>
    <m/>
    <n v="600"/>
    <m/>
    <m/>
    <m/>
  </r>
  <r>
    <x v="0"/>
    <x v="7"/>
    <x v="1"/>
    <d v="2012-10-01T00:00:00"/>
    <s v="MTM"/>
    <s v="SUDC"/>
    <m/>
    <s v="Sunnyvale-Closed 9/2013"/>
    <x v="1"/>
    <n v="3"/>
    <n v="3"/>
    <m/>
    <s v="1380 Kifer Road"/>
    <s v="Sunnyvale"/>
    <s v="CA"/>
    <s v="USA"/>
    <m/>
    <m/>
    <n v="325.16064"/>
    <n v="3500"/>
    <m/>
    <m/>
    <n v="350"/>
    <m/>
    <m/>
    <m/>
  </r>
  <r>
    <x v="0"/>
    <x v="7"/>
    <x v="1"/>
    <m/>
    <s v="MTM"/>
    <s v="EDC"/>
    <m/>
    <s v="Elmsford-Closing, 2 remaining clients as of 12-5-13, closure projected July 2014"/>
    <x v="1"/>
    <n v="3"/>
    <n v="3"/>
    <m/>
    <s v="401 Fieldcrest Drive"/>
    <s v="Elmsford"/>
    <s v="NY"/>
    <s v="USA"/>
    <m/>
    <m/>
    <n v="92.903040000000004"/>
    <n v="1000"/>
    <m/>
    <m/>
    <n v="1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Data" updatedVersion="4" minRefreshableVersion="3" showMemberPropertyTips="0" itemPrintTitles="1" mergeItem="1" createdVersion="3" indent="0" compact="0" compactData="0" multipleFieldFilters="0">
  <location ref="B16:N26" firstHeaderRow="1" firstDataRow="3" firstDataCol="1"/>
  <pivotFields count="26">
    <pivotField compact="0" outline="0" subtotalTop="0" showAll="0" includeNewItemsInFilter="1" defaultSubtotal="0"/>
    <pivotField compact="0" outline="0" subtotalTop="0" showAll="0" includeNewItemsInFilter="1" defaultSubtotal="0"/>
    <pivotField axis="axisCol" compact="0" outline="0" subtotalTop="0" showAll="0" includeNewItemsInFilter="1" rankBy="0">
      <items count="6">
        <item x="0"/>
        <item x="3"/>
        <item x="1"/>
        <item x="4"/>
        <item x="2"/>
        <item t="default"/>
      </items>
    </pivotField>
    <pivotField compact="0" outline="0" showAll="0" defaultSubtotal="0"/>
    <pivotField compact="0" outline="0" showAll="0" defaultSubtotal="0"/>
    <pivotField compact="0" outline="0" showAll="0" defaultSubtotal="0"/>
    <pivotField compact="0" outline="0" showAll="0" defaultSubtotal="0"/>
    <pivotField dataField="1" compact="0" outline="0" subtotalTop="0" showAll="0" includeNewItemsInFilter="1"/>
    <pivotField axis="axisRow" compact="0" outline="0" showAll="0" defaultSubtotal="0">
      <items count="7">
        <item x="2"/>
        <item x="0"/>
        <item x="1"/>
        <item x="4"/>
        <item x="6"/>
        <item x="3"/>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name="IT Area - SF2" dataField="1" compact="0" outline="0" showAll="0" defaultSubtotal="0"/>
    <pivotField compact="0" outline="0" showAll="0" defaultSubtotal="0"/>
    <pivotField compact="0" outline="0" showAll="0" defaultSubtotal="0"/>
    <pivotField compact="0" outline="0" subtotalTop="0" showAll="0" includeNewItemsInFilter="1" defaultSubtotal="0"/>
    <pivotField compact="0" outline="0" showAll="0" defaultSubtotal="0"/>
    <pivotField compact="0" outline="0" showAll="0" defaultSubtotal="0"/>
    <pivotField compact="0" outline="0" showAll="0" defaultSubtotal="0"/>
  </pivotFields>
  <rowFields count="1">
    <field x="8"/>
  </rowFields>
  <rowItems count="8">
    <i>
      <x/>
    </i>
    <i>
      <x v="1"/>
    </i>
    <i>
      <x v="2"/>
    </i>
    <i>
      <x v="3"/>
    </i>
    <i>
      <x v="4"/>
    </i>
    <i>
      <x v="5"/>
    </i>
    <i>
      <x v="6"/>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Number" fld="7" subtotal="count" baseField="0" baseItem="0"/>
    <dataField name="IT Area - (SF)" fld="19" baseField="0" baseItem="0"/>
  </dataFields>
  <formats count="123">
    <format dxfId="122">
      <pivotArea dataOnly="0" labelOnly="1" grandCol="1" outline="0" fieldPosition="0"/>
    </format>
    <format dxfId="121">
      <pivotArea dataOnly="0" labelOnly="1" grandCol="1" outline="0" fieldPosition="0"/>
    </format>
    <format dxfId="120">
      <pivotArea dataOnly="0" labelOnly="1" grandCol="1" outline="0" fieldPosition="0"/>
    </format>
    <format dxfId="119">
      <pivotArea type="origin" dataOnly="0" labelOnly="1" outline="0" offset="A1" fieldPosition="0"/>
    </format>
    <format dxfId="118">
      <pivotArea type="origin" dataOnly="0" labelOnly="1" outline="0" offset="B1" fieldPosition="0"/>
    </format>
    <format dxfId="117">
      <pivotArea type="topRight" dataOnly="0" labelOnly="1" outline="0" offset="A1" fieldPosition="0"/>
    </format>
    <format dxfId="116">
      <pivotArea type="topRight" dataOnly="0" labelOnly="1" outline="0" offset="B1" fieldPosition="0"/>
    </format>
    <format dxfId="115">
      <pivotArea type="topRight" dataOnly="0" labelOnly="1" outline="0" offset="C1" fieldPosition="0"/>
    </format>
    <format dxfId="114">
      <pivotArea field="-2" type="button" dataOnly="0" labelOnly="1" outline="0" axis="axisCol" fieldPosition="1"/>
    </format>
    <format dxfId="113">
      <pivotArea dataOnly="0" labelOnly="1" grandCol="1" outline="0" fieldPosition="0"/>
    </format>
    <format dxfId="112">
      <pivotArea outline="0" fieldPosition="0"/>
    </format>
    <format dxfId="111">
      <pivotArea field="-2" type="button" dataOnly="0" labelOnly="1" outline="0" axis="axisCol" fieldPosition="1"/>
    </format>
    <format dxfId="110">
      <pivotArea dataOnly="0" labelOnly="1" outline="0" fieldPosition="0">
        <references count="1">
          <reference field="2" count="0"/>
        </references>
      </pivotArea>
    </format>
    <format dxfId="109">
      <pivotArea dataOnly="0" labelOnly="1" outline="0" fieldPosition="0">
        <references count="1">
          <reference field="2" count="0"/>
        </references>
      </pivotArea>
    </format>
    <format dxfId="108">
      <pivotArea field="2" type="button" dataOnly="0" labelOnly="1" outline="0" axis="axisCol" fieldPosition="0"/>
    </format>
    <format dxfId="107">
      <pivotArea field="2" type="button" dataOnly="0" labelOnly="1" outline="0" axis="axisCol" fieldPosition="0"/>
    </format>
    <format dxfId="106">
      <pivotArea type="all" dataOnly="0" outline="0" fieldPosition="0"/>
    </format>
    <format dxfId="105">
      <pivotArea type="all" dataOnly="0" outline="0" fieldPosition="0"/>
    </format>
    <format dxfId="104">
      <pivotArea type="all" dataOnly="0" outline="0" fieldPosition="0"/>
    </format>
    <format dxfId="103">
      <pivotArea field="-2" type="button" dataOnly="0" labelOnly="1" outline="0" axis="axisCol" fieldPosition="1"/>
    </format>
    <format dxfId="102">
      <pivotArea outline="0" fieldPosition="0">
        <references count="1">
          <reference field="2" count="1" selected="0">
            <x v="0"/>
          </reference>
        </references>
      </pivotArea>
    </format>
    <format dxfId="101">
      <pivotArea dataOnly="0" labelOnly="1" outline="0" fieldPosition="0">
        <references count="1">
          <reference field="2" count="1">
            <x v="0"/>
          </reference>
        </references>
      </pivotArea>
    </format>
    <format dxfId="100">
      <pivotArea outline="0" fieldPosition="0"/>
    </format>
    <format dxfId="99">
      <pivotArea outline="0" fieldPosition="0">
        <references count="2">
          <reference field="4294967294" count="1" selected="0">
            <x v="0"/>
          </reference>
          <reference field="2" count="1" selected="0">
            <x v="0"/>
          </reference>
        </references>
      </pivotArea>
    </format>
    <format dxfId="98">
      <pivotArea dataOnly="0" labelOnly="1" outline="0" fieldPosition="0">
        <references count="1">
          <reference field="2" count="0"/>
        </references>
      </pivotArea>
    </format>
    <format dxfId="97">
      <pivotArea field="2" dataOnly="0" labelOnly="1" grandCol="1" outline="0" axis="axisCol" fieldPosition="0">
        <references count="1">
          <reference field="4294967294" count="1" selected="0">
            <x v="0"/>
          </reference>
        </references>
      </pivotArea>
    </format>
    <format dxfId="96">
      <pivotArea dataOnly="0" labelOnly="1" outline="0" fieldPosition="0">
        <references count="2">
          <reference field="4294967294" count="1">
            <x v="0"/>
          </reference>
          <reference field="2" count="1" selected="0">
            <x v="0"/>
          </reference>
        </references>
      </pivotArea>
    </format>
    <format dxfId="95">
      <pivotArea dataOnly="0" labelOnly="1" outline="0" fieldPosition="0">
        <references count="2">
          <reference field="4294967294" count="1">
            <x v="0"/>
          </reference>
          <reference field="2" count="1" selected="0">
            <x v="1"/>
          </reference>
        </references>
      </pivotArea>
    </format>
    <format dxfId="94">
      <pivotArea dataOnly="0" labelOnly="1" outline="0" fieldPosition="0">
        <references count="2">
          <reference field="4294967294" count="1">
            <x v="0"/>
          </reference>
          <reference field="2" count="1" selected="0">
            <x v="2"/>
          </reference>
        </references>
      </pivotArea>
    </format>
    <format dxfId="93">
      <pivotArea dataOnly="0" labelOnly="1" outline="0" fieldPosition="0">
        <references count="1">
          <reference field="2" count="0"/>
        </references>
      </pivotArea>
    </format>
    <format dxfId="92">
      <pivotArea field="2" dataOnly="0" labelOnly="1" grandCol="1" outline="0" axis="axisCol" fieldPosition="0">
        <references count="1">
          <reference field="4294967294" count="1" selected="0">
            <x v="0"/>
          </reference>
        </references>
      </pivotArea>
    </format>
    <format dxfId="91">
      <pivotArea dataOnly="0" labelOnly="1" outline="0" fieldPosition="0">
        <references count="2">
          <reference field="4294967294" count="1">
            <x v="0"/>
          </reference>
          <reference field="2" count="1" selected="0">
            <x v="0"/>
          </reference>
        </references>
      </pivotArea>
    </format>
    <format dxfId="90">
      <pivotArea dataOnly="0" labelOnly="1" outline="0" fieldPosition="0">
        <references count="2">
          <reference field="4294967294" count="1">
            <x v="0"/>
          </reference>
          <reference field="2" count="1" selected="0">
            <x v="1"/>
          </reference>
        </references>
      </pivotArea>
    </format>
    <format dxfId="89">
      <pivotArea dataOnly="0" labelOnly="1" outline="0" fieldPosition="0">
        <references count="2">
          <reference field="4294967294" count="1">
            <x v="0"/>
          </reference>
          <reference field="2" count="1" selected="0">
            <x v="2"/>
          </reference>
        </references>
      </pivotArea>
    </format>
    <format dxfId="88">
      <pivotArea dataOnly="0" labelOnly="1" grandRow="1" outline="0" fieldPosition="0"/>
    </format>
    <format dxfId="87">
      <pivotArea dataOnly="0" labelOnly="1" grandRow="1" outline="0" fieldPosition="0"/>
    </format>
    <format dxfId="86">
      <pivotArea grandRow="1" outline="0" fieldPosition="0"/>
    </format>
    <format dxfId="85">
      <pivotArea dataOnly="0" labelOnly="1" grandRow="1" outline="0" fieldPosition="0"/>
    </format>
    <format dxfId="84">
      <pivotArea grandRow="1" outline="0" fieldPosition="0"/>
    </format>
    <format dxfId="83">
      <pivotArea dataOnly="0" labelOnly="1" grandRow="1" outline="0" fieldPosition="0"/>
    </format>
    <format dxfId="82">
      <pivotArea grandRow="1" outline="0" fieldPosition="0"/>
    </format>
    <format dxfId="81">
      <pivotArea dataOnly="0" labelOnly="1" grandRow="1" outline="0" fieldPosition="0"/>
    </format>
    <format dxfId="80">
      <pivotArea outline="0" fieldPosition="0"/>
    </format>
    <format dxfId="79">
      <pivotArea dataOnly="0" labelOnly="1" grandRow="1" outline="0" fieldPosition="0"/>
    </format>
    <format dxfId="78">
      <pivotArea dataOnly="0" labelOnly="1" outline="0" fieldPosition="0">
        <references count="1">
          <reference field="2" count="0"/>
        </references>
      </pivotArea>
    </format>
    <format dxfId="77">
      <pivotArea field="2" dataOnly="0" labelOnly="1" grandCol="1" outline="0" axis="axisCol" fieldPosition="0">
        <references count="1">
          <reference field="4294967294" count="1" selected="0">
            <x v="0"/>
          </reference>
        </references>
      </pivotArea>
    </format>
    <format dxfId="76">
      <pivotArea dataOnly="0" labelOnly="1" outline="0" fieldPosition="0">
        <references count="2">
          <reference field="4294967294" count="1">
            <x v="0"/>
          </reference>
          <reference field="2" count="1" selected="0">
            <x v="0"/>
          </reference>
        </references>
      </pivotArea>
    </format>
    <format dxfId="75">
      <pivotArea dataOnly="0" labelOnly="1" outline="0" fieldPosition="0">
        <references count="2">
          <reference field="4294967294" count="1">
            <x v="0"/>
          </reference>
          <reference field="2" count="1" selected="0">
            <x v="1"/>
          </reference>
        </references>
      </pivotArea>
    </format>
    <format dxfId="74">
      <pivotArea dataOnly="0" labelOnly="1" outline="0" fieldPosition="0">
        <references count="2">
          <reference field="4294967294" count="1">
            <x v="0"/>
          </reference>
          <reference field="2" count="1" selected="0">
            <x v="2"/>
          </reference>
        </references>
      </pivotArea>
    </format>
    <format dxfId="73">
      <pivotArea dataOnly="0" labelOnly="1" outline="0" fieldPosition="0">
        <references count="2">
          <reference field="4294967294" count="1">
            <x v="0"/>
          </reference>
          <reference field="2" count="1" selected="0">
            <x v="0"/>
          </reference>
        </references>
      </pivotArea>
    </format>
    <format dxfId="72">
      <pivotArea dataOnly="0" labelOnly="1" grandRow="1" outline="0" fieldPosition="0"/>
    </format>
    <format dxfId="71">
      <pivotArea type="origin" dataOnly="0" labelOnly="1" outline="0" offset="A2" fieldPosition="0"/>
    </format>
    <format dxfId="70">
      <pivotArea field="-2" type="button" dataOnly="0" labelOnly="1" outline="0" axis="axisCol" fieldPosition="1"/>
    </format>
    <format dxfId="69">
      <pivotArea field="2" grandCol="1" outline="0" collapsedLevelsAreSubtotals="1" axis="axisCol" fieldPosition="0">
        <references count="1">
          <reference field="4294967294" count="1" selected="0">
            <x v="0"/>
          </reference>
        </references>
      </pivotArea>
    </format>
    <format dxfId="68">
      <pivotArea field="2" grandRow="1" outline="0" collapsedLevelsAreSubtotals="1" axis="axisCol" fieldPosition="0">
        <references count="2">
          <reference field="4294967294" count="1" selected="0">
            <x v="0"/>
          </reference>
          <reference field="2" count="0" selected="0"/>
        </references>
      </pivotArea>
    </format>
    <format dxfId="67">
      <pivotArea grandRow="1" outline="0" collapsedLevelsAreSubtotals="1" fieldPosition="0"/>
    </format>
    <format dxfId="66">
      <pivotArea dataOnly="0" labelOnly="1" grandRow="1" outline="0" fieldPosition="0"/>
    </format>
    <format dxfId="65">
      <pivotArea grandRow="1" outline="0" collapsedLevelsAreSubtotals="1" fieldPosition="0"/>
    </format>
    <format dxfId="64">
      <pivotArea dataOnly="0" labelOnly="1" grandRow="1" outline="0" fieldPosition="0"/>
    </format>
    <format dxfId="63">
      <pivotArea grandRow="1" outline="0" collapsedLevelsAreSubtotals="1" fieldPosition="0"/>
    </format>
    <format dxfId="62">
      <pivotArea dataOnly="0" labelOnly="1" grandRow="1" outline="0" fieldPosition="0"/>
    </format>
    <format dxfId="61">
      <pivotArea field="2" type="button" dataOnly="0" labelOnly="1" outline="0" axis="axisCol" fieldPosition="0"/>
    </format>
    <format dxfId="60">
      <pivotArea field="-2" type="button" dataOnly="0" labelOnly="1" outline="0" axis="axisCol" fieldPosition="1"/>
    </format>
    <format dxfId="59">
      <pivotArea field="-2" type="button" dataOnly="0" labelOnly="1" outline="0" axis="axisCol" fieldPosition="1"/>
    </format>
    <format dxfId="58">
      <pivotArea field="2" grandRow="1" outline="0" collapsedLevelsAreSubtotals="1" axis="axisCol" fieldPosition="0">
        <references count="2">
          <reference field="4294967294" count="1" selected="0">
            <x v="0"/>
          </reference>
          <reference field="2" count="1" selected="0">
            <x v="0"/>
          </reference>
        </references>
      </pivotArea>
    </format>
    <format dxfId="57">
      <pivotArea outline="0" collapsedLevelsAreSubtotals="1" fieldPosition="0">
        <references count="2">
          <reference field="4294967294" count="1" selected="0">
            <x v="0"/>
          </reference>
          <reference field="2" count="1" selected="0">
            <x v="1"/>
          </reference>
        </references>
      </pivotArea>
    </format>
    <format dxfId="56">
      <pivotArea outline="0" collapsedLevelsAreSubtotals="1" fieldPosition="0">
        <references count="2">
          <reference field="4294967294" count="1" selected="0">
            <x v="0"/>
          </reference>
          <reference field="2" count="1" selected="0">
            <x v="2"/>
          </reference>
        </references>
      </pivotArea>
    </format>
    <format dxfId="55">
      <pivotArea field="2" grandCol="1" outline="0" collapsedLevelsAreSubtotals="1" axis="axisCol" fieldPosition="0">
        <references count="1">
          <reference field="4294967294" count="1" selected="0">
            <x v="0"/>
          </reference>
        </references>
      </pivotArea>
    </format>
    <format dxfId="54">
      <pivotArea outline="0" collapsedLevelsAreSubtotals="1" fieldPosition="0"/>
    </format>
    <format dxfId="53">
      <pivotArea dataOnly="0" labelOnly="1" grandRow="1" outline="0" fieldPosition="0"/>
    </format>
    <format dxfId="52">
      <pivotArea field="-2" type="button" dataOnly="0" labelOnly="1" outline="0" axis="axisCol" fieldPosition="1"/>
    </format>
    <format dxfId="51">
      <pivotArea type="topRight" dataOnly="0" labelOnly="1" outline="0" offset="D1:F1" fieldPosition="0"/>
    </format>
    <format dxfId="50">
      <pivotArea type="origin" dataOnly="0" labelOnly="1" outline="0" offset="A1" fieldPosition="0"/>
    </format>
    <format dxfId="49">
      <pivotArea field="2" type="button" dataOnly="0" labelOnly="1" outline="0" axis="axisCol" fieldPosition="0"/>
    </format>
    <format dxfId="48">
      <pivotArea field="-2" type="button" dataOnly="0" labelOnly="1" outline="0" axis="axisCol" fieldPosition="1"/>
    </format>
    <format dxfId="47">
      <pivotArea dataOnly="0" labelOnly="1" outline="0" fieldPosition="0">
        <references count="2">
          <reference field="4294967294" count="1">
            <x v="1"/>
          </reference>
          <reference field="2" count="1" selected="0">
            <x v="0"/>
          </reference>
        </references>
      </pivotArea>
    </format>
    <format dxfId="46">
      <pivotArea dataOnly="0" labelOnly="1" outline="0" fieldPosition="0">
        <references count="2">
          <reference field="4294967294" count="2">
            <x v="0"/>
            <x v="1"/>
          </reference>
          <reference field="2" count="1" selected="0">
            <x v="1"/>
          </reference>
        </references>
      </pivotArea>
    </format>
    <format dxfId="45">
      <pivotArea dataOnly="0" labelOnly="1" outline="0" fieldPosition="0">
        <references count="2">
          <reference field="4294967294" count="2">
            <x v="0"/>
            <x v="1"/>
          </reference>
          <reference field="2" count="1" selected="0">
            <x v="2"/>
          </reference>
        </references>
      </pivotArea>
    </format>
    <format dxfId="44">
      <pivotArea outline="0" collapsedLevelsAreSubtotals="1" fieldPosition="0">
        <references count="2">
          <reference field="4294967294" count="1" selected="0">
            <x v="1"/>
          </reference>
          <reference field="2" count="1" selected="0">
            <x v="0"/>
          </reference>
        </references>
      </pivotArea>
    </format>
    <format dxfId="43">
      <pivotArea outline="0" collapsedLevelsAreSubtotals="1" fieldPosition="0">
        <references count="2">
          <reference field="4294967294" count="1" selected="0">
            <x v="1"/>
          </reference>
          <reference field="2" count="1" selected="0">
            <x v="1"/>
          </reference>
        </references>
      </pivotArea>
    </format>
    <format dxfId="42">
      <pivotArea outline="0" collapsedLevelsAreSubtotals="1" fieldPosition="0">
        <references count="2">
          <reference field="4294967294" count="1" selected="0">
            <x v="1"/>
          </reference>
          <reference field="2" count="1" selected="0">
            <x v="2"/>
          </reference>
        </references>
      </pivotArea>
    </format>
    <format dxfId="41">
      <pivotArea field="2" dataOnly="0" labelOnly="1" grandCol="1" outline="0" axis="axisCol" fieldPosition="0">
        <references count="1">
          <reference field="4294967294" count="1" selected="0">
            <x v="0"/>
          </reference>
        </references>
      </pivotArea>
    </format>
    <format dxfId="40">
      <pivotArea field="2" dataOnly="0" labelOnly="1" grandCol="1" outline="0" axis="axisCol" fieldPosition="0">
        <references count="1">
          <reference field="4294967294" count="1" selected="0">
            <x v="1"/>
          </reference>
        </references>
      </pivotArea>
    </format>
    <format dxfId="39">
      <pivotArea field="2" dataOnly="0" labelOnly="1" grandCol="1" outline="0" axis="axisCol" fieldPosition="0">
        <references count="1">
          <reference field="4294967294" count="1" selected="0">
            <x v="0"/>
          </reference>
        </references>
      </pivotArea>
    </format>
    <format dxfId="38">
      <pivotArea field="2" dataOnly="0" labelOnly="1" grandCol="1" outline="0" axis="axisCol" fieldPosition="0">
        <references count="1">
          <reference field="4294967294" count="1" selected="0">
            <x v="1"/>
          </reference>
        </references>
      </pivotArea>
    </format>
    <format dxfId="37">
      <pivotArea field="2" grandCol="1" outline="0" collapsedLevelsAreSubtotals="1" axis="axisCol" fieldPosition="0">
        <references count="1">
          <reference field="4294967294" count="1" selected="0">
            <x v="1"/>
          </reference>
        </references>
      </pivotArea>
    </format>
    <format dxfId="36">
      <pivotArea field="-2" type="button" dataOnly="0" labelOnly="1" outline="0" axis="axisCol" fieldPosition="1"/>
    </format>
    <format dxfId="35">
      <pivotArea field="-2" type="button" dataOnly="0" labelOnly="1" outline="0" axis="axisCol" fieldPosition="1"/>
    </format>
    <format dxfId="34">
      <pivotArea type="origin" dataOnly="0" labelOnly="1" outline="0" fieldPosition="0"/>
    </format>
    <format dxfId="33">
      <pivotArea dataOnly="0" outline="0" fieldPosition="0">
        <references count="1">
          <reference field="2" count="1">
            <x v="0"/>
          </reference>
        </references>
      </pivotArea>
    </format>
    <format dxfId="32">
      <pivotArea type="topRight" dataOnly="0" labelOnly="1" outline="0" fieldPosition="0"/>
    </format>
    <format dxfId="31">
      <pivotArea dataOnly="0" labelOnly="1" outline="0" fieldPosition="0">
        <references count="1">
          <reference field="4294967294" count="0"/>
        </references>
      </pivotArea>
    </format>
    <format dxfId="30">
      <pivotArea dataOnly="0" outline="0" fieldPosition="0">
        <references count="1">
          <reference field="2" count="1">
            <x v="1"/>
          </reference>
        </references>
      </pivotArea>
    </format>
    <format dxfId="29">
      <pivotArea dataOnly="0" outline="0" fieldPosition="0">
        <references count="1">
          <reference field="2" count="1">
            <x v="2"/>
          </reference>
        </references>
      </pivotArea>
    </format>
    <format dxfId="28">
      <pivotArea type="all" dataOnly="0" outline="0" fieldPosition="0"/>
    </format>
    <format dxfId="27">
      <pivotArea field="-2" type="button" dataOnly="0" labelOnly="1" outline="0" axis="axisCol" fieldPosition="1"/>
    </format>
    <format dxfId="26">
      <pivotArea field="-2" type="button" dataOnly="0" labelOnly="1" outline="0" axis="axisCol" fieldPosition="1"/>
    </format>
    <format dxfId="25">
      <pivotArea type="topRight" dataOnly="0" labelOnly="1" outline="0" fieldPosition="0"/>
    </format>
    <format dxfId="24">
      <pivotArea field="2" dataOnly="0" labelOnly="1" grandCol="1" outline="0" axis="axisCol" fieldPosition="0">
        <references count="1">
          <reference field="4294967294" count="1" selected="0">
            <x v="0"/>
          </reference>
        </references>
      </pivotArea>
    </format>
    <format dxfId="23">
      <pivotArea field="2" dataOnly="0" labelOnly="1" grandCol="1" outline="0" axis="axisCol" fieldPosition="0">
        <references count="1">
          <reference field="4294967294" count="1" selected="0">
            <x v="1"/>
          </reference>
        </references>
      </pivotArea>
    </format>
    <format dxfId="22">
      <pivotArea field="2" dataOnly="0" labelOnly="1" grandCol="1" outline="0" axis="axisCol" fieldPosition="0">
        <references count="1">
          <reference field="4294967294" count="1" selected="0">
            <x v="0"/>
          </reference>
        </references>
      </pivotArea>
    </format>
    <format dxfId="21">
      <pivotArea field="2" dataOnly="0" labelOnly="1" grandCol="1" outline="0" axis="axisCol" fieldPosition="0">
        <references count="1">
          <reference field="4294967294" count="1" selected="0">
            <x v="1"/>
          </reference>
        </references>
      </pivotArea>
    </format>
    <format dxfId="20">
      <pivotArea dataOnly="0" grandRow="1" outline="0" fieldPosition="0"/>
    </format>
    <format dxfId="19">
      <pivotArea field="2" dataOnly="0" grandCol="1" outline="0" axis="axisCol" fieldPosition="0">
        <references count="1">
          <reference field="4294967294" count="2" selected="0">
            <x v="0"/>
            <x v="1"/>
          </reference>
        </references>
      </pivotArea>
    </format>
    <format dxfId="18">
      <pivotArea field="2" dataOnly="0" grandCol="1" outline="0" axis="axisCol" fieldPosition="0">
        <references count="1">
          <reference field="4294967294" count="2" selected="0">
            <x v="0"/>
            <x v="1"/>
          </reference>
        </references>
      </pivotArea>
    </format>
    <format dxfId="17">
      <pivotArea field="2" type="button" dataOnly="0" labelOnly="1" outline="0" axis="axisCol" fieldPosition="0"/>
    </format>
    <format dxfId="16">
      <pivotArea field="2" type="button" dataOnly="0" labelOnly="1" outline="0" axis="axisCol" fieldPosition="0"/>
    </format>
    <format dxfId="15">
      <pivotArea field="-2" type="button" dataOnly="0" labelOnly="1" outline="0" axis="axisCol" fieldPosition="1"/>
    </format>
    <format dxfId="14">
      <pivotArea field="2" type="button" dataOnly="0" labelOnly="1" outline="0" axis="axisCol" fieldPosition="0"/>
    </format>
    <format dxfId="13">
      <pivotArea dataOnly="0" outline="0" fieldPosition="0">
        <references count="1">
          <reference field="2" count="1">
            <x v="0"/>
          </reference>
        </references>
      </pivotArea>
    </format>
    <format dxfId="12">
      <pivotArea type="topRight" dataOnly="0" labelOnly="1" outline="0" offset="E1:F1" fieldPosition="0"/>
    </format>
    <format dxfId="11">
      <pivotArea type="all" dataOnly="0" outline="0" fieldPosition="0"/>
    </format>
    <format dxfId="10">
      <pivotArea field="8" type="button" dataOnly="0" labelOnly="1" outline="0" axis="axisRow" fieldPosition="0"/>
    </format>
    <format dxfId="9">
      <pivotArea dataOnly="0" labelOnly="1" outline="0" fieldPosition="0">
        <references count="1">
          <reference field="8" count="0"/>
        </references>
      </pivotArea>
    </format>
    <format dxfId="8">
      <pivotArea field="8" type="button" dataOnly="0" labelOnly="1" outline="0" axis="axisRow" fieldPosition="0"/>
    </format>
    <format dxfId="7">
      <pivotArea dataOnly="0" labelOnly="1" outline="0" fieldPosition="0">
        <references count="1">
          <reference field="8" count="0"/>
        </references>
      </pivotArea>
    </format>
    <format dxfId="6">
      <pivotArea outline="0" collapsedLevelsAreSubtotals="1" fieldPosition="0">
        <references count="3">
          <reference field="4294967294" count="2" selected="0">
            <x v="0"/>
            <x v="1"/>
          </reference>
          <reference field="2" count="0" selected="0"/>
          <reference field="8" count="0" selected="0"/>
        </references>
      </pivotArea>
    </format>
    <format dxfId="5">
      <pivotArea field="8" type="button" dataOnly="0" labelOnly="1" outline="0" axis="axisRow" fieldPosition="0"/>
    </format>
    <format dxfId="4">
      <pivotArea dataOnly="0" labelOnly="1" outline="0" fieldPosition="0">
        <references count="1">
          <reference field="8" count="0"/>
        </references>
      </pivotArea>
    </format>
    <format dxfId="3">
      <pivotArea dataOnly="0" labelOnly="1" outline="0" fieldPosition="0">
        <references count="2">
          <reference field="4294967294" count="2">
            <x v="0"/>
            <x v="1"/>
          </reference>
          <reference field="2" count="1" selected="0">
            <x v="0"/>
          </reference>
        </references>
      </pivotArea>
    </format>
    <format dxfId="2">
      <pivotArea dataOnly="0" labelOnly="1" outline="0" fieldPosition="0">
        <references count="2">
          <reference field="4294967294" count="2">
            <x v="0"/>
            <x v="1"/>
          </reference>
          <reference field="2" count="1" selected="0">
            <x v="1"/>
          </reference>
        </references>
      </pivotArea>
    </format>
    <format dxfId="1">
      <pivotArea dataOnly="0" labelOnly="1" outline="0" fieldPosition="0">
        <references count="2">
          <reference field="4294967294" count="2">
            <x v="0"/>
            <x v="1"/>
          </reference>
          <reference field="2" count="1" selected="0">
            <x v="2"/>
          </reference>
        </references>
      </pivotArea>
    </format>
    <format dxfId="0">
      <pivotArea field="8" type="button" dataOnly="0" labelOnly="1" outline="0" axis="axisRow"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Data" updatedVersion="4" minRefreshableVersion="3" showMemberPropertyTips="0" itemPrintTitles="1" mergeItem="1" createdVersion="3" indent="0" compact="0" compactData="0" multipleFieldFilters="0">
  <location ref="F4:O14" firstHeaderRow="1" firstDataRow="2" firstDataCol="2"/>
  <pivotFields count="26">
    <pivotField axis="axisRow" compact="0" outline="0" subtotalTop="0" showAll="0" includeNewItemsInFilter="1" defaultSubtotal="0">
      <items count="3">
        <item x="0"/>
        <item x="2"/>
        <item x="1"/>
      </items>
    </pivotField>
    <pivotField axis="axisRow" compact="0" outline="0" subtotalTop="0" showAll="0" includeNewItemsInFilter="1" defaultSubtotal="0">
      <items count="8">
        <item x="0"/>
        <item x="4"/>
        <item x="1"/>
        <item x="3"/>
        <item x="5"/>
        <item x="6"/>
        <item x="7"/>
        <item x="2"/>
      </items>
    </pivotField>
    <pivotField compact="0" outline="0" subtotalTop="0" showAll="0" includeNewItemsInFilter="1">
      <items count="6">
        <item x="0"/>
        <item x="3"/>
        <item x="1"/>
        <item x="4"/>
        <item x="2"/>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axis="axisCol" dataField="1" compact="0" outline="0" showAll="0" defaultSubtotal="0">
      <items count="7">
        <item x="2"/>
        <item x="0"/>
        <item x="1"/>
        <item x="4"/>
        <item x="6"/>
        <item x="3"/>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name="IT Area - SF2" compact="0" outline="0" showAll="0" defaultSubtotal="0"/>
    <pivotField compact="0" outline="0" showAll="0" defaultSubtotal="0"/>
    <pivotField compact="0" outline="0" showAll="0" defaultSubtotal="0"/>
    <pivotField compact="0" outline="0" subtotalTop="0" showAll="0" includeNewItemsInFilter="1" defaultSubtotal="0"/>
    <pivotField compact="0" outline="0" showAll="0" defaultSubtotal="0"/>
    <pivotField compact="0" outline="0" showAll="0" defaultSubtotal="0"/>
    <pivotField compact="0" outline="0" showAll="0" defaultSubtotal="0"/>
  </pivotFields>
  <rowFields count="2">
    <field x="0"/>
    <field x="1"/>
  </rowFields>
  <rowItems count="9">
    <i>
      <x/>
      <x/>
    </i>
    <i r="1">
      <x v="1"/>
    </i>
    <i r="1">
      <x v="2"/>
    </i>
    <i r="1">
      <x v="3"/>
    </i>
    <i r="1">
      <x v="5"/>
    </i>
    <i r="1">
      <x v="6"/>
    </i>
    <i>
      <x v="1"/>
      <x v="4"/>
    </i>
    <i>
      <x v="2"/>
      <x v="7"/>
    </i>
    <i t="grand">
      <x/>
    </i>
  </rowItems>
  <colFields count="1">
    <field x="8"/>
  </colFields>
  <colItems count="8">
    <i>
      <x/>
    </i>
    <i>
      <x v="1"/>
    </i>
    <i>
      <x v="2"/>
    </i>
    <i>
      <x v="3"/>
    </i>
    <i>
      <x v="4"/>
    </i>
    <i>
      <x v="5"/>
    </i>
    <i>
      <x v="6"/>
    </i>
    <i t="grand">
      <x/>
    </i>
  </colItems>
  <dataFields count="1">
    <dataField name="Count of Overall Tier Level" fld="8" subtotal="count" baseField="0" baseItem="0"/>
  </dataFields>
  <formats count="94">
    <format dxfId="216">
      <pivotArea dataOnly="0" labelOnly="1" grandCol="1" outline="0" fieldPosition="0"/>
    </format>
    <format dxfId="215">
      <pivotArea dataOnly="0" labelOnly="1" grandCol="1" outline="0" fieldPosition="0"/>
    </format>
    <format dxfId="214">
      <pivotArea dataOnly="0" labelOnly="1" grandCol="1" outline="0" fieldPosition="0"/>
    </format>
    <format dxfId="213">
      <pivotArea type="origin" dataOnly="0" labelOnly="1" outline="0" offset="A1" fieldPosition="0"/>
    </format>
    <format dxfId="212">
      <pivotArea type="origin" dataOnly="0" labelOnly="1" outline="0" offset="B1" fieldPosition="0"/>
    </format>
    <format dxfId="211">
      <pivotArea type="topRight" dataOnly="0" labelOnly="1" outline="0" offset="A1" fieldPosition="0"/>
    </format>
    <format dxfId="210">
      <pivotArea type="topRight" dataOnly="0" labelOnly="1" outline="0" offset="B1" fieldPosition="0"/>
    </format>
    <format dxfId="209">
      <pivotArea type="topRight" dataOnly="0" labelOnly="1" outline="0" offset="C1" fieldPosition="0"/>
    </format>
    <format dxfId="208">
      <pivotArea field="-2" type="button" dataOnly="0" labelOnly="1" outline="0" axis="axisValues" fieldPosition="0"/>
    </format>
    <format dxfId="207">
      <pivotArea outline="0" fieldPosition="0"/>
    </format>
    <format dxfId="206">
      <pivotArea field="-2" type="button" dataOnly="0" labelOnly="1" outline="0" axis="axisValues" fieldPosition="0"/>
    </format>
    <format dxfId="205">
      <pivotArea field="2" type="button" dataOnly="0" labelOnly="1" outline="0"/>
    </format>
    <format dxfId="204">
      <pivotArea field="2" type="button" dataOnly="0" labelOnly="1" outline="0"/>
    </format>
    <format dxfId="203">
      <pivotArea type="all" dataOnly="0" outline="0" fieldPosition="0"/>
    </format>
    <format dxfId="202">
      <pivotArea type="all" dataOnly="0" outline="0" fieldPosition="0"/>
    </format>
    <format dxfId="201">
      <pivotArea type="all" dataOnly="0" outline="0" fieldPosition="0"/>
    </format>
    <format dxfId="200">
      <pivotArea field="-2" type="button" dataOnly="0" labelOnly="1" outline="0" axis="axisValues" fieldPosition="0"/>
    </format>
    <format dxfId="199">
      <pivotArea outline="0" fieldPosition="0"/>
    </format>
    <format dxfId="198">
      <pivotArea dataOnly="0" labelOnly="1" grandRow="1" outline="0" fieldPosition="0"/>
    </format>
    <format dxfId="197">
      <pivotArea dataOnly="0" labelOnly="1" grandRow="1" outline="0" fieldPosition="0"/>
    </format>
    <format dxfId="196">
      <pivotArea grandRow="1" outline="0" fieldPosition="0"/>
    </format>
    <format dxfId="195">
      <pivotArea dataOnly="0" labelOnly="1" grandRow="1" outline="0" fieldPosition="0"/>
    </format>
    <format dxfId="194">
      <pivotArea grandRow="1" outline="0" fieldPosition="0"/>
    </format>
    <format dxfId="193">
      <pivotArea dataOnly="0" labelOnly="1" grandRow="1" outline="0" fieldPosition="0"/>
    </format>
    <format dxfId="192">
      <pivotArea grandRow="1" outline="0" fieldPosition="0"/>
    </format>
    <format dxfId="191">
      <pivotArea dataOnly="0" labelOnly="1" grandRow="1" outline="0" fieldPosition="0"/>
    </format>
    <format dxfId="190">
      <pivotArea outline="0" fieldPosition="0"/>
    </format>
    <format dxfId="189">
      <pivotArea dataOnly="0" labelOnly="1" grandRow="1" outline="0" fieldPosition="0"/>
    </format>
    <format dxfId="188">
      <pivotArea dataOnly="0" labelOnly="1" grandRow="1" outline="0" fieldPosition="0"/>
    </format>
    <format dxfId="187">
      <pivotArea type="origin" dataOnly="0" labelOnly="1" outline="0" offset="A2" fieldPosition="0"/>
    </format>
    <format dxfId="186">
      <pivotArea field="-2" type="button" dataOnly="0" labelOnly="1" outline="0" axis="axisValues" fieldPosition="0"/>
    </format>
    <format dxfId="185">
      <pivotArea grandRow="1" outline="0" collapsedLevelsAreSubtotals="1" fieldPosition="0"/>
    </format>
    <format dxfId="184">
      <pivotArea dataOnly="0" labelOnly="1" grandRow="1" outline="0" fieldPosition="0"/>
    </format>
    <format dxfId="183">
      <pivotArea grandRow="1" outline="0" collapsedLevelsAreSubtotals="1" fieldPosition="0"/>
    </format>
    <format dxfId="182">
      <pivotArea dataOnly="0" labelOnly="1" grandRow="1" outline="0" fieldPosition="0"/>
    </format>
    <format dxfId="181">
      <pivotArea dataOnly="0" labelOnly="1" grandRow="1" outline="0" fieldPosition="0"/>
    </format>
    <format dxfId="180">
      <pivotArea field="2" type="button" dataOnly="0" labelOnly="1" outline="0"/>
    </format>
    <format dxfId="179">
      <pivotArea field="-2" type="button" dataOnly="0" labelOnly="1" outline="0" axis="axisValues" fieldPosition="0"/>
    </format>
    <format dxfId="178">
      <pivotArea field="-2" type="button" dataOnly="0" labelOnly="1" outline="0" axis="axisValues" fieldPosition="0"/>
    </format>
    <format dxfId="177">
      <pivotArea outline="0" collapsedLevelsAreSubtotals="1" fieldPosition="0"/>
    </format>
    <format dxfId="176">
      <pivotArea dataOnly="0" labelOnly="1" grandRow="1" outline="0" fieldPosition="0"/>
    </format>
    <format dxfId="175">
      <pivotArea field="-2" type="button" dataOnly="0" labelOnly="1" outline="0" axis="axisValues" fieldPosition="0"/>
    </format>
    <format dxfId="174">
      <pivotArea type="topRight" dataOnly="0" labelOnly="1" outline="0" offset="D1:F1" fieldPosition="0"/>
    </format>
    <format dxfId="173">
      <pivotArea type="origin" dataOnly="0" labelOnly="1" outline="0" offset="A1" fieldPosition="0"/>
    </format>
    <format dxfId="172">
      <pivotArea field="2" type="button" dataOnly="0" labelOnly="1" outline="0"/>
    </format>
    <format dxfId="171">
      <pivotArea field="-2" type="button" dataOnly="0" labelOnly="1" outline="0" axis="axisValues" fieldPosition="0"/>
    </format>
    <format dxfId="170">
      <pivotArea field="-2" type="button" dataOnly="0" labelOnly="1" outline="0" axis="axisValues" fieldPosition="0"/>
    </format>
    <format dxfId="169">
      <pivotArea field="-2" type="button" dataOnly="0" labelOnly="1" outline="0" axis="axisValues" fieldPosition="0"/>
    </format>
    <format dxfId="168">
      <pivotArea type="origin" dataOnly="0" labelOnly="1" outline="0" fieldPosition="0"/>
    </format>
    <format dxfId="167">
      <pivotArea type="topRight" dataOnly="0" labelOnly="1" outline="0" fieldPosition="0"/>
    </format>
    <format dxfId="166">
      <pivotArea type="all" dataOnly="0" outline="0" fieldPosition="0"/>
    </format>
    <format dxfId="165">
      <pivotArea field="-2" type="button" dataOnly="0" labelOnly="1" outline="0" axis="axisValues" fieldPosition="0"/>
    </format>
    <format dxfId="164">
      <pivotArea field="-2" type="button" dataOnly="0" labelOnly="1" outline="0" axis="axisValues" fieldPosition="0"/>
    </format>
    <format dxfId="163">
      <pivotArea dataOnly="0" grandRow="1" outline="0" fieldPosition="0"/>
    </format>
    <format dxfId="162">
      <pivotArea outline="0" collapsedLevelsAreSubtotals="1" fieldPosition="0"/>
    </format>
    <format dxfId="161">
      <pivotArea field="0" type="button" dataOnly="0" labelOnly="1" outline="0" axis="axisRow" fieldPosition="0"/>
    </format>
    <format dxfId="160">
      <pivotArea field="1" type="button" dataOnly="0" labelOnly="1" outline="0" axis="axisRow" fieldPosition="1"/>
    </format>
    <format dxfId="159">
      <pivotArea dataOnly="0" labelOnly="1" outline="0" fieldPosition="0">
        <references count="1">
          <reference field="0" count="0"/>
        </references>
      </pivotArea>
    </format>
    <format dxfId="158">
      <pivotArea dataOnly="0" labelOnly="1" outline="0" fieldPosition="0">
        <references count="2">
          <reference field="0" count="1" selected="0">
            <x v="0"/>
          </reference>
          <reference field="1" count="6">
            <x v="0"/>
            <x v="1"/>
            <x v="2"/>
            <x v="3"/>
            <x v="5"/>
            <x v="6"/>
          </reference>
        </references>
      </pivotArea>
    </format>
    <format dxfId="157">
      <pivotArea dataOnly="0" labelOnly="1" outline="0" fieldPosition="0">
        <references count="2">
          <reference field="0" count="1" selected="0">
            <x v="1"/>
          </reference>
          <reference field="1" count="1">
            <x v="4"/>
          </reference>
        </references>
      </pivotArea>
    </format>
    <format dxfId="156">
      <pivotArea field="0" type="button" dataOnly="0" labelOnly="1" outline="0" axis="axisRow" fieldPosition="0"/>
    </format>
    <format dxfId="155">
      <pivotArea field="1" type="button" dataOnly="0" labelOnly="1" outline="0" axis="axisRow" fieldPosition="1"/>
    </format>
    <format dxfId="154">
      <pivotArea dataOnly="0" labelOnly="1" outline="0" fieldPosition="0">
        <references count="1">
          <reference field="0" count="0"/>
        </references>
      </pivotArea>
    </format>
    <format dxfId="153">
      <pivotArea dataOnly="0" labelOnly="1" outline="0" fieldPosition="0">
        <references count="2">
          <reference field="0" count="1" selected="0">
            <x v="0"/>
          </reference>
          <reference field="1" count="6">
            <x v="0"/>
            <x v="1"/>
            <x v="2"/>
            <x v="3"/>
            <x v="5"/>
            <x v="6"/>
          </reference>
        </references>
      </pivotArea>
    </format>
    <format dxfId="152">
      <pivotArea dataOnly="0" labelOnly="1" outline="0" fieldPosition="0">
        <references count="2">
          <reference field="0" count="1" selected="0">
            <x v="1"/>
          </reference>
          <reference field="1" count="1">
            <x v="4"/>
          </reference>
        </references>
      </pivotArea>
    </format>
    <format dxfId="151">
      <pivotArea field="0" type="button" dataOnly="0" labelOnly="1" outline="0" axis="axisRow" fieldPosition="0"/>
    </format>
    <format dxfId="150">
      <pivotArea field="1" type="button" dataOnly="0" labelOnly="1" outline="0" axis="axisRow" fieldPosition="1"/>
    </format>
    <format dxfId="149">
      <pivotArea dataOnly="0" labelOnly="1" outline="0" fieldPosition="0">
        <references count="1">
          <reference field="0" count="0"/>
        </references>
      </pivotArea>
    </format>
    <format dxfId="148">
      <pivotArea dataOnly="0" labelOnly="1" outline="0" fieldPosition="0">
        <references count="2">
          <reference field="0" count="1" selected="0">
            <x v="0"/>
          </reference>
          <reference field="1" count="6">
            <x v="0"/>
            <x v="1"/>
            <x v="2"/>
            <x v="3"/>
            <x v="5"/>
            <x v="6"/>
          </reference>
        </references>
      </pivotArea>
    </format>
    <format dxfId="147">
      <pivotArea dataOnly="0" labelOnly="1" outline="0" fieldPosition="0">
        <references count="2">
          <reference field="0" count="1" selected="0">
            <x v="1"/>
          </reference>
          <reference field="1" count="1">
            <x v="4"/>
          </reference>
        </references>
      </pivotArea>
    </format>
    <format dxfId="146">
      <pivotArea dataOnly="0" labelOnly="1" outline="0" fieldPosition="0">
        <references count="2">
          <reference field="0" count="1" selected="0">
            <x v="0"/>
          </reference>
          <reference field="1" count="6">
            <x v="0"/>
            <x v="1"/>
            <x v="2"/>
            <x v="3"/>
            <x v="5"/>
            <x v="6"/>
          </reference>
        </references>
      </pivotArea>
    </format>
    <format dxfId="145">
      <pivotArea dataOnly="0" labelOnly="1" outline="0" fieldPosition="0">
        <references count="2">
          <reference field="0" count="1" selected="0">
            <x v="1"/>
          </reference>
          <reference field="1" count="1">
            <x v="4"/>
          </reference>
        </references>
      </pivotArea>
    </format>
    <format dxfId="144">
      <pivotArea grandCol="1" outline="0" collapsedLevelsAreSubtotals="1" fieldPosition="0"/>
    </format>
    <format dxfId="143">
      <pivotArea grandRow="1" outline="0" collapsedLevelsAreSubtotals="1" fieldPosition="0"/>
    </format>
    <format dxfId="142">
      <pivotArea dataOnly="0" labelOnly="1" grandRow="1" outline="0" fieldPosition="0"/>
    </format>
    <format dxfId="141">
      <pivotArea field="1" grandCol="1" outline="0" collapsedLevelsAreSubtotals="1" axis="axisRow" fieldPosition="1">
        <references count="2">
          <reference field="0" count="0" selected="0"/>
          <reference field="1" count="0" selected="0"/>
        </references>
      </pivotArea>
    </format>
    <format dxfId="140">
      <pivotArea field="1" grandCol="1" outline="0" collapsedLevelsAreSubtotals="1" axis="axisRow" fieldPosition="1">
        <references count="2">
          <reference field="0" count="0" selected="0"/>
          <reference field="1" count="0" selected="0"/>
        </references>
      </pivotArea>
    </format>
    <format dxfId="139">
      <pivotArea field="0" type="button" dataOnly="0" labelOnly="1" outline="0" axis="axisRow" fieldPosition="0"/>
    </format>
    <format dxfId="138">
      <pivotArea dataOnly="0" labelOnly="1" grandCol="1" outline="0" fieldPosition="0"/>
    </format>
    <format dxfId="137">
      <pivotArea grandCol="1" outline="0" collapsedLevelsAreSubtotals="1" fieldPosition="0"/>
    </format>
    <format dxfId="136">
      <pivotArea dataOnly="0" labelOnly="1" grandCol="1" outline="0" fieldPosition="0"/>
    </format>
    <format dxfId="135">
      <pivotArea field="1" type="button" dataOnly="0" labelOnly="1" outline="0" axis="axisRow" fieldPosition="1"/>
    </format>
    <format dxfId="134">
      <pivotArea type="topRight" dataOnly="0" labelOnly="1" outline="0" fieldPosition="0"/>
    </format>
    <format dxfId="133">
      <pivotArea dataOnly="0" labelOnly="1" grandCol="1" outline="0" fieldPosition="0"/>
    </format>
    <format dxfId="132">
      <pivotArea type="all" dataOnly="0" outline="0" fieldPosition="0"/>
    </format>
    <format dxfId="131">
      <pivotArea type="origin" dataOnly="0" labelOnly="1" outline="0" fieldPosition="0"/>
    </format>
    <format dxfId="130">
      <pivotArea dataOnly="0" labelOnly="1" outline="0" fieldPosition="0">
        <references count="1">
          <reference field="8" count="0"/>
        </references>
      </pivotArea>
    </format>
    <format dxfId="129">
      <pivotArea field="8" type="button" dataOnly="0" labelOnly="1" outline="0" axis="axisCol" fieldPosition="0"/>
    </format>
    <format dxfId="128">
      <pivotArea field="8" type="button" dataOnly="0" labelOnly="1" outline="0" axis="axisCol" fieldPosition="0"/>
    </format>
    <format dxfId="127">
      <pivotArea outline="0" collapsedLevelsAreSubtotals="1" fieldPosition="0">
        <references count="3">
          <reference field="0" count="0" selected="0"/>
          <reference field="1" count="0" selected="0"/>
          <reference field="8" count="0" selected="0"/>
        </references>
      </pivotArea>
    </format>
    <format dxfId="126">
      <pivotArea outline="0" collapsedLevelsAreSubtotals="1" fieldPosition="0">
        <references count="3">
          <reference field="0" count="0" selected="0"/>
          <reference field="1" count="0" selected="0"/>
          <reference field="8" count="0" selected="0"/>
        </references>
      </pivotArea>
    </format>
    <format dxfId="125">
      <pivotArea dataOnly="0" labelOnly="1" outline="0" fieldPosition="0">
        <references count="1">
          <reference field="8" count="0"/>
        </references>
      </pivotArea>
    </format>
    <format dxfId="124">
      <pivotArea outline="0" collapsedLevelsAreSubtotals="1" fieldPosition="0">
        <references count="3">
          <reference field="0" count="0" selected="0"/>
          <reference field="1" count="0" selected="0"/>
          <reference field="8" count="0" selected="0"/>
        </references>
      </pivotArea>
    </format>
    <format dxfId="123">
      <pivotArea dataOnly="0" labelOnly="1" outline="0" fieldPosition="0">
        <references count="1">
          <reference field="8" count="0"/>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3" cacheId="20" dataOnRows="1" applyNumberFormats="0" applyBorderFormats="0" applyFontFormats="0" applyPatternFormats="0" applyAlignmentFormats="0" applyWidthHeightFormats="1" dataCaption="DC Count &amp; Area" updatedVersion="4" minRefreshableVersion="3" showMemberPropertyTips="0" useAutoFormatting="1" itemPrintTitles="1" mergeItem="1" createdVersion="3" indent="0" compact="0" compactData="0" gridDropZones="1">
  <location ref="B27:I44" firstHeaderRow="1" firstDataRow="2" firstDataCol="2"/>
  <pivotFields count="26">
    <pivotField compact="0" outline="0" showAll="0" defaultSubtotal="0"/>
    <pivotField compact="0" outline="0" showAll="0" defaultSubtotal="0"/>
    <pivotField axis="axisCol" compact="0" outline="0" subtotalTop="0" showAll="0" includeNewItemsInFilter="1" rankBy="0">
      <items count="6">
        <item x="0"/>
        <item x="3"/>
        <item x="1"/>
        <item x="4"/>
        <item x="2"/>
        <item t="default"/>
      </items>
    </pivotField>
    <pivotField compact="0" outline="0" showAll="0" defaultSubtotal="0"/>
    <pivotField compact="0" outline="0" showAll="0" defaultSubtotal="0"/>
    <pivotField compact="0" outline="0" showAll="0" defaultSubtotal="0"/>
    <pivotField compact="0" outline="0" showAll="0" defaultSubtotal="0"/>
    <pivotField dataField="1" compact="0" outline="0" subtotalTop="0" showAll="0" includeNewItemsInFilter="1"/>
    <pivotField axis="axisRow" compact="0" outline="0" showAll="0" defaultSubtotal="0">
      <items count="7">
        <item x="2"/>
        <item x="0"/>
        <item x="1"/>
        <item x="4"/>
        <item x="6"/>
        <item x="3"/>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name="IT Area - SF2"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8"/>
    <field x="-2"/>
  </rowFields>
  <rowItems count="16">
    <i>
      <x/>
      <x/>
    </i>
    <i r="1" i="1">
      <x v="1"/>
    </i>
    <i>
      <x v="1"/>
      <x/>
    </i>
    <i r="1" i="1">
      <x v="1"/>
    </i>
    <i>
      <x v="2"/>
      <x/>
    </i>
    <i r="1" i="1">
      <x v="1"/>
    </i>
    <i>
      <x v="3"/>
      <x/>
    </i>
    <i r="1" i="1">
      <x v="1"/>
    </i>
    <i>
      <x v="4"/>
      <x/>
    </i>
    <i r="1" i="1">
      <x v="1"/>
    </i>
    <i>
      <x v="5"/>
      <x/>
    </i>
    <i r="1" i="1">
      <x v="1"/>
    </i>
    <i>
      <x v="6"/>
      <x/>
    </i>
    <i r="1" i="1">
      <x v="1"/>
    </i>
    <i t="grand">
      <x/>
    </i>
    <i t="grand" i="1">
      <x/>
    </i>
  </rowItems>
  <colFields count="1">
    <field x="2"/>
  </colFields>
  <colItems count="6">
    <i>
      <x/>
    </i>
    <i>
      <x v="1"/>
    </i>
    <i>
      <x v="2"/>
    </i>
    <i>
      <x v="3"/>
    </i>
    <i>
      <x v="4"/>
    </i>
    <i t="grand">
      <x/>
    </i>
  </colItems>
  <dataFields count="2">
    <dataField name="Number of DC's" fld="7" subtotal="count" baseField="0" baseItem="0"/>
    <dataField name="IT Area - SF" fld="19" baseField="0" baseItem="0"/>
  </dataFields>
  <formats count="38">
    <format dxfId="254">
      <pivotArea dataOnly="0" labelOnly="1" grandCol="1" outline="0" fieldPosition="0"/>
    </format>
    <format dxfId="253">
      <pivotArea dataOnly="0" labelOnly="1" grandCol="1" outline="0" fieldPosition="0"/>
    </format>
    <format dxfId="252">
      <pivotArea dataOnly="0" labelOnly="1" grandCol="1" outline="0" fieldPosition="0"/>
    </format>
    <format dxfId="251">
      <pivotArea type="origin" dataOnly="0" labelOnly="1" outline="0" offset="A1" fieldPosition="0"/>
    </format>
    <format dxfId="250">
      <pivotArea type="origin" dataOnly="0" labelOnly="1" outline="0" offset="B1" fieldPosition="0"/>
    </format>
    <format dxfId="249">
      <pivotArea type="topRight" dataOnly="0" labelOnly="1" outline="0" offset="A1" fieldPosition="0"/>
    </format>
    <format dxfId="248">
      <pivotArea type="topRight" dataOnly="0" labelOnly="1" outline="0" offset="B1" fieldPosition="0"/>
    </format>
    <format dxfId="247">
      <pivotArea type="topRight" dataOnly="0" labelOnly="1" outline="0" offset="C1" fieldPosition="0"/>
    </format>
    <format dxfId="246">
      <pivotArea field="-2" type="button" dataOnly="0" labelOnly="1" outline="0" axis="axisRow" fieldPosition="1"/>
    </format>
    <format dxfId="245">
      <pivotArea dataOnly="0" labelOnly="1" grandCol="1" outline="0" fieldPosition="0"/>
    </format>
    <format dxfId="244">
      <pivotArea outline="0" fieldPosition="0"/>
    </format>
    <format dxfId="243">
      <pivotArea field="-2" type="button" dataOnly="0" labelOnly="1" outline="0" axis="axisRow" fieldPosition="1"/>
    </format>
    <format dxfId="242">
      <pivotArea field="-2" type="button" dataOnly="0" labelOnly="1" outline="0" axis="axisRow" fieldPosition="1"/>
    </format>
    <format dxfId="241">
      <pivotArea dataOnly="0" labelOnly="1" outline="0" fieldPosition="0">
        <references count="1">
          <reference field="2" count="0"/>
        </references>
      </pivotArea>
    </format>
    <format dxfId="240">
      <pivotArea dataOnly="0" labelOnly="1" outline="0" fieldPosition="0">
        <references count="1">
          <reference field="2" count="0"/>
        </references>
      </pivotArea>
    </format>
    <format dxfId="239">
      <pivotArea field="2" type="button" dataOnly="0" labelOnly="1" outline="0" axis="axisCol" fieldPosition="0"/>
    </format>
    <format dxfId="238">
      <pivotArea field="2" type="button" dataOnly="0" labelOnly="1" outline="0" axis="axisCol" fieldPosition="0"/>
    </format>
    <format dxfId="237">
      <pivotArea type="all" dataOnly="0" outline="0" fieldPosition="0"/>
    </format>
    <format dxfId="236">
      <pivotArea type="all" dataOnly="0" outline="0" fieldPosition="0"/>
    </format>
    <format dxfId="235">
      <pivotArea type="all" dataOnly="0" outline="0" fieldPosition="0"/>
    </format>
    <format dxfId="234">
      <pivotArea outline="0" collapsedLevelsAreSubtotals="1" fieldPosition="0"/>
    </format>
    <format dxfId="233">
      <pivotArea outline="0" collapsedLevelsAreSubtotals="1" fieldPosition="0"/>
    </format>
    <format dxfId="232">
      <pivotArea type="all" dataOnly="0" outline="0" fieldPosition="0"/>
    </format>
    <format dxfId="231">
      <pivotArea field="-2" type="button" dataOnly="0" labelOnly="1" outline="0" axis="axisRow" fieldPosition="1"/>
    </format>
    <format dxfId="230">
      <pivotArea dataOnly="0" labelOnly="1" outline="0" fieldPosition="0">
        <references count="1">
          <reference field="2" count="0"/>
        </references>
      </pivotArea>
    </format>
    <format dxfId="229">
      <pivotArea dataOnly="0" labelOnly="1" grandCol="1" outline="0" fieldPosition="0"/>
    </format>
    <format dxfId="228">
      <pivotArea dataOnly="0" labelOnly="1" outline="0" fieldPosition="0">
        <references count="1">
          <reference field="4294967294" count="0"/>
        </references>
      </pivotArea>
    </format>
    <format dxfId="227">
      <pivotArea type="all" dataOnly="0" outline="0" fieldPosition="0"/>
    </format>
    <format dxfId="226">
      <pivotArea type="origin" dataOnly="0" labelOnly="1" outline="0" fieldPosition="0"/>
    </format>
    <format dxfId="225">
      <pivotArea field="8" type="button" dataOnly="0" labelOnly="1" outline="0" axis="axisRow" fieldPosition="0"/>
    </format>
    <format dxfId="224">
      <pivotArea field="-2" type="button" dataOnly="0" labelOnly="1" outline="0" axis="axisRow" fieldPosition="1"/>
    </format>
    <format dxfId="223">
      <pivotArea dataOnly="0" labelOnly="1" outline="0" fieldPosition="0">
        <references count="1">
          <reference field="8" count="0"/>
        </references>
      </pivotArea>
    </format>
    <format dxfId="222">
      <pivotArea field="8" dataOnly="0" labelOnly="1" grandRow="1" outline="0" axis="axisRow" fieldPosition="0">
        <references count="1">
          <reference field="4294967294" count="1" selected="0">
            <x v="0"/>
          </reference>
        </references>
      </pivotArea>
    </format>
    <format dxfId="221">
      <pivotArea field="8" dataOnly="0" labelOnly="1" grandRow="1" outline="0" axis="axisRow" fieldPosition="0">
        <references count="1">
          <reference field="4294967294" count="1" selected="0">
            <x v="1"/>
          </reference>
        </references>
      </pivotArea>
    </format>
    <format dxfId="220">
      <pivotArea dataOnly="0" labelOnly="1" outline="0" fieldPosition="0">
        <references count="2">
          <reference field="4294967294" count="2">
            <x v="0"/>
            <x v="1"/>
          </reference>
          <reference field="8" count="1" selected="0">
            <x v="0"/>
          </reference>
        </references>
      </pivotArea>
    </format>
    <format dxfId="219">
      <pivotArea dataOnly="0" labelOnly="1" outline="0" fieldPosition="0">
        <references count="2">
          <reference field="4294967294" count="2">
            <x v="0"/>
            <x v="1"/>
          </reference>
          <reference field="8" count="1" selected="0">
            <x v="1"/>
          </reference>
        </references>
      </pivotArea>
    </format>
    <format dxfId="218">
      <pivotArea dataOnly="0" labelOnly="1" outline="0" fieldPosition="0">
        <references count="2">
          <reference field="4294967294" count="2">
            <x v="0"/>
            <x v="1"/>
          </reference>
          <reference field="8" count="1" selected="0">
            <x v="2"/>
          </reference>
        </references>
      </pivotArea>
    </format>
    <format dxfId="217">
      <pivotArea dataOnly="0" labelOnly="1" outline="0" fieldPosition="0">
        <references count="2">
          <reference field="4294967294" count="2">
            <x v="0"/>
            <x v="1"/>
          </reference>
          <reference field="8" count="1" selected="0">
            <x v="3"/>
          </reference>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hyperlink" Target="mailto:cbrelsford@cyrusone.com" TargetMode="External"/><Relationship Id="rId2" Type="http://schemas.openxmlformats.org/officeDocument/2006/relationships/hyperlink" Target="mailto:ftabertshofe@csc.com" TargetMode="External"/><Relationship Id="rId3" Type="http://schemas.openxmlformats.org/officeDocument/2006/relationships/hyperlink" Target="mailto:benjamin.jacob@q9.com" TargetMode="Externa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78"/>
  <sheetViews>
    <sheetView tabSelected="1" zoomScale="125" zoomScaleNormal="125" zoomScalePageLayoutView="125" workbookViewId="0">
      <pane xSplit="9" ySplit="1" topLeftCell="J2" activePane="bottomRight" state="frozen"/>
      <selection pane="topRight" activeCell="G1" sqref="G1"/>
      <selection pane="bottomLeft" activeCell="A4" sqref="A4"/>
      <selection pane="bottomRight" activeCell="A79" sqref="A79:XFD95"/>
    </sheetView>
  </sheetViews>
  <sheetFormatPr baseColWidth="10" defaultColWidth="8.83203125" defaultRowHeight="12" x14ac:dyDescent="0"/>
  <cols>
    <col min="1" max="1" width="3.1640625" customWidth="1"/>
    <col min="2" max="2" width="10.5" customWidth="1"/>
    <col min="3" max="3" width="10.6640625" customWidth="1"/>
    <col min="4" max="4" width="8.6640625" customWidth="1"/>
    <col min="5" max="5" width="10.5" customWidth="1"/>
    <col min="6" max="6" width="12.83203125" customWidth="1"/>
    <col min="7" max="7" width="13.6640625" customWidth="1"/>
    <col min="8" max="8" width="12.6640625" customWidth="1"/>
    <col min="9" max="9" width="31.1640625" customWidth="1"/>
    <col min="10" max="10" width="9.83203125" customWidth="1"/>
    <col min="11" max="11" width="11.33203125" customWidth="1"/>
    <col min="12" max="12" width="12.5" customWidth="1"/>
    <col min="13" max="13" width="9.1640625" customWidth="1"/>
    <col min="14" max="14" width="37.33203125" customWidth="1"/>
    <col min="15" max="15" width="16.6640625" customWidth="1"/>
    <col min="16" max="16" width="15.6640625" customWidth="1"/>
    <col min="17" max="17" width="12.83203125" customWidth="1"/>
    <col min="18" max="18" width="12.6640625" customWidth="1"/>
    <col min="19" max="19" width="10.6640625" customWidth="1"/>
    <col min="20" max="20" width="10.33203125" customWidth="1"/>
    <col min="21" max="21" width="11.1640625" customWidth="1"/>
    <col min="22" max="22" width="12.33203125" customWidth="1"/>
    <col min="23" max="23" width="12.1640625" customWidth="1"/>
    <col min="24" max="24" width="11.83203125" customWidth="1"/>
    <col min="25" max="25" width="12.33203125" customWidth="1"/>
    <col min="26" max="26" width="9.83203125" customWidth="1"/>
    <col min="27" max="27" width="12.1640625" customWidth="1"/>
    <col min="28" max="28" width="9.1640625" customWidth="1"/>
    <col min="29" max="29" width="30.6640625" customWidth="1"/>
    <col min="30" max="30" width="13" customWidth="1"/>
    <col min="31" max="31" width="13.83203125" customWidth="1"/>
    <col min="32" max="32" width="19.33203125" customWidth="1"/>
    <col min="33" max="33" width="20.6640625" customWidth="1"/>
    <col min="34" max="34" width="26.1640625" customWidth="1"/>
    <col min="35" max="35" width="27.5" customWidth="1"/>
    <col min="36" max="37" width="8.1640625" customWidth="1"/>
    <col min="39" max="39" width="9.83203125" customWidth="1"/>
    <col min="40" max="40" width="11" customWidth="1"/>
    <col min="41" max="41" width="21.5" customWidth="1"/>
    <col min="42" max="42" width="26.5" customWidth="1"/>
    <col min="43" max="43" width="13.1640625" style="436" customWidth="1"/>
  </cols>
  <sheetData>
    <row r="1" spans="1:43" ht="61.5" customHeight="1">
      <c r="B1" s="68" t="s">
        <v>31</v>
      </c>
      <c r="C1" s="68" t="s">
        <v>45</v>
      </c>
      <c r="D1" s="68" t="s">
        <v>20</v>
      </c>
      <c r="E1" s="221" t="s">
        <v>644</v>
      </c>
      <c r="F1" s="221" t="s">
        <v>645</v>
      </c>
      <c r="G1" s="68" t="s">
        <v>242</v>
      </c>
      <c r="H1" s="68" t="s">
        <v>598</v>
      </c>
      <c r="I1" s="68" t="s">
        <v>0</v>
      </c>
      <c r="J1" s="68" t="s">
        <v>536</v>
      </c>
      <c r="K1" s="68" t="s">
        <v>537</v>
      </c>
      <c r="L1" s="68" t="s">
        <v>538</v>
      </c>
      <c r="M1" s="68" t="s">
        <v>646</v>
      </c>
      <c r="N1" s="68" t="s">
        <v>69</v>
      </c>
      <c r="O1" s="68" t="s">
        <v>65</v>
      </c>
      <c r="P1" s="68" t="s">
        <v>91</v>
      </c>
      <c r="Q1" s="68" t="s">
        <v>66</v>
      </c>
      <c r="R1" s="68" t="s">
        <v>527</v>
      </c>
      <c r="S1" s="68" t="s">
        <v>1100</v>
      </c>
      <c r="T1" s="68" t="s">
        <v>666</v>
      </c>
      <c r="U1" s="68" t="s">
        <v>30</v>
      </c>
      <c r="V1" s="264" t="s">
        <v>792</v>
      </c>
      <c r="W1" s="68" t="s">
        <v>61</v>
      </c>
      <c r="X1" s="68" t="s">
        <v>32</v>
      </c>
      <c r="Y1" s="68" t="s">
        <v>57</v>
      </c>
      <c r="Z1" s="18" t="s">
        <v>826</v>
      </c>
      <c r="AA1" s="68" t="s">
        <v>34</v>
      </c>
      <c r="AB1" s="18" t="s">
        <v>35</v>
      </c>
      <c r="AC1" s="68" t="s">
        <v>243</v>
      </c>
      <c r="AD1" s="68" t="s">
        <v>244</v>
      </c>
      <c r="AE1" s="68" t="s">
        <v>245</v>
      </c>
      <c r="AF1" s="68" t="s">
        <v>246</v>
      </c>
      <c r="AG1" s="68" t="s">
        <v>247</v>
      </c>
      <c r="AH1" s="68" t="s">
        <v>248</v>
      </c>
      <c r="AI1" s="68" t="s">
        <v>83</v>
      </c>
      <c r="AJ1" s="68" t="s">
        <v>846</v>
      </c>
      <c r="AK1" s="264" t="s">
        <v>740</v>
      </c>
      <c r="AL1" s="68" t="s">
        <v>120</v>
      </c>
      <c r="AM1" s="229" t="s">
        <v>665</v>
      </c>
      <c r="AN1" s="266" t="s">
        <v>791</v>
      </c>
      <c r="AO1" s="266" t="s">
        <v>761</v>
      </c>
      <c r="AP1" s="435" t="s">
        <v>1127</v>
      </c>
      <c r="AQ1" s="437" t="s">
        <v>1128</v>
      </c>
    </row>
    <row r="2" spans="1:43" ht="25.5" customHeight="1">
      <c r="A2" t="s">
        <v>662</v>
      </c>
      <c r="B2" s="23" t="s">
        <v>36</v>
      </c>
      <c r="C2" s="23" t="s">
        <v>13</v>
      </c>
      <c r="D2" s="41" t="s">
        <v>8</v>
      </c>
      <c r="E2" s="41" t="s">
        <v>742</v>
      </c>
      <c r="F2" s="41" t="s">
        <v>743</v>
      </c>
      <c r="G2" s="41" t="s">
        <v>249</v>
      </c>
      <c r="H2" s="41" t="s">
        <v>1109</v>
      </c>
      <c r="I2" s="42" t="s">
        <v>1108</v>
      </c>
      <c r="J2" s="44">
        <v>2</v>
      </c>
      <c r="K2" s="44">
        <v>2</v>
      </c>
      <c r="L2" s="44">
        <v>2</v>
      </c>
      <c r="M2" s="44"/>
      <c r="N2" s="42" t="s">
        <v>132</v>
      </c>
      <c r="O2" s="42" t="s">
        <v>86</v>
      </c>
      <c r="P2" s="42" t="s">
        <v>87</v>
      </c>
      <c r="Q2" s="42" t="s">
        <v>81</v>
      </c>
      <c r="R2" s="69" t="s">
        <v>250</v>
      </c>
      <c r="S2" s="69"/>
      <c r="T2" s="287">
        <f t="shared" ref="T2:T43" si="0">SUM(U2*0.09290304)</f>
        <v>2486.8285747200002</v>
      </c>
      <c r="U2" s="45">
        <v>26768</v>
      </c>
      <c r="V2" s="45"/>
      <c r="W2" s="70">
        <v>0</v>
      </c>
      <c r="X2" s="45">
        <v>1100</v>
      </c>
      <c r="Y2" s="45"/>
      <c r="Z2" s="46"/>
      <c r="AA2" s="45"/>
      <c r="AB2" s="47"/>
      <c r="AC2" s="104" t="s">
        <v>340</v>
      </c>
      <c r="AD2" s="71"/>
      <c r="AE2" s="41"/>
      <c r="AF2" s="41"/>
      <c r="AG2" s="41" t="s">
        <v>529</v>
      </c>
      <c r="AH2" s="42" t="s">
        <v>436</v>
      </c>
      <c r="AI2" s="41" t="s">
        <v>149</v>
      </c>
      <c r="AJ2" s="41"/>
      <c r="AK2" s="41"/>
      <c r="AL2" s="41"/>
      <c r="AM2" s="41"/>
      <c r="AN2" s="41"/>
      <c r="AO2" s="41"/>
    </row>
    <row r="3" spans="1:43" ht="38.25" customHeight="1">
      <c r="B3" s="23" t="s">
        <v>36</v>
      </c>
      <c r="C3" s="23" t="s">
        <v>13</v>
      </c>
      <c r="D3" s="41" t="s">
        <v>43</v>
      </c>
      <c r="E3" s="214">
        <v>40238</v>
      </c>
      <c r="F3" s="214">
        <v>43921</v>
      </c>
      <c r="G3" s="41" t="s">
        <v>600</v>
      </c>
      <c r="H3" s="41" t="s">
        <v>597</v>
      </c>
      <c r="I3" s="42" t="s">
        <v>769</v>
      </c>
      <c r="J3" s="44">
        <v>3</v>
      </c>
      <c r="K3" s="44">
        <v>3</v>
      </c>
      <c r="L3" s="44">
        <v>3</v>
      </c>
      <c r="M3" s="44"/>
      <c r="N3" s="42" t="s">
        <v>192</v>
      </c>
      <c r="O3" s="42" t="s">
        <v>72</v>
      </c>
      <c r="P3" s="42" t="s">
        <v>73</v>
      </c>
      <c r="Q3" s="42" t="s">
        <v>81</v>
      </c>
      <c r="R3" s="42">
        <v>20191</v>
      </c>
      <c r="S3" s="42"/>
      <c r="T3" s="287">
        <f t="shared" si="0"/>
        <v>1498.34022912</v>
      </c>
      <c r="U3" s="45">
        <v>16128</v>
      </c>
      <c r="V3" s="45"/>
      <c r="W3" s="45"/>
      <c r="X3" s="45">
        <v>1920</v>
      </c>
      <c r="Y3" s="45"/>
      <c r="Z3" s="46"/>
      <c r="AA3" s="45"/>
      <c r="AB3" s="47"/>
      <c r="AC3" s="104" t="s">
        <v>1072</v>
      </c>
      <c r="AD3" s="71"/>
      <c r="AE3" s="42" t="s">
        <v>119</v>
      </c>
      <c r="AF3" s="42" t="s">
        <v>431</v>
      </c>
      <c r="AG3" s="41" t="s">
        <v>529</v>
      </c>
      <c r="AH3" s="42"/>
      <c r="AI3" s="41" t="s">
        <v>796</v>
      </c>
      <c r="AJ3" s="41"/>
      <c r="AK3" s="41" t="s">
        <v>741</v>
      </c>
      <c r="AL3" s="41"/>
      <c r="AM3" s="41"/>
      <c r="AN3" s="41"/>
      <c r="AO3" s="41"/>
      <c r="AQ3" s="436">
        <v>200</v>
      </c>
    </row>
    <row r="4" spans="1:43" ht="25.5" customHeight="1">
      <c r="B4" s="23" t="s">
        <v>36</v>
      </c>
      <c r="C4" s="23" t="s">
        <v>13</v>
      </c>
      <c r="D4" s="41" t="s">
        <v>43</v>
      </c>
      <c r="E4" s="215">
        <v>40799</v>
      </c>
      <c r="F4" s="216">
        <v>42625</v>
      </c>
      <c r="G4" s="41" t="s">
        <v>251</v>
      </c>
      <c r="H4" s="41"/>
      <c r="I4" s="42" t="s">
        <v>1073</v>
      </c>
      <c r="J4" s="44">
        <v>3</v>
      </c>
      <c r="K4" s="44">
        <v>3</v>
      </c>
      <c r="L4" s="44">
        <v>3</v>
      </c>
      <c r="M4" s="44"/>
      <c r="N4" s="42" t="s">
        <v>190</v>
      </c>
      <c r="O4" s="42" t="s">
        <v>77</v>
      </c>
      <c r="P4" s="42" t="s">
        <v>75</v>
      </c>
      <c r="Q4" s="42" t="s">
        <v>81</v>
      </c>
      <c r="R4" s="42">
        <v>75067</v>
      </c>
      <c r="S4" s="42"/>
      <c r="T4" s="287">
        <f t="shared" si="0"/>
        <v>139.35456000000002</v>
      </c>
      <c r="U4" s="45">
        <v>1500</v>
      </c>
      <c r="V4" s="45"/>
      <c r="W4" s="45"/>
      <c r="X4" s="45">
        <v>300</v>
      </c>
      <c r="Y4" s="45"/>
      <c r="Z4" s="46"/>
      <c r="AA4" s="45"/>
      <c r="AB4" s="47"/>
      <c r="AC4" s="104" t="s">
        <v>253</v>
      </c>
      <c r="AD4" s="71"/>
      <c r="AE4" s="42" t="s">
        <v>189</v>
      </c>
      <c r="AF4" s="42" t="s">
        <v>425</v>
      </c>
      <c r="AG4" s="42"/>
      <c r="AH4" s="42"/>
      <c r="AI4" s="41" t="s">
        <v>139</v>
      </c>
      <c r="AJ4" s="41"/>
      <c r="AK4" s="41"/>
      <c r="AL4" s="41"/>
      <c r="AM4" s="41"/>
      <c r="AN4" s="41"/>
      <c r="AO4" s="41"/>
      <c r="AQ4" s="436">
        <v>150</v>
      </c>
    </row>
    <row r="5" spans="1:43" ht="12.75" customHeight="1">
      <c r="B5" s="23" t="s">
        <v>36</v>
      </c>
      <c r="C5" s="23" t="s">
        <v>13</v>
      </c>
      <c r="D5" s="41" t="s">
        <v>43</v>
      </c>
      <c r="E5" s="215">
        <v>40544</v>
      </c>
      <c r="F5" s="216">
        <v>44196</v>
      </c>
      <c r="G5" s="41" t="s">
        <v>254</v>
      </c>
      <c r="H5" s="41"/>
      <c r="I5" s="42" t="s">
        <v>252</v>
      </c>
      <c r="J5" s="44">
        <v>3</v>
      </c>
      <c r="K5" s="44">
        <v>3</v>
      </c>
      <c r="L5" s="44">
        <v>3</v>
      </c>
      <c r="M5" s="44"/>
      <c r="N5" s="42" t="s">
        <v>190</v>
      </c>
      <c r="O5" s="42" t="s">
        <v>77</v>
      </c>
      <c r="P5" s="42" t="s">
        <v>75</v>
      </c>
      <c r="Q5" s="42" t="s">
        <v>81</v>
      </c>
      <c r="R5" s="42">
        <v>75067</v>
      </c>
      <c r="S5" s="42"/>
      <c r="T5" s="287">
        <f t="shared" si="0"/>
        <v>278.70912000000004</v>
      </c>
      <c r="U5" s="45">
        <v>3000</v>
      </c>
      <c r="V5" s="45"/>
      <c r="W5" s="45"/>
      <c r="X5" s="45">
        <v>375</v>
      </c>
      <c r="Y5" s="45"/>
      <c r="Z5" s="46"/>
      <c r="AA5" s="45"/>
      <c r="AB5" s="47"/>
      <c r="AC5" s="434" t="s">
        <v>253</v>
      </c>
      <c r="AD5" s="71"/>
      <c r="AE5" s="42" t="s">
        <v>189</v>
      </c>
      <c r="AF5" s="42" t="s">
        <v>255</v>
      </c>
      <c r="AG5" s="42"/>
      <c r="AH5" s="42"/>
      <c r="AI5" s="41" t="s">
        <v>140</v>
      </c>
      <c r="AJ5" s="41"/>
      <c r="AK5" s="41"/>
      <c r="AL5" s="41"/>
      <c r="AM5" s="41"/>
      <c r="AN5" s="41"/>
      <c r="AO5" s="41"/>
      <c r="AQ5" s="436">
        <v>150</v>
      </c>
    </row>
    <row r="6" spans="1:43" ht="12.75" customHeight="1">
      <c r="B6" s="23" t="s">
        <v>36</v>
      </c>
      <c r="C6" s="23" t="s">
        <v>13</v>
      </c>
      <c r="D6" s="41" t="s">
        <v>43</v>
      </c>
      <c r="E6" s="215">
        <v>40468</v>
      </c>
      <c r="F6" s="216">
        <v>44120</v>
      </c>
      <c r="G6" s="41" t="s">
        <v>256</v>
      </c>
      <c r="H6" s="41"/>
      <c r="I6" s="42" t="s">
        <v>74</v>
      </c>
      <c r="J6" s="44">
        <v>3</v>
      </c>
      <c r="K6" s="44">
        <v>3</v>
      </c>
      <c r="L6" s="44">
        <v>3</v>
      </c>
      <c r="M6" s="44"/>
      <c r="N6" s="42" t="s">
        <v>191</v>
      </c>
      <c r="O6" s="42" t="s">
        <v>74</v>
      </c>
      <c r="P6" s="42" t="s">
        <v>75</v>
      </c>
      <c r="Q6" s="42" t="s">
        <v>81</v>
      </c>
      <c r="R6" s="42">
        <v>78744</v>
      </c>
      <c r="S6" s="42"/>
      <c r="T6" s="287">
        <f t="shared" si="0"/>
        <v>278.70912000000004</v>
      </c>
      <c r="U6" s="45">
        <v>3000</v>
      </c>
      <c r="V6" s="45"/>
      <c r="W6" s="45"/>
      <c r="X6" s="45">
        <v>375</v>
      </c>
      <c r="Y6" s="45"/>
      <c r="Z6" s="46"/>
      <c r="AA6" s="45"/>
      <c r="AB6" s="47"/>
      <c r="AC6" s="104" t="s">
        <v>253</v>
      </c>
      <c r="AD6" s="71"/>
      <c r="AE6" s="42" t="s">
        <v>201</v>
      </c>
      <c r="AF6" s="42" t="s">
        <v>255</v>
      </c>
      <c r="AG6" s="42"/>
      <c r="AH6" s="42"/>
      <c r="AI6" s="41" t="s">
        <v>139</v>
      </c>
      <c r="AJ6" s="41"/>
      <c r="AK6" s="41"/>
      <c r="AL6" s="41"/>
      <c r="AM6" s="41"/>
      <c r="AN6" s="41"/>
      <c r="AO6" s="41"/>
      <c r="AQ6" s="436">
        <v>150</v>
      </c>
    </row>
    <row r="7" spans="1:43" ht="24" customHeight="1">
      <c r="B7" s="23" t="s">
        <v>36</v>
      </c>
      <c r="C7" s="23" t="s">
        <v>13</v>
      </c>
      <c r="D7" s="41" t="s">
        <v>43</v>
      </c>
      <c r="E7" s="215"/>
      <c r="F7" s="216"/>
      <c r="G7" s="41"/>
      <c r="H7" s="41"/>
      <c r="I7" s="203" t="s">
        <v>1105</v>
      </c>
      <c r="J7" s="44">
        <v>3</v>
      </c>
      <c r="K7" s="44">
        <v>3</v>
      </c>
      <c r="L7" s="44">
        <v>3</v>
      </c>
      <c r="M7" s="44"/>
      <c r="N7" s="42"/>
      <c r="O7" s="42"/>
      <c r="P7" s="42"/>
      <c r="Q7" s="42"/>
      <c r="R7" s="42"/>
      <c r="S7" s="42"/>
      <c r="T7" s="287"/>
      <c r="U7" s="45"/>
      <c r="V7" s="45"/>
      <c r="W7" s="45"/>
      <c r="X7" s="45"/>
      <c r="Y7" s="45"/>
      <c r="Z7" s="46"/>
      <c r="AA7" s="45"/>
      <c r="AB7" s="47"/>
      <c r="AC7" s="104"/>
      <c r="AD7" s="71"/>
      <c r="AE7" s="42"/>
      <c r="AF7" s="42"/>
      <c r="AG7" s="42"/>
      <c r="AH7" s="42"/>
      <c r="AI7" s="41"/>
      <c r="AJ7" s="41"/>
      <c r="AK7" s="41"/>
      <c r="AL7" s="41"/>
      <c r="AM7" s="41"/>
      <c r="AN7" s="41"/>
      <c r="AO7" s="41"/>
    </row>
    <row r="8" spans="1:43" ht="38.25" customHeight="1">
      <c r="B8" s="23" t="s">
        <v>36</v>
      </c>
      <c r="C8" s="23" t="s">
        <v>13</v>
      </c>
      <c r="D8" s="368" t="s">
        <v>1074</v>
      </c>
      <c r="E8" s="217">
        <v>39370</v>
      </c>
      <c r="F8" s="217">
        <v>41943</v>
      </c>
      <c r="G8" s="41" t="s">
        <v>257</v>
      </c>
      <c r="H8" s="41" t="s">
        <v>597</v>
      </c>
      <c r="I8" s="42" t="s">
        <v>739</v>
      </c>
      <c r="J8" s="44">
        <v>3</v>
      </c>
      <c r="K8" s="44">
        <v>3</v>
      </c>
      <c r="L8" s="44">
        <v>3</v>
      </c>
      <c r="M8" s="44"/>
      <c r="N8" s="42" t="s">
        <v>837</v>
      </c>
      <c r="O8" s="42" t="s">
        <v>68</v>
      </c>
      <c r="P8" s="42" t="s">
        <v>76</v>
      </c>
      <c r="Q8" s="42" t="s">
        <v>81</v>
      </c>
      <c r="R8" s="42">
        <v>60616</v>
      </c>
      <c r="S8" s="72" t="s">
        <v>1101</v>
      </c>
      <c r="T8" s="287">
        <f t="shared" si="0"/>
        <v>622.45036800000003</v>
      </c>
      <c r="U8" s="45">
        <v>6700</v>
      </c>
      <c r="V8" s="306">
        <v>3644</v>
      </c>
      <c r="W8" s="70" t="s">
        <v>643</v>
      </c>
      <c r="X8" s="45"/>
      <c r="Y8" s="45"/>
      <c r="Z8" s="46"/>
      <c r="AA8" s="45"/>
      <c r="AB8" s="47"/>
      <c r="AC8" s="104" t="s">
        <v>262</v>
      </c>
      <c r="AD8" s="71"/>
      <c r="AE8" s="42" t="s">
        <v>259</v>
      </c>
      <c r="AF8" s="42"/>
      <c r="AG8" s="42" t="s">
        <v>530</v>
      </c>
      <c r="AH8" s="42" t="s">
        <v>263</v>
      </c>
      <c r="AI8" s="41" t="s">
        <v>85</v>
      </c>
      <c r="AJ8" s="41"/>
      <c r="AK8" s="41"/>
      <c r="AL8" s="41" t="s">
        <v>122</v>
      </c>
      <c r="AM8" s="41" t="s">
        <v>122</v>
      </c>
      <c r="AN8" s="41"/>
      <c r="AO8" s="41" t="s">
        <v>756</v>
      </c>
      <c r="AQ8" s="436">
        <v>100</v>
      </c>
    </row>
    <row r="9" spans="1:43" ht="25.5" customHeight="1">
      <c r="B9" s="23" t="s">
        <v>36</v>
      </c>
      <c r="C9" s="23" t="s">
        <v>13</v>
      </c>
      <c r="D9" s="41" t="s">
        <v>9</v>
      </c>
      <c r="E9" s="217">
        <v>38139</v>
      </c>
      <c r="F9" s="217">
        <v>41912</v>
      </c>
      <c r="G9" s="41" t="s">
        <v>260</v>
      </c>
      <c r="H9" s="41" t="s">
        <v>597</v>
      </c>
      <c r="I9" s="42" t="s">
        <v>831</v>
      </c>
      <c r="J9" s="44">
        <v>3</v>
      </c>
      <c r="K9" s="44">
        <v>3</v>
      </c>
      <c r="L9" s="44">
        <v>3</v>
      </c>
      <c r="M9" s="44"/>
      <c r="N9" s="42" t="s">
        <v>131</v>
      </c>
      <c r="O9" s="42" t="s">
        <v>68</v>
      </c>
      <c r="P9" s="42" t="s">
        <v>76</v>
      </c>
      <c r="Q9" s="42" t="s">
        <v>81</v>
      </c>
      <c r="R9" s="42">
        <v>60616</v>
      </c>
      <c r="S9" s="72" t="s">
        <v>1101</v>
      </c>
      <c r="T9" s="287">
        <f t="shared" si="0"/>
        <v>2843.2046361600001</v>
      </c>
      <c r="U9" s="45">
        <v>30604</v>
      </c>
      <c r="V9" s="306">
        <v>18796</v>
      </c>
      <c r="W9" s="70" t="s">
        <v>643</v>
      </c>
      <c r="X9" s="45"/>
      <c r="Y9" s="45"/>
      <c r="Z9" s="46"/>
      <c r="AA9" s="45"/>
      <c r="AB9" s="47"/>
      <c r="AC9" s="104" t="s">
        <v>262</v>
      </c>
      <c r="AD9" s="71"/>
      <c r="AE9" s="42" t="s">
        <v>259</v>
      </c>
      <c r="AF9" s="42"/>
      <c r="AG9" s="42" t="s">
        <v>530</v>
      </c>
      <c r="AH9" s="42" t="s">
        <v>263</v>
      </c>
      <c r="AI9" s="41" t="s">
        <v>85</v>
      </c>
      <c r="AJ9" s="41"/>
      <c r="AK9" s="41"/>
      <c r="AL9" s="41"/>
      <c r="AM9" s="41" t="s">
        <v>122</v>
      </c>
      <c r="AN9" s="41"/>
      <c r="AO9" s="41" t="s">
        <v>833</v>
      </c>
      <c r="AQ9" s="436">
        <v>43</v>
      </c>
    </row>
    <row r="10" spans="1:43" ht="25.5" customHeight="1">
      <c r="B10" s="23" t="s">
        <v>36</v>
      </c>
      <c r="C10" s="23" t="s">
        <v>13</v>
      </c>
      <c r="D10" s="41" t="s">
        <v>9</v>
      </c>
      <c r="E10" s="217">
        <v>39692</v>
      </c>
      <c r="F10" s="217">
        <v>43343</v>
      </c>
      <c r="G10" s="41" t="s">
        <v>264</v>
      </c>
      <c r="H10" s="41" t="s">
        <v>597</v>
      </c>
      <c r="I10" s="42" t="s">
        <v>832</v>
      </c>
      <c r="J10" s="44">
        <v>3</v>
      </c>
      <c r="K10" s="44">
        <v>3</v>
      </c>
      <c r="L10" s="44">
        <v>3</v>
      </c>
      <c r="M10" s="44"/>
      <c r="N10" s="42" t="s">
        <v>131</v>
      </c>
      <c r="O10" s="42" t="s">
        <v>68</v>
      </c>
      <c r="P10" s="42" t="s">
        <v>76</v>
      </c>
      <c r="Q10" s="42" t="s">
        <v>81</v>
      </c>
      <c r="R10" s="42">
        <v>60616</v>
      </c>
      <c r="S10" s="72" t="s">
        <v>1101</v>
      </c>
      <c r="T10" s="287">
        <f t="shared" si="0"/>
        <v>1858.0608000000002</v>
      </c>
      <c r="U10" s="45">
        <v>20000</v>
      </c>
      <c r="V10" s="306">
        <v>10652</v>
      </c>
      <c r="W10" s="70" t="s">
        <v>643</v>
      </c>
      <c r="X10" s="45"/>
      <c r="Y10" s="45"/>
      <c r="Z10" s="46"/>
      <c r="AA10" s="45"/>
      <c r="AB10" s="47"/>
      <c r="AC10" s="104" t="s">
        <v>262</v>
      </c>
      <c r="AD10" s="71"/>
      <c r="AE10" s="42" t="s">
        <v>259</v>
      </c>
      <c r="AF10" s="42"/>
      <c r="AG10" s="42" t="s">
        <v>530</v>
      </c>
      <c r="AH10" s="42" t="s">
        <v>263</v>
      </c>
      <c r="AI10" s="41" t="s">
        <v>85</v>
      </c>
      <c r="AJ10" s="41" t="s">
        <v>122</v>
      </c>
      <c r="AK10" s="41"/>
      <c r="AL10" s="41" t="s">
        <v>122</v>
      </c>
      <c r="AM10" s="41" t="s">
        <v>122</v>
      </c>
      <c r="AN10" s="44" t="s">
        <v>122</v>
      </c>
      <c r="AO10" s="41"/>
      <c r="AQ10" s="436">
        <v>100</v>
      </c>
    </row>
    <row r="11" spans="1:43" ht="42.75" customHeight="1">
      <c r="B11" s="23" t="s">
        <v>36</v>
      </c>
      <c r="C11" s="23" t="s">
        <v>13</v>
      </c>
      <c r="D11" s="41" t="s">
        <v>8</v>
      </c>
      <c r="E11" s="41"/>
      <c r="F11" s="41"/>
      <c r="G11" s="41" t="s">
        <v>601</v>
      </c>
      <c r="H11" s="41" t="s">
        <v>597</v>
      </c>
      <c r="I11" s="42" t="s">
        <v>1104</v>
      </c>
      <c r="J11" s="44">
        <v>2</v>
      </c>
      <c r="K11" s="44">
        <v>3</v>
      </c>
      <c r="L11" s="44">
        <v>2</v>
      </c>
      <c r="M11" s="44"/>
      <c r="N11" s="42" t="s">
        <v>133</v>
      </c>
      <c r="O11" s="42" t="s">
        <v>3</v>
      </c>
      <c r="P11" s="42" t="s">
        <v>71</v>
      </c>
      <c r="Q11" s="42" t="s">
        <v>81</v>
      </c>
      <c r="R11" s="69" t="s">
        <v>266</v>
      </c>
      <c r="S11" s="69"/>
      <c r="T11" s="287">
        <f t="shared" si="0"/>
        <v>5992.2460800000008</v>
      </c>
      <c r="U11" s="306">
        <v>64500</v>
      </c>
      <c r="V11" s="306">
        <v>31353</v>
      </c>
      <c r="W11" s="70" t="s">
        <v>643</v>
      </c>
      <c r="X11" s="45"/>
      <c r="Y11" s="45"/>
      <c r="Z11" s="46"/>
      <c r="AA11" s="45"/>
      <c r="AB11" s="47"/>
      <c r="AC11" s="104" t="s">
        <v>383</v>
      </c>
      <c r="AD11" s="71"/>
      <c r="AE11" s="41"/>
      <c r="AF11" s="41"/>
      <c r="AG11" s="42" t="s">
        <v>530</v>
      </c>
      <c r="AH11" s="42" t="s">
        <v>443</v>
      </c>
      <c r="AI11" s="41" t="s">
        <v>85</v>
      </c>
      <c r="AJ11" s="41" t="s">
        <v>623</v>
      </c>
      <c r="AK11" s="41"/>
      <c r="AL11" s="41" t="s">
        <v>122</v>
      </c>
      <c r="AM11" s="41" t="s">
        <v>122</v>
      </c>
      <c r="AN11" s="41"/>
      <c r="AO11" s="41" t="s">
        <v>800</v>
      </c>
      <c r="AQ11" s="436">
        <v>45</v>
      </c>
    </row>
    <row r="12" spans="1:43" ht="33" customHeight="1">
      <c r="B12" s="23" t="s">
        <v>36</v>
      </c>
      <c r="C12" s="23" t="s">
        <v>13</v>
      </c>
      <c r="D12" s="41" t="s">
        <v>8</v>
      </c>
      <c r="E12" s="41"/>
      <c r="F12" s="41"/>
      <c r="G12" s="41" t="s">
        <v>267</v>
      </c>
      <c r="H12" s="41" t="s">
        <v>795</v>
      </c>
      <c r="I12" s="42" t="s">
        <v>852</v>
      </c>
      <c r="J12" s="44">
        <v>3</v>
      </c>
      <c r="K12" s="44">
        <v>3</v>
      </c>
      <c r="L12" s="44">
        <v>3</v>
      </c>
      <c r="M12" s="44"/>
      <c r="N12" s="43" t="s">
        <v>185</v>
      </c>
      <c r="O12" s="42" t="s">
        <v>4</v>
      </c>
      <c r="P12" s="42" t="s">
        <v>70</v>
      </c>
      <c r="Q12" s="42" t="s">
        <v>81</v>
      </c>
      <c r="R12" s="42">
        <v>19711</v>
      </c>
      <c r="S12" s="42">
        <v>3.2</v>
      </c>
      <c r="T12" s="287">
        <f t="shared" si="0"/>
        <v>8194.0481280000004</v>
      </c>
      <c r="U12" s="45">
        <v>88200</v>
      </c>
      <c r="V12" s="45">
        <v>48756</v>
      </c>
      <c r="W12" s="70" t="s">
        <v>643</v>
      </c>
      <c r="X12" s="45"/>
      <c r="Y12" s="45"/>
      <c r="Z12" s="46"/>
      <c r="AA12" s="45"/>
      <c r="AB12" s="47"/>
      <c r="AC12" s="104" t="s">
        <v>382</v>
      </c>
      <c r="AD12" s="71"/>
      <c r="AE12" s="41"/>
      <c r="AF12" s="41"/>
      <c r="AG12" s="41" t="s">
        <v>529</v>
      </c>
      <c r="AH12" s="42" t="s">
        <v>447</v>
      </c>
      <c r="AI12" s="41" t="s">
        <v>85</v>
      </c>
      <c r="AJ12" s="41" t="s">
        <v>122</v>
      </c>
      <c r="AK12" s="41" t="s">
        <v>741</v>
      </c>
      <c r="AL12" s="41" t="s">
        <v>122</v>
      </c>
      <c r="AM12" s="41" t="s">
        <v>122</v>
      </c>
      <c r="AN12" s="44" t="s">
        <v>122</v>
      </c>
      <c r="AO12" s="41" t="s">
        <v>836</v>
      </c>
      <c r="AQ12" s="436">
        <v>90</v>
      </c>
    </row>
    <row r="13" spans="1:43" ht="12.75" customHeight="1">
      <c r="B13" s="23" t="s">
        <v>36</v>
      </c>
      <c r="C13" s="23" t="s">
        <v>13</v>
      </c>
      <c r="D13" s="41" t="s">
        <v>9</v>
      </c>
      <c r="E13" s="217">
        <v>39825</v>
      </c>
      <c r="F13" s="217">
        <v>43830</v>
      </c>
      <c r="G13" s="41" t="s">
        <v>268</v>
      </c>
      <c r="H13" s="41"/>
      <c r="I13" s="42" t="s">
        <v>1088</v>
      </c>
      <c r="J13" s="44">
        <v>1</v>
      </c>
      <c r="K13" s="44">
        <v>1</v>
      </c>
      <c r="L13" s="44">
        <v>1</v>
      </c>
      <c r="M13" s="44"/>
      <c r="N13" s="42" t="s">
        <v>1103</v>
      </c>
      <c r="O13" s="42" t="s">
        <v>6</v>
      </c>
      <c r="P13" s="42" t="s">
        <v>71</v>
      </c>
      <c r="Q13" s="42" t="s">
        <v>81</v>
      </c>
      <c r="R13" s="42"/>
      <c r="S13" s="42"/>
      <c r="T13" s="287">
        <f t="shared" si="0"/>
        <v>1615.02644736</v>
      </c>
      <c r="U13" s="45">
        <v>17384</v>
      </c>
      <c r="V13" s="45"/>
      <c r="W13" s="70"/>
      <c r="X13" s="45"/>
      <c r="Y13" s="45"/>
      <c r="Z13" s="46"/>
      <c r="AA13" s="45"/>
      <c r="AB13" s="47"/>
      <c r="AC13" s="104" t="s">
        <v>356</v>
      </c>
      <c r="AD13" s="71"/>
      <c r="AE13" s="41"/>
      <c r="AF13" s="41"/>
      <c r="AG13" s="42" t="s">
        <v>530</v>
      </c>
      <c r="AH13" s="42" t="s">
        <v>451</v>
      </c>
      <c r="AI13" s="41" t="s">
        <v>141</v>
      </c>
      <c r="AJ13" s="41"/>
      <c r="AK13" s="41"/>
      <c r="AL13" s="41"/>
      <c r="AM13" s="41"/>
      <c r="AN13" s="41"/>
      <c r="AO13" s="41"/>
    </row>
    <row r="14" spans="1:43" ht="12.75" customHeight="1">
      <c r="B14" s="23" t="s">
        <v>36</v>
      </c>
      <c r="C14" s="23" t="s">
        <v>13</v>
      </c>
      <c r="D14" s="41" t="s">
        <v>8</v>
      </c>
      <c r="E14" s="41"/>
      <c r="F14" s="41"/>
      <c r="G14" s="41" t="s">
        <v>269</v>
      </c>
      <c r="H14" s="41" t="s">
        <v>795</v>
      </c>
      <c r="I14" s="42" t="s">
        <v>1123</v>
      </c>
      <c r="J14" s="44">
        <v>3</v>
      </c>
      <c r="K14" s="44">
        <v>3</v>
      </c>
      <c r="L14" s="44">
        <v>3</v>
      </c>
      <c r="M14" s="44"/>
      <c r="N14" s="42" t="s">
        <v>134</v>
      </c>
      <c r="O14" s="42" t="s">
        <v>67</v>
      </c>
      <c r="P14" s="42" t="s">
        <v>71</v>
      </c>
      <c r="Q14" s="42" t="s">
        <v>81</v>
      </c>
      <c r="R14" s="69" t="s">
        <v>270</v>
      </c>
      <c r="S14" s="69"/>
      <c r="T14" s="287">
        <f t="shared" si="0"/>
        <v>1579.3516800000002</v>
      </c>
      <c r="U14" s="45">
        <v>17000</v>
      </c>
      <c r="V14" s="45">
        <v>10156</v>
      </c>
      <c r="W14" s="70" t="s">
        <v>643</v>
      </c>
      <c r="X14" s="45"/>
      <c r="Y14" s="45"/>
      <c r="Z14" s="46"/>
      <c r="AA14" s="45"/>
      <c r="AB14" s="47"/>
      <c r="AC14" s="104" t="s">
        <v>385</v>
      </c>
      <c r="AD14" s="71"/>
      <c r="AE14" s="41"/>
      <c r="AF14" s="41"/>
      <c r="AG14" s="42" t="s">
        <v>530</v>
      </c>
      <c r="AH14" s="42" t="s">
        <v>455</v>
      </c>
      <c r="AI14" s="41" t="s">
        <v>85</v>
      </c>
      <c r="AJ14" s="41"/>
      <c r="AK14" s="41"/>
      <c r="AL14" s="41" t="s">
        <v>122</v>
      </c>
      <c r="AM14" s="41" t="s">
        <v>122</v>
      </c>
      <c r="AN14" s="44" t="s">
        <v>122</v>
      </c>
      <c r="AO14" s="41"/>
      <c r="AQ14" s="436">
        <v>65</v>
      </c>
    </row>
    <row r="15" spans="1:43" ht="12.75" customHeight="1">
      <c r="B15" s="23" t="s">
        <v>36</v>
      </c>
      <c r="C15" s="23" t="s">
        <v>13</v>
      </c>
      <c r="D15" s="41" t="s">
        <v>8</v>
      </c>
      <c r="E15" s="41"/>
      <c r="F15" s="41"/>
      <c r="G15" s="41" t="s">
        <v>271</v>
      </c>
      <c r="H15" s="41" t="s">
        <v>795</v>
      </c>
      <c r="I15" s="42" t="s">
        <v>37</v>
      </c>
      <c r="J15" s="44">
        <v>2</v>
      </c>
      <c r="K15" s="44">
        <v>3</v>
      </c>
      <c r="L15" s="44">
        <v>2</v>
      </c>
      <c r="M15" s="44"/>
      <c r="N15" s="42" t="s">
        <v>134</v>
      </c>
      <c r="O15" s="42" t="s">
        <v>67</v>
      </c>
      <c r="P15" s="42" t="s">
        <v>71</v>
      </c>
      <c r="Q15" s="42" t="s">
        <v>81</v>
      </c>
      <c r="R15" s="69" t="s">
        <v>270</v>
      </c>
      <c r="S15" s="69"/>
      <c r="T15" s="287">
        <f t="shared" si="0"/>
        <v>3010.4301081600001</v>
      </c>
      <c r="U15" s="45">
        <v>32404</v>
      </c>
      <c r="V15" s="45">
        <v>16071</v>
      </c>
      <c r="W15" s="70" t="s">
        <v>643</v>
      </c>
      <c r="X15" s="45"/>
      <c r="Y15" s="45"/>
      <c r="Z15" s="46"/>
      <c r="AA15" s="45"/>
      <c r="AB15" s="47"/>
      <c r="AC15" s="104" t="s">
        <v>385</v>
      </c>
      <c r="AD15" s="71"/>
      <c r="AE15" s="41"/>
      <c r="AF15" s="41"/>
      <c r="AG15" s="42" t="s">
        <v>530</v>
      </c>
      <c r="AH15" s="41" t="s">
        <v>272</v>
      </c>
      <c r="AI15" s="41" t="s">
        <v>85</v>
      </c>
      <c r="AJ15" s="41"/>
      <c r="AK15" s="41"/>
      <c r="AL15" s="41"/>
      <c r="AM15" s="41"/>
      <c r="AN15" s="44" t="s">
        <v>122</v>
      </c>
      <c r="AO15" s="41"/>
      <c r="AQ15" s="436">
        <v>31</v>
      </c>
    </row>
    <row r="16" spans="1:43" ht="25.5" customHeight="1">
      <c r="B16" s="23" t="s">
        <v>36</v>
      </c>
      <c r="C16" s="23" t="s">
        <v>13</v>
      </c>
      <c r="D16" s="41" t="s">
        <v>43</v>
      </c>
      <c r="E16" s="217">
        <v>40977</v>
      </c>
      <c r="F16" s="217">
        <v>42113</v>
      </c>
      <c r="G16" s="41" t="s">
        <v>273</v>
      </c>
      <c r="H16" s="41" t="s">
        <v>597</v>
      </c>
      <c r="I16" s="42" t="s">
        <v>760</v>
      </c>
      <c r="J16" s="44">
        <v>3</v>
      </c>
      <c r="K16" s="44">
        <v>3</v>
      </c>
      <c r="L16" s="44">
        <v>3</v>
      </c>
      <c r="M16" s="44"/>
      <c r="N16" s="42" t="s">
        <v>161</v>
      </c>
      <c r="O16" s="42" t="s">
        <v>78</v>
      </c>
      <c r="P16" s="42" t="s">
        <v>82</v>
      </c>
      <c r="Q16" s="42" t="s">
        <v>79</v>
      </c>
      <c r="R16" s="72" t="s">
        <v>274</v>
      </c>
      <c r="S16" s="72"/>
      <c r="T16" s="287">
        <f t="shared" si="0"/>
        <v>23.41156608</v>
      </c>
      <c r="U16" s="45">
        <v>252</v>
      </c>
      <c r="V16" s="45"/>
      <c r="W16" s="45"/>
      <c r="X16" s="45">
        <v>25</v>
      </c>
      <c r="Y16" s="45"/>
      <c r="Z16" s="46"/>
      <c r="AA16" s="45"/>
      <c r="AB16" s="47"/>
      <c r="AC16" s="104" t="s">
        <v>262</v>
      </c>
      <c r="AD16" s="71"/>
      <c r="AE16" s="42" t="s">
        <v>160</v>
      </c>
      <c r="AF16" s="42" t="s">
        <v>647</v>
      </c>
      <c r="AG16" s="42"/>
      <c r="AH16" s="42"/>
      <c r="AI16" s="41" t="s">
        <v>1093</v>
      </c>
      <c r="AJ16" s="41"/>
      <c r="AK16" s="41" t="s">
        <v>122</v>
      </c>
      <c r="AL16" s="41" t="s">
        <v>122</v>
      </c>
      <c r="AM16" s="41" t="s">
        <v>122</v>
      </c>
      <c r="AN16" s="41"/>
      <c r="AO16" s="41"/>
      <c r="AQ16" s="436">
        <v>130</v>
      </c>
    </row>
    <row r="17" spans="1:41" ht="12.75" customHeight="1">
      <c r="B17" s="23" t="s">
        <v>36</v>
      </c>
      <c r="C17" s="23" t="s">
        <v>13</v>
      </c>
      <c r="D17" s="41" t="s">
        <v>43</v>
      </c>
      <c r="E17" s="218">
        <v>39846</v>
      </c>
      <c r="F17" s="218">
        <v>41604</v>
      </c>
      <c r="G17" s="41" t="s">
        <v>275</v>
      </c>
      <c r="H17" s="41"/>
      <c r="I17" s="202" t="s">
        <v>217</v>
      </c>
      <c r="J17" s="44">
        <v>2</v>
      </c>
      <c r="K17" s="44">
        <v>2</v>
      </c>
      <c r="L17" s="44">
        <v>2</v>
      </c>
      <c r="M17" s="44"/>
      <c r="N17" s="42" t="s">
        <v>518</v>
      </c>
      <c r="O17" s="42" t="s">
        <v>217</v>
      </c>
      <c r="P17" s="42" t="s">
        <v>82</v>
      </c>
      <c r="Q17" s="42" t="s">
        <v>79</v>
      </c>
      <c r="R17" s="72" t="s">
        <v>276</v>
      </c>
      <c r="S17" s="72"/>
      <c r="T17" s="287">
        <f t="shared" si="0"/>
        <v>46.451520000000002</v>
      </c>
      <c r="U17" s="45">
        <v>500</v>
      </c>
      <c r="V17" s="45"/>
      <c r="W17" s="45"/>
      <c r="X17" s="45"/>
      <c r="Y17" s="45"/>
      <c r="Z17" s="46"/>
      <c r="AA17" s="45"/>
      <c r="AB17" s="47"/>
      <c r="AC17" s="105"/>
      <c r="AD17" s="73"/>
      <c r="AE17" s="42" t="s">
        <v>160</v>
      </c>
      <c r="AF17" s="42" t="s">
        <v>647</v>
      </c>
      <c r="AG17" s="42"/>
      <c r="AH17" s="42"/>
      <c r="AI17" s="22" t="s">
        <v>218</v>
      </c>
      <c r="AJ17" s="310"/>
      <c r="AK17" s="263"/>
      <c r="AL17" s="41"/>
      <c r="AM17" s="41"/>
      <c r="AN17" s="41"/>
      <c r="AO17" s="41"/>
    </row>
    <row r="18" spans="1:41" ht="38.25" customHeight="1">
      <c r="A18" t="s">
        <v>662</v>
      </c>
      <c r="B18" s="23" t="s">
        <v>36</v>
      </c>
      <c r="C18" s="23" t="s">
        <v>13</v>
      </c>
      <c r="D18" s="41" t="s">
        <v>43</v>
      </c>
      <c r="E18" s="215">
        <v>40787</v>
      </c>
      <c r="F18" s="216">
        <v>41882</v>
      </c>
      <c r="G18" s="41" t="s">
        <v>277</v>
      </c>
      <c r="H18" s="41"/>
      <c r="I18" s="42" t="s">
        <v>847</v>
      </c>
      <c r="J18" s="44">
        <v>3</v>
      </c>
      <c r="K18" s="44">
        <v>3</v>
      </c>
      <c r="L18" s="44">
        <v>3</v>
      </c>
      <c r="M18" s="44"/>
      <c r="N18" s="41" t="s">
        <v>197</v>
      </c>
      <c r="O18" s="42" t="s">
        <v>198</v>
      </c>
      <c r="P18" s="42" t="s">
        <v>80</v>
      </c>
      <c r="Q18" s="42" t="s">
        <v>81</v>
      </c>
      <c r="R18" s="42">
        <v>80014</v>
      </c>
      <c r="S18" s="42"/>
      <c r="T18" s="287">
        <f t="shared" si="0"/>
        <v>167.22547200000002</v>
      </c>
      <c r="U18" s="45">
        <v>1800</v>
      </c>
      <c r="V18" s="45"/>
      <c r="W18" s="45"/>
      <c r="X18" s="45">
        <v>243</v>
      </c>
      <c r="Y18" s="45"/>
      <c r="Z18" s="46"/>
      <c r="AA18" s="45"/>
      <c r="AB18" s="47"/>
      <c r="AC18" s="104" t="s">
        <v>361</v>
      </c>
      <c r="AD18" s="71"/>
      <c r="AE18" s="42" t="s">
        <v>150</v>
      </c>
      <c r="AF18" s="42"/>
      <c r="AG18" s="42"/>
      <c r="AH18" s="42"/>
      <c r="AI18" s="41" t="s">
        <v>138</v>
      </c>
      <c r="AJ18" s="41"/>
      <c r="AK18" s="41"/>
      <c r="AL18" s="41"/>
      <c r="AM18" s="41"/>
      <c r="AN18" s="41"/>
      <c r="AO18" s="41"/>
    </row>
    <row r="19" spans="1:41" ht="25.5" customHeight="1">
      <c r="B19" s="24" t="s">
        <v>36</v>
      </c>
      <c r="C19" s="24" t="s">
        <v>16</v>
      </c>
      <c r="D19" s="74" t="s">
        <v>43</v>
      </c>
      <c r="E19" s="209">
        <v>40658</v>
      </c>
      <c r="F19" s="209">
        <v>41388</v>
      </c>
      <c r="G19" s="74" t="s">
        <v>279</v>
      </c>
      <c r="H19" s="74"/>
      <c r="I19" s="75" t="s">
        <v>63</v>
      </c>
      <c r="J19" s="76">
        <v>3</v>
      </c>
      <c r="K19" s="76">
        <v>3</v>
      </c>
      <c r="L19" s="76">
        <v>3</v>
      </c>
      <c r="M19" s="76"/>
      <c r="N19" s="75" t="s">
        <v>522</v>
      </c>
      <c r="O19" s="77" t="s">
        <v>63</v>
      </c>
      <c r="P19" s="77" t="s">
        <v>63</v>
      </c>
      <c r="Q19" s="77" t="s">
        <v>104</v>
      </c>
      <c r="R19" s="77"/>
      <c r="S19" s="77"/>
      <c r="T19" s="286">
        <f t="shared" si="0"/>
        <v>139.35456000000002</v>
      </c>
      <c r="U19" s="78">
        <v>1500</v>
      </c>
      <c r="V19" s="78"/>
      <c r="W19" s="79">
        <v>0.83</v>
      </c>
      <c r="X19" s="77">
        <v>174</v>
      </c>
      <c r="Y19" s="77">
        <v>148</v>
      </c>
      <c r="Z19" s="80">
        <f>Y19/X19</f>
        <v>0.85057471264367812</v>
      </c>
      <c r="AA19" s="78">
        <v>174</v>
      </c>
      <c r="AB19" s="81">
        <f>ROUND(IF(Y19&lt;=0, "",AA19/Y19),2)</f>
        <v>1.18</v>
      </c>
      <c r="AC19" s="106"/>
      <c r="AD19" s="76"/>
      <c r="AE19" s="74" t="s">
        <v>206</v>
      </c>
      <c r="AF19" s="74"/>
      <c r="AG19" s="74" t="s">
        <v>531</v>
      </c>
      <c r="AH19" s="74"/>
      <c r="AI19" s="77" t="s">
        <v>202</v>
      </c>
      <c r="AJ19" s="77"/>
      <c r="AK19" s="77"/>
      <c r="AL19" s="82"/>
      <c r="AM19" s="82"/>
      <c r="AN19" s="82"/>
      <c r="AO19" s="82"/>
    </row>
    <row r="20" spans="1:41" ht="66" customHeight="1">
      <c r="A20" s="67" t="s">
        <v>232</v>
      </c>
      <c r="B20" s="24" t="s">
        <v>36</v>
      </c>
      <c r="C20" s="24" t="s">
        <v>16</v>
      </c>
      <c r="D20" s="74" t="s">
        <v>43</v>
      </c>
      <c r="E20" s="209"/>
      <c r="F20" s="209"/>
      <c r="G20" s="74"/>
      <c r="H20" s="74"/>
      <c r="I20" s="75" t="s">
        <v>1106</v>
      </c>
      <c r="J20" s="76"/>
      <c r="K20" s="76"/>
      <c r="L20" s="76"/>
      <c r="M20" s="76"/>
      <c r="N20" s="75"/>
      <c r="O20" s="77"/>
      <c r="P20" s="77"/>
      <c r="Q20" s="77"/>
      <c r="R20" s="77"/>
      <c r="S20" s="77"/>
      <c r="T20" s="286">
        <f t="shared" si="0"/>
        <v>185.80608000000001</v>
      </c>
      <c r="U20" s="78">
        <v>2000</v>
      </c>
      <c r="V20" s="78" t="s">
        <v>1075</v>
      </c>
      <c r="W20" s="79"/>
      <c r="X20" s="77"/>
      <c r="Y20" s="77"/>
      <c r="Z20" s="80"/>
      <c r="AA20" s="78"/>
      <c r="AB20" s="81"/>
      <c r="AC20" s="106"/>
      <c r="AD20" s="76"/>
      <c r="AE20" s="74"/>
      <c r="AF20" s="74"/>
      <c r="AG20" s="74"/>
      <c r="AH20" s="74"/>
      <c r="AI20" s="77"/>
      <c r="AJ20" s="77"/>
      <c r="AK20" s="77"/>
      <c r="AL20" s="82"/>
      <c r="AM20" s="82"/>
      <c r="AN20" s="82"/>
      <c r="AO20" s="82"/>
    </row>
    <row r="21" spans="1:41" ht="12.75" customHeight="1">
      <c r="B21" s="24" t="s">
        <v>36</v>
      </c>
      <c r="C21" s="24" t="s">
        <v>16</v>
      </c>
      <c r="D21" s="74" t="s">
        <v>8</v>
      </c>
      <c r="E21" s="74"/>
      <c r="F21" s="74"/>
      <c r="G21" s="74" t="s">
        <v>596</v>
      </c>
      <c r="H21" s="74" t="s">
        <v>597</v>
      </c>
      <c r="I21" s="77" t="s">
        <v>603</v>
      </c>
      <c r="J21" s="82">
        <v>2</v>
      </c>
      <c r="K21" s="82">
        <v>2</v>
      </c>
      <c r="L21" s="82">
        <v>2</v>
      </c>
      <c r="M21" s="82"/>
      <c r="N21" s="77" t="s">
        <v>519</v>
      </c>
      <c r="O21" s="77" t="s">
        <v>7</v>
      </c>
      <c r="P21" s="77" t="s">
        <v>7</v>
      </c>
      <c r="Q21" s="77" t="s">
        <v>7</v>
      </c>
      <c r="R21" s="77"/>
      <c r="S21" s="77"/>
      <c r="T21" s="286">
        <f t="shared" si="0"/>
        <v>526.10991552000007</v>
      </c>
      <c r="U21" s="78">
        <v>5663</v>
      </c>
      <c r="V21" s="78">
        <v>5663</v>
      </c>
      <c r="W21" s="79" t="s">
        <v>643</v>
      </c>
      <c r="X21" s="78"/>
      <c r="Y21" s="78"/>
      <c r="Z21" s="80"/>
      <c r="AA21" s="78"/>
      <c r="AB21" s="81"/>
      <c r="AC21" s="106" t="s">
        <v>604</v>
      </c>
      <c r="AD21" s="76"/>
      <c r="AE21" s="74"/>
      <c r="AF21" s="74"/>
      <c r="AG21" s="74" t="s">
        <v>531</v>
      </c>
      <c r="AH21" s="77" t="s">
        <v>459</v>
      </c>
      <c r="AI21" s="74" t="s">
        <v>85</v>
      </c>
      <c r="AJ21" s="74"/>
      <c r="AK21" s="74"/>
      <c r="AL21" s="74"/>
      <c r="AM21" s="82"/>
      <c r="AN21" s="82"/>
      <c r="AO21" s="82"/>
    </row>
    <row r="22" spans="1:41" ht="51" customHeight="1">
      <c r="B22" s="207" t="s">
        <v>36</v>
      </c>
      <c r="C22" s="207" t="s">
        <v>16</v>
      </c>
      <c r="D22" s="208" t="s">
        <v>43</v>
      </c>
      <c r="E22" s="209">
        <v>41214</v>
      </c>
      <c r="F22" s="209">
        <v>43039</v>
      </c>
      <c r="G22" s="208" t="s">
        <v>648</v>
      </c>
      <c r="H22" s="210" t="s">
        <v>597</v>
      </c>
      <c r="I22" s="211" t="s">
        <v>650</v>
      </c>
      <c r="J22" s="82">
        <v>3</v>
      </c>
      <c r="K22" s="82">
        <v>3</v>
      </c>
      <c r="L22" s="82">
        <v>3</v>
      </c>
      <c r="M22" s="82"/>
      <c r="N22" s="212" t="s">
        <v>651</v>
      </c>
      <c r="O22" s="212" t="s">
        <v>649</v>
      </c>
      <c r="P22" s="213" t="s">
        <v>193</v>
      </c>
      <c r="Q22" s="213" t="s">
        <v>101</v>
      </c>
      <c r="R22" s="74"/>
      <c r="S22" s="74"/>
      <c r="T22" s="286">
        <f t="shared" si="0"/>
        <v>287.62781183999999</v>
      </c>
      <c r="U22" s="78">
        <v>3096</v>
      </c>
      <c r="V22" s="78"/>
      <c r="W22" s="79">
        <v>0.4</v>
      </c>
      <c r="X22" s="78">
        <v>129.6</v>
      </c>
      <c r="Y22" s="78" t="s">
        <v>661</v>
      </c>
      <c r="Z22" s="78" t="s">
        <v>661</v>
      </c>
      <c r="AA22" s="78" t="s">
        <v>661</v>
      </c>
      <c r="AB22" s="78" t="s">
        <v>661</v>
      </c>
      <c r="AC22" s="106" t="s">
        <v>850</v>
      </c>
      <c r="AD22" s="76"/>
      <c r="AE22" s="77" t="s">
        <v>664</v>
      </c>
      <c r="AF22" s="74" t="s">
        <v>281</v>
      </c>
      <c r="AG22" s="74" t="s">
        <v>531</v>
      </c>
      <c r="AH22" s="77"/>
      <c r="AI22" s="74" t="s">
        <v>85</v>
      </c>
      <c r="AJ22" s="74"/>
      <c r="AK22" s="74" t="s">
        <v>122</v>
      </c>
      <c r="AL22" s="74" t="s">
        <v>122</v>
      </c>
      <c r="AM22" s="82"/>
      <c r="AN22" s="82"/>
      <c r="AO22" s="76" t="s">
        <v>1089</v>
      </c>
    </row>
    <row r="23" spans="1:41">
      <c r="B23" s="24" t="s">
        <v>36</v>
      </c>
      <c r="C23" s="24" t="s">
        <v>16</v>
      </c>
      <c r="D23" s="74" t="s">
        <v>8</v>
      </c>
      <c r="E23" s="74"/>
      <c r="F23" s="74"/>
      <c r="G23" s="74" t="s">
        <v>282</v>
      </c>
      <c r="H23" s="74" t="s">
        <v>597</v>
      </c>
      <c r="I23" s="77" t="s">
        <v>283</v>
      </c>
      <c r="J23" s="82">
        <v>3</v>
      </c>
      <c r="K23" s="82">
        <v>3</v>
      </c>
      <c r="L23" s="82">
        <v>3</v>
      </c>
      <c r="M23" s="82"/>
      <c r="N23" s="77" t="s">
        <v>187</v>
      </c>
      <c r="O23" s="77" t="s">
        <v>186</v>
      </c>
      <c r="P23" s="77" t="s">
        <v>193</v>
      </c>
      <c r="Q23" s="77" t="s">
        <v>101</v>
      </c>
      <c r="R23" s="77"/>
      <c r="S23" s="77"/>
      <c r="T23" s="286">
        <f t="shared" si="0"/>
        <v>333.5219136</v>
      </c>
      <c r="U23" s="78">
        <v>3590</v>
      </c>
      <c r="V23" s="78">
        <v>3590</v>
      </c>
      <c r="W23" s="79" t="s">
        <v>643</v>
      </c>
      <c r="X23" s="78"/>
      <c r="Y23" s="78"/>
      <c r="Z23" s="80"/>
      <c r="AA23" s="78"/>
      <c r="AB23" s="81"/>
      <c r="AC23" s="106" t="s">
        <v>605</v>
      </c>
      <c r="AD23" s="76"/>
      <c r="AE23" s="74"/>
      <c r="AF23" s="74"/>
      <c r="AG23" s="74" t="s">
        <v>531</v>
      </c>
      <c r="AH23" s="77" t="s">
        <v>286</v>
      </c>
      <c r="AI23" s="74" t="s">
        <v>599</v>
      </c>
      <c r="AJ23" s="74"/>
      <c r="AK23" s="74"/>
      <c r="AL23" s="74"/>
      <c r="AM23" s="82"/>
      <c r="AN23" s="82"/>
      <c r="AO23" s="82"/>
    </row>
    <row r="24" spans="1:41" ht="12.75" customHeight="1">
      <c r="B24" s="24" t="s">
        <v>36</v>
      </c>
      <c r="C24" s="24" t="s">
        <v>16</v>
      </c>
      <c r="D24" s="74" t="s">
        <v>8</v>
      </c>
      <c r="E24" s="74"/>
      <c r="F24" s="74"/>
      <c r="G24" s="74" t="s">
        <v>284</v>
      </c>
      <c r="H24" s="74" t="s">
        <v>597</v>
      </c>
      <c r="I24" s="77" t="s">
        <v>285</v>
      </c>
      <c r="J24" s="82">
        <v>3</v>
      </c>
      <c r="K24" s="82">
        <v>3</v>
      </c>
      <c r="L24" s="82">
        <v>3</v>
      </c>
      <c r="M24" s="82"/>
      <c r="N24" s="77" t="s">
        <v>187</v>
      </c>
      <c r="O24" s="77" t="s">
        <v>186</v>
      </c>
      <c r="P24" s="77" t="s">
        <v>193</v>
      </c>
      <c r="Q24" s="77" t="s">
        <v>101</v>
      </c>
      <c r="R24" s="77"/>
      <c r="S24" s="77"/>
      <c r="T24" s="286">
        <f t="shared" si="0"/>
        <v>1630.9128672000002</v>
      </c>
      <c r="U24" s="78">
        <v>17555</v>
      </c>
      <c r="V24" s="78">
        <v>17555</v>
      </c>
      <c r="W24" s="79" t="s">
        <v>643</v>
      </c>
      <c r="X24" s="78"/>
      <c r="Y24" s="78"/>
      <c r="Z24" s="80"/>
      <c r="AA24" s="78"/>
      <c r="AB24" s="81"/>
      <c r="AC24" s="106" t="s">
        <v>605</v>
      </c>
      <c r="AD24" s="76"/>
      <c r="AE24" s="74"/>
      <c r="AF24" s="74"/>
      <c r="AG24" s="74" t="s">
        <v>531</v>
      </c>
      <c r="AH24" s="74" t="s">
        <v>286</v>
      </c>
      <c r="AI24" s="74" t="s">
        <v>85</v>
      </c>
      <c r="AJ24" s="74"/>
      <c r="AK24" s="74"/>
      <c r="AL24" s="74"/>
      <c r="AM24" s="82"/>
      <c r="AN24" s="82"/>
      <c r="AO24" s="82"/>
    </row>
    <row r="25" spans="1:41" ht="12.75" customHeight="1">
      <c r="B25" s="24" t="s">
        <v>36</v>
      </c>
      <c r="C25" s="24" t="s">
        <v>16</v>
      </c>
      <c r="D25" s="74" t="s">
        <v>8</v>
      </c>
      <c r="E25" s="74"/>
      <c r="F25" s="74"/>
      <c r="G25" s="74" t="s">
        <v>287</v>
      </c>
      <c r="H25" s="74" t="s">
        <v>597</v>
      </c>
      <c r="I25" s="77" t="s">
        <v>288</v>
      </c>
      <c r="J25" s="82">
        <v>3</v>
      </c>
      <c r="K25" s="82">
        <v>3</v>
      </c>
      <c r="L25" s="82">
        <v>3</v>
      </c>
      <c r="M25" s="82"/>
      <c r="N25" s="77" t="s">
        <v>187</v>
      </c>
      <c r="O25" s="77" t="s">
        <v>186</v>
      </c>
      <c r="P25" s="77" t="s">
        <v>193</v>
      </c>
      <c r="Q25" s="77" t="s">
        <v>101</v>
      </c>
      <c r="R25" s="77"/>
      <c r="S25" s="77"/>
      <c r="T25" s="286">
        <f t="shared" si="0"/>
        <v>157.00613760000002</v>
      </c>
      <c r="U25" s="78">
        <v>1690</v>
      </c>
      <c r="V25" s="78">
        <v>1690</v>
      </c>
      <c r="W25" s="79" t="s">
        <v>643</v>
      </c>
      <c r="X25" s="78"/>
      <c r="Y25" s="78"/>
      <c r="Z25" s="80"/>
      <c r="AA25" s="78"/>
      <c r="AB25" s="81"/>
      <c r="AC25" s="106" t="s">
        <v>605</v>
      </c>
      <c r="AD25" s="76"/>
      <c r="AE25" s="74"/>
      <c r="AF25" s="74"/>
      <c r="AG25" s="74" t="s">
        <v>531</v>
      </c>
      <c r="AH25" s="74" t="s">
        <v>286</v>
      </c>
      <c r="AI25" s="74" t="s">
        <v>85</v>
      </c>
      <c r="AJ25" s="74"/>
      <c r="AK25" s="74"/>
      <c r="AL25" s="74"/>
      <c r="AM25" s="82"/>
      <c r="AN25" s="82"/>
      <c r="AO25" s="82"/>
    </row>
    <row r="26" spans="1:41" ht="25.5" customHeight="1">
      <c r="B26" s="24" t="s">
        <v>36</v>
      </c>
      <c r="C26" s="24" t="s">
        <v>16</v>
      </c>
      <c r="D26" s="74" t="s">
        <v>43</v>
      </c>
      <c r="E26" s="209">
        <v>40179</v>
      </c>
      <c r="F26" s="209">
        <v>42004</v>
      </c>
      <c r="G26" s="74" t="s">
        <v>289</v>
      </c>
      <c r="H26" s="74"/>
      <c r="I26" s="77" t="s">
        <v>103</v>
      </c>
      <c r="J26" s="82">
        <v>3</v>
      </c>
      <c r="K26" s="82">
        <v>3</v>
      </c>
      <c r="L26" s="82">
        <v>3</v>
      </c>
      <c r="M26" s="82"/>
      <c r="N26" s="77" t="s">
        <v>520</v>
      </c>
      <c r="O26" s="77" t="s">
        <v>103</v>
      </c>
      <c r="P26" s="77" t="s">
        <v>193</v>
      </c>
      <c r="Q26" s="77" t="s">
        <v>101</v>
      </c>
      <c r="R26" s="77"/>
      <c r="S26" s="77"/>
      <c r="T26" s="286">
        <f t="shared" si="0"/>
        <v>401.34113280000003</v>
      </c>
      <c r="U26" s="78">
        <v>4320</v>
      </c>
      <c r="V26" s="78"/>
      <c r="W26" s="79">
        <v>0.98599999999999999</v>
      </c>
      <c r="X26" s="77">
        <v>200</v>
      </c>
      <c r="Y26" s="77">
        <v>120</v>
      </c>
      <c r="Z26" s="80">
        <v>0.9</v>
      </c>
      <c r="AA26" s="83">
        <v>120</v>
      </c>
      <c r="AB26" s="81" t="s">
        <v>205</v>
      </c>
      <c r="AC26" s="106" t="s">
        <v>281</v>
      </c>
      <c r="AD26" s="76"/>
      <c r="AE26" s="74" t="s">
        <v>203</v>
      </c>
      <c r="AF26" s="74"/>
      <c r="AG26" s="74" t="s">
        <v>531</v>
      </c>
      <c r="AH26" s="74"/>
      <c r="AI26" s="74" t="s">
        <v>204</v>
      </c>
      <c r="AJ26" s="74"/>
      <c r="AK26" s="74"/>
      <c r="AL26" s="82"/>
      <c r="AM26" s="82"/>
      <c r="AN26" s="82"/>
      <c r="AO26" s="82"/>
    </row>
    <row r="27" spans="1:41" ht="12.75" customHeight="1">
      <c r="B27" s="24" t="s">
        <v>36</v>
      </c>
      <c r="C27" s="24" t="s">
        <v>16</v>
      </c>
      <c r="D27" s="74" t="s">
        <v>9</v>
      </c>
      <c r="E27" s="209">
        <v>41150</v>
      </c>
      <c r="F27" s="209">
        <v>42244</v>
      </c>
      <c r="G27" s="74" t="s">
        <v>290</v>
      </c>
      <c r="H27" s="74" t="s">
        <v>597</v>
      </c>
      <c r="I27" s="77" t="s">
        <v>135</v>
      </c>
      <c r="J27" s="82">
        <v>2</v>
      </c>
      <c r="K27" s="82">
        <v>2</v>
      </c>
      <c r="L27" s="82">
        <v>2</v>
      </c>
      <c r="M27" s="82"/>
      <c r="N27" s="77" t="s">
        <v>165</v>
      </c>
      <c r="O27" s="77" t="s">
        <v>194</v>
      </c>
      <c r="P27" s="77" t="s">
        <v>195</v>
      </c>
      <c r="Q27" s="77" t="s">
        <v>102</v>
      </c>
      <c r="R27" s="77"/>
      <c r="S27" s="77"/>
      <c r="T27" s="286">
        <f t="shared" si="0"/>
        <v>297.28972800000003</v>
      </c>
      <c r="U27" s="78">
        <v>3200</v>
      </c>
      <c r="V27" s="78">
        <v>3200</v>
      </c>
      <c r="W27" s="79" t="s">
        <v>643</v>
      </c>
      <c r="X27" s="78"/>
      <c r="Y27" s="78"/>
      <c r="Z27" s="80"/>
      <c r="AA27" s="78"/>
      <c r="AB27" s="81"/>
      <c r="AC27" s="106" t="s">
        <v>606</v>
      </c>
      <c r="AD27" s="76"/>
      <c r="AE27" s="74" t="s">
        <v>838</v>
      </c>
      <c r="AF27" s="74"/>
      <c r="AG27" s="74" t="s">
        <v>531</v>
      </c>
      <c r="AH27" s="77" t="s">
        <v>466</v>
      </c>
      <c r="AI27" s="74" t="s">
        <v>85</v>
      </c>
      <c r="AJ27" s="74"/>
      <c r="AK27" s="74"/>
      <c r="AL27" s="74"/>
      <c r="AM27" s="82"/>
      <c r="AN27" s="82"/>
      <c r="AO27" s="82"/>
    </row>
    <row r="28" spans="1:41" ht="51" customHeight="1">
      <c r="B28" s="24" t="s">
        <v>36</v>
      </c>
      <c r="C28" s="24" t="s">
        <v>16</v>
      </c>
      <c r="D28" s="74" t="s">
        <v>9</v>
      </c>
      <c r="E28" s="209">
        <v>41150</v>
      </c>
      <c r="F28" s="209">
        <v>42244</v>
      </c>
      <c r="G28" s="74" t="s">
        <v>291</v>
      </c>
      <c r="H28" s="74" t="s">
        <v>597</v>
      </c>
      <c r="I28" s="77" t="s">
        <v>1124</v>
      </c>
      <c r="J28" s="82">
        <v>3</v>
      </c>
      <c r="K28" s="82">
        <v>3</v>
      </c>
      <c r="L28" s="82">
        <v>3</v>
      </c>
      <c r="M28" s="82"/>
      <c r="N28" s="77" t="s">
        <v>165</v>
      </c>
      <c r="O28" s="77" t="s">
        <v>194</v>
      </c>
      <c r="P28" s="77" t="s">
        <v>195</v>
      </c>
      <c r="Q28" s="77" t="s">
        <v>102</v>
      </c>
      <c r="R28" s="77"/>
      <c r="S28" s="77"/>
      <c r="T28" s="286">
        <f t="shared" si="0"/>
        <v>232.25760000000002</v>
      </c>
      <c r="U28" s="78">
        <v>2500</v>
      </c>
      <c r="V28" s="78">
        <v>2500</v>
      </c>
      <c r="W28" s="79" t="s">
        <v>643</v>
      </c>
      <c r="X28" s="78"/>
      <c r="Y28" s="78"/>
      <c r="Z28" s="80"/>
      <c r="AA28" s="78"/>
      <c r="AB28" s="81"/>
      <c r="AC28" s="106" t="s">
        <v>606</v>
      </c>
      <c r="AD28" s="76"/>
      <c r="AE28" s="74" t="s">
        <v>838</v>
      </c>
      <c r="AF28" s="74"/>
      <c r="AG28" s="74" t="s">
        <v>531</v>
      </c>
      <c r="AH28" s="77" t="s">
        <v>470</v>
      </c>
      <c r="AI28" s="74" t="s">
        <v>85</v>
      </c>
      <c r="AJ28" s="74"/>
      <c r="AK28" s="74"/>
      <c r="AL28" s="74"/>
      <c r="AM28" s="82"/>
      <c r="AN28" s="82"/>
      <c r="AO28" s="82"/>
    </row>
    <row r="29" spans="1:41" ht="36">
      <c r="B29" s="24"/>
      <c r="C29" s="24"/>
      <c r="D29" s="371"/>
      <c r="E29" s="372" t="s">
        <v>1085</v>
      </c>
      <c r="F29" s="372"/>
      <c r="G29" s="371"/>
      <c r="H29" s="371"/>
      <c r="I29" s="373" t="s">
        <v>1084</v>
      </c>
      <c r="J29" s="374"/>
      <c r="K29" s="374"/>
      <c r="L29" s="374"/>
      <c r="M29" s="374"/>
      <c r="N29" s="373"/>
      <c r="O29" s="373"/>
      <c r="P29" s="373"/>
      <c r="Q29" s="373"/>
      <c r="R29" s="373"/>
      <c r="S29" s="77"/>
      <c r="T29" s="375"/>
      <c r="U29" s="376"/>
      <c r="V29" s="376"/>
      <c r="W29" s="377"/>
      <c r="X29" s="376"/>
      <c r="Y29" s="376"/>
      <c r="Z29" s="378"/>
      <c r="AA29" s="376"/>
      <c r="AB29" s="379"/>
      <c r="AC29" s="380"/>
      <c r="AD29" s="381"/>
      <c r="AE29" s="371" t="s">
        <v>1087</v>
      </c>
      <c r="AF29" s="371"/>
      <c r="AG29" s="371"/>
      <c r="AH29" s="373"/>
      <c r="AI29" s="371"/>
      <c r="AJ29" s="371"/>
      <c r="AK29" s="371"/>
      <c r="AL29" s="371"/>
      <c r="AM29" s="374"/>
      <c r="AN29" s="374"/>
      <c r="AO29" s="374" t="s">
        <v>1090</v>
      </c>
    </row>
    <row r="30" spans="1:41" ht="25.5" customHeight="1">
      <c r="B30" s="74" t="s">
        <v>36</v>
      </c>
      <c r="C30" s="74" t="s">
        <v>16</v>
      </c>
      <c r="D30" s="74" t="s">
        <v>43</v>
      </c>
      <c r="E30" s="209">
        <v>41214</v>
      </c>
      <c r="F30" s="209">
        <v>42308</v>
      </c>
      <c r="G30" s="74" t="s">
        <v>292</v>
      </c>
      <c r="H30" s="74"/>
      <c r="I30" s="75" t="s">
        <v>523</v>
      </c>
      <c r="J30" s="76">
        <v>3</v>
      </c>
      <c r="K30" s="76">
        <v>3</v>
      </c>
      <c r="L30" s="76">
        <v>3</v>
      </c>
      <c r="M30" s="76"/>
      <c r="N30" s="75" t="s">
        <v>524</v>
      </c>
      <c r="O30" s="77" t="s">
        <v>64</v>
      </c>
      <c r="P30" s="77" t="s">
        <v>64</v>
      </c>
      <c r="Q30" s="77" t="s">
        <v>104</v>
      </c>
      <c r="R30" s="77"/>
      <c r="S30" s="77"/>
      <c r="T30" s="286">
        <f t="shared" si="0"/>
        <v>139.35456000000002</v>
      </c>
      <c r="U30" s="78">
        <v>1500</v>
      </c>
      <c r="V30" s="78"/>
      <c r="W30" s="79">
        <v>1</v>
      </c>
      <c r="X30" s="77">
        <v>150</v>
      </c>
      <c r="Y30" s="77">
        <v>98</v>
      </c>
      <c r="Z30" s="80">
        <f>Y30/X30</f>
        <v>0.65333333333333332</v>
      </c>
      <c r="AA30" s="78">
        <v>150</v>
      </c>
      <c r="AB30" s="81">
        <f>ROUND(IF(Y30&lt;=0, "",AA30/Y30),2)</f>
        <v>1.53</v>
      </c>
      <c r="AC30" s="106"/>
      <c r="AD30" s="76"/>
      <c r="AE30" s="75" t="s">
        <v>200</v>
      </c>
      <c r="AF30" s="75"/>
      <c r="AG30" s="74" t="s">
        <v>531</v>
      </c>
      <c r="AH30" s="75"/>
      <c r="AI30" s="77" t="s">
        <v>202</v>
      </c>
      <c r="AJ30" s="77"/>
      <c r="AK30" s="77"/>
      <c r="AL30" s="82"/>
      <c r="AM30" s="82"/>
      <c r="AN30" s="82"/>
      <c r="AO30" s="82"/>
    </row>
    <row r="31" spans="1:41" ht="51" customHeight="1">
      <c r="B31" s="25" t="s">
        <v>36</v>
      </c>
      <c r="C31" s="25" t="s">
        <v>15</v>
      </c>
      <c r="D31" s="58" t="s">
        <v>9</v>
      </c>
      <c r="E31" s="219">
        <v>38078</v>
      </c>
      <c r="F31" s="219" t="s">
        <v>841</v>
      </c>
      <c r="G31" s="58" t="s">
        <v>293</v>
      </c>
      <c r="H31" s="58" t="s">
        <v>597</v>
      </c>
      <c r="I31" s="59" t="s">
        <v>1125</v>
      </c>
      <c r="J31" s="60">
        <v>3</v>
      </c>
      <c r="K31" s="60">
        <v>3</v>
      </c>
      <c r="L31" s="60">
        <v>3</v>
      </c>
      <c r="M31" s="60"/>
      <c r="N31" s="59" t="s">
        <v>674</v>
      </c>
      <c r="O31" s="59" t="s">
        <v>166</v>
      </c>
      <c r="P31" s="59" t="s">
        <v>168</v>
      </c>
      <c r="Q31" s="59" t="s">
        <v>15</v>
      </c>
      <c r="R31" s="59"/>
      <c r="S31" s="59"/>
      <c r="T31" s="288">
        <f t="shared" si="0"/>
        <v>1474.4641478400001</v>
      </c>
      <c r="U31" s="61">
        <v>15871</v>
      </c>
      <c r="V31" s="61">
        <v>10522</v>
      </c>
      <c r="W31" s="62" t="s">
        <v>643</v>
      </c>
      <c r="X31" s="61"/>
      <c r="Y31" s="61"/>
      <c r="Z31" s="63"/>
      <c r="AA31" s="61"/>
      <c r="AB31" s="64"/>
      <c r="AC31" s="107" t="s">
        <v>759</v>
      </c>
      <c r="AD31" s="84"/>
      <c r="AE31" s="59" t="s">
        <v>676</v>
      </c>
      <c r="AF31" s="58" t="s">
        <v>675</v>
      </c>
      <c r="AG31" s="58"/>
      <c r="AH31" s="58"/>
      <c r="AI31" s="58" t="s">
        <v>85</v>
      </c>
      <c r="AJ31" s="58"/>
      <c r="AK31" s="58"/>
      <c r="AL31" s="58" t="s">
        <v>122</v>
      </c>
      <c r="AM31" s="58"/>
      <c r="AN31" s="58"/>
      <c r="AO31" s="58"/>
    </row>
    <row r="32" spans="1:41" ht="38.25" customHeight="1">
      <c r="B32" s="25" t="s">
        <v>36</v>
      </c>
      <c r="C32" s="25" t="s">
        <v>15</v>
      </c>
      <c r="D32" s="58" t="s">
        <v>9</v>
      </c>
      <c r="E32" s="220">
        <v>36172</v>
      </c>
      <c r="F32" s="220">
        <v>43477</v>
      </c>
      <c r="G32" s="58" t="s">
        <v>294</v>
      </c>
      <c r="H32" s="58" t="s">
        <v>597</v>
      </c>
      <c r="I32" s="59" t="s">
        <v>1086</v>
      </c>
      <c r="J32" s="60">
        <v>3</v>
      </c>
      <c r="K32" s="60">
        <v>3</v>
      </c>
      <c r="L32" s="60">
        <v>3</v>
      </c>
      <c r="M32" s="60"/>
      <c r="N32" s="59" t="s">
        <v>157</v>
      </c>
      <c r="O32" s="59" t="s">
        <v>19</v>
      </c>
      <c r="P32" s="59" t="s">
        <v>167</v>
      </c>
      <c r="Q32" s="59" t="s">
        <v>15</v>
      </c>
      <c r="R32" s="59"/>
      <c r="S32" s="59"/>
      <c r="T32" s="288">
        <f t="shared" si="0"/>
        <v>2224.0987776000002</v>
      </c>
      <c r="U32" s="61">
        <v>23940</v>
      </c>
      <c r="V32" s="61">
        <v>24112</v>
      </c>
      <c r="W32" s="62" t="s">
        <v>643</v>
      </c>
      <c r="X32" s="61"/>
      <c r="Y32" s="61"/>
      <c r="Z32" s="63"/>
      <c r="AA32" s="61"/>
      <c r="AB32" s="64"/>
      <c r="AC32" s="107" t="s">
        <v>367</v>
      </c>
      <c r="AD32" s="84"/>
      <c r="AE32" s="59" t="s">
        <v>673</v>
      </c>
      <c r="AF32" s="58"/>
      <c r="AG32" s="58"/>
      <c r="AH32" s="58"/>
      <c r="AI32" s="58" t="s">
        <v>85</v>
      </c>
      <c r="AJ32" s="58"/>
      <c r="AK32" s="58" t="s">
        <v>122</v>
      </c>
      <c r="AL32" s="58" t="s">
        <v>122</v>
      </c>
      <c r="AM32" s="58"/>
      <c r="AN32" s="58"/>
      <c r="AO32" s="58"/>
    </row>
    <row r="33" spans="1:41" ht="25.5" customHeight="1">
      <c r="B33" s="25" t="s">
        <v>36</v>
      </c>
      <c r="C33" s="25" t="s">
        <v>15</v>
      </c>
      <c r="D33" s="58" t="s">
        <v>9</v>
      </c>
      <c r="E33" s="220">
        <v>38047</v>
      </c>
      <c r="F33" s="220">
        <v>43737</v>
      </c>
      <c r="G33" s="58" t="s">
        <v>295</v>
      </c>
      <c r="H33" s="58" t="s">
        <v>597</v>
      </c>
      <c r="I33" s="59" t="s">
        <v>824</v>
      </c>
      <c r="J33" s="60">
        <v>3</v>
      </c>
      <c r="K33" s="60">
        <v>3</v>
      </c>
      <c r="L33" s="60">
        <v>3</v>
      </c>
      <c r="M33" s="60"/>
      <c r="N33" s="59" t="s">
        <v>170</v>
      </c>
      <c r="O33" s="59" t="s">
        <v>105</v>
      </c>
      <c r="P33" s="59" t="s">
        <v>169</v>
      </c>
      <c r="Q33" s="59" t="s">
        <v>15</v>
      </c>
      <c r="R33" s="59"/>
      <c r="S33" s="59"/>
      <c r="T33" s="288">
        <f t="shared" si="0"/>
        <v>291.90135168</v>
      </c>
      <c r="U33" s="61">
        <v>3142</v>
      </c>
      <c r="V33" s="61">
        <v>3142</v>
      </c>
      <c r="W33" s="62" t="s">
        <v>643</v>
      </c>
      <c r="X33" s="61"/>
      <c r="Y33" s="61"/>
      <c r="Z33" s="63"/>
      <c r="AA33" s="61"/>
      <c r="AB33" s="64"/>
      <c r="AC33" s="107" t="s">
        <v>370</v>
      </c>
      <c r="AD33" s="84"/>
      <c r="AE33" s="58" t="s">
        <v>678</v>
      </c>
      <c r="AF33" s="58" t="s">
        <v>677</v>
      </c>
      <c r="AG33" s="58"/>
      <c r="AH33" s="58"/>
      <c r="AI33" s="58" t="s">
        <v>85</v>
      </c>
      <c r="AJ33" s="58"/>
      <c r="AK33" s="58" t="s">
        <v>122</v>
      </c>
      <c r="AL33" s="58" t="s">
        <v>122</v>
      </c>
      <c r="AM33" s="58"/>
      <c r="AN33" s="58"/>
      <c r="AO33" s="58"/>
    </row>
    <row r="34" spans="1:41" ht="38.25" customHeight="1">
      <c r="B34" s="25" t="s">
        <v>36</v>
      </c>
      <c r="C34" s="25" t="s">
        <v>15</v>
      </c>
      <c r="D34" s="58" t="s">
        <v>43</v>
      </c>
      <c r="E34" s="358" t="s">
        <v>1096</v>
      </c>
      <c r="F34" s="358"/>
      <c r="G34" s="357"/>
      <c r="H34" s="357"/>
      <c r="I34" s="59" t="s">
        <v>1126</v>
      </c>
      <c r="J34" s="360"/>
      <c r="K34" s="360"/>
      <c r="L34" s="360"/>
      <c r="M34" s="360"/>
      <c r="N34" s="359"/>
      <c r="O34" s="359"/>
      <c r="P34" s="359"/>
      <c r="Q34" s="359"/>
      <c r="R34" s="359"/>
      <c r="S34" s="59"/>
      <c r="T34" s="361"/>
      <c r="U34" s="362"/>
      <c r="V34" s="362"/>
      <c r="W34" s="363"/>
      <c r="X34" s="362"/>
      <c r="Y34" s="362"/>
      <c r="Z34" s="364"/>
      <c r="AA34" s="362"/>
      <c r="AB34" s="365"/>
      <c r="AC34" s="366"/>
      <c r="AD34" s="367"/>
      <c r="AE34" s="357"/>
      <c r="AF34" s="357"/>
      <c r="AG34" s="357"/>
      <c r="AH34" s="357"/>
      <c r="AI34" s="357"/>
      <c r="AJ34" s="357"/>
      <c r="AK34" s="357"/>
      <c r="AL34" s="357"/>
      <c r="AM34" s="357"/>
      <c r="AN34" s="357"/>
      <c r="AO34" s="357"/>
    </row>
    <row r="35" spans="1:41" ht="25.5" customHeight="1">
      <c r="B35" s="25" t="s">
        <v>36</v>
      </c>
      <c r="C35" s="25" t="s">
        <v>15</v>
      </c>
      <c r="D35" s="58" t="s">
        <v>43</v>
      </c>
      <c r="E35" s="220">
        <v>40360</v>
      </c>
      <c r="F35" s="220">
        <v>41455</v>
      </c>
      <c r="G35" s="58" t="s">
        <v>525</v>
      </c>
      <c r="H35" s="58"/>
      <c r="I35" s="59" t="s">
        <v>227</v>
      </c>
      <c r="J35" s="60">
        <v>3</v>
      </c>
      <c r="K35" s="60">
        <v>3</v>
      </c>
      <c r="L35" s="60">
        <v>3</v>
      </c>
      <c r="M35" s="60"/>
      <c r="N35" s="59" t="s">
        <v>228</v>
      </c>
      <c r="O35" s="59" t="s">
        <v>105</v>
      </c>
      <c r="P35" s="59" t="s">
        <v>169</v>
      </c>
      <c r="Q35" s="59" t="s">
        <v>15</v>
      </c>
      <c r="R35" s="59"/>
      <c r="S35" s="59"/>
      <c r="T35" s="288">
        <f t="shared" si="0"/>
        <v>69.955989119999998</v>
      </c>
      <c r="U35" s="61">
        <v>753</v>
      </c>
      <c r="V35" s="61"/>
      <c r="W35" s="62">
        <v>1</v>
      </c>
      <c r="X35" s="61">
        <f>U35/10</f>
        <v>75.3</v>
      </c>
      <c r="Y35" s="61"/>
      <c r="Z35" s="63"/>
      <c r="AA35" s="61"/>
      <c r="AB35" s="64"/>
      <c r="AC35" s="107" t="s">
        <v>370</v>
      </c>
      <c r="AD35" s="84"/>
      <c r="AE35" s="59" t="s">
        <v>671</v>
      </c>
      <c r="AF35" s="58"/>
      <c r="AG35" s="58"/>
      <c r="AH35" s="58"/>
      <c r="AI35" s="58" t="s">
        <v>229</v>
      </c>
      <c r="AJ35" s="58"/>
      <c r="AK35" s="58"/>
      <c r="AL35" s="58"/>
      <c r="AM35" s="58"/>
      <c r="AN35" s="58"/>
      <c r="AO35" s="58"/>
    </row>
    <row r="36" spans="1:41" ht="25.5" customHeight="1">
      <c r="B36" s="25" t="s">
        <v>36</v>
      </c>
      <c r="C36" s="25" t="s">
        <v>15</v>
      </c>
      <c r="D36" s="58" t="s">
        <v>43</v>
      </c>
      <c r="E36" s="220">
        <v>40156</v>
      </c>
      <c r="F36" s="220">
        <v>41981</v>
      </c>
      <c r="G36" s="58" t="s">
        <v>526</v>
      </c>
      <c r="H36" s="58"/>
      <c r="I36" s="59" t="s">
        <v>736</v>
      </c>
      <c r="J36" s="60">
        <v>2</v>
      </c>
      <c r="K36" s="60">
        <v>3</v>
      </c>
      <c r="L36" s="60">
        <v>3</v>
      </c>
      <c r="M36" s="84" t="s">
        <v>785</v>
      </c>
      <c r="N36" s="59" t="s">
        <v>521</v>
      </c>
      <c r="O36" s="59" t="s">
        <v>105</v>
      </c>
      <c r="P36" s="59" t="s">
        <v>169</v>
      </c>
      <c r="Q36" s="59" t="s">
        <v>15</v>
      </c>
      <c r="R36" s="59"/>
      <c r="S36" s="59"/>
      <c r="T36" s="288">
        <f t="shared" si="0"/>
        <v>40.041210240000005</v>
      </c>
      <c r="U36" s="61">
        <v>431</v>
      </c>
      <c r="V36" s="61"/>
      <c r="W36" s="62">
        <v>1</v>
      </c>
      <c r="X36" s="61">
        <f>U36/10</f>
        <v>43.1</v>
      </c>
      <c r="Y36" s="61"/>
      <c r="Z36" s="63"/>
      <c r="AA36" s="61"/>
      <c r="AB36" s="64"/>
      <c r="AC36" s="107" t="s">
        <v>370</v>
      </c>
      <c r="AD36" s="84"/>
      <c r="AE36" s="58" t="s">
        <v>672</v>
      </c>
      <c r="AF36" s="58"/>
      <c r="AG36" s="58"/>
      <c r="AH36" s="58"/>
      <c r="AI36" s="58" t="s">
        <v>231</v>
      </c>
      <c r="AJ36" s="58"/>
      <c r="AK36" s="58"/>
      <c r="AL36" s="58"/>
      <c r="AM36" s="58"/>
      <c r="AN36" s="58"/>
      <c r="AO36" s="58"/>
    </row>
    <row r="37" spans="1:41" ht="12.75" customHeight="1">
      <c r="B37" s="26" t="s">
        <v>36</v>
      </c>
      <c r="C37" s="26" t="s">
        <v>14</v>
      </c>
      <c r="D37" s="20" t="s">
        <v>9</v>
      </c>
      <c r="E37" s="222">
        <v>38730</v>
      </c>
      <c r="F37" s="223">
        <v>42381</v>
      </c>
      <c r="G37" s="20" t="s">
        <v>296</v>
      </c>
      <c r="H37" s="20" t="s">
        <v>795</v>
      </c>
      <c r="I37" s="19" t="s">
        <v>21</v>
      </c>
      <c r="J37" s="27">
        <v>2</v>
      </c>
      <c r="K37" s="121">
        <v>3</v>
      </c>
      <c r="L37" s="27">
        <v>2</v>
      </c>
      <c r="M37" s="27"/>
      <c r="N37" s="19" t="s">
        <v>177</v>
      </c>
      <c r="O37" s="19" t="s">
        <v>1</v>
      </c>
      <c r="P37" s="19" t="s">
        <v>89</v>
      </c>
      <c r="Q37" s="19" t="s">
        <v>90</v>
      </c>
      <c r="R37" s="19"/>
      <c r="S37" s="19"/>
      <c r="T37" s="289">
        <f t="shared" si="0"/>
        <v>845.60347008000008</v>
      </c>
      <c r="U37" s="28">
        <v>9102</v>
      </c>
      <c r="V37" s="28">
        <v>7847</v>
      </c>
      <c r="W37" s="29" t="s">
        <v>643</v>
      </c>
      <c r="X37" s="28"/>
      <c r="Y37" s="28"/>
      <c r="Z37" s="21"/>
      <c r="AA37" s="28"/>
      <c r="AB37" s="30"/>
      <c r="AC37" s="108" t="s">
        <v>373</v>
      </c>
      <c r="AD37" s="85"/>
      <c r="AE37" s="20" t="s">
        <v>528</v>
      </c>
      <c r="AF37" s="20"/>
      <c r="AG37" s="20" t="s">
        <v>534</v>
      </c>
      <c r="AH37" s="19" t="s">
        <v>474</v>
      </c>
      <c r="AI37" s="20" t="s">
        <v>85</v>
      </c>
      <c r="AJ37" s="20"/>
      <c r="AK37" s="20"/>
      <c r="AL37" s="20" t="s">
        <v>122</v>
      </c>
      <c r="AM37" s="20"/>
      <c r="AN37" s="20"/>
      <c r="AO37" s="186"/>
    </row>
    <row r="38" spans="1:41" ht="38.25" customHeight="1">
      <c r="A38" t="s">
        <v>662</v>
      </c>
      <c r="B38" s="26" t="s">
        <v>36</v>
      </c>
      <c r="C38" s="26" t="s">
        <v>14</v>
      </c>
      <c r="D38" s="20" t="s">
        <v>9</v>
      </c>
      <c r="E38" s="222"/>
      <c r="F38" s="222">
        <v>41320</v>
      </c>
      <c r="G38" s="20" t="s">
        <v>297</v>
      </c>
      <c r="H38" s="20" t="s">
        <v>1109</v>
      </c>
      <c r="I38" s="19" t="s">
        <v>763</v>
      </c>
      <c r="J38" s="27">
        <v>2</v>
      </c>
      <c r="K38" s="27">
        <v>2</v>
      </c>
      <c r="L38" s="27">
        <v>2</v>
      </c>
      <c r="M38" s="27"/>
      <c r="N38" s="19" t="s">
        <v>174</v>
      </c>
      <c r="O38" s="19" t="s">
        <v>126</v>
      </c>
      <c r="P38" s="19"/>
      <c r="Q38" s="19" t="s">
        <v>90</v>
      </c>
      <c r="R38" s="19"/>
      <c r="S38" s="19"/>
      <c r="T38" s="289">
        <f t="shared" si="0"/>
        <v>1648.9360569600001</v>
      </c>
      <c r="U38" s="28">
        <v>17749</v>
      </c>
      <c r="V38" s="28"/>
      <c r="W38" s="29" t="s">
        <v>643</v>
      </c>
      <c r="X38" s="28"/>
      <c r="Y38" s="28"/>
      <c r="Z38" s="21"/>
      <c r="AA38" s="28"/>
      <c r="AB38" s="30"/>
      <c r="AC38" s="108" t="s">
        <v>396</v>
      </c>
      <c r="AD38" s="85"/>
      <c r="AE38" s="20"/>
      <c r="AF38" s="20"/>
      <c r="AG38" s="20" t="s">
        <v>533</v>
      </c>
      <c r="AH38" s="19" t="s">
        <v>478</v>
      </c>
      <c r="AI38" s="20" t="s">
        <v>85</v>
      </c>
      <c r="AJ38" s="20"/>
      <c r="AK38" s="20"/>
      <c r="AL38" s="20"/>
      <c r="AM38" s="20"/>
      <c r="AN38" s="20"/>
      <c r="AO38" s="186"/>
    </row>
    <row r="39" spans="1:41" ht="12.75" customHeight="1">
      <c r="B39" s="26" t="s">
        <v>36</v>
      </c>
      <c r="C39" s="26" t="s">
        <v>14</v>
      </c>
      <c r="D39" s="20" t="s">
        <v>43</v>
      </c>
      <c r="E39" s="222">
        <v>40179</v>
      </c>
      <c r="F39" s="222">
        <v>45658</v>
      </c>
      <c r="G39" s="20" t="s">
        <v>298</v>
      </c>
      <c r="H39" s="20" t="s">
        <v>597</v>
      </c>
      <c r="I39" s="19" t="s">
        <v>299</v>
      </c>
      <c r="J39" s="27">
        <v>4</v>
      </c>
      <c r="K39" s="27">
        <v>4</v>
      </c>
      <c r="L39" s="27">
        <v>4</v>
      </c>
      <c r="M39" s="27"/>
      <c r="N39" s="19" t="s">
        <v>156</v>
      </c>
      <c r="O39" s="19" t="s">
        <v>88</v>
      </c>
      <c r="P39" s="19"/>
      <c r="Q39" s="19" t="s">
        <v>88</v>
      </c>
      <c r="R39" s="19"/>
      <c r="S39" s="19"/>
      <c r="T39" s="289">
        <f t="shared" si="0"/>
        <v>1858.0608000000002</v>
      </c>
      <c r="U39" s="28">
        <v>20000</v>
      </c>
      <c r="V39" s="28">
        <v>4951</v>
      </c>
      <c r="W39" s="29" t="s">
        <v>643</v>
      </c>
      <c r="X39" s="28"/>
      <c r="Y39" s="28"/>
      <c r="Z39" s="21"/>
      <c r="AA39" s="28"/>
      <c r="AB39" s="30"/>
      <c r="AC39" s="108" t="s">
        <v>378</v>
      </c>
      <c r="AD39" s="85"/>
      <c r="AE39" s="20" t="s">
        <v>300</v>
      </c>
      <c r="AF39" s="20"/>
      <c r="AG39" s="20" t="s">
        <v>535</v>
      </c>
      <c r="AH39" s="19" t="s">
        <v>482</v>
      </c>
      <c r="AI39" s="20" t="s">
        <v>85</v>
      </c>
      <c r="AJ39" s="20"/>
      <c r="AK39" s="20" t="s">
        <v>122</v>
      </c>
      <c r="AL39" s="20" t="s">
        <v>122</v>
      </c>
      <c r="AM39" s="20"/>
      <c r="AN39" s="20"/>
      <c r="AO39" s="186" t="s">
        <v>835</v>
      </c>
    </row>
    <row r="40" spans="1:41" ht="38.25" customHeight="1">
      <c r="B40" s="26" t="s">
        <v>36</v>
      </c>
      <c r="C40" s="26" t="s">
        <v>14</v>
      </c>
      <c r="D40" s="20" t="s">
        <v>43</v>
      </c>
      <c r="E40" s="222">
        <v>39326</v>
      </c>
      <c r="F40" s="222">
        <v>43646</v>
      </c>
      <c r="G40" s="20" t="s">
        <v>301</v>
      </c>
      <c r="H40" s="20" t="s">
        <v>597</v>
      </c>
      <c r="I40" s="19" t="s">
        <v>88</v>
      </c>
      <c r="J40" s="27">
        <v>4</v>
      </c>
      <c r="K40" s="27">
        <v>4</v>
      </c>
      <c r="L40" s="27">
        <v>4</v>
      </c>
      <c r="M40" s="27"/>
      <c r="N40" s="19" t="s">
        <v>638</v>
      </c>
      <c r="O40" s="19" t="s">
        <v>630</v>
      </c>
      <c r="P40" s="19" t="s">
        <v>88</v>
      </c>
      <c r="Q40" s="19" t="s">
        <v>88</v>
      </c>
      <c r="R40" s="19"/>
      <c r="S40" s="19"/>
      <c r="T40" s="289">
        <f t="shared" si="0"/>
        <v>490.99256640000004</v>
      </c>
      <c r="U40" s="28">
        <v>5285</v>
      </c>
      <c r="V40" s="28"/>
      <c r="W40" s="195">
        <v>0.8</v>
      </c>
      <c r="X40" s="28">
        <f>U40/10</f>
        <v>528.5</v>
      </c>
      <c r="Y40" s="191" t="s">
        <v>621</v>
      </c>
      <c r="Z40" s="191" t="s">
        <v>621</v>
      </c>
      <c r="AA40" s="191" t="s">
        <v>621</v>
      </c>
      <c r="AB40" s="191" t="s">
        <v>621</v>
      </c>
      <c r="AC40" s="108" t="s">
        <v>620</v>
      </c>
      <c r="AD40" s="85"/>
      <c r="AE40" s="20" t="s">
        <v>226</v>
      </c>
      <c r="AF40" s="20"/>
      <c r="AG40" s="20"/>
      <c r="AH40" s="20"/>
      <c r="AI40" s="19" t="s">
        <v>639</v>
      </c>
      <c r="AJ40" s="19"/>
      <c r="AK40" s="19"/>
      <c r="AL40" s="20" t="s">
        <v>122</v>
      </c>
      <c r="AM40" s="20"/>
      <c r="AN40" s="20"/>
      <c r="AO40" s="186"/>
    </row>
    <row r="41" spans="1:41" ht="51" customHeight="1">
      <c r="B41" s="26" t="s">
        <v>36</v>
      </c>
      <c r="C41" s="26" t="s">
        <v>14</v>
      </c>
      <c r="D41" s="20" t="s">
        <v>9</v>
      </c>
      <c r="E41" s="222">
        <v>38017</v>
      </c>
      <c r="F41" s="223" t="s">
        <v>735</v>
      </c>
      <c r="G41" s="20" t="s">
        <v>302</v>
      </c>
      <c r="H41" s="20"/>
      <c r="I41" s="19" t="s">
        <v>790</v>
      </c>
      <c r="J41" s="27">
        <v>1</v>
      </c>
      <c r="K41" s="27">
        <v>1</v>
      </c>
      <c r="L41" s="27">
        <v>1</v>
      </c>
      <c r="M41" s="27"/>
      <c r="N41" s="19" t="s">
        <v>176</v>
      </c>
      <c r="O41" s="19" t="s">
        <v>93</v>
      </c>
      <c r="P41" s="19"/>
      <c r="Q41" s="19" t="s">
        <v>94</v>
      </c>
      <c r="R41" s="19"/>
      <c r="S41" s="19"/>
      <c r="T41" s="289">
        <f t="shared" si="0"/>
        <v>2399.1281049600002</v>
      </c>
      <c r="U41" s="28">
        <v>25824</v>
      </c>
      <c r="V41" s="28"/>
      <c r="W41" s="29"/>
      <c r="X41" s="28">
        <v>840</v>
      </c>
      <c r="Y41" s="28"/>
      <c r="Z41" s="21"/>
      <c r="AA41" s="28"/>
      <c r="AB41" s="30"/>
      <c r="AC41" s="108" t="s">
        <v>393</v>
      </c>
      <c r="AD41" s="85"/>
      <c r="AE41" s="19" t="s">
        <v>216</v>
      </c>
      <c r="AF41" s="19"/>
      <c r="AG41" s="19" t="s">
        <v>532</v>
      </c>
      <c r="AH41" s="19" t="s">
        <v>486</v>
      </c>
      <c r="AI41" s="20" t="s">
        <v>178</v>
      </c>
      <c r="AJ41" s="20"/>
      <c r="AK41" s="20"/>
      <c r="AL41" s="20"/>
      <c r="AM41" s="20"/>
      <c r="AN41" s="20"/>
      <c r="AO41" s="186"/>
    </row>
    <row r="42" spans="1:41">
      <c r="B42" s="26" t="s">
        <v>36</v>
      </c>
      <c r="C42" s="26" t="s">
        <v>14</v>
      </c>
      <c r="D42" s="20" t="s">
        <v>43</v>
      </c>
      <c r="E42" s="222">
        <v>38657</v>
      </c>
      <c r="F42" s="224" t="s">
        <v>652</v>
      </c>
      <c r="G42" s="20" t="s">
        <v>303</v>
      </c>
      <c r="H42" s="20"/>
      <c r="I42" s="19" t="s">
        <v>304</v>
      </c>
      <c r="J42" s="27">
        <v>2</v>
      </c>
      <c r="K42" s="27">
        <v>3</v>
      </c>
      <c r="L42" s="27">
        <v>2</v>
      </c>
      <c r="M42" s="27"/>
      <c r="N42" s="19" t="s">
        <v>212</v>
      </c>
      <c r="O42" s="19" t="s">
        <v>171</v>
      </c>
      <c r="P42" s="19" t="s">
        <v>619</v>
      </c>
      <c r="Q42" s="19" t="s">
        <v>95</v>
      </c>
      <c r="R42" s="19"/>
      <c r="S42" s="19"/>
      <c r="T42" s="289">
        <f t="shared" si="0"/>
        <v>99.963671040000008</v>
      </c>
      <c r="U42" s="28">
        <v>1076</v>
      </c>
      <c r="V42" s="28"/>
      <c r="W42" s="29">
        <v>0.9</v>
      </c>
      <c r="X42" s="28">
        <f>U42/10</f>
        <v>107.6</v>
      </c>
      <c r="Y42" s="191" t="s">
        <v>621</v>
      </c>
      <c r="Z42" s="191" t="s">
        <v>621</v>
      </c>
      <c r="AA42" s="191" t="s">
        <v>621</v>
      </c>
      <c r="AB42" s="191" t="s">
        <v>621</v>
      </c>
      <c r="AC42" s="108" t="s">
        <v>620</v>
      </c>
      <c r="AD42" s="85"/>
      <c r="AE42" s="20" t="s">
        <v>622</v>
      </c>
      <c r="AF42" s="20"/>
      <c r="AG42" s="20"/>
      <c r="AH42" s="20"/>
      <c r="AI42" s="20" t="s">
        <v>141</v>
      </c>
      <c r="AJ42" s="20"/>
      <c r="AK42" s="20"/>
      <c r="AL42" s="20"/>
      <c r="AM42" s="20"/>
      <c r="AN42" s="20"/>
      <c r="AO42" s="186"/>
    </row>
    <row r="43" spans="1:41" ht="38.25" customHeight="1">
      <c r="B43" s="26" t="s">
        <v>36</v>
      </c>
      <c r="C43" s="26" t="s">
        <v>14</v>
      </c>
      <c r="D43" s="20" t="s">
        <v>43</v>
      </c>
      <c r="E43" s="222">
        <v>39318</v>
      </c>
      <c r="F43" s="222">
        <v>41577</v>
      </c>
      <c r="G43" s="20" t="s">
        <v>305</v>
      </c>
      <c r="H43" s="20"/>
      <c r="I43" s="19" t="s">
        <v>823</v>
      </c>
      <c r="J43" s="27">
        <v>3</v>
      </c>
      <c r="K43" s="27">
        <v>3</v>
      </c>
      <c r="L43" s="27">
        <v>3</v>
      </c>
      <c r="M43" s="27"/>
      <c r="N43" s="19" t="s">
        <v>211</v>
      </c>
      <c r="O43" s="19" t="s">
        <v>96</v>
      </c>
      <c r="P43" s="19" t="s">
        <v>624</v>
      </c>
      <c r="Q43" s="19" t="s">
        <v>97</v>
      </c>
      <c r="R43" s="19"/>
      <c r="S43" s="19"/>
      <c r="T43" s="289">
        <f t="shared" si="0"/>
        <v>109.99719936000001</v>
      </c>
      <c r="U43" s="28">
        <v>1184</v>
      </c>
      <c r="V43" s="28"/>
      <c r="W43" s="29">
        <v>0.77</v>
      </c>
      <c r="X43" s="28">
        <f>U43/10</f>
        <v>118.4</v>
      </c>
      <c r="Y43" s="191" t="s">
        <v>621</v>
      </c>
      <c r="Z43" s="191" t="s">
        <v>621</v>
      </c>
      <c r="AA43" s="191" t="s">
        <v>621</v>
      </c>
      <c r="AB43" s="191" t="s">
        <v>621</v>
      </c>
      <c r="AC43" s="108" t="s">
        <v>625</v>
      </c>
      <c r="AD43" s="85"/>
      <c r="AE43" s="19" t="s">
        <v>148</v>
      </c>
      <c r="AF43" s="19"/>
      <c r="AG43" s="19"/>
      <c r="AH43" s="19"/>
      <c r="AI43" s="20" t="s">
        <v>147</v>
      </c>
      <c r="AJ43" s="20"/>
      <c r="AK43" s="20"/>
      <c r="AL43" s="20"/>
      <c r="AM43" s="20"/>
      <c r="AN43" s="20"/>
      <c r="AO43" s="186"/>
    </row>
    <row r="44" spans="1:41" ht="76.5" customHeight="1">
      <c r="B44" s="26" t="s">
        <v>36</v>
      </c>
      <c r="C44" s="26" t="s">
        <v>14</v>
      </c>
      <c r="D44" s="20" t="s">
        <v>9</v>
      </c>
      <c r="E44" s="222">
        <v>37257</v>
      </c>
      <c r="F44" s="222" t="s">
        <v>653</v>
      </c>
      <c r="G44" s="20" t="s">
        <v>306</v>
      </c>
      <c r="H44" s="19" t="s">
        <v>1118</v>
      </c>
      <c r="I44" s="19" t="s">
        <v>768</v>
      </c>
      <c r="J44" s="27" t="s">
        <v>848</v>
      </c>
      <c r="K44" s="27">
        <v>1</v>
      </c>
      <c r="L44" s="27">
        <v>1</v>
      </c>
      <c r="M44" s="27"/>
      <c r="N44" s="19" t="s">
        <v>182</v>
      </c>
      <c r="O44" s="19" t="s">
        <v>183</v>
      </c>
      <c r="P44" s="19"/>
      <c r="Q44" s="19" t="s">
        <v>97</v>
      </c>
      <c r="R44" s="19"/>
      <c r="S44" s="19"/>
      <c r="T44" s="289">
        <f>SUM(U44*0.09290304)</f>
        <v>510.03768960000002</v>
      </c>
      <c r="U44" s="28">
        <v>5490</v>
      </c>
      <c r="V44" s="28">
        <v>5490</v>
      </c>
      <c r="W44" s="29"/>
      <c r="X44" s="28">
        <v>240</v>
      </c>
      <c r="Y44" s="28"/>
      <c r="Z44" s="21"/>
      <c r="AA44" s="28"/>
      <c r="AB44" s="30"/>
      <c r="AC44" s="108" t="s">
        <v>381</v>
      </c>
      <c r="AD44" s="85"/>
      <c r="AE44" s="20"/>
      <c r="AF44" s="20"/>
      <c r="AG44" s="20"/>
      <c r="AH44" s="19"/>
      <c r="AI44" s="20" t="s">
        <v>758</v>
      </c>
      <c r="AJ44" s="20"/>
      <c r="AK44" s="20"/>
      <c r="AL44" s="20"/>
      <c r="AM44" s="20"/>
      <c r="AN44" s="20"/>
      <c r="AO44" s="186"/>
    </row>
    <row r="45" spans="1:41" ht="38.25" customHeight="1">
      <c r="B45" s="26" t="s">
        <v>36</v>
      </c>
      <c r="C45" s="26" t="s">
        <v>14</v>
      </c>
      <c r="D45" s="20" t="s">
        <v>43</v>
      </c>
      <c r="E45" s="223" t="s">
        <v>654</v>
      </c>
      <c r="F45" s="223" t="s">
        <v>654</v>
      </c>
      <c r="G45" s="20" t="s">
        <v>307</v>
      </c>
      <c r="H45" s="20"/>
      <c r="I45" s="19" t="s">
        <v>99</v>
      </c>
      <c r="J45" s="27">
        <v>3</v>
      </c>
      <c r="K45" s="27">
        <v>3</v>
      </c>
      <c r="L45" s="27">
        <v>3</v>
      </c>
      <c r="M45" s="27"/>
      <c r="N45" s="19"/>
      <c r="O45" s="19" t="s">
        <v>99</v>
      </c>
      <c r="P45" s="19"/>
      <c r="Q45" s="19" t="s">
        <v>100</v>
      </c>
      <c r="R45" s="19"/>
      <c r="S45" s="19"/>
      <c r="T45" s="289">
        <f t="shared" ref="T45:T78" si="1">SUM(U45*0.09290304)</f>
        <v>99.963671040000008</v>
      </c>
      <c r="U45" s="28">
        <v>1076</v>
      </c>
      <c r="V45" s="28"/>
      <c r="W45" s="29"/>
      <c r="X45" s="28">
        <f>U45/10</f>
        <v>107.6</v>
      </c>
      <c r="Y45" s="28"/>
      <c r="Z45" s="21"/>
      <c r="AA45" s="28"/>
      <c r="AB45" s="30"/>
      <c r="AC45" s="108"/>
      <c r="AD45" s="85"/>
      <c r="AE45" s="19" t="s">
        <v>145</v>
      </c>
      <c r="AF45" s="19"/>
      <c r="AG45" s="19"/>
      <c r="AH45" s="19"/>
      <c r="AI45" s="20" t="s">
        <v>214</v>
      </c>
      <c r="AJ45" s="20"/>
      <c r="AK45" s="20"/>
      <c r="AL45" s="20"/>
      <c r="AM45" s="20"/>
      <c r="AN45" s="20"/>
      <c r="AO45" s="186"/>
    </row>
    <row r="46" spans="1:41" ht="12.75" customHeight="1">
      <c r="B46" s="26" t="s">
        <v>36</v>
      </c>
      <c r="C46" s="26" t="s">
        <v>14</v>
      </c>
      <c r="D46" s="20" t="s">
        <v>43</v>
      </c>
      <c r="E46" s="222">
        <v>41183</v>
      </c>
      <c r="F46" s="222">
        <v>43646</v>
      </c>
      <c r="G46" s="20" t="s">
        <v>308</v>
      </c>
      <c r="H46" s="20"/>
      <c r="I46" s="19" t="s">
        <v>213</v>
      </c>
      <c r="J46" s="27">
        <v>3</v>
      </c>
      <c r="K46" s="27">
        <v>3</v>
      </c>
      <c r="L46" s="27">
        <v>3</v>
      </c>
      <c r="M46" s="27"/>
      <c r="N46" s="19" t="s">
        <v>617</v>
      </c>
      <c r="O46" s="19" t="s">
        <v>618</v>
      </c>
      <c r="P46" s="19" t="s">
        <v>619</v>
      </c>
      <c r="Q46" s="19" t="s">
        <v>95</v>
      </c>
      <c r="R46" s="19"/>
      <c r="S46" s="19"/>
      <c r="T46" s="289">
        <f t="shared" si="1"/>
        <v>299.89101312000003</v>
      </c>
      <c r="U46" s="28">
        <v>3228</v>
      </c>
      <c r="V46" s="28"/>
      <c r="W46" s="29">
        <v>0.95</v>
      </c>
      <c r="X46" s="28">
        <f>U46/10</f>
        <v>322.8</v>
      </c>
      <c r="Y46" s="191" t="s">
        <v>621</v>
      </c>
      <c r="Z46" s="191" t="s">
        <v>621</v>
      </c>
      <c r="AA46" s="191" t="s">
        <v>621</v>
      </c>
      <c r="AB46" s="191" t="s">
        <v>621</v>
      </c>
      <c r="AC46" s="108" t="s">
        <v>620</v>
      </c>
      <c r="AD46" s="85"/>
      <c r="AE46" s="19" t="s">
        <v>145</v>
      </c>
      <c r="AF46" s="19"/>
      <c r="AG46" s="19"/>
      <c r="AH46" s="19"/>
      <c r="AI46" s="20" t="s">
        <v>215</v>
      </c>
      <c r="AJ46" s="20"/>
      <c r="AK46" s="20"/>
      <c r="AL46" s="20" t="s">
        <v>122</v>
      </c>
      <c r="AM46" s="20"/>
      <c r="AN46" s="20"/>
      <c r="AO46" s="186"/>
    </row>
    <row r="47" spans="1:41" ht="39" customHeight="1">
      <c r="B47" s="26" t="s">
        <v>36</v>
      </c>
      <c r="C47" s="26" t="s">
        <v>14</v>
      </c>
      <c r="D47" s="20" t="s">
        <v>43</v>
      </c>
      <c r="E47" s="223" t="s">
        <v>655</v>
      </c>
      <c r="F47" s="223" t="s">
        <v>656</v>
      </c>
      <c r="G47" s="20" t="s">
        <v>309</v>
      </c>
      <c r="H47" s="20"/>
      <c r="I47" s="19" t="s">
        <v>830</v>
      </c>
      <c r="J47" s="27">
        <v>3</v>
      </c>
      <c r="K47" s="27">
        <v>3</v>
      </c>
      <c r="L47" s="27">
        <v>3</v>
      </c>
      <c r="M47" s="27"/>
      <c r="N47" s="19" t="s">
        <v>626</v>
      </c>
      <c r="O47" s="19" t="s">
        <v>96</v>
      </c>
      <c r="P47" s="19" t="s">
        <v>624</v>
      </c>
      <c r="Q47" s="19" t="s">
        <v>97</v>
      </c>
      <c r="R47" s="19"/>
      <c r="S47" s="19"/>
      <c r="T47" s="289">
        <f t="shared" si="1"/>
        <v>124.95458880000001</v>
      </c>
      <c r="U47" s="28">
        <v>1345</v>
      </c>
      <c r="V47" s="28"/>
      <c r="W47" s="29">
        <v>0.61</v>
      </c>
      <c r="X47" s="28">
        <f>U47/10</f>
        <v>134.5</v>
      </c>
      <c r="Y47" s="191" t="s">
        <v>621</v>
      </c>
      <c r="Z47" s="191" t="s">
        <v>621</v>
      </c>
      <c r="AA47" s="191" t="s">
        <v>621</v>
      </c>
      <c r="AB47" s="191" t="s">
        <v>621</v>
      </c>
      <c r="AC47" s="108" t="s">
        <v>625</v>
      </c>
      <c r="AD47" s="85"/>
      <c r="AE47" s="19" t="s">
        <v>145</v>
      </c>
      <c r="AF47" s="19"/>
      <c r="AG47" s="19"/>
      <c r="AH47" s="19"/>
      <c r="AI47" s="20" t="s">
        <v>627</v>
      </c>
      <c r="AJ47" s="20"/>
      <c r="AK47" s="20" t="s">
        <v>122</v>
      </c>
      <c r="AL47" s="20" t="s">
        <v>122</v>
      </c>
      <c r="AM47" s="20"/>
      <c r="AN47" s="20"/>
      <c r="AO47" s="19" t="s">
        <v>798</v>
      </c>
    </row>
    <row r="48" spans="1:41" ht="63.75" customHeight="1">
      <c r="A48" s="33"/>
      <c r="B48" s="26" t="s">
        <v>36</v>
      </c>
      <c r="C48" s="26" t="s">
        <v>14</v>
      </c>
      <c r="D48" s="20" t="s">
        <v>43</v>
      </c>
      <c r="E48" s="223">
        <v>39448</v>
      </c>
      <c r="F48" s="223" t="s">
        <v>813</v>
      </c>
      <c r="G48" s="20" t="s">
        <v>310</v>
      </c>
      <c r="H48" s="20"/>
      <c r="I48" s="19" t="s">
        <v>98</v>
      </c>
      <c r="J48" s="27">
        <v>3</v>
      </c>
      <c r="K48" s="27">
        <v>3</v>
      </c>
      <c r="L48" s="27">
        <v>3</v>
      </c>
      <c r="M48" s="27"/>
      <c r="N48" s="19" t="s">
        <v>208</v>
      </c>
      <c r="O48" s="19" t="s">
        <v>98</v>
      </c>
      <c r="P48" s="19" t="s">
        <v>636</v>
      </c>
      <c r="Q48" s="19" t="s">
        <v>90</v>
      </c>
      <c r="R48" s="19" t="s">
        <v>623</v>
      </c>
      <c r="S48" s="19"/>
      <c r="T48" s="289">
        <f t="shared" si="1"/>
        <v>466.37326080000003</v>
      </c>
      <c r="U48" s="28">
        <v>5020</v>
      </c>
      <c r="V48" s="28"/>
      <c r="W48" s="29">
        <v>1</v>
      </c>
      <c r="X48" s="28">
        <f>U48/10</f>
        <v>502</v>
      </c>
      <c r="Y48" s="28">
        <v>750</v>
      </c>
      <c r="Z48" s="21"/>
      <c r="AA48" s="28"/>
      <c r="AB48" s="30"/>
      <c r="AC48" s="108" t="s">
        <v>637</v>
      </c>
      <c r="AD48" s="85"/>
      <c r="AE48" s="19" t="s">
        <v>145</v>
      </c>
      <c r="AF48" s="19"/>
      <c r="AG48" s="19"/>
      <c r="AH48" s="19"/>
      <c r="AI48" s="20" t="s">
        <v>143</v>
      </c>
      <c r="AJ48" s="20"/>
      <c r="AK48" s="20"/>
      <c r="AL48" s="20"/>
      <c r="AM48" s="20"/>
      <c r="AN48" s="20"/>
      <c r="AO48" s="186"/>
    </row>
    <row r="49" spans="1:41" ht="25.5" customHeight="1">
      <c r="A49" s="33"/>
      <c r="B49" s="26" t="s">
        <v>36</v>
      </c>
      <c r="C49" s="26" t="s">
        <v>14</v>
      </c>
      <c r="D49" s="20" t="s">
        <v>43</v>
      </c>
      <c r="E49" s="222">
        <v>39753</v>
      </c>
      <c r="F49" s="222">
        <v>42094</v>
      </c>
      <c r="G49" s="20" t="s">
        <v>311</v>
      </c>
      <c r="H49" s="20"/>
      <c r="I49" s="19" t="s">
        <v>96</v>
      </c>
      <c r="J49" s="27">
        <v>2</v>
      </c>
      <c r="K49" s="27">
        <v>2</v>
      </c>
      <c r="L49" s="27">
        <v>2</v>
      </c>
      <c r="M49" s="27"/>
      <c r="N49" s="19" t="s">
        <v>628</v>
      </c>
      <c r="O49" s="19" t="s">
        <v>96</v>
      </c>
      <c r="P49" s="19" t="s">
        <v>624</v>
      </c>
      <c r="Q49" s="19" t="s">
        <v>97</v>
      </c>
      <c r="R49" s="19"/>
      <c r="S49" s="19"/>
      <c r="T49" s="289">
        <f t="shared" si="1"/>
        <v>24.990917760000002</v>
      </c>
      <c r="U49" s="28">
        <v>269</v>
      </c>
      <c r="V49" s="28"/>
      <c r="W49" s="29">
        <v>0.25</v>
      </c>
      <c r="X49" s="28">
        <f>U49/10</f>
        <v>26.9</v>
      </c>
      <c r="Y49" s="191" t="s">
        <v>621</v>
      </c>
      <c r="Z49" s="191" t="s">
        <v>621</v>
      </c>
      <c r="AA49" s="191" t="s">
        <v>621</v>
      </c>
      <c r="AB49" s="191" t="s">
        <v>621</v>
      </c>
      <c r="AC49" s="108" t="s">
        <v>625</v>
      </c>
      <c r="AD49" s="85"/>
      <c r="AE49" s="19" t="s">
        <v>207</v>
      </c>
      <c r="AF49" s="19"/>
      <c r="AG49" s="19"/>
      <c r="AH49" s="19"/>
      <c r="AI49" s="20" t="s">
        <v>629</v>
      </c>
      <c r="AJ49" s="20"/>
      <c r="AK49" s="20"/>
      <c r="AL49" s="20" t="s">
        <v>122</v>
      </c>
      <c r="AM49" s="20"/>
      <c r="AN49" s="20"/>
      <c r="AO49" s="186"/>
    </row>
    <row r="50" spans="1:41" ht="38.25" customHeight="1">
      <c r="B50" s="26" t="s">
        <v>36</v>
      </c>
      <c r="C50" s="26" t="s">
        <v>14</v>
      </c>
      <c r="D50" s="20" t="s">
        <v>9</v>
      </c>
      <c r="E50" s="222">
        <v>39539</v>
      </c>
      <c r="F50" s="223" t="s">
        <v>657</v>
      </c>
      <c r="G50" s="20" t="s">
        <v>312</v>
      </c>
      <c r="H50" s="20" t="s">
        <v>1116</v>
      </c>
      <c r="I50" s="19" t="s">
        <v>849</v>
      </c>
      <c r="J50" s="27">
        <v>2</v>
      </c>
      <c r="K50" s="27">
        <v>2</v>
      </c>
      <c r="L50" s="27">
        <v>2</v>
      </c>
      <c r="M50" s="27"/>
      <c r="N50" s="19" t="s">
        <v>172</v>
      </c>
      <c r="O50" s="19" t="s">
        <v>93</v>
      </c>
      <c r="P50" s="19"/>
      <c r="Q50" s="19" t="s">
        <v>94</v>
      </c>
      <c r="R50" s="19"/>
      <c r="S50" s="19"/>
      <c r="T50" s="289">
        <f t="shared" si="1"/>
        <v>2039.4075340800002</v>
      </c>
      <c r="U50" s="28">
        <v>21952</v>
      </c>
      <c r="V50" s="28">
        <v>26910</v>
      </c>
      <c r="W50" s="29" t="s">
        <v>643</v>
      </c>
      <c r="X50" s="28"/>
      <c r="Y50" s="28"/>
      <c r="Z50" s="21"/>
      <c r="AA50" s="28"/>
      <c r="AB50" s="30"/>
      <c r="AC50" s="108" t="s">
        <v>393</v>
      </c>
      <c r="AD50" s="85"/>
      <c r="AE50" s="20"/>
      <c r="AF50" s="20"/>
      <c r="AG50" s="20" t="s">
        <v>532</v>
      </c>
      <c r="AH50" s="19" t="s">
        <v>486</v>
      </c>
      <c r="AI50" s="20" t="s">
        <v>85</v>
      </c>
      <c r="AJ50" s="20"/>
      <c r="AK50" s="20"/>
      <c r="AL50" s="20" t="s">
        <v>122</v>
      </c>
      <c r="AM50" s="20"/>
      <c r="AN50" s="20"/>
      <c r="AO50" s="292" t="s">
        <v>789</v>
      </c>
    </row>
    <row r="51" spans="1:41" ht="38.25" customHeight="1">
      <c r="B51" s="26" t="s">
        <v>36</v>
      </c>
      <c r="C51" s="26" t="s">
        <v>14</v>
      </c>
      <c r="D51" s="20" t="s">
        <v>43</v>
      </c>
      <c r="E51" s="222" t="s">
        <v>1096</v>
      </c>
      <c r="F51" s="223"/>
      <c r="G51" s="20"/>
      <c r="H51" s="20"/>
      <c r="I51" s="203" t="s">
        <v>1094</v>
      </c>
      <c r="J51" s="27"/>
      <c r="K51" s="27"/>
      <c r="L51" s="27"/>
      <c r="M51" s="27"/>
      <c r="N51" s="19"/>
      <c r="O51" s="19" t="s">
        <v>93</v>
      </c>
      <c r="P51" s="19"/>
      <c r="Q51" s="19" t="s">
        <v>94</v>
      </c>
      <c r="R51" s="19"/>
      <c r="S51" s="19"/>
      <c r="T51" s="289"/>
      <c r="U51" s="28"/>
      <c r="V51" s="28"/>
      <c r="W51" s="29"/>
      <c r="X51" s="28"/>
      <c r="Y51" s="28"/>
      <c r="Z51" s="21"/>
      <c r="AA51" s="28"/>
      <c r="AB51" s="30"/>
      <c r="AC51" s="108"/>
      <c r="AD51" s="85"/>
      <c r="AE51" s="20"/>
      <c r="AF51" s="20"/>
      <c r="AG51" s="20"/>
      <c r="AH51" s="19"/>
      <c r="AI51" s="20"/>
      <c r="AJ51" s="20"/>
      <c r="AK51" s="20"/>
      <c r="AL51" s="20"/>
      <c r="AM51" s="20"/>
      <c r="AN51" s="20"/>
      <c r="AO51" s="292"/>
    </row>
    <row r="52" spans="1:41" ht="24">
      <c r="B52" s="26" t="s">
        <v>36</v>
      </c>
      <c r="C52" s="26" t="s">
        <v>14</v>
      </c>
      <c r="D52" s="20" t="s">
        <v>8</v>
      </c>
      <c r="E52" s="20"/>
      <c r="F52" s="20"/>
      <c r="G52" s="20" t="s">
        <v>313</v>
      </c>
      <c r="H52" s="20" t="s">
        <v>795</v>
      </c>
      <c r="I52" s="19" t="s">
        <v>111</v>
      </c>
      <c r="J52" s="27">
        <v>2</v>
      </c>
      <c r="K52" s="121">
        <v>2</v>
      </c>
      <c r="L52" s="27">
        <v>2</v>
      </c>
      <c r="M52" s="27"/>
      <c r="N52" s="19" t="s">
        <v>163</v>
      </c>
      <c r="O52" s="19" t="s">
        <v>1</v>
      </c>
      <c r="P52" s="19" t="s">
        <v>89</v>
      </c>
      <c r="Q52" s="19" t="s">
        <v>90</v>
      </c>
      <c r="R52" s="19" t="s">
        <v>314</v>
      </c>
      <c r="S52" s="19"/>
      <c r="T52" s="289">
        <f t="shared" si="1"/>
        <v>3389.0099961600004</v>
      </c>
      <c r="U52" s="28">
        <v>36479</v>
      </c>
      <c r="V52" s="28">
        <v>23573</v>
      </c>
      <c r="W52" s="29" t="s">
        <v>643</v>
      </c>
      <c r="X52" s="28"/>
      <c r="Y52" s="28"/>
      <c r="Z52" s="21"/>
      <c r="AA52" s="28"/>
      <c r="AB52" s="30"/>
      <c r="AC52" s="108" t="s">
        <v>389</v>
      </c>
      <c r="AD52" s="85"/>
      <c r="AE52" s="20"/>
      <c r="AF52" s="20"/>
      <c r="AG52" s="20" t="s">
        <v>534</v>
      </c>
      <c r="AH52" s="19" t="s">
        <v>490</v>
      </c>
      <c r="AI52" s="20" t="s">
        <v>85</v>
      </c>
      <c r="AJ52" s="20"/>
      <c r="AK52" s="20" t="s">
        <v>122</v>
      </c>
      <c r="AL52" s="20" t="s">
        <v>122</v>
      </c>
      <c r="AM52" s="20"/>
      <c r="AN52" s="20" t="s">
        <v>122</v>
      </c>
      <c r="AO52" s="385" t="s">
        <v>1091</v>
      </c>
    </row>
    <row r="53" spans="1:41" ht="49.5" customHeight="1">
      <c r="A53" s="32"/>
      <c r="B53" s="26" t="s">
        <v>36</v>
      </c>
      <c r="C53" s="26" t="s">
        <v>14</v>
      </c>
      <c r="D53" s="20" t="s">
        <v>8</v>
      </c>
      <c r="E53" s="20"/>
      <c r="F53" s="20"/>
      <c r="G53" s="20" t="s">
        <v>315</v>
      </c>
      <c r="H53" s="19" t="s">
        <v>1117</v>
      </c>
      <c r="I53" s="19" t="s">
        <v>793</v>
      </c>
      <c r="J53" s="27">
        <v>2</v>
      </c>
      <c r="K53" s="27">
        <v>2</v>
      </c>
      <c r="L53" s="27">
        <v>2</v>
      </c>
      <c r="M53" s="27"/>
      <c r="N53" s="19" t="s">
        <v>175</v>
      </c>
      <c r="O53" s="19" t="s">
        <v>92</v>
      </c>
      <c r="P53" s="19" t="s">
        <v>316</v>
      </c>
      <c r="Q53" s="19" t="s">
        <v>90</v>
      </c>
      <c r="R53" s="19"/>
      <c r="S53" s="19"/>
      <c r="T53" s="289">
        <f t="shared" si="1"/>
        <v>1048.0391942400001</v>
      </c>
      <c r="U53" s="28">
        <v>11281</v>
      </c>
      <c r="V53" s="28">
        <v>7879</v>
      </c>
      <c r="W53" s="29" t="s">
        <v>643</v>
      </c>
      <c r="X53" s="28"/>
      <c r="Y53" s="28"/>
      <c r="Z53" s="21"/>
      <c r="AA53" s="28"/>
      <c r="AB53" s="30"/>
      <c r="AC53" s="108" t="s">
        <v>373</v>
      </c>
      <c r="AD53" s="85"/>
      <c r="AE53" s="20"/>
      <c r="AF53" s="20"/>
      <c r="AG53" s="20" t="s">
        <v>533</v>
      </c>
      <c r="AH53" s="19" t="s">
        <v>478</v>
      </c>
      <c r="AI53" s="20" t="s">
        <v>794</v>
      </c>
      <c r="AJ53" s="20"/>
      <c r="AK53" s="20"/>
      <c r="AL53" s="20"/>
      <c r="AM53" s="20"/>
      <c r="AN53" s="20"/>
      <c r="AO53" s="186"/>
    </row>
    <row r="54" spans="1:41" ht="38.25" customHeight="1">
      <c r="B54" s="26" t="s">
        <v>36</v>
      </c>
      <c r="C54" s="26" t="s">
        <v>14</v>
      </c>
      <c r="D54" s="20" t="s">
        <v>8</v>
      </c>
      <c r="E54" s="20"/>
      <c r="F54" s="19" t="s">
        <v>786</v>
      </c>
      <c r="G54" s="20" t="s">
        <v>317</v>
      </c>
      <c r="H54" s="20" t="s">
        <v>597</v>
      </c>
      <c r="I54" s="19" t="s">
        <v>851</v>
      </c>
      <c r="J54" s="27">
        <v>2</v>
      </c>
      <c r="K54" s="27">
        <v>3</v>
      </c>
      <c r="L54" s="27">
        <v>2</v>
      </c>
      <c r="M54" s="27"/>
      <c r="N54" s="19" t="s">
        <v>162</v>
      </c>
      <c r="O54" s="19" t="s">
        <v>93</v>
      </c>
      <c r="P54" s="19"/>
      <c r="Q54" s="19" t="s">
        <v>94</v>
      </c>
      <c r="R54" s="19"/>
      <c r="S54" s="19"/>
      <c r="T54" s="289">
        <f t="shared" si="1"/>
        <v>3737.0247840000002</v>
      </c>
      <c r="U54" s="28">
        <v>40225</v>
      </c>
      <c r="V54" s="28">
        <v>16275</v>
      </c>
      <c r="W54" s="29" t="s">
        <v>643</v>
      </c>
      <c r="X54" s="28"/>
      <c r="Y54" s="28"/>
      <c r="Z54" s="21"/>
      <c r="AA54" s="28"/>
      <c r="AB54" s="30"/>
      <c r="AC54" s="108" t="s">
        <v>393</v>
      </c>
      <c r="AD54" s="85"/>
      <c r="AE54" s="20"/>
      <c r="AF54" s="20"/>
      <c r="AG54" s="20" t="s">
        <v>532</v>
      </c>
      <c r="AH54" s="20"/>
      <c r="AI54" s="20" t="s">
        <v>85</v>
      </c>
      <c r="AJ54" s="20"/>
      <c r="AK54" s="20" t="s">
        <v>122</v>
      </c>
      <c r="AL54" s="20" t="s">
        <v>122</v>
      </c>
      <c r="AM54" s="20"/>
      <c r="AN54" s="20"/>
      <c r="AO54" s="292" t="s">
        <v>789</v>
      </c>
    </row>
    <row r="55" spans="1:41" ht="25.5" customHeight="1">
      <c r="B55" s="26" t="s">
        <v>36</v>
      </c>
      <c r="C55" s="26" t="s">
        <v>14</v>
      </c>
      <c r="D55" s="20" t="s">
        <v>9</v>
      </c>
      <c r="E55" s="222">
        <v>39176</v>
      </c>
      <c r="F55" s="223">
        <v>42828</v>
      </c>
      <c r="G55" s="20" t="s">
        <v>318</v>
      </c>
      <c r="H55" s="20" t="s">
        <v>795</v>
      </c>
      <c r="I55" s="19" t="s">
        <v>1092</v>
      </c>
      <c r="J55" s="27">
        <v>3</v>
      </c>
      <c r="K55" s="27">
        <v>3</v>
      </c>
      <c r="L55" s="27">
        <v>3</v>
      </c>
      <c r="M55" s="27"/>
      <c r="N55" s="19" t="s">
        <v>319</v>
      </c>
      <c r="O55" s="19" t="s">
        <v>196</v>
      </c>
      <c r="P55" s="19" t="s">
        <v>89</v>
      </c>
      <c r="Q55" s="19" t="s">
        <v>90</v>
      </c>
      <c r="R55" s="19" t="s">
        <v>320</v>
      </c>
      <c r="S55" s="19"/>
      <c r="T55" s="289">
        <f t="shared" si="1"/>
        <v>1071.1720512000002</v>
      </c>
      <c r="U55" s="28">
        <v>11530</v>
      </c>
      <c r="V55" s="28">
        <v>10139</v>
      </c>
      <c r="W55" s="29" t="s">
        <v>643</v>
      </c>
      <c r="X55" s="28"/>
      <c r="Y55" s="28"/>
      <c r="Z55" s="21"/>
      <c r="AA55" s="28"/>
      <c r="AB55" s="30"/>
      <c r="AC55" s="108" t="s">
        <v>396</v>
      </c>
      <c r="AD55" s="85"/>
      <c r="AE55" s="20" t="s">
        <v>528</v>
      </c>
      <c r="AF55" s="20"/>
      <c r="AG55" s="20" t="s">
        <v>534</v>
      </c>
      <c r="AH55" s="19" t="s">
        <v>496</v>
      </c>
      <c r="AI55" s="20" t="s">
        <v>85</v>
      </c>
      <c r="AJ55" s="20"/>
      <c r="AK55" s="20"/>
      <c r="AL55" s="20" t="s">
        <v>122</v>
      </c>
      <c r="AM55" s="20"/>
      <c r="AN55" s="20"/>
      <c r="AO55" s="186"/>
    </row>
    <row r="56" spans="1:41" ht="38.25" customHeight="1">
      <c r="A56" s="32"/>
      <c r="B56" s="26" t="s">
        <v>36</v>
      </c>
      <c r="C56" s="26" t="s">
        <v>14</v>
      </c>
      <c r="D56" s="20" t="s">
        <v>43</v>
      </c>
      <c r="E56" s="222">
        <v>40278</v>
      </c>
      <c r="F56" s="222">
        <v>42004</v>
      </c>
      <c r="G56" s="20" t="s">
        <v>640</v>
      </c>
      <c r="H56" s="20"/>
      <c r="I56" s="19" t="s">
        <v>179</v>
      </c>
      <c r="J56" s="27">
        <v>3</v>
      </c>
      <c r="K56" s="27">
        <v>3</v>
      </c>
      <c r="L56" s="27">
        <v>3</v>
      </c>
      <c r="M56" s="27"/>
      <c r="N56" s="108" t="s">
        <v>614</v>
      </c>
      <c r="O56" s="19" t="s">
        <v>179</v>
      </c>
      <c r="P56" s="108" t="s">
        <v>179</v>
      </c>
      <c r="Q56" s="19" t="s">
        <v>180</v>
      </c>
      <c r="R56" s="19"/>
      <c r="S56" s="19"/>
      <c r="T56" s="289">
        <f t="shared" si="1"/>
        <v>10.962558720000001</v>
      </c>
      <c r="U56" s="28">
        <v>118</v>
      </c>
      <c r="V56" s="28"/>
      <c r="W56" s="29">
        <v>0.8</v>
      </c>
      <c r="X56" s="28">
        <v>10.9</v>
      </c>
      <c r="Y56" s="198" t="s">
        <v>612</v>
      </c>
      <c r="Z56" s="201" t="s">
        <v>615</v>
      </c>
      <c r="AA56" s="192" t="s">
        <v>612</v>
      </c>
      <c r="AB56" s="193" t="s">
        <v>616</v>
      </c>
      <c r="AC56" s="108" t="s">
        <v>610</v>
      </c>
      <c r="AD56" s="85"/>
      <c r="AE56" s="19" t="s">
        <v>146</v>
      </c>
      <c r="AF56" s="19"/>
      <c r="AG56" s="19"/>
      <c r="AH56" s="19"/>
      <c r="AI56" s="20" t="s">
        <v>85</v>
      </c>
      <c r="AJ56" s="20"/>
      <c r="AK56" s="20"/>
      <c r="AL56" s="20"/>
      <c r="AM56" s="20"/>
      <c r="AN56" s="20"/>
      <c r="AO56" s="186"/>
    </row>
    <row r="57" spans="1:41" ht="41.25" customHeight="1">
      <c r="B57" s="187" t="s">
        <v>36</v>
      </c>
      <c r="C57" s="188" t="s">
        <v>14</v>
      </c>
      <c r="D57" s="197" t="s">
        <v>43</v>
      </c>
      <c r="E57" s="222">
        <v>38898</v>
      </c>
      <c r="F57" s="222">
        <v>41425</v>
      </c>
      <c r="G57" s="189" t="s">
        <v>641</v>
      </c>
      <c r="H57" s="186"/>
      <c r="I57" s="19" t="s">
        <v>179</v>
      </c>
      <c r="J57" s="27" t="s">
        <v>608</v>
      </c>
      <c r="K57" s="186"/>
      <c r="L57" s="186"/>
      <c r="M57" s="186"/>
      <c r="N57" s="108" t="s">
        <v>607</v>
      </c>
      <c r="O57" s="108" t="s">
        <v>179</v>
      </c>
      <c r="P57" s="108" t="s">
        <v>179</v>
      </c>
      <c r="Q57" s="108" t="s">
        <v>180</v>
      </c>
      <c r="R57" s="186"/>
      <c r="S57" s="186"/>
      <c r="T57" s="289">
        <f t="shared" si="1"/>
        <v>22.018020480000001</v>
      </c>
      <c r="U57" s="28">
        <v>237</v>
      </c>
      <c r="V57" s="28"/>
      <c r="W57" s="190">
        <v>0.85</v>
      </c>
      <c r="X57" s="28">
        <v>22</v>
      </c>
      <c r="Y57" s="198" t="s">
        <v>612</v>
      </c>
      <c r="Z57" s="201" t="s">
        <v>613</v>
      </c>
      <c r="AA57" s="199" t="s">
        <v>612</v>
      </c>
      <c r="AB57" s="200">
        <v>1.5</v>
      </c>
      <c r="AC57" s="108" t="s">
        <v>610</v>
      </c>
      <c r="AD57" s="186"/>
      <c r="AE57" s="108" t="s">
        <v>146</v>
      </c>
      <c r="AF57" s="194"/>
      <c r="AG57" s="194"/>
      <c r="AH57" s="194"/>
      <c r="AI57" s="108" t="s">
        <v>609</v>
      </c>
      <c r="AJ57" s="108"/>
      <c r="AK57" s="108"/>
      <c r="AL57" s="20"/>
      <c r="AM57" s="20"/>
      <c r="AN57" s="20"/>
      <c r="AO57" s="186"/>
    </row>
    <row r="58" spans="1:41" ht="57.75" customHeight="1">
      <c r="B58" s="390"/>
      <c r="C58" s="250"/>
      <c r="D58" s="197"/>
      <c r="E58" s="222"/>
      <c r="F58" s="222"/>
      <c r="G58" s="189"/>
      <c r="H58" s="186"/>
      <c r="I58" s="203" t="s">
        <v>1098</v>
      </c>
      <c r="J58" s="27"/>
      <c r="K58" s="186"/>
      <c r="L58" s="186"/>
      <c r="M58" s="186"/>
      <c r="N58" s="108" t="s">
        <v>1099</v>
      </c>
      <c r="O58" s="108"/>
      <c r="P58" s="108"/>
      <c r="Q58" s="108" t="s">
        <v>1097</v>
      </c>
      <c r="R58" s="186"/>
      <c r="S58" s="186"/>
      <c r="T58" s="289"/>
      <c r="U58" s="28"/>
      <c r="V58" s="28"/>
      <c r="W58" s="190"/>
      <c r="X58" s="28"/>
      <c r="Y58" s="198"/>
      <c r="Z58" s="201"/>
      <c r="AA58" s="199"/>
      <c r="AB58" s="200"/>
      <c r="AC58" s="108"/>
      <c r="AD58" s="186"/>
      <c r="AE58" s="108"/>
      <c r="AF58" s="194"/>
      <c r="AG58" s="194"/>
      <c r="AH58" s="194"/>
      <c r="AI58" s="108"/>
      <c r="AJ58" s="108"/>
      <c r="AK58" s="108"/>
      <c r="AL58" s="20"/>
      <c r="AM58" s="20"/>
      <c r="AN58" s="20"/>
      <c r="AO58" s="186"/>
    </row>
    <row r="59" spans="1:41" ht="38.25" customHeight="1">
      <c r="B59" s="26" t="s">
        <v>36</v>
      </c>
      <c r="C59" s="26" t="s">
        <v>14</v>
      </c>
      <c r="D59" s="20" t="s">
        <v>43</v>
      </c>
      <c r="E59" s="222">
        <v>39904</v>
      </c>
      <c r="F59" s="222">
        <v>41730</v>
      </c>
      <c r="G59" s="20" t="s">
        <v>321</v>
      </c>
      <c r="H59" s="20" t="s">
        <v>808</v>
      </c>
      <c r="I59" s="19" t="s">
        <v>807</v>
      </c>
      <c r="J59" s="27">
        <v>3</v>
      </c>
      <c r="K59" s="27">
        <v>3</v>
      </c>
      <c r="L59" s="27">
        <v>3</v>
      </c>
      <c r="M59" s="27"/>
      <c r="N59" s="19" t="s">
        <v>631</v>
      </c>
      <c r="O59" s="19" t="s">
        <v>99</v>
      </c>
      <c r="P59" s="19"/>
      <c r="Q59" s="19" t="s">
        <v>100</v>
      </c>
      <c r="R59" s="19"/>
      <c r="S59" s="19"/>
      <c r="T59" s="289">
        <f t="shared" si="1"/>
        <v>99.963671040000008</v>
      </c>
      <c r="U59" s="28">
        <v>1076</v>
      </c>
      <c r="V59" s="28"/>
      <c r="W59" s="195">
        <v>0.6</v>
      </c>
      <c r="X59" s="28">
        <f>U59/10</f>
        <v>107.6</v>
      </c>
      <c r="Y59" s="196" t="s">
        <v>621</v>
      </c>
      <c r="Z59" s="196" t="s">
        <v>621</v>
      </c>
      <c r="AA59" s="196" t="s">
        <v>633</v>
      </c>
      <c r="AB59" s="196" t="s">
        <v>621</v>
      </c>
      <c r="AC59" s="197" t="s">
        <v>632</v>
      </c>
      <c r="AD59" s="85"/>
      <c r="AE59" s="19" t="s">
        <v>210</v>
      </c>
      <c r="AF59" s="19"/>
      <c r="AG59" s="19"/>
      <c r="AH59" s="19"/>
      <c r="AI59" s="20" t="s">
        <v>85</v>
      </c>
      <c r="AJ59" s="20"/>
      <c r="AK59" s="20"/>
      <c r="AL59" s="20"/>
      <c r="AM59" s="20"/>
      <c r="AN59" s="20"/>
      <c r="AO59" s="186"/>
    </row>
    <row r="60" spans="1:41" ht="38.25" customHeight="1">
      <c r="A60" s="32"/>
      <c r="B60" s="26" t="s">
        <v>36</v>
      </c>
      <c r="C60" s="26" t="s">
        <v>14</v>
      </c>
      <c r="D60" s="20" t="s">
        <v>43</v>
      </c>
      <c r="E60" s="222">
        <v>39539</v>
      </c>
      <c r="F60" s="222">
        <v>42461</v>
      </c>
      <c r="G60" s="20" t="s">
        <v>322</v>
      </c>
      <c r="H60" s="20" t="s">
        <v>809</v>
      </c>
      <c r="I60" s="19" t="s">
        <v>806</v>
      </c>
      <c r="J60" s="27">
        <v>4</v>
      </c>
      <c r="K60" s="27">
        <v>4</v>
      </c>
      <c r="L60" s="27">
        <v>4</v>
      </c>
      <c r="M60" s="27"/>
      <c r="N60" s="19" t="s">
        <v>634</v>
      </c>
      <c r="O60" s="19" t="s">
        <v>99</v>
      </c>
      <c r="P60" s="19"/>
      <c r="Q60" s="19" t="s">
        <v>100</v>
      </c>
      <c r="R60" s="19"/>
      <c r="S60" s="19"/>
      <c r="T60" s="289">
        <f t="shared" si="1"/>
        <v>99.963671040000008</v>
      </c>
      <c r="U60" s="28">
        <v>1076</v>
      </c>
      <c r="V60" s="28"/>
      <c r="W60" s="195">
        <v>0.7</v>
      </c>
      <c r="X60" s="28">
        <f>U60/10</f>
        <v>107.6</v>
      </c>
      <c r="Y60" s="196" t="s">
        <v>621</v>
      </c>
      <c r="Z60" s="196" t="s">
        <v>621</v>
      </c>
      <c r="AA60" s="196" t="s">
        <v>635</v>
      </c>
      <c r="AB60" s="196" t="s">
        <v>621</v>
      </c>
      <c r="AC60" s="197" t="s">
        <v>632</v>
      </c>
      <c r="AD60" s="85"/>
      <c r="AE60" s="19" t="s">
        <v>209</v>
      </c>
      <c r="AF60" s="19"/>
      <c r="AG60" s="19"/>
      <c r="AH60" s="19"/>
      <c r="AI60" s="20" t="s">
        <v>85</v>
      </c>
      <c r="AJ60" s="20"/>
      <c r="AK60" s="20"/>
      <c r="AL60" s="20" t="s">
        <v>122</v>
      </c>
      <c r="AM60" s="20"/>
      <c r="AN60" s="20"/>
      <c r="AO60" s="292" t="s">
        <v>797</v>
      </c>
    </row>
    <row r="61" spans="1:41" ht="25.5" customHeight="1">
      <c r="A61" s="32"/>
      <c r="B61" s="26" t="s">
        <v>36</v>
      </c>
      <c r="C61" s="26" t="s">
        <v>14</v>
      </c>
      <c r="D61" s="20" t="s">
        <v>8</v>
      </c>
      <c r="E61" s="20"/>
      <c r="F61" s="20"/>
      <c r="G61" s="20" t="s">
        <v>323</v>
      </c>
      <c r="H61" s="20" t="s">
        <v>1095</v>
      </c>
      <c r="I61" s="19" t="s">
        <v>112</v>
      </c>
      <c r="J61" s="27">
        <v>2</v>
      </c>
      <c r="K61" s="27">
        <v>2</v>
      </c>
      <c r="L61" s="27">
        <v>2</v>
      </c>
      <c r="M61" s="27"/>
      <c r="N61" s="19" t="s">
        <v>324</v>
      </c>
      <c r="O61" s="19" t="s">
        <v>2</v>
      </c>
      <c r="P61" s="19" t="s">
        <v>89</v>
      </c>
      <c r="Q61" s="19" t="s">
        <v>90</v>
      </c>
      <c r="R61" s="19" t="s">
        <v>325</v>
      </c>
      <c r="S61" s="19"/>
      <c r="T61" s="289">
        <f t="shared" si="1"/>
        <v>1622.9232057600002</v>
      </c>
      <c r="U61" s="28">
        <v>17469</v>
      </c>
      <c r="V61" s="28">
        <v>7966</v>
      </c>
      <c r="W61" s="29">
        <v>0.85</v>
      </c>
      <c r="X61" s="28">
        <v>1264</v>
      </c>
      <c r="Y61" s="28">
        <v>677</v>
      </c>
      <c r="Z61" s="21">
        <f t="shared" ref="Z61:Z66" si="2">Y61/X61</f>
        <v>0.53560126582278478</v>
      </c>
      <c r="AA61" s="28">
        <v>1431</v>
      </c>
      <c r="AB61" s="30">
        <f>ROUND(IF(Y61&lt;=0, "",AA61/Y61),2)</f>
        <v>2.11</v>
      </c>
      <c r="AC61" s="108" t="s">
        <v>399</v>
      </c>
      <c r="AD61" s="85"/>
      <c r="AE61" s="20"/>
      <c r="AF61" s="20"/>
      <c r="AG61" s="20" t="s">
        <v>534</v>
      </c>
      <c r="AH61" s="19" t="s">
        <v>500</v>
      </c>
      <c r="AI61" s="20" t="s">
        <v>85</v>
      </c>
      <c r="AJ61" s="20"/>
      <c r="AK61" s="20"/>
      <c r="AL61" s="20" t="s">
        <v>122</v>
      </c>
      <c r="AM61" s="20"/>
      <c r="AN61" s="20" t="s">
        <v>122</v>
      </c>
      <c r="AO61" s="385" t="s">
        <v>1091</v>
      </c>
    </row>
    <row r="62" spans="1:41" ht="38.25" customHeight="1">
      <c r="B62" s="86" t="s">
        <v>38</v>
      </c>
      <c r="C62" s="87" t="s">
        <v>54</v>
      </c>
      <c r="D62" s="48" t="s">
        <v>9</v>
      </c>
      <c r="E62" s="225">
        <v>39600</v>
      </c>
      <c r="F62" s="225">
        <v>43250</v>
      </c>
      <c r="G62" s="48" t="s">
        <v>326</v>
      </c>
      <c r="H62" s="48" t="s">
        <v>597</v>
      </c>
      <c r="I62" s="49" t="s">
        <v>327</v>
      </c>
      <c r="J62" s="50">
        <v>3</v>
      </c>
      <c r="K62" s="50">
        <v>3</v>
      </c>
      <c r="L62" s="50">
        <v>3</v>
      </c>
      <c r="M62" s="50"/>
      <c r="N62" s="49" t="s">
        <v>224</v>
      </c>
      <c r="O62" s="49" t="s">
        <v>123</v>
      </c>
      <c r="P62" s="49" t="s">
        <v>124</v>
      </c>
      <c r="Q62" s="49" t="s">
        <v>81</v>
      </c>
      <c r="R62" s="49"/>
      <c r="S62" s="49"/>
      <c r="T62" s="290">
        <f t="shared" si="1"/>
        <v>938.04199488000006</v>
      </c>
      <c r="U62" s="53">
        <v>10097</v>
      </c>
      <c r="V62" s="53"/>
      <c r="W62" s="54">
        <v>0.86</v>
      </c>
      <c r="X62" s="53">
        <v>1350</v>
      </c>
      <c r="Y62" s="53">
        <v>321</v>
      </c>
      <c r="Z62" s="51">
        <f t="shared" si="2"/>
        <v>0.23777777777777778</v>
      </c>
      <c r="AA62" s="53">
        <v>779</v>
      </c>
      <c r="AB62" s="52">
        <f>IF(Y62&lt;=0, "",AA62/Y62)</f>
        <v>2.4267912772585669</v>
      </c>
      <c r="AC62" s="109" t="s">
        <v>402</v>
      </c>
      <c r="AD62" s="88"/>
      <c r="AE62" s="48"/>
      <c r="AF62" s="48"/>
      <c r="AG62" s="109" t="s">
        <v>413</v>
      </c>
      <c r="AH62" s="49" t="s">
        <v>504</v>
      </c>
      <c r="AI62" s="307" t="s">
        <v>828</v>
      </c>
      <c r="AJ62" s="307"/>
      <c r="AK62" s="48"/>
      <c r="AL62" s="48"/>
      <c r="AM62" s="48"/>
      <c r="AN62" s="48"/>
      <c r="AO62" s="48"/>
    </row>
    <row r="63" spans="1:41" ht="38.25" customHeight="1">
      <c r="B63" s="86" t="s">
        <v>38</v>
      </c>
      <c r="C63" s="87" t="s">
        <v>54</v>
      </c>
      <c r="D63" s="48" t="s">
        <v>9</v>
      </c>
      <c r="E63" s="225">
        <v>36708</v>
      </c>
      <c r="F63" s="225">
        <v>42185</v>
      </c>
      <c r="G63" s="48" t="s">
        <v>328</v>
      </c>
      <c r="H63" s="48"/>
      <c r="I63" s="48" t="s">
        <v>738</v>
      </c>
      <c r="J63" s="50">
        <v>2</v>
      </c>
      <c r="K63" s="50">
        <v>2</v>
      </c>
      <c r="L63" s="50">
        <v>2</v>
      </c>
      <c r="M63" s="50"/>
      <c r="N63" s="49" t="s">
        <v>222</v>
      </c>
      <c r="O63" s="48" t="s">
        <v>221</v>
      </c>
      <c r="P63" s="48" t="s">
        <v>118</v>
      </c>
      <c r="Q63" s="49" t="s">
        <v>81</v>
      </c>
      <c r="R63" s="49"/>
      <c r="S63" s="49"/>
      <c r="T63" s="290">
        <f t="shared" si="1"/>
        <v>564.85048319999999</v>
      </c>
      <c r="U63" s="53">
        <v>6080</v>
      </c>
      <c r="V63" s="53"/>
      <c r="W63" s="54">
        <v>0.85</v>
      </c>
      <c r="X63" s="53">
        <v>900</v>
      </c>
      <c r="Y63" s="53">
        <v>145</v>
      </c>
      <c r="Z63" s="51">
        <f t="shared" si="2"/>
        <v>0.16111111111111112</v>
      </c>
      <c r="AA63" s="53">
        <v>335</v>
      </c>
      <c r="AB63" s="52">
        <f>IF(Y63&lt;=0, "",AA63/Y63)</f>
        <v>2.3103448275862069</v>
      </c>
      <c r="AC63" s="109" t="s">
        <v>405</v>
      </c>
      <c r="AD63" s="88"/>
      <c r="AE63" s="48"/>
      <c r="AF63" s="48"/>
      <c r="AG63" s="109" t="s">
        <v>757</v>
      </c>
      <c r="AH63" s="48"/>
      <c r="AI63" s="49" t="s">
        <v>829</v>
      </c>
      <c r="AJ63" s="49"/>
      <c r="AK63" s="48"/>
      <c r="AL63" s="48"/>
      <c r="AM63" s="48"/>
      <c r="AN63" s="48"/>
      <c r="AO63" s="48"/>
    </row>
    <row r="64" spans="1:41" ht="12.75" customHeight="1">
      <c r="B64" s="86" t="s">
        <v>38</v>
      </c>
      <c r="C64" s="87" t="s">
        <v>54</v>
      </c>
      <c r="D64" s="48" t="s">
        <v>9</v>
      </c>
      <c r="E64" s="226">
        <v>38869</v>
      </c>
      <c r="F64" s="226">
        <v>42369</v>
      </c>
      <c r="G64" s="48" t="s">
        <v>329</v>
      </c>
      <c r="H64" s="48" t="s">
        <v>842</v>
      </c>
      <c r="I64" s="48" t="s">
        <v>827</v>
      </c>
      <c r="J64" s="50">
        <v>1</v>
      </c>
      <c r="K64" s="50">
        <v>1</v>
      </c>
      <c r="L64" s="50">
        <v>1</v>
      </c>
      <c r="M64" s="50"/>
      <c r="N64" s="48" t="s">
        <v>164</v>
      </c>
      <c r="O64" s="48" t="s">
        <v>5</v>
      </c>
      <c r="P64" s="48" t="s">
        <v>73</v>
      </c>
      <c r="Q64" s="49" t="s">
        <v>81</v>
      </c>
      <c r="R64" s="49"/>
      <c r="S64" s="49"/>
      <c r="T64" s="290">
        <f t="shared" si="1"/>
        <v>120.77395200000001</v>
      </c>
      <c r="U64" s="53">
        <v>1300</v>
      </c>
      <c r="V64" s="53"/>
      <c r="W64" s="54">
        <v>0.85</v>
      </c>
      <c r="X64" s="53">
        <v>720</v>
      </c>
      <c r="Y64" s="53"/>
      <c r="Z64" s="51">
        <f t="shared" si="2"/>
        <v>0</v>
      </c>
      <c r="AA64" s="53"/>
      <c r="AB64" s="52" t="str">
        <f>IF(Y64&lt;=0, "",AA64/Y64)</f>
        <v/>
      </c>
      <c r="AC64" s="109"/>
      <c r="AD64" s="88"/>
      <c r="AE64" s="48"/>
      <c r="AF64" s="48"/>
      <c r="AG64" s="109" t="s">
        <v>413</v>
      </c>
      <c r="AH64" s="49" t="s">
        <v>508</v>
      </c>
      <c r="AI64" s="48" t="s">
        <v>85</v>
      </c>
      <c r="AJ64" s="48"/>
      <c r="AK64" s="48"/>
      <c r="AL64" s="48"/>
      <c r="AM64" s="48"/>
      <c r="AN64" s="48"/>
      <c r="AO64" s="48"/>
    </row>
    <row r="65" spans="1:41" ht="25.5" customHeight="1">
      <c r="B65" s="86" t="s">
        <v>38</v>
      </c>
      <c r="C65" s="87" t="s">
        <v>54</v>
      </c>
      <c r="D65" s="48" t="s">
        <v>9</v>
      </c>
      <c r="E65" s="225">
        <v>36708</v>
      </c>
      <c r="F65" s="225">
        <v>41639</v>
      </c>
      <c r="G65" s="48" t="s">
        <v>330</v>
      </c>
      <c r="H65" s="48"/>
      <c r="I65" s="49" t="s">
        <v>737</v>
      </c>
      <c r="J65" s="50">
        <v>1</v>
      </c>
      <c r="K65" s="50">
        <v>1</v>
      </c>
      <c r="L65" s="50">
        <v>1</v>
      </c>
      <c r="M65" s="50"/>
      <c r="N65" s="49" t="s">
        <v>188</v>
      </c>
      <c r="O65" s="49" t="s">
        <v>44</v>
      </c>
      <c r="P65" s="49" t="s">
        <v>220</v>
      </c>
      <c r="Q65" s="49" t="s">
        <v>81</v>
      </c>
      <c r="R65" s="49"/>
      <c r="S65" s="49"/>
      <c r="T65" s="290">
        <f t="shared" si="1"/>
        <v>966.19161600000007</v>
      </c>
      <c r="U65" s="53">
        <v>10400</v>
      </c>
      <c r="V65" s="53"/>
      <c r="W65" s="54">
        <v>0.8</v>
      </c>
      <c r="X65" s="53">
        <v>308</v>
      </c>
      <c r="Y65" s="53">
        <v>156</v>
      </c>
      <c r="Z65" s="51">
        <f t="shared" si="2"/>
        <v>0.50649350649350644</v>
      </c>
      <c r="AA65" s="53"/>
      <c r="AB65" s="52">
        <f>IF(Y65&lt;=0, "",AA65/Y65)</f>
        <v>0</v>
      </c>
      <c r="AC65" s="109" t="s">
        <v>419</v>
      </c>
      <c r="AD65" s="88"/>
      <c r="AE65" s="48"/>
      <c r="AF65" s="48"/>
      <c r="AG65" s="109" t="s">
        <v>413</v>
      </c>
      <c r="AH65" s="48"/>
      <c r="AI65" s="48" t="s">
        <v>84</v>
      </c>
      <c r="AJ65" s="48"/>
      <c r="AK65" s="48"/>
      <c r="AL65" s="48"/>
      <c r="AM65" s="48"/>
      <c r="AN65" s="48"/>
      <c r="AO65" s="48"/>
    </row>
    <row r="66" spans="1:41" ht="12.75" customHeight="1">
      <c r="B66" s="86" t="s">
        <v>38</v>
      </c>
      <c r="C66" s="87" t="s">
        <v>54</v>
      </c>
      <c r="D66" s="48" t="s">
        <v>43</v>
      </c>
      <c r="E66" s="227">
        <v>39588</v>
      </c>
      <c r="F66" s="291">
        <v>41639</v>
      </c>
      <c r="G66" s="48" t="s">
        <v>331</v>
      </c>
      <c r="H66" s="48"/>
      <c r="I66" s="49" t="s">
        <v>670</v>
      </c>
      <c r="J66" s="50">
        <v>3</v>
      </c>
      <c r="K66" s="50">
        <v>3</v>
      </c>
      <c r="L66" s="50">
        <v>3</v>
      </c>
      <c r="M66" s="50"/>
      <c r="N66" s="49" t="s">
        <v>225</v>
      </c>
      <c r="O66" s="49" t="s">
        <v>223</v>
      </c>
      <c r="P66" s="49" t="s">
        <v>73</v>
      </c>
      <c r="Q66" s="49" t="s">
        <v>81</v>
      </c>
      <c r="R66" s="49"/>
      <c r="S66" s="49"/>
      <c r="T66" s="290">
        <f t="shared" si="1"/>
        <v>139.35456000000002</v>
      </c>
      <c r="U66" s="53">
        <v>1500</v>
      </c>
      <c r="V66" s="53"/>
      <c r="W66" s="55">
        <v>0.5</v>
      </c>
      <c r="X66" s="53">
        <v>480</v>
      </c>
      <c r="Y66" s="53"/>
      <c r="Z66" s="51">
        <f t="shared" si="2"/>
        <v>0</v>
      </c>
      <c r="AA66" s="53"/>
      <c r="AB66" s="52" t="str">
        <f>IF(Y66&lt;=0, "",AA66/Y66)</f>
        <v/>
      </c>
      <c r="AC66" s="109"/>
      <c r="AD66" s="88"/>
      <c r="AE66" s="49" t="s">
        <v>128</v>
      </c>
      <c r="AF66" s="49"/>
      <c r="AG66" s="109" t="s">
        <v>413</v>
      </c>
      <c r="AH66" s="49" t="s">
        <v>513</v>
      </c>
      <c r="AI66" s="48" t="s">
        <v>85</v>
      </c>
      <c r="AJ66" s="48"/>
      <c r="AK66" s="48"/>
      <c r="AL66" s="48"/>
      <c r="AM66" s="48"/>
      <c r="AN66" s="48"/>
      <c r="AO66" s="48"/>
    </row>
    <row r="67" spans="1:41" ht="12.75" customHeight="1">
      <c r="B67" s="86" t="s">
        <v>38</v>
      </c>
      <c r="C67" s="87" t="s">
        <v>54</v>
      </c>
      <c r="D67" s="48" t="s">
        <v>8</v>
      </c>
      <c r="E67" s="227" t="s">
        <v>1096</v>
      </c>
      <c r="F67" s="291"/>
      <c r="G67" s="48" t="s">
        <v>1121</v>
      </c>
      <c r="H67" s="48"/>
      <c r="I67" s="203" t="s">
        <v>1119</v>
      </c>
      <c r="J67" s="50"/>
      <c r="K67" s="50"/>
      <c r="L67" s="50"/>
      <c r="M67" s="50"/>
      <c r="N67" s="49"/>
      <c r="O67" s="49"/>
      <c r="P67" s="49"/>
      <c r="Q67" s="49"/>
      <c r="R67" s="49"/>
      <c r="S67" s="49"/>
      <c r="T67" s="290"/>
      <c r="U67" s="53"/>
      <c r="V67" s="53"/>
      <c r="W67" s="55"/>
      <c r="X67" s="53"/>
      <c r="Y67" s="53"/>
      <c r="Z67" s="51"/>
      <c r="AA67" s="53"/>
      <c r="AB67" s="52"/>
      <c r="AC67" s="109"/>
      <c r="AD67" s="88"/>
      <c r="AE67" s="49"/>
      <c r="AF67" s="49"/>
      <c r="AG67" s="109" t="s">
        <v>413</v>
      </c>
      <c r="AH67" s="49"/>
      <c r="AI67" s="48"/>
      <c r="AJ67" s="48"/>
      <c r="AK67" s="48"/>
      <c r="AL67" s="48"/>
      <c r="AM67" s="48"/>
      <c r="AN67" s="48"/>
      <c r="AO67" s="48"/>
    </row>
    <row r="68" spans="1:41" ht="12.75" customHeight="1">
      <c r="B68" s="86" t="s">
        <v>38</v>
      </c>
      <c r="C68" s="87" t="s">
        <v>54</v>
      </c>
      <c r="D68" s="48" t="s">
        <v>8</v>
      </c>
      <c r="E68" s="227" t="s">
        <v>1096</v>
      </c>
      <c r="F68" s="291"/>
      <c r="G68" s="48" t="s">
        <v>1122</v>
      </c>
      <c r="H68" s="48"/>
      <c r="I68" s="203" t="s">
        <v>1120</v>
      </c>
      <c r="J68" s="50"/>
      <c r="K68" s="50"/>
      <c r="L68" s="50"/>
      <c r="M68" s="50"/>
      <c r="N68" s="49"/>
      <c r="O68" s="49"/>
      <c r="P68" s="49"/>
      <c r="Q68" s="49"/>
      <c r="R68" s="49"/>
      <c r="S68" s="49"/>
      <c r="T68" s="290"/>
      <c r="U68" s="53"/>
      <c r="V68" s="53"/>
      <c r="W68" s="55"/>
      <c r="X68" s="53"/>
      <c r="Y68" s="53"/>
      <c r="Z68" s="51"/>
      <c r="AA68" s="53"/>
      <c r="AB68" s="52"/>
      <c r="AC68" s="109"/>
      <c r="AD68" s="88"/>
      <c r="AE68" s="49"/>
      <c r="AF68" s="49"/>
      <c r="AG68" s="109" t="s">
        <v>413</v>
      </c>
      <c r="AH68" s="49"/>
      <c r="AI68" s="48"/>
      <c r="AJ68" s="48"/>
      <c r="AK68" s="48"/>
      <c r="AL68" s="48"/>
      <c r="AM68" s="48"/>
      <c r="AN68" s="48"/>
      <c r="AO68" s="48"/>
    </row>
    <row r="69" spans="1:41" ht="33" customHeight="1">
      <c r="B69" s="31" t="s">
        <v>36</v>
      </c>
      <c r="C69" s="31" t="s">
        <v>47</v>
      </c>
      <c r="D69" s="89" t="s">
        <v>43</v>
      </c>
      <c r="E69" s="206">
        <v>40354</v>
      </c>
      <c r="F69" s="206">
        <v>44007</v>
      </c>
      <c r="G69" s="89" t="s">
        <v>332</v>
      </c>
      <c r="H69" s="90" t="s">
        <v>597</v>
      </c>
      <c r="I69" s="90" t="s">
        <v>766</v>
      </c>
      <c r="J69" s="91">
        <v>3</v>
      </c>
      <c r="K69" s="91">
        <v>3</v>
      </c>
      <c r="L69" s="91">
        <v>3</v>
      </c>
      <c r="M69" s="91"/>
      <c r="N69" s="90" t="s">
        <v>333</v>
      </c>
      <c r="O69" s="90" t="s">
        <v>750</v>
      </c>
      <c r="P69" s="90" t="s">
        <v>751</v>
      </c>
      <c r="Q69" s="90" t="s">
        <v>107</v>
      </c>
      <c r="R69" s="90" t="s">
        <v>752</v>
      </c>
      <c r="S69" s="90"/>
      <c r="T69" s="287">
        <f t="shared" si="1"/>
        <v>77.945650560000004</v>
      </c>
      <c r="U69" s="92">
        <v>839</v>
      </c>
      <c r="V69" s="92"/>
      <c r="W69" s="265">
        <v>0.3</v>
      </c>
      <c r="X69" s="92">
        <v>162</v>
      </c>
      <c r="Y69" s="92"/>
      <c r="Z69" s="93"/>
      <c r="AA69" s="92"/>
      <c r="AB69" s="94"/>
      <c r="AC69" s="110" t="s">
        <v>667</v>
      </c>
      <c r="AD69" s="95"/>
      <c r="AE69" s="90" t="s">
        <v>142</v>
      </c>
      <c r="AF69" s="90"/>
      <c r="AG69" s="90"/>
      <c r="AH69" s="90"/>
      <c r="AI69" s="89" t="s">
        <v>747</v>
      </c>
      <c r="AJ69" s="89"/>
      <c r="AK69" s="89"/>
      <c r="AL69" s="89" t="s">
        <v>122</v>
      </c>
      <c r="AM69" s="89" t="s">
        <v>122</v>
      </c>
      <c r="AN69" s="89"/>
      <c r="AO69" s="89"/>
    </row>
    <row r="70" spans="1:41" ht="25.5" customHeight="1">
      <c r="B70" s="255" t="s">
        <v>36</v>
      </c>
      <c r="C70" s="255" t="s">
        <v>47</v>
      </c>
      <c r="D70" s="89" t="s">
        <v>43</v>
      </c>
      <c r="E70" s="206">
        <v>41348</v>
      </c>
      <c r="F70" s="206">
        <v>43174</v>
      </c>
      <c r="G70" s="89" t="s">
        <v>745</v>
      </c>
      <c r="H70" s="90" t="s">
        <v>597</v>
      </c>
      <c r="I70" s="90" t="s">
        <v>744</v>
      </c>
      <c r="J70" s="91">
        <v>3</v>
      </c>
      <c r="K70" s="91">
        <v>3</v>
      </c>
      <c r="L70" s="91">
        <v>3</v>
      </c>
      <c r="M70" s="91"/>
      <c r="N70" s="90" t="s">
        <v>754</v>
      </c>
      <c r="O70" s="90" t="s">
        <v>749</v>
      </c>
      <c r="P70" s="90" t="s">
        <v>751</v>
      </c>
      <c r="Q70" s="90" t="s">
        <v>107</v>
      </c>
      <c r="R70" s="90" t="s">
        <v>753</v>
      </c>
      <c r="S70" s="90"/>
      <c r="T70" s="287">
        <v>240</v>
      </c>
      <c r="U70" s="92">
        <v>500</v>
      </c>
      <c r="V70" s="92"/>
      <c r="W70" s="265">
        <v>0.1</v>
      </c>
      <c r="X70" s="92">
        <v>1200</v>
      </c>
      <c r="Y70" s="92"/>
      <c r="Z70" s="93"/>
      <c r="AA70" s="92"/>
      <c r="AB70" s="94"/>
      <c r="AC70" s="110" t="s">
        <v>667</v>
      </c>
      <c r="AD70" s="95"/>
      <c r="AE70" s="90" t="s">
        <v>746</v>
      </c>
      <c r="AF70" s="90" t="s">
        <v>755</v>
      </c>
      <c r="AG70" s="90"/>
      <c r="AH70" s="90"/>
      <c r="AI70" s="89" t="s">
        <v>748</v>
      </c>
      <c r="AJ70" s="89"/>
      <c r="AK70" s="89"/>
      <c r="AL70" s="89" t="s">
        <v>122</v>
      </c>
      <c r="AM70" s="89" t="s">
        <v>122</v>
      </c>
      <c r="AN70" s="89"/>
      <c r="AO70" s="89"/>
    </row>
    <row r="71" spans="1:41" ht="25.5" customHeight="1">
      <c r="B71" s="391"/>
      <c r="C71" s="391"/>
      <c r="D71" s="392"/>
      <c r="E71" s="393"/>
      <c r="F71" s="393"/>
      <c r="G71" s="392"/>
      <c r="H71" s="394" t="s">
        <v>1114</v>
      </c>
      <c r="I71" s="394" t="s">
        <v>1107</v>
      </c>
      <c r="J71" s="395"/>
      <c r="K71" s="395"/>
      <c r="L71" s="395"/>
      <c r="M71" s="395"/>
      <c r="N71" s="394"/>
      <c r="O71" s="394"/>
      <c r="P71" s="394"/>
      <c r="Q71" s="394"/>
      <c r="R71" s="394"/>
      <c r="S71" s="394"/>
      <c r="T71" s="396"/>
      <c r="U71" s="397"/>
      <c r="V71" s="397"/>
      <c r="W71" s="398"/>
      <c r="X71" s="397"/>
      <c r="Y71" s="397"/>
      <c r="Z71" s="399"/>
      <c r="AA71" s="397"/>
      <c r="AB71" s="400"/>
      <c r="AC71" s="401"/>
      <c r="AD71" s="402"/>
      <c r="AE71" s="394" t="s">
        <v>1113</v>
      </c>
      <c r="AF71" s="394"/>
      <c r="AG71" s="394"/>
      <c r="AH71" s="394"/>
      <c r="AI71" s="392"/>
      <c r="AJ71" s="392"/>
      <c r="AK71" s="392"/>
      <c r="AL71" s="392"/>
      <c r="AM71" s="392"/>
      <c r="AN71" s="392"/>
      <c r="AO71" s="392"/>
    </row>
    <row r="72" spans="1:41" ht="25.5" customHeight="1">
      <c r="B72" s="391"/>
      <c r="C72" s="391"/>
      <c r="D72" s="392"/>
      <c r="E72" s="393"/>
      <c r="F72" s="393"/>
      <c r="G72" s="392"/>
      <c r="H72" s="394"/>
      <c r="I72" s="394" t="s">
        <v>1110</v>
      </c>
      <c r="J72" s="395"/>
      <c r="K72" s="395"/>
      <c r="L72" s="395"/>
      <c r="M72" s="395"/>
      <c r="N72" s="394"/>
      <c r="O72" s="394"/>
      <c r="P72" s="394"/>
      <c r="Q72" s="394"/>
      <c r="R72" s="394"/>
      <c r="S72" s="394"/>
      <c r="T72" s="396"/>
      <c r="U72" s="397"/>
      <c r="V72" s="397"/>
      <c r="W72" s="398"/>
      <c r="X72" s="397"/>
      <c r="Y72" s="397"/>
      <c r="Z72" s="399"/>
      <c r="AA72" s="397"/>
      <c r="AB72" s="400"/>
      <c r="AC72" s="401"/>
      <c r="AD72" s="402"/>
      <c r="AE72" s="394" t="s">
        <v>1112</v>
      </c>
      <c r="AF72" s="394"/>
      <c r="AG72" s="394"/>
      <c r="AH72" s="394"/>
      <c r="AI72" s="392"/>
      <c r="AJ72" s="392"/>
      <c r="AK72" s="392"/>
      <c r="AL72" s="392"/>
      <c r="AM72" s="392"/>
      <c r="AN72" s="392"/>
      <c r="AO72" s="392"/>
    </row>
    <row r="73" spans="1:41" ht="25.5" customHeight="1">
      <c r="B73" s="391"/>
      <c r="C73" s="391"/>
      <c r="D73" s="392"/>
      <c r="E73" s="393"/>
      <c r="F73" s="393"/>
      <c r="G73" s="392"/>
      <c r="H73" s="394"/>
      <c r="I73" s="394" t="s">
        <v>1111</v>
      </c>
      <c r="J73" s="395"/>
      <c r="K73" s="395"/>
      <c r="L73" s="395"/>
      <c r="M73" s="395"/>
      <c r="N73" s="394"/>
      <c r="O73" s="394"/>
      <c r="P73" s="394"/>
      <c r="Q73" s="394"/>
      <c r="R73" s="394"/>
      <c r="S73" s="394"/>
      <c r="T73" s="396"/>
      <c r="U73" s="397"/>
      <c r="V73" s="397"/>
      <c r="W73" s="398"/>
      <c r="X73" s="397"/>
      <c r="Y73" s="397"/>
      <c r="Z73" s="399"/>
      <c r="AA73" s="397"/>
      <c r="AB73" s="400"/>
      <c r="AC73" s="401"/>
      <c r="AD73" s="402"/>
      <c r="AE73" s="394" t="s">
        <v>1112</v>
      </c>
      <c r="AF73" s="394"/>
      <c r="AG73" s="394"/>
      <c r="AH73" s="394"/>
      <c r="AI73" s="392"/>
      <c r="AJ73" s="392"/>
      <c r="AK73" s="392"/>
      <c r="AL73" s="392"/>
      <c r="AM73" s="392"/>
      <c r="AN73" s="392"/>
      <c r="AO73" s="392"/>
    </row>
    <row r="74" spans="1:41" ht="34.5" customHeight="1">
      <c r="B74" s="96" t="s">
        <v>36</v>
      </c>
      <c r="C74" s="96" t="s">
        <v>46</v>
      </c>
      <c r="D74" s="96" t="s">
        <v>9</v>
      </c>
      <c r="E74" s="228">
        <v>40544</v>
      </c>
      <c r="F74" s="228">
        <v>42369</v>
      </c>
      <c r="G74" s="96" t="s">
        <v>335</v>
      </c>
      <c r="H74" s="96" t="s">
        <v>1115</v>
      </c>
      <c r="I74" s="97" t="s">
        <v>840</v>
      </c>
      <c r="J74" s="98">
        <v>2</v>
      </c>
      <c r="K74" s="98">
        <v>2</v>
      </c>
      <c r="L74" s="98">
        <v>2</v>
      </c>
      <c r="M74" s="98"/>
      <c r="N74" s="97" t="s">
        <v>164</v>
      </c>
      <c r="O74" s="97" t="s">
        <v>5</v>
      </c>
      <c r="P74" s="97" t="s">
        <v>73</v>
      </c>
      <c r="Q74" s="97" t="s">
        <v>81</v>
      </c>
      <c r="R74" s="97"/>
      <c r="S74" s="97"/>
      <c r="T74" s="287">
        <f t="shared" si="1"/>
        <v>1244.9007360000001</v>
      </c>
      <c r="U74" s="99">
        <v>13400</v>
      </c>
      <c r="V74" s="99">
        <v>10720</v>
      </c>
      <c r="W74" s="100"/>
      <c r="X74" s="99">
        <v>1280</v>
      </c>
      <c r="Y74" s="99">
        <v>461</v>
      </c>
      <c r="Z74" s="101">
        <f>Y74/X74</f>
        <v>0.36015625000000001</v>
      </c>
      <c r="AA74" s="99">
        <v>934</v>
      </c>
      <c r="AB74" s="102">
        <f>ROUND(IF(Y74&lt;=0, "",AA74/Y74),2)</f>
        <v>2.0299999999999998</v>
      </c>
      <c r="AC74" s="111" t="s">
        <v>336</v>
      </c>
      <c r="AD74" s="103"/>
      <c r="AE74" s="97" t="s">
        <v>5</v>
      </c>
      <c r="AF74" s="97"/>
      <c r="AG74" s="97"/>
      <c r="AH74" s="97"/>
      <c r="AI74" s="96" t="s">
        <v>85</v>
      </c>
      <c r="AJ74" s="96"/>
      <c r="AK74" s="96"/>
      <c r="AL74" s="96" t="s">
        <v>663</v>
      </c>
      <c r="AM74" s="96" t="s">
        <v>663</v>
      </c>
      <c r="AN74" s="96"/>
      <c r="AO74" s="96"/>
    </row>
    <row r="75" spans="1:41" ht="12.75" customHeight="1">
      <c r="B75" s="96" t="s">
        <v>36</v>
      </c>
      <c r="C75" s="96" t="s">
        <v>46</v>
      </c>
      <c r="D75" s="96" t="s">
        <v>43</v>
      </c>
      <c r="E75" s="228">
        <v>40983</v>
      </c>
      <c r="F75" s="228">
        <v>42808</v>
      </c>
      <c r="G75" s="96" t="s">
        <v>337</v>
      </c>
      <c r="H75" s="96" t="s">
        <v>597</v>
      </c>
      <c r="I75" s="97" t="s">
        <v>117</v>
      </c>
      <c r="J75" s="98">
        <v>3</v>
      </c>
      <c r="K75" s="98">
        <v>3</v>
      </c>
      <c r="L75" s="98">
        <v>3</v>
      </c>
      <c r="M75" s="98"/>
      <c r="N75" s="97" t="s">
        <v>154</v>
      </c>
      <c r="O75" s="97" t="s">
        <v>117</v>
      </c>
      <c r="P75" s="97" t="s">
        <v>116</v>
      </c>
      <c r="Q75" s="97" t="s">
        <v>81</v>
      </c>
      <c r="R75" s="97">
        <v>95054</v>
      </c>
      <c r="S75" s="97"/>
      <c r="T75" s="287">
        <f t="shared" si="1"/>
        <v>464.51520000000005</v>
      </c>
      <c r="U75" s="99">
        <v>5000</v>
      </c>
      <c r="V75" s="99">
        <v>5000</v>
      </c>
      <c r="W75" s="100"/>
      <c r="X75" s="99">
        <v>1000</v>
      </c>
      <c r="Y75" s="99"/>
      <c r="Z75" s="101"/>
      <c r="AA75" s="99"/>
      <c r="AB75" s="102"/>
      <c r="AC75" s="111" t="s">
        <v>336</v>
      </c>
      <c r="AD75" s="103"/>
      <c r="AE75" s="97" t="s">
        <v>121</v>
      </c>
      <c r="AF75" s="97" t="s">
        <v>431</v>
      </c>
      <c r="AG75" s="97"/>
      <c r="AH75" s="97"/>
      <c r="AI75" s="96" t="s">
        <v>85</v>
      </c>
      <c r="AJ75" s="96"/>
      <c r="AK75" s="96" t="s">
        <v>122</v>
      </c>
      <c r="AL75" s="96" t="s">
        <v>122</v>
      </c>
      <c r="AM75" s="96" t="s">
        <v>122</v>
      </c>
      <c r="AN75" s="96"/>
      <c r="AO75" s="96" t="s">
        <v>844</v>
      </c>
    </row>
    <row r="76" spans="1:41" ht="12.75" customHeight="1">
      <c r="B76" s="96" t="s">
        <v>36</v>
      </c>
      <c r="C76" s="96" t="s">
        <v>46</v>
      </c>
      <c r="D76" s="96" t="s">
        <v>43</v>
      </c>
      <c r="E76" s="228">
        <v>40787</v>
      </c>
      <c r="F76" s="228">
        <v>42613</v>
      </c>
      <c r="G76" s="96" t="s">
        <v>338</v>
      </c>
      <c r="H76" s="96" t="s">
        <v>597</v>
      </c>
      <c r="I76" s="97" t="s">
        <v>113</v>
      </c>
      <c r="J76" s="98">
        <v>3</v>
      </c>
      <c r="K76" s="98">
        <v>3</v>
      </c>
      <c r="L76" s="98">
        <v>3</v>
      </c>
      <c r="M76" s="98"/>
      <c r="N76" s="97" t="s">
        <v>153</v>
      </c>
      <c r="O76" s="97" t="s">
        <v>113</v>
      </c>
      <c r="P76" s="97" t="s">
        <v>114</v>
      </c>
      <c r="Q76" s="97" t="s">
        <v>81</v>
      </c>
      <c r="R76" s="97"/>
      <c r="S76" s="97"/>
      <c r="T76" s="287">
        <f t="shared" si="1"/>
        <v>529.54732799999999</v>
      </c>
      <c r="U76" s="99">
        <v>5700</v>
      </c>
      <c r="V76" s="99">
        <v>5700</v>
      </c>
      <c r="W76" s="99"/>
      <c r="X76" s="99">
        <v>600</v>
      </c>
      <c r="Y76" s="99"/>
      <c r="Z76" s="101"/>
      <c r="AA76" s="99"/>
      <c r="AB76" s="102"/>
      <c r="AC76" s="111" t="s">
        <v>336</v>
      </c>
      <c r="AD76" s="103"/>
      <c r="AE76" s="97" t="s">
        <v>119</v>
      </c>
      <c r="AF76" s="97" t="s">
        <v>431</v>
      </c>
      <c r="AG76" s="97"/>
      <c r="AH76" s="97" t="s">
        <v>517</v>
      </c>
      <c r="AI76" s="96" t="s">
        <v>85</v>
      </c>
      <c r="AJ76" s="96"/>
      <c r="AK76" s="96" t="s">
        <v>122</v>
      </c>
      <c r="AL76" s="96" t="s">
        <v>122</v>
      </c>
      <c r="AM76" s="96" t="s">
        <v>122</v>
      </c>
      <c r="AN76" s="96"/>
      <c r="AO76" s="96" t="s">
        <v>845</v>
      </c>
    </row>
    <row r="77" spans="1:41" ht="12.75" customHeight="1">
      <c r="A77" t="s">
        <v>662</v>
      </c>
      <c r="B77" s="96" t="s">
        <v>36</v>
      </c>
      <c r="C77" s="96" t="s">
        <v>46</v>
      </c>
      <c r="D77" s="96" t="s">
        <v>43</v>
      </c>
      <c r="E77" s="228">
        <v>41183</v>
      </c>
      <c r="F77" s="228" t="s">
        <v>652</v>
      </c>
      <c r="G77" s="96" t="s">
        <v>295</v>
      </c>
      <c r="H77" s="96"/>
      <c r="I77" s="97" t="s">
        <v>822</v>
      </c>
      <c r="J77" s="98">
        <v>3</v>
      </c>
      <c r="K77" s="98">
        <v>3</v>
      </c>
      <c r="L77" s="98">
        <v>3</v>
      </c>
      <c r="M77" s="98"/>
      <c r="N77" s="97" t="s">
        <v>151</v>
      </c>
      <c r="O77" s="97" t="s">
        <v>115</v>
      </c>
      <c r="P77" s="97" t="s">
        <v>116</v>
      </c>
      <c r="Q77" s="97" t="s">
        <v>81</v>
      </c>
      <c r="R77" s="97"/>
      <c r="S77" s="97"/>
      <c r="T77" s="287">
        <f t="shared" si="1"/>
        <v>325.16064</v>
      </c>
      <c r="U77" s="99">
        <v>3500</v>
      </c>
      <c r="V77" s="99"/>
      <c r="W77" s="99"/>
      <c r="X77" s="99">
        <v>350</v>
      </c>
      <c r="Y77" s="99"/>
      <c r="Z77" s="101"/>
      <c r="AA77" s="99"/>
      <c r="AB77" s="102"/>
      <c r="AC77" s="111" t="s">
        <v>336</v>
      </c>
      <c r="AD77" s="103"/>
      <c r="AE77" s="97" t="s">
        <v>152</v>
      </c>
      <c r="AF77" s="97"/>
      <c r="AG77" s="97"/>
      <c r="AH77" s="97"/>
      <c r="AI77" s="96" t="s">
        <v>85</v>
      </c>
      <c r="AJ77" s="96"/>
      <c r="AK77" s="96"/>
      <c r="AL77" s="96" t="s">
        <v>122</v>
      </c>
      <c r="AM77" s="96" t="s">
        <v>122</v>
      </c>
      <c r="AN77" s="96"/>
      <c r="AO77" s="96"/>
    </row>
    <row r="78" spans="1:41" ht="38.25" customHeight="1">
      <c r="B78" s="96" t="s">
        <v>36</v>
      </c>
      <c r="C78" s="96" t="s">
        <v>46</v>
      </c>
      <c r="D78" s="96" t="s">
        <v>43</v>
      </c>
      <c r="E78" s="228"/>
      <c r="F78" s="228" t="s">
        <v>652</v>
      </c>
      <c r="G78" s="96" t="s">
        <v>339</v>
      </c>
      <c r="H78" s="96"/>
      <c r="I78" s="97" t="s">
        <v>839</v>
      </c>
      <c r="J78" s="98">
        <v>3</v>
      </c>
      <c r="K78" s="98">
        <v>3</v>
      </c>
      <c r="L78" s="98">
        <v>3</v>
      </c>
      <c r="M78" s="98"/>
      <c r="N78" s="97" t="s">
        <v>155</v>
      </c>
      <c r="O78" s="97" t="s">
        <v>125</v>
      </c>
      <c r="P78" s="97" t="s">
        <v>124</v>
      </c>
      <c r="Q78" s="97" t="s">
        <v>81</v>
      </c>
      <c r="R78" s="97"/>
      <c r="S78" s="97"/>
      <c r="T78" s="287">
        <f t="shared" si="1"/>
        <v>92.903040000000004</v>
      </c>
      <c r="U78" s="99">
        <v>1000</v>
      </c>
      <c r="V78" s="99"/>
      <c r="W78" s="100"/>
      <c r="X78" s="99">
        <v>100</v>
      </c>
      <c r="Y78" s="99"/>
      <c r="Z78" s="101"/>
      <c r="AA78" s="99"/>
      <c r="AB78" s="102"/>
      <c r="AC78" s="111" t="s">
        <v>336</v>
      </c>
      <c r="AD78" s="103"/>
      <c r="AE78" s="97" t="s">
        <v>144</v>
      </c>
      <c r="AF78" s="97"/>
      <c r="AG78" s="97"/>
      <c r="AH78" s="97"/>
      <c r="AI78" s="96" t="s">
        <v>812</v>
      </c>
      <c r="AJ78" s="96"/>
      <c r="AK78" s="96"/>
      <c r="AL78" s="96" t="s">
        <v>122</v>
      </c>
      <c r="AM78" s="96" t="s">
        <v>122</v>
      </c>
      <c r="AN78" s="96"/>
      <c r="AO78" s="96"/>
    </row>
  </sheetData>
  <autoFilter ref="A1:AO78"/>
  <sortState ref="B4:Y64">
    <sortCondition ref="B4:B64"/>
    <sortCondition ref="C4:C64"/>
    <sortCondition descending="1" ref="D4:D64"/>
    <sortCondition ref="O4:O64"/>
    <sortCondition ref="N4:N64"/>
    <sortCondition ref="J4:J64"/>
    <sortCondition ref="G4:G64"/>
  </sortState>
  <pageMargins left="0.7" right="0.7" top="0.75" bottom="0.75" header="0.3" footer="0.3"/>
  <pageSetup orientation="portrait" horizontalDpi="4294967293" verticalDpi="4294967293"/>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opLeftCell="A24" workbookViewId="0"/>
  </sheetViews>
  <sheetFormatPr baseColWidth="10" defaultColWidth="8.83203125" defaultRowHeight="12" x14ac:dyDescent="0"/>
  <cols>
    <col min="1" max="1" width="25.5" customWidth="1"/>
    <col min="2" max="2" width="9.83203125" customWidth="1"/>
    <col min="3" max="3" width="10.6640625" customWidth="1"/>
    <col min="4" max="4" width="12.6640625" customWidth="1"/>
    <col min="5" max="5" width="8.6640625" customWidth="1"/>
    <col min="7" max="10" width="9.1640625" customWidth="1"/>
  </cols>
  <sheetData>
    <row r="1" spans="1:5">
      <c r="A1" s="7" t="s">
        <v>825</v>
      </c>
    </row>
    <row r="2" spans="1:5" ht="36">
      <c r="A2" s="293" t="s">
        <v>799</v>
      </c>
      <c r="B2" s="293" t="s">
        <v>0</v>
      </c>
      <c r="C2" s="293" t="s">
        <v>764</v>
      </c>
      <c r="D2" s="294" t="s">
        <v>765</v>
      </c>
    </row>
    <row r="3" spans="1:5" ht="14.25" customHeight="1">
      <c r="A3" s="295" t="s">
        <v>815</v>
      </c>
      <c r="B3" s="296" t="s">
        <v>90</v>
      </c>
      <c r="C3" s="297">
        <v>2</v>
      </c>
      <c r="D3" s="298">
        <v>0.99741000000000002</v>
      </c>
    </row>
    <row r="4" spans="1:5" ht="15" customHeight="1">
      <c r="A4" s="296" t="s">
        <v>814</v>
      </c>
      <c r="B4" s="296" t="s">
        <v>90</v>
      </c>
      <c r="C4" s="299">
        <v>2</v>
      </c>
      <c r="D4" s="298">
        <v>0.99741000000000002</v>
      </c>
    </row>
    <row r="5" spans="1:5" ht="15" customHeight="1">
      <c r="A5" s="300" t="s">
        <v>816</v>
      </c>
      <c r="B5" s="296" t="s">
        <v>90</v>
      </c>
      <c r="C5" s="299">
        <v>3</v>
      </c>
      <c r="D5" s="298">
        <v>0.99982000000000004</v>
      </c>
    </row>
    <row r="6" spans="1:5" ht="15" customHeight="1">
      <c r="A6" s="296" t="s">
        <v>818</v>
      </c>
      <c r="B6" s="296" t="s">
        <v>90</v>
      </c>
      <c r="C6" s="299">
        <v>3</v>
      </c>
      <c r="D6" s="298">
        <v>0.99982000000000004</v>
      </c>
    </row>
    <row r="7" spans="1:5" ht="15" customHeight="1">
      <c r="A7" s="296" t="s">
        <v>817</v>
      </c>
      <c r="B7" s="296" t="s">
        <v>90</v>
      </c>
      <c r="C7" s="299">
        <v>2</v>
      </c>
      <c r="D7" s="298">
        <v>0.99741000000000002</v>
      </c>
    </row>
    <row r="8" spans="1:5" ht="16.5" customHeight="1">
      <c r="A8" s="296" t="s">
        <v>819</v>
      </c>
      <c r="B8" s="296" t="s">
        <v>90</v>
      </c>
      <c r="C8" s="299">
        <v>2</v>
      </c>
      <c r="D8" s="298">
        <v>0.99741000000000002</v>
      </c>
    </row>
    <row r="9" spans="1:5" ht="15" customHeight="1">
      <c r="A9" s="296" t="s">
        <v>820</v>
      </c>
      <c r="B9" s="296" t="s">
        <v>88</v>
      </c>
      <c r="C9" s="299">
        <v>4</v>
      </c>
      <c r="D9" s="298">
        <v>0.99995000000000001</v>
      </c>
    </row>
    <row r="10" spans="1:5" ht="15" customHeight="1">
      <c r="A10" s="296" t="s">
        <v>821</v>
      </c>
      <c r="B10" s="296" t="s">
        <v>97</v>
      </c>
      <c r="C10" s="299">
        <v>1</v>
      </c>
      <c r="D10" s="298">
        <v>0.99670999999999998</v>
      </c>
    </row>
    <row r="13" spans="1:5" ht="36">
      <c r="A13" s="293" t="s">
        <v>799</v>
      </c>
      <c r="B13" s="293" t="s">
        <v>0</v>
      </c>
      <c r="C13" s="293" t="s">
        <v>764</v>
      </c>
      <c r="D13" s="294" t="s">
        <v>765</v>
      </c>
      <c r="E13" s="305" t="s">
        <v>772</v>
      </c>
    </row>
    <row r="14" spans="1:5">
      <c r="A14" s="295" t="s">
        <v>63</v>
      </c>
      <c r="B14" s="296" t="s">
        <v>104</v>
      </c>
      <c r="C14" s="297">
        <v>3</v>
      </c>
      <c r="D14" s="298">
        <v>0.99982000000000004</v>
      </c>
      <c r="E14" s="297">
        <v>3</v>
      </c>
    </row>
    <row r="15" spans="1:5">
      <c r="A15" s="296" t="s">
        <v>603</v>
      </c>
      <c r="B15" s="296" t="s">
        <v>7</v>
      </c>
      <c r="C15" s="299">
        <v>2</v>
      </c>
      <c r="D15" s="298">
        <v>0.99741000000000002</v>
      </c>
      <c r="E15" s="299">
        <v>2</v>
      </c>
    </row>
    <row r="16" spans="1:5">
      <c r="A16" s="300" t="s">
        <v>650</v>
      </c>
      <c r="B16" s="301" t="s">
        <v>101</v>
      </c>
      <c r="C16" s="299">
        <v>3</v>
      </c>
      <c r="D16" s="298">
        <v>0.99982000000000004</v>
      </c>
      <c r="E16" s="299">
        <v>3</v>
      </c>
    </row>
    <row r="17" spans="1:5">
      <c r="A17" s="296" t="s">
        <v>283</v>
      </c>
      <c r="B17" s="296" t="s">
        <v>101</v>
      </c>
      <c r="C17" s="299">
        <v>3</v>
      </c>
      <c r="D17" s="298">
        <v>0.99982000000000004</v>
      </c>
      <c r="E17" s="299">
        <v>3</v>
      </c>
    </row>
    <row r="18" spans="1:5">
      <c r="A18" s="296" t="s">
        <v>285</v>
      </c>
      <c r="B18" s="296" t="s">
        <v>101</v>
      </c>
      <c r="C18" s="299">
        <v>3</v>
      </c>
      <c r="D18" s="298">
        <v>0.99982000000000004</v>
      </c>
      <c r="E18" s="299">
        <v>3</v>
      </c>
    </row>
    <row r="19" spans="1:5">
      <c r="A19" s="296" t="s">
        <v>288</v>
      </c>
      <c r="B19" s="296" t="s">
        <v>101</v>
      </c>
      <c r="C19" s="299">
        <v>3</v>
      </c>
      <c r="D19" s="298">
        <v>0.99982000000000004</v>
      </c>
      <c r="E19" s="299">
        <v>3</v>
      </c>
    </row>
    <row r="20" spans="1:5">
      <c r="A20" s="296" t="s">
        <v>103</v>
      </c>
      <c r="B20" s="296" t="s">
        <v>101</v>
      </c>
      <c r="C20" s="299">
        <v>3</v>
      </c>
      <c r="D20" s="298">
        <v>0.99982000000000004</v>
      </c>
      <c r="E20" s="299">
        <v>3</v>
      </c>
    </row>
    <row r="21" spans="1:5">
      <c r="A21" s="296" t="s">
        <v>135</v>
      </c>
      <c r="B21" s="296" t="s">
        <v>102</v>
      </c>
      <c r="C21" s="299">
        <v>2</v>
      </c>
      <c r="D21" s="298">
        <v>0.99741000000000002</v>
      </c>
      <c r="E21" s="299">
        <v>2</v>
      </c>
    </row>
    <row r="22" spans="1:5">
      <c r="A22" s="296" t="s">
        <v>136</v>
      </c>
      <c r="B22" s="296" t="s">
        <v>102</v>
      </c>
      <c r="C22" s="299">
        <v>3</v>
      </c>
      <c r="D22" s="298">
        <v>0.99982000000000004</v>
      </c>
      <c r="E22" s="299">
        <v>3</v>
      </c>
    </row>
    <row r="23" spans="1:5">
      <c r="A23" s="295" t="s">
        <v>767</v>
      </c>
      <c r="B23" s="296" t="s">
        <v>104</v>
      </c>
      <c r="C23" s="297">
        <v>3</v>
      </c>
      <c r="D23" s="298">
        <v>0.99982000000000004</v>
      </c>
      <c r="E23" s="297">
        <v>3</v>
      </c>
    </row>
    <row r="24" spans="1:5">
      <c r="A24" s="296" t="s">
        <v>159</v>
      </c>
      <c r="B24" s="296" t="s">
        <v>15</v>
      </c>
      <c r="C24" s="299">
        <v>3</v>
      </c>
      <c r="D24" s="298">
        <v>0.99982000000000004</v>
      </c>
      <c r="E24" s="299">
        <v>3</v>
      </c>
    </row>
    <row r="25" spans="1:5">
      <c r="A25" s="296" t="s">
        <v>158</v>
      </c>
      <c r="B25" s="296" t="s">
        <v>15</v>
      </c>
      <c r="C25" s="299">
        <v>3</v>
      </c>
      <c r="D25" s="298">
        <v>0.99982000000000004</v>
      </c>
      <c r="E25" s="299">
        <v>3</v>
      </c>
    </row>
    <row r="26" spans="1:5">
      <c r="A26" s="296" t="s">
        <v>805</v>
      </c>
      <c r="B26" s="296" t="s">
        <v>15</v>
      </c>
      <c r="C26" s="299">
        <v>3</v>
      </c>
      <c r="D26" s="298">
        <v>0.99982000000000004</v>
      </c>
      <c r="E26" s="299">
        <v>3</v>
      </c>
    </row>
    <row r="27" spans="1:5">
      <c r="A27" s="296" t="s">
        <v>227</v>
      </c>
      <c r="B27" s="296" t="s">
        <v>15</v>
      </c>
      <c r="C27" s="299">
        <v>3</v>
      </c>
      <c r="D27" s="298">
        <v>0.99982000000000004</v>
      </c>
      <c r="E27" s="299">
        <v>3</v>
      </c>
    </row>
    <row r="28" spans="1:5">
      <c r="A28" s="296" t="s">
        <v>736</v>
      </c>
      <c r="B28" s="296" t="s">
        <v>15</v>
      </c>
      <c r="C28" s="299">
        <v>2</v>
      </c>
      <c r="D28" s="298">
        <v>0.99741000000000002</v>
      </c>
      <c r="E28" s="299">
        <v>2</v>
      </c>
    </row>
    <row r="31" spans="1:5" ht="24">
      <c r="A31" s="305" t="s">
        <v>20</v>
      </c>
      <c r="B31" s="305" t="s">
        <v>598</v>
      </c>
      <c r="C31" s="305" t="s">
        <v>799</v>
      </c>
      <c r="D31" s="305" t="s">
        <v>0</v>
      </c>
    </row>
    <row r="32" spans="1:5">
      <c r="A32" s="302" t="s">
        <v>43</v>
      </c>
      <c r="B32" s="302"/>
      <c r="C32" s="295" t="s">
        <v>63</v>
      </c>
      <c r="D32" s="296" t="s">
        <v>63</v>
      </c>
    </row>
    <row r="33" spans="1:6" ht="36">
      <c r="A33" s="302" t="s">
        <v>8</v>
      </c>
      <c r="B33" s="302" t="s">
        <v>122</v>
      </c>
      <c r="C33" s="296" t="s">
        <v>603</v>
      </c>
      <c r="D33" s="296" t="s">
        <v>7</v>
      </c>
    </row>
    <row r="34" spans="1:6" ht="24">
      <c r="A34" s="303" t="s">
        <v>43</v>
      </c>
      <c r="B34" s="302" t="s">
        <v>122</v>
      </c>
      <c r="C34" s="300" t="s">
        <v>650</v>
      </c>
      <c r="D34" s="304" t="s">
        <v>649</v>
      </c>
      <c r="F34" s="67"/>
    </row>
    <row r="35" spans="1:6" ht="36">
      <c r="A35" s="302" t="s">
        <v>8</v>
      </c>
      <c r="B35" s="302" t="s">
        <v>122</v>
      </c>
      <c r="C35" s="296" t="s">
        <v>283</v>
      </c>
      <c r="D35" s="296" t="s">
        <v>186</v>
      </c>
    </row>
    <row r="36" spans="1:6" ht="36">
      <c r="A36" s="302" t="s">
        <v>8</v>
      </c>
      <c r="B36" s="302" t="s">
        <v>122</v>
      </c>
      <c r="C36" s="296" t="s">
        <v>285</v>
      </c>
      <c r="D36" s="296" t="s">
        <v>186</v>
      </c>
    </row>
    <row r="37" spans="1:6" ht="36">
      <c r="A37" s="302" t="s">
        <v>8</v>
      </c>
      <c r="B37" s="302" t="s">
        <v>122</v>
      </c>
      <c r="C37" s="296" t="s">
        <v>288</v>
      </c>
      <c r="D37" s="296" t="s">
        <v>186</v>
      </c>
    </row>
    <row r="38" spans="1:6">
      <c r="A38" s="302" t="s">
        <v>43</v>
      </c>
      <c r="B38" s="302"/>
      <c r="C38" s="296" t="s">
        <v>103</v>
      </c>
      <c r="D38" s="296" t="s">
        <v>103</v>
      </c>
    </row>
    <row r="39" spans="1:6" ht="24">
      <c r="A39" s="302" t="s">
        <v>9</v>
      </c>
      <c r="B39" s="302" t="s">
        <v>122</v>
      </c>
      <c r="C39" s="296" t="s">
        <v>135</v>
      </c>
      <c r="D39" s="296" t="s">
        <v>194</v>
      </c>
    </row>
    <row r="40" spans="1:6" ht="24">
      <c r="A40" s="302" t="s">
        <v>9</v>
      </c>
      <c r="B40" s="302" t="s">
        <v>122</v>
      </c>
      <c r="C40" s="296" t="s">
        <v>136</v>
      </c>
      <c r="D40" s="296" t="s">
        <v>194</v>
      </c>
    </row>
    <row r="41" spans="1:6" ht="48">
      <c r="A41" s="302" t="s">
        <v>43</v>
      </c>
      <c r="B41" s="302"/>
      <c r="C41" s="295" t="s">
        <v>523</v>
      </c>
      <c r="D41" s="296" t="s">
        <v>64</v>
      </c>
    </row>
    <row r="42" spans="1:6" ht="24">
      <c r="A42" s="302" t="s">
        <v>9</v>
      </c>
      <c r="B42" s="302" t="s">
        <v>122</v>
      </c>
      <c r="C42" s="296" t="s">
        <v>159</v>
      </c>
      <c r="D42" s="296" t="s">
        <v>15</v>
      </c>
    </row>
    <row r="43" spans="1:6" ht="24">
      <c r="A43" s="302" t="s">
        <v>9</v>
      </c>
      <c r="B43" s="302" t="s">
        <v>122</v>
      </c>
      <c r="C43" s="296" t="s">
        <v>158</v>
      </c>
      <c r="D43" s="296" t="s">
        <v>15</v>
      </c>
    </row>
    <row r="44" spans="1:6" ht="24">
      <c r="A44" s="302" t="s">
        <v>9</v>
      </c>
      <c r="B44" s="302" t="s">
        <v>122</v>
      </c>
      <c r="C44" s="296" t="s">
        <v>805</v>
      </c>
      <c r="D44" s="296" t="s">
        <v>15</v>
      </c>
    </row>
    <row r="45" spans="1:6">
      <c r="A45" s="302" t="s">
        <v>43</v>
      </c>
      <c r="B45" s="302"/>
      <c r="C45" s="296" t="s">
        <v>227</v>
      </c>
      <c r="D45" s="296" t="s">
        <v>15</v>
      </c>
    </row>
    <row r="46" spans="1:6" ht="24">
      <c r="A46" s="302" t="s">
        <v>43</v>
      </c>
      <c r="B46" s="302"/>
      <c r="C46" s="296" t="s">
        <v>736</v>
      </c>
      <c r="D46" s="296" t="s">
        <v>15</v>
      </c>
    </row>
    <row r="49" spans="1:4" ht="36">
      <c r="A49" s="293" t="s">
        <v>799</v>
      </c>
      <c r="B49" s="293" t="s">
        <v>0</v>
      </c>
      <c r="C49" s="293" t="s">
        <v>764</v>
      </c>
      <c r="D49" s="294" t="s">
        <v>765</v>
      </c>
    </row>
    <row r="50" spans="1:4">
      <c r="A50" s="296" t="s">
        <v>72</v>
      </c>
      <c r="B50" s="296" t="s">
        <v>73</v>
      </c>
      <c r="C50" s="299">
        <v>3</v>
      </c>
      <c r="D50" s="298">
        <v>0.99982000000000004</v>
      </c>
    </row>
    <row r="51" spans="1:4">
      <c r="A51" s="296" t="s">
        <v>252</v>
      </c>
      <c r="B51" s="296" t="s">
        <v>75</v>
      </c>
      <c r="C51" s="299">
        <v>3</v>
      </c>
      <c r="D51" s="298">
        <v>0.99982000000000004</v>
      </c>
    </row>
    <row r="52" spans="1:4">
      <c r="A52" s="296" t="s">
        <v>74</v>
      </c>
      <c r="B52" s="296" t="s">
        <v>75</v>
      </c>
      <c r="C52" s="299">
        <v>3</v>
      </c>
      <c r="D52" s="298">
        <v>0.99982000000000004</v>
      </c>
    </row>
    <row r="53" spans="1:4">
      <c r="A53" s="296" t="s">
        <v>810</v>
      </c>
      <c r="B53" s="296" t="s">
        <v>76</v>
      </c>
      <c r="C53" s="299">
        <v>3</v>
      </c>
      <c r="D53" s="298">
        <v>0.99982000000000004</v>
      </c>
    </row>
    <row r="54" spans="1:4">
      <c r="A54" s="296" t="s">
        <v>602</v>
      </c>
      <c r="B54" s="296" t="s">
        <v>71</v>
      </c>
      <c r="C54" s="299">
        <v>2</v>
      </c>
      <c r="D54" s="298">
        <v>0.99741000000000002</v>
      </c>
    </row>
    <row r="55" spans="1:4">
      <c r="A55" s="296" t="s">
        <v>109</v>
      </c>
      <c r="B55" s="296" t="s">
        <v>70</v>
      </c>
      <c r="C55" s="299">
        <v>3</v>
      </c>
      <c r="D55" s="298">
        <v>0.99982000000000004</v>
      </c>
    </row>
    <row r="56" spans="1:4">
      <c r="A56" s="296" t="s">
        <v>6</v>
      </c>
      <c r="B56" s="296" t="s">
        <v>71</v>
      </c>
      <c r="C56" s="299">
        <v>1</v>
      </c>
      <c r="D56" s="298">
        <v>0.99670999999999998</v>
      </c>
    </row>
    <row r="57" spans="1:4">
      <c r="A57" s="296" t="s">
        <v>199</v>
      </c>
      <c r="B57" s="296" t="s">
        <v>71</v>
      </c>
      <c r="C57" s="299">
        <v>3</v>
      </c>
      <c r="D57" s="298">
        <v>0.99982000000000004</v>
      </c>
    </row>
    <row r="58" spans="1:4">
      <c r="A58" s="296" t="s">
        <v>37</v>
      </c>
      <c r="B58" s="296" t="s">
        <v>71</v>
      </c>
      <c r="C58" s="299">
        <v>2</v>
      </c>
      <c r="D58" s="298">
        <v>0.99741000000000002</v>
      </c>
    </row>
    <row r="59" spans="1:4">
      <c r="A59" s="296" t="s">
        <v>113</v>
      </c>
      <c r="B59" s="296" t="s">
        <v>114</v>
      </c>
      <c r="C59" s="299">
        <v>3</v>
      </c>
      <c r="D59" s="298">
        <v>0.99982000000000004</v>
      </c>
    </row>
    <row r="60" spans="1:4">
      <c r="A60" s="296" t="s">
        <v>117</v>
      </c>
      <c r="B60" s="296" t="s">
        <v>116</v>
      </c>
      <c r="C60" s="299">
        <v>3</v>
      </c>
      <c r="D60" s="298">
        <v>0.99982000000000004</v>
      </c>
    </row>
    <row r="61" spans="1:4">
      <c r="A61" s="296" t="s">
        <v>78</v>
      </c>
      <c r="B61" s="296" t="s">
        <v>82</v>
      </c>
      <c r="C61" s="299">
        <v>3</v>
      </c>
      <c r="D61" s="298">
        <v>0.99982000000000004</v>
      </c>
    </row>
    <row r="62" spans="1:4">
      <c r="A62" s="296" t="s">
        <v>217</v>
      </c>
      <c r="B62" s="296" t="s">
        <v>82</v>
      </c>
      <c r="C62" s="299">
        <v>2</v>
      </c>
      <c r="D62" s="298">
        <v>0.99741000000000002</v>
      </c>
    </row>
    <row r="63" spans="1:4">
      <c r="A63" s="296" t="s">
        <v>766</v>
      </c>
      <c r="B63" s="296" t="s">
        <v>107</v>
      </c>
      <c r="C63" s="299">
        <v>3</v>
      </c>
      <c r="D63" s="298">
        <v>0.99982000000000004</v>
      </c>
    </row>
    <row r="64" spans="1:4">
      <c r="A64" s="296" t="s">
        <v>744</v>
      </c>
      <c r="B64" s="296" t="s">
        <v>107</v>
      </c>
      <c r="C64" s="299">
        <v>3</v>
      </c>
      <c r="D64" s="298">
        <v>0.99982000000000004</v>
      </c>
    </row>
    <row r="69" spans="1:5" ht="24">
      <c r="A69" s="305" t="s">
        <v>20</v>
      </c>
      <c r="B69" s="305" t="s">
        <v>598</v>
      </c>
      <c r="C69" s="305" t="s">
        <v>573</v>
      </c>
      <c r="D69" s="305" t="s">
        <v>0</v>
      </c>
      <c r="E69" s="305" t="s">
        <v>772</v>
      </c>
    </row>
    <row r="70" spans="1:5">
      <c r="A70" s="302" t="s">
        <v>43</v>
      </c>
      <c r="B70" s="302" t="s">
        <v>663</v>
      </c>
      <c r="C70" s="296" t="s">
        <v>72</v>
      </c>
      <c r="D70" s="296" t="s">
        <v>73</v>
      </c>
      <c r="E70" s="299">
        <v>3</v>
      </c>
    </row>
    <row r="71" spans="1:5" ht="24">
      <c r="A71" s="302" t="s">
        <v>43</v>
      </c>
      <c r="B71" s="302"/>
      <c r="C71" s="296" t="s">
        <v>252</v>
      </c>
      <c r="D71" s="296" t="s">
        <v>75</v>
      </c>
      <c r="E71" s="299">
        <v>3</v>
      </c>
    </row>
    <row r="72" spans="1:5">
      <c r="A72" s="302" t="s">
        <v>43</v>
      </c>
      <c r="B72" s="302"/>
      <c r="C72" s="296" t="s">
        <v>74</v>
      </c>
      <c r="D72" s="296" t="s">
        <v>75</v>
      </c>
      <c r="E72" s="299">
        <v>3</v>
      </c>
    </row>
    <row r="73" spans="1:5" ht="36">
      <c r="A73" s="303" t="s">
        <v>9</v>
      </c>
      <c r="B73" s="302" t="s">
        <v>663</v>
      </c>
      <c r="C73" s="296" t="s">
        <v>811</v>
      </c>
      <c r="D73" s="296" t="s">
        <v>76</v>
      </c>
      <c r="E73" s="299">
        <v>3</v>
      </c>
    </row>
    <row r="74" spans="1:5" ht="24">
      <c r="A74" s="302" t="s">
        <v>8</v>
      </c>
      <c r="B74" s="302" t="s">
        <v>663</v>
      </c>
      <c r="C74" s="296" t="s">
        <v>602</v>
      </c>
      <c r="D74" s="296" t="s">
        <v>71</v>
      </c>
      <c r="E74" s="299">
        <v>2</v>
      </c>
    </row>
    <row r="75" spans="1:5" ht="24">
      <c r="A75" s="302" t="s">
        <v>8</v>
      </c>
      <c r="B75" s="302" t="s">
        <v>663</v>
      </c>
      <c r="C75" s="296" t="s">
        <v>109</v>
      </c>
      <c r="D75" s="296" t="s">
        <v>70</v>
      </c>
      <c r="E75" s="299">
        <v>3</v>
      </c>
    </row>
    <row r="76" spans="1:5">
      <c r="A76" s="302" t="s">
        <v>9</v>
      </c>
      <c r="B76" s="302"/>
      <c r="C76" s="296" t="s">
        <v>6</v>
      </c>
      <c r="D76" s="296" t="s">
        <v>71</v>
      </c>
      <c r="E76" s="299">
        <v>1</v>
      </c>
    </row>
    <row r="77" spans="1:5" ht="24">
      <c r="A77" s="302" t="s">
        <v>8</v>
      </c>
      <c r="B77" s="302" t="s">
        <v>663</v>
      </c>
      <c r="C77" s="296" t="s">
        <v>199</v>
      </c>
      <c r="D77" s="296" t="s">
        <v>71</v>
      </c>
      <c r="E77" s="299">
        <v>3</v>
      </c>
    </row>
    <row r="78" spans="1:5" ht="36">
      <c r="A78" s="302" t="s">
        <v>8</v>
      </c>
      <c r="B78" s="302" t="s">
        <v>663</v>
      </c>
      <c r="C78" s="296" t="s">
        <v>37</v>
      </c>
      <c r="D78" s="296" t="s">
        <v>71</v>
      </c>
      <c r="E78" s="299">
        <v>2</v>
      </c>
    </row>
    <row r="79" spans="1:5">
      <c r="A79" s="302" t="s">
        <v>43</v>
      </c>
      <c r="B79" s="302" t="s">
        <v>663</v>
      </c>
      <c r="C79" s="296" t="s">
        <v>113</v>
      </c>
      <c r="D79" s="296" t="s">
        <v>114</v>
      </c>
      <c r="E79" s="299">
        <v>3</v>
      </c>
    </row>
    <row r="80" spans="1:5">
      <c r="A80" s="302" t="s">
        <v>43</v>
      </c>
      <c r="B80" s="302" t="s">
        <v>663</v>
      </c>
      <c r="C80" s="296" t="s">
        <v>117</v>
      </c>
      <c r="D80" s="296" t="s">
        <v>116</v>
      </c>
      <c r="E80" s="299">
        <v>3</v>
      </c>
    </row>
    <row r="81" spans="1:5">
      <c r="A81" s="302" t="s">
        <v>43</v>
      </c>
      <c r="B81" s="302" t="s">
        <v>663</v>
      </c>
      <c r="C81" s="296" t="s">
        <v>78</v>
      </c>
      <c r="D81" s="296" t="s">
        <v>82</v>
      </c>
      <c r="E81" s="299">
        <v>3</v>
      </c>
    </row>
    <row r="82" spans="1:5">
      <c r="A82" s="302" t="s">
        <v>43</v>
      </c>
      <c r="B82" s="302"/>
      <c r="C82" s="296" t="s">
        <v>217</v>
      </c>
      <c r="D82" s="296" t="s">
        <v>82</v>
      </c>
      <c r="E82" s="299">
        <v>2</v>
      </c>
    </row>
    <row r="83" spans="1:5" ht="24">
      <c r="A83" s="302" t="s">
        <v>43</v>
      </c>
      <c r="B83" s="302" t="s">
        <v>663</v>
      </c>
      <c r="C83" s="296" t="s">
        <v>766</v>
      </c>
      <c r="D83" s="296" t="s">
        <v>107</v>
      </c>
      <c r="E83" s="299">
        <v>3</v>
      </c>
    </row>
    <row r="84" spans="1:5" ht="24">
      <c r="A84" s="302" t="s">
        <v>43</v>
      </c>
      <c r="B84" s="302" t="s">
        <v>663</v>
      </c>
      <c r="C84" s="296" t="s">
        <v>744</v>
      </c>
      <c r="D84" s="296" t="s">
        <v>107</v>
      </c>
      <c r="E84" s="299">
        <v>3</v>
      </c>
    </row>
  </sheetData>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L30" sqref="L30"/>
    </sheetView>
  </sheetViews>
  <sheetFormatPr baseColWidth="10" defaultColWidth="8.83203125" defaultRowHeight="12" x14ac:dyDescent="0"/>
  <sheetData>
    <row r="1" spans="1:1">
      <c r="A1" s="7" t="s">
        <v>825</v>
      </c>
    </row>
    <row r="3" spans="1:1">
      <c r="A3" s="67" t="s">
        <v>14</v>
      </c>
    </row>
    <row r="4" spans="1:1">
      <c r="A4" t="s">
        <v>801</v>
      </c>
    </row>
    <row r="5" spans="1:1">
      <c r="A5" t="s">
        <v>802</v>
      </c>
    </row>
    <row r="6" spans="1:1">
      <c r="A6" t="s">
        <v>803</v>
      </c>
    </row>
    <row r="7" spans="1:1">
      <c r="A7" t="s">
        <v>804</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H16" sqref="H16"/>
    </sheetView>
  </sheetViews>
  <sheetFormatPr baseColWidth="10" defaultColWidth="8.83203125" defaultRowHeight="12" x14ac:dyDescent="0"/>
  <sheetData>
    <row r="1" spans="1:11">
      <c r="A1" s="308">
        <v>1.95</v>
      </c>
      <c r="C1" s="67" t="s">
        <v>834</v>
      </c>
      <c r="G1">
        <v>1.77</v>
      </c>
      <c r="K1" s="67" t="s">
        <v>1102</v>
      </c>
    </row>
    <row r="2" spans="1:11">
      <c r="A2" s="308">
        <v>1.38</v>
      </c>
    </row>
    <row r="3" spans="1:11">
      <c r="A3" s="308">
        <v>1.97</v>
      </c>
    </row>
    <row r="4" spans="1:11">
      <c r="A4" s="308">
        <v>1.98</v>
      </c>
      <c r="C4" s="7" t="s">
        <v>825</v>
      </c>
    </row>
    <row r="5" spans="1:11">
      <c r="A5" s="308">
        <v>1.59</v>
      </c>
    </row>
    <row r="6" spans="1:11">
      <c r="A6" s="308">
        <v>1.57</v>
      </c>
    </row>
    <row r="7" spans="1:11">
      <c r="A7" s="308">
        <v>1.46</v>
      </c>
    </row>
    <row r="8" spans="1:11">
      <c r="A8" s="308">
        <v>1.61</v>
      </c>
    </row>
    <row r="9" spans="1:11">
      <c r="A9" s="308">
        <v>1.3</v>
      </c>
    </row>
    <row r="10" spans="1:11">
      <c r="A10" s="308">
        <v>1.5</v>
      </c>
    </row>
    <row r="11" spans="1:11">
      <c r="A11" s="308">
        <v>1.88</v>
      </c>
    </row>
    <row r="12" spans="1:11">
      <c r="A12" s="308">
        <v>1.82</v>
      </c>
    </row>
    <row r="13" spans="1:11">
      <c r="A13" s="308">
        <v>1.67</v>
      </c>
    </row>
    <row r="14" spans="1:11">
      <c r="A14" s="308">
        <v>1.85</v>
      </c>
    </row>
    <row r="15" spans="1:11">
      <c r="A15" s="309">
        <v>2.04</v>
      </c>
    </row>
    <row r="16" spans="1:11">
      <c r="A16" s="309">
        <v>2.04</v>
      </c>
    </row>
    <row r="17" spans="1:1">
      <c r="A17" s="308">
        <v>1.8</v>
      </c>
    </row>
    <row r="18" spans="1:1">
      <c r="A18" s="308">
        <v>1.71</v>
      </c>
    </row>
    <row r="19" spans="1:1">
      <c r="A19" s="308">
        <v>1.64</v>
      </c>
    </row>
    <row r="20" spans="1:1" ht="13.5" customHeight="1">
      <c r="A20" s="308">
        <v>1.79</v>
      </c>
    </row>
    <row r="21" spans="1:1" ht="12.75" customHeight="1">
      <c r="A21" s="308">
        <v>1.79</v>
      </c>
    </row>
    <row r="22" spans="1:1" ht="12.75" customHeight="1">
      <c r="A22" s="308">
        <v>1.56</v>
      </c>
    </row>
    <row r="23" spans="1:1">
      <c r="A23" s="308">
        <v>1.67</v>
      </c>
    </row>
    <row r="24" spans="1:1">
      <c r="A24" s="309">
        <v>2.04</v>
      </c>
    </row>
    <row r="25" spans="1:1">
      <c r="A25" s="308">
        <v>1.79</v>
      </c>
    </row>
    <row r="26" spans="1:1">
      <c r="A26" s="309">
        <v>2.0499999999999998</v>
      </c>
    </row>
    <row r="27" spans="1:1">
      <c r="A27" s="309">
        <v>2.34</v>
      </c>
    </row>
    <row r="28" spans="1:1">
      <c r="A28" s="309">
        <v>2.34</v>
      </c>
    </row>
    <row r="29" spans="1:1">
      <c r="A29" s="309">
        <v>2.34</v>
      </c>
    </row>
    <row r="30" spans="1:1">
      <c r="A30" s="308">
        <v>1.52</v>
      </c>
    </row>
    <row r="31" spans="1:1">
      <c r="A31" s="308">
        <v>1.52</v>
      </c>
    </row>
    <row r="32" spans="1:1">
      <c r="A32" s="308">
        <v>1.52</v>
      </c>
    </row>
    <row r="33" spans="1:1">
      <c r="A33" s="308">
        <v>1.52</v>
      </c>
    </row>
    <row r="34" spans="1:1">
      <c r="A34">
        <f>SUM(A1:A33)/33</f>
        <v>1.7742424242424246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4" workbookViewId="0">
      <selection activeCell="A30" sqref="A30"/>
    </sheetView>
  </sheetViews>
  <sheetFormatPr baseColWidth="10" defaultColWidth="8.83203125" defaultRowHeight="12" x14ac:dyDescent="0"/>
  <cols>
    <col min="1" max="1" width="21.6640625" customWidth="1"/>
    <col min="2" max="2" width="36.6640625" customWidth="1"/>
    <col min="3" max="3" width="15.83203125" customWidth="1"/>
    <col min="4" max="4" width="11.33203125" customWidth="1"/>
    <col min="5" max="5" width="13.33203125" customWidth="1"/>
    <col min="6" max="6" width="16.1640625" customWidth="1"/>
    <col min="7" max="7" width="15.5" customWidth="1"/>
  </cols>
  <sheetData>
    <row r="1" spans="1:7" ht="24">
      <c r="A1" s="68" t="s">
        <v>0</v>
      </c>
      <c r="B1" s="68" t="s">
        <v>69</v>
      </c>
      <c r="C1" s="68" t="s">
        <v>65</v>
      </c>
      <c r="D1" s="68" t="s">
        <v>91</v>
      </c>
      <c r="E1" s="68" t="s">
        <v>66</v>
      </c>
      <c r="F1" s="68" t="s">
        <v>527</v>
      </c>
      <c r="G1" s="68" t="s">
        <v>1077</v>
      </c>
    </row>
    <row r="2" spans="1:7">
      <c r="A2" s="42" t="s">
        <v>109</v>
      </c>
      <c r="B2" s="43" t="s">
        <v>185</v>
      </c>
      <c r="C2" s="42" t="s">
        <v>4</v>
      </c>
      <c r="D2" s="42" t="s">
        <v>70</v>
      </c>
      <c r="E2" s="42" t="s">
        <v>81</v>
      </c>
      <c r="F2" s="42">
        <v>19711</v>
      </c>
      <c r="G2" s="104" t="s">
        <v>382</v>
      </c>
    </row>
    <row r="3" spans="1:7">
      <c r="A3" s="42" t="s">
        <v>843</v>
      </c>
      <c r="B3" s="42" t="s">
        <v>131</v>
      </c>
      <c r="C3" s="42" t="s">
        <v>68</v>
      </c>
      <c r="D3" s="42" t="s">
        <v>76</v>
      </c>
      <c r="E3" s="42" t="s">
        <v>81</v>
      </c>
      <c r="F3" s="369">
        <v>60616</v>
      </c>
      <c r="G3" s="104" t="s">
        <v>262</v>
      </c>
    </row>
    <row r="4" spans="1:7" ht="24">
      <c r="A4" s="19" t="s">
        <v>851</v>
      </c>
      <c r="B4" s="19" t="s">
        <v>162</v>
      </c>
      <c r="C4" s="19" t="s">
        <v>93</v>
      </c>
      <c r="D4" s="370"/>
      <c r="E4" s="19" t="s">
        <v>94</v>
      </c>
      <c r="F4" s="370"/>
      <c r="G4" s="108" t="s">
        <v>393</v>
      </c>
    </row>
    <row r="5" spans="1:7" ht="24">
      <c r="A5" s="19" t="s">
        <v>1076</v>
      </c>
      <c r="B5" s="19" t="s">
        <v>172</v>
      </c>
      <c r="C5" s="19" t="s">
        <v>93</v>
      </c>
      <c r="D5" s="370"/>
      <c r="E5" s="19" t="s">
        <v>94</v>
      </c>
      <c r="F5" s="370"/>
      <c r="G5" s="108" t="s">
        <v>393</v>
      </c>
    </row>
    <row r="6" spans="1:7">
      <c r="A6" s="59" t="s">
        <v>158</v>
      </c>
      <c r="B6" s="59" t="s">
        <v>157</v>
      </c>
      <c r="C6" s="59" t="s">
        <v>19</v>
      </c>
      <c r="D6" s="59" t="s">
        <v>167</v>
      </c>
      <c r="E6" s="59" t="s">
        <v>15</v>
      </c>
      <c r="F6" s="59"/>
      <c r="G6" s="107" t="s">
        <v>367</v>
      </c>
    </row>
    <row r="7" spans="1:7" ht="24">
      <c r="A7" s="59" t="s">
        <v>159</v>
      </c>
      <c r="B7" s="59" t="s">
        <v>674</v>
      </c>
      <c r="C7" s="59" t="s">
        <v>166</v>
      </c>
      <c r="D7" s="59" t="s">
        <v>168</v>
      </c>
      <c r="E7" s="59" t="s">
        <v>15</v>
      </c>
      <c r="F7" s="59"/>
      <c r="G7" s="107" t="s">
        <v>759</v>
      </c>
    </row>
    <row r="10" spans="1:7" ht="14.25" customHeight="1">
      <c r="A10" s="68" t="s">
        <v>0</v>
      </c>
      <c r="B10" s="68" t="s">
        <v>65</v>
      </c>
      <c r="C10" s="68" t="s">
        <v>1080</v>
      </c>
      <c r="D10" s="68" t="s">
        <v>66</v>
      </c>
      <c r="E10" s="68" t="s">
        <v>1081</v>
      </c>
    </row>
    <row r="11" spans="1:7">
      <c r="A11" s="42" t="s">
        <v>4</v>
      </c>
      <c r="B11" s="42" t="s">
        <v>4</v>
      </c>
      <c r="C11" s="42" t="s">
        <v>70</v>
      </c>
      <c r="D11" s="42" t="s">
        <v>81</v>
      </c>
      <c r="E11" s="42" t="s">
        <v>1082</v>
      </c>
    </row>
    <row r="12" spans="1:7">
      <c r="A12" s="42" t="s">
        <v>1078</v>
      </c>
      <c r="B12" s="42" t="s">
        <v>68</v>
      </c>
      <c r="C12" s="42" t="s">
        <v>76</v>
      </c>
      <c r="D12" s="42" t="s">
        <v>81</v>
      </c>
      <c r="E12" s="42" t="s">
        <v>1082</v>
      </c>
    </row>
    <row r="13" spans="1:7">
      <c r="A13" s="19" t="s">
        <v>1079</v>
      </c>
      <c r="B13" s="19" t="s">
        <v>93</v>
      </c>
      <c r="C13" s="370"/>
      <c r="D13" s="19" t="s">
        <v>94</v>
      </c>
      <c r="E13" s="19" t="s">
        <v>14</v>
      </c>
    </row>
    <row r="14" spans="1:7">
      <c r="A14" s="19" t="s">
        <v>173</v>
      </c>
      <c r="B14" s="19" t="s">
        <v>93</v>
      </c>
      <c r="C14" s="370"/>
      <c r="D14" s="19" t="s">
        <v>94</v>
      </c>
      <c r="E14" s="19" t="s">
        <v>14</v>
      </c>
    </row>
    <row r="15" spans="1:7">
      <c r="A15" s="59" t="s">
        <v>158</v>
      </c>
      <c r="B15" s="59" t="s">
        <v>19</v>
      </c>
      <c r="C15" s="59" t="s">
        <v>167</v>
      </c>
      <c r="D15" s="59" t="s">
        <v>15</v>
      </c>
      <c r="E15" s="59" t="s">
        <v>1083</v>
      </c>
    </row>
    <row r="16" spans="1:7">
      <c r="A16" s="59" t="s">
        <v>159</v>
      </c>
      <c r="B16" s="59" t="s">
        <v>166</v>
      </c>
      <c r="C16" s="59" t="s">
        <v>168</v>
      </c>
      <c r="D16" s="59" t="s">
        <v>15</v>
      </c>
      <c r="E16" s="59" t="s">
        <v>1083</v>
      </c>
    </row>
    <row r="20" spans="1:6" ht="36">
      <c r="A20" s="90" t="s">
        <v>766</v>
      </c>
      <c r="B20" s="90" t="s">
        <v>333</v>
      </c>
      <c r="C20" s="90" t="s">
        <v>750</v>
      </c>
      <c r="D20" s="90" t="s">
        <v>751</v>
      </c>
      <c r="E20" s="90" t="s">
        <v>107</v>
      </c>
      <c r="F20" s="90" t="s">
        <v>752</v>
      </c>
    </row>
    <row r="21" spans="1:6" ht="24">
      <c r="A21" s="90" t="s">
        <v>744</v>
      </c>
      <c r="B21" s="90" t="s">
        <v>754</v>
      </c>
      <c r="C21" s="90" t="s">
        <v>749</v>
      </c>
      <c r="D21" s="90" t="s">
        <v>751</v>
      </c>
      <c r="E21" s="90" t="s">
        <v>107</v>
      </c>
      <c r="F21" s="90" t="s">
        <v>753</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zoomScale="70" zoomScaleNormal="70" zoomScalePageLayoutView="70" workbookViewId="0">
      <selection activeCell="D11" sqref="D11"/>
    </sheetView>
  </sheetViews>
  <sheetFormatPr baseColWidth="10" defaultColWidth="9.1640625" defaultRowHeight="12" x14ac:dyDescent="0"/>
  <cols>
    <col min="1" max="1" width="10.5" style="268" customWidth="1"/>
    <col min="2" max="2" width="10.6640625" style="268" customWidth="1"/>
    <col min="3" max="3" width="9.1640625" style="268" customWidth="1"/>
    <col min="4" max="4" width="40.33203125" style="268" customWidth="1"/>
    <col min="5" max="5" width="42.5" customWidth="1"/>
    <col min="6" max="6" width="16.1640625" style="268" customWidth="1"/>
    <col min="7" max="7" width="14.33203125" style="268" customWidth="1"/>
    <col min="8" max="8" width="12.5" style="268" customWidth="1"/>
    <col min="9" max="9" width="9.6640625" customWidth="1"/>
    <col min="10" max="10" width="48.1640625" style="268" customWidth="1"/>
    <col min="11" max="11" width="24.1640625" style="268" customWidth="1"/>
    <col min="12" max="12" width="16.5" style="268" customWidth="1"/>
    <col min="13" max="13" width="18.33203125" customWidth="1"/>
    <col min="14" max="14" width="15.6640625" style="268" customWidth="1"/>
    <col min="15" max="15" width="15.6640625" style="269" customWidth="1"/>
    <col min="16" max="16" width="16.6640625" bestFit="1" customWidth="1"/>
    <col min="17" max="17" width="15.33203125" bestFit="1" customWidth="1"/>
    <col min="18" max="18" width="16" bestFit="1" customWidth="1"/>
    <col min="19" max="19" width="14.1640625" bestFit="1" customWidth="1"/>
  </cols>
  <sheetData>
    <row r="1" spans="1:19" ht="17">
      <c r="A1" s="267" t="s">
        <v>770</v>
      </c>
      <c r="E1" s="7" t="s">
        <v>825</v>
      </c>
      <c r="Q1" s="270" t="s">
        <v>771</v>
      </c>
      <c r="R1" s="442">
        <v>41226</v>
      </c>
      <c r="S1" s="443"/>
    </row>
    <row r="2" spans="1:19" ht="24">
      <c r="A2" s="68" t="s">
        <v>31</v>
      </c>
      <c r="B2" s="68" t="s">
        <v>45</v>
      </c>
      <c r="C2" s="68" t="s">
        <v>20</v>
      </c>
      <c r="D2" s="68" t="s">
        <v>0</v>
      </c>
      <c r="E2" s="68" t="s">
        <v>69</v>
      </c>
      <c r="F2" s="68" t="s">
        <v>65</v>
      </c>
      <c r="G2" s="68" t="s">
        <v>91</v>
      </c>
      <c r="H2" s="68" t="s">
        <v>66</v>
      </c>
      <c r="I2" s="68" t="s">
        <v>772</v>
      </c>
      <c r="J2" s="68" t="s">
        <v>83</v>
      </c>
      <c r="K2" s="68" t="s">
        <v>773</v>
      </c>
      <c r="L2" s="68" t="s">
        <v>120</v>
      </c>
      <c r="M2" s="68" t="s">
        <v>774</v>
      </c>
      <c r="N2" s="68" t="s">
        <v>61</v>
      </c>
      <c r="O2" s="271" t="s">
        <v>32</v>
      </c>
      <c r="P2" s="68" t="s">
        <v>57</v>
      </c>
      <c r="Q2" s="18" t="s">
        <v>33</v>
      </c>
      <c r="R2" s="68" t="s">
        <v>34</v>
      </c>
      <c r="S2" s="68" t="s">
        <v>35</v>
      </c>
    </row>
    <row r="3" spans="1:19" ht="50" customHeight="1">
      <c r="A3" s="272" t="s">
        <v>36</v>
      </c>
      <c r="B3" s="273" t="s">
        <v>14</v>
      </c>
      <c r="C3" s="274" t="s">
        <v>43</v>
      </c>
      <c r="D3" s="275" t="s">
        <v>146</v>
      </c>
      <c r="E3" s="276" t="s">
        <v>607</v>
      </c>
      <c r="F3" s="275" t="s">
        <v>179</v>
      </c>
      <c r="G3" s="275" t="s">
        <v>179</v>
      </c>
      <c r="H3" s="275" t="s">
        <v>180</v>
      </c>
      <c r="I3" s="274" t="s">
        <v>608</v>
      </c>
      <c r="J3" s="276" t="s">
        <v>609</v>
      </c>
      <c r="K3" s="274" t="s">
        <v>610</v>
      </c>
      <c r="L3" s="274" t="s">
        <v>611</v>
      </c>
      <c r="M3" s="277">
        <v>22</v>
      </c>
      <c r="N3" s="278">
        <v>0.85</v>
      </c>
      <c r="O3" s="279" t="s">
        <v>775</v>
      </c>
      <c r="P3" s="279" t="s">
        <v>612</v>
      </c>
      <c r="Q3" s="280" t="s">
        <v>613</v>
      </c>
      <c r="R3" s="279" t="s">
        <v>612</v>
      </c>
      <c r="S3" s="281">
        <v>1.5</v>
      </c>
    </row>
    <row r="4" spans="1:19" ht="60" customHeight="1">
      <c r="A4" s="272" t="s">
        <v>36</v>
      </c>
      <c r="B4" s="273" t="s">
        <v>14</v>
      </c>
      <c r="C4" s="274" t="s">
        <v>43</v>
      </c>
      <c r="D4" s="275" t="s">
        <v>146</v>
      </c>
      <c r="E4" s="276" t="s">
        <v>614</v>
      </c>
      <c r="F4" s="275" t="s">
        <v>179</v>
      </c>
      <c r="G4" s="275" t="s">
        <v>179</v>
      </c>
      <c r="H4" s="275" t="s">
        <v>180</v>
      </c>
      <c r="I4" s="274" t="s">
        <v>776</v>
      </c>
      <c r="J4" s="276" t="s">
        <v>777</v>
      </c>
      <c r="K4" s="274" t="s">
        <v>610</v>
      </c>
      <c r="L4" s="274" t="s">
        <v>611</v>
      </c>
      <c r="M4" s="277">
        <v>11</v>
      </c>
      <c r="N4" s="278">
        <v>0.8</v>
      </c>
      <c r="O4" s="279" t="s">
        <v>778</v>
      </c>
      <c r="P4" s="279" t="s">
        <v>612</v>
      </c>
      <c r="Q4" s="280" t="s">
        <v>615</v>
      </c>
      <c r="R4" s="279" t="s">
        <v>612</v>
      </c>
      <c r="S4" s="281" t="s">
        <v>616</v>
      </c>
    </row>
    <row r="5" spans="1:19" ht="50" customHeight="1">
      <c r="A5" s="272" t="s">
        <v>36</v>
      </c>
      <c r="B5" s="273" t="s">
        <v>14</v>
      </c>
      <c r="C5" s="274" t="s">
        <v>43</v>
      </c>
      <c r="D5" s="275" t="s">
        <v>145</v>
      </c>
      <c r="E5" s="282" t="s">
        <v>617</v>
      </c>
      <c r="F5" s="275" t="s">
        <v>618</v>
      </c>
      <c r="G5" s="275" t="s">
        <v>619</v>
      </c>
      <c r="H5" s="275" t="s">
        <v>95</v>
      </c>
      <c r="I5" s="274">
        <v>3</v>
      </c>
      <c r="J5" s="274" t="s">
        <v>215</v>
      </c>
      <c r="K5" s="274" t="s">
        <v>620</v>
      </c>
      <c r="L5" s="274" t="s">
        <v>219</v>
      </c>
      <c r="M5" s="277">
        <v>300</v>
      </c>
      <c r="N5" s="278">
        <v>0.95</v>
      </c>
      <c r="O5" s="279" t="s">
        <v>621</v>
      </c>
      <c r="P5" s="279" t="s">
        <v>621</v>
      </c>
      <c r="Q5" s="279" t="s">
        <v>621</v>
      </c>
      <c r="R5" s="279" t="s">
        <v>621</v>
      </c>
      <c r="S5" s="279" t="s">
        <v>621</v>
      </c>
    </row>
    <row r="6" spans="1:19" ht="50" customHeight="1">
      <c r="A6" s="272" t="s">
        <v>36</v>
      </c>
      <c r="B6" s="273" t="s">
        <v>14</v>
      </c>
      <c r="C6" s="274" t="s">
        <v>43</v>
      </c>
      <c r="D6" s="275" t="s">
        <v>622</v>
      </c>
      <c r="E6" s="282" t="s">
        <v>212</v>
      </c>
      <c r="F6" s="275" t="s">
        <v>171</v>
      </c>
      <c r="G6" s="275" t="s">
        <v>619</v>
      </c>
      <c r="H6" s="275" t="s">
        <v>95</v>
      </c>
      <c r="I6" s="274">
        <v>2</v>
      </c>
      <c r="J6" s="274" t="s">
        <v>141</v>
      </c>
      <c r="K6" s="274" t="s">
        <v>620</v>
      </c>
      <c r="L6" s="274" t="s">
        <v>623</v>
      </c>
      <c r="M6" s="277">
        <v>100</v>
      </c>
      <c r="N6" s="283">
        <v>0.9</v>
      </c>
      <c r="O6" s="279" t="s">
        <v>621</v>
      </c>
      <c r="P6" s="279" t="s">
        <v>621</v>
      </c>
      <c r="Q6" s="279" t="s">
        <v>621</v>
      </c>
      <c r="R6" s="279" t="s">
        <v>621</v>
      </c>
      <c r="S6" s="279" t="s">
        <v>621</v>
      </c>
    </row>
    <row r="7" spans="1:19" ht="50" customHeight="1">
      <c r="A7" s="272" t="s">
        <v>36</v>
      </c>
      <c r="B7" s="273" t="s">
        <v>14</v>
      </c>
      <c r="C7" s="274" t="s">
        <v>43</v>
      </c>
      <c r="D7" s="275" t="s">
        <v>148</v>
      </c>
      <c r="E7" s="282" t="s">
        <v>211</v>
      </c>
      <c r="F7" s="275" t="s">
        <v>96</v>
      </c>
      <c r="G7" s="275" t="s">
        <v>624</v>
      </c>
      <c r="H7" s="275" t="s">
        <v>97</v>
      </c>
      <c r="I7" s="274">
        <v>3</v>
      </c>
      <c r="J7" s="274" t="s">
        <v>147</v>
      </c>
      <c r="K7" s="274" t="s">
        <v>625</v>
      </c>
      <c r="L7" s="274" t="s">
        <v>623</v>
      </c>
      <c r="M7" s="277">
        <v>110</v>
      </c>
      <c r="N7" s="283">
        <v>0.77</v>
      </c>
      <c r="O7" s="279" t="s">
        <v>621</v>
      </c>
      <c r="P7" s="279" t="s">
        <v>621</v>
      </c>
      <c r="Q7" s="279" t="s">
        <v>621</v>
      </c>
      <c r="R7" s="279" t="s">
        <v>621</v>
      </c>
      <c r="S7" s="279" t="s">
        <v>621</v>
      </c>
    </row>
    <row r="8" spans="1:19" ht="50" customHeight="1">
      <c r="A8" s="272" t="s">
        <v>36</v>
      </c>
      <c r="B8" s="273" t="s">
        <v>14</v>
      </c>
      <c r="C8" s="274" t="s">
        <v>43</v>
      </c>
      <c r="D8" s="275" t="s">
        <v>145</v>
      </c>
      <c r="E8" s="282" t="s">
        <v>626</v>
      </c>
      <c r="F8" s="275" t="s">
        <v>96</v>
      </c>
      <c r="G8" s="275" t="s">
        <v>624</v>
      </c>
      <c r="H8" s="275" t="s">
        <v>97</v>
      </c>
      <c r="I8" s="274">
        <v>3</v>
      </c>
      <c r="J8" s="274" t="s">
        <v>627</v>
      </c>
      <c r="K8" s="274" t="s">
        <v>625</v>
      </c>
      <c r="L8" s="274" t="s">
        <v>122</v>
      </c>
      <c r="M8" s="277">
        <v>125</v>
      </c>
      <c r="N8" s="283">
        <v>0.61</v>
      </c>
      <c r="O8" s="279" t="s">
        <v>621</v>
      </c>
      <c r="P8" s="279" t="s">
        <v>621</v>
      </c>
      <c r="Q8" s="279" t="s">
        <v>621</v>
      </c>
      <c r="R8" s="279" t="s">
        <v>621</v>
      </c>
      <c r="S8" s="279" t="s">
        <v>621</v>
      </c>
    </row>
    <row r="9" spans="1:19" ht="50" customHeight="1">
      <c r="A9" s="272" t="s">
        <v>36</v>
      </c>
      <c r="B9" s="273" t="s">
        <v>14</v>
      </c>
      <c r="C9" s="274" t="s">
        <v>43</v>
      </c>
      <c r="D9" s="275" t="s">
        <v>207</v>
      </c>
      <c r="E9" s="282" t="s">
        <v>628</v>
      </c>
      <c r="F9" s="275" t="s">
        <v>96</v>
      </c>
      <c r="G9" s="275" t="s">
        <v>624</v>
      </c>
      <c r="H9" s="275" t="s">
        <v>97</v>
      </c>
      <c r="I9" s="274">
        <v>2</v>
      </c>
      <c r="J9" s="274" t="s">
        <v>629</v>
      </c>
      <c r="K9" s="274" t="s">
        <v>625</v>
      </c>
      <c r="L9" s="274" t="s">
        <v>623</v>
      </c>
      <c r="M9" s="277">
        <v>25</v>
      </c>
      <c r="N9" s="283">
        <v>0.25</v>
      </c>
      <c r="O9" s="279" t="s">
        <v>621</v>
      </c>
      <c r="P9" s="279" t="s">
        <v>621</v>
      </c>
      <c r="Q9" s="279" t="s">
        <v>621</v>
      </c>
      <c r="R9" s="279" t="s">
        <v>621</v>
      </c>
      <c r="S9" s="279" t="s">
        <v>621</v>
      </c>
    </row>
    <row r="10" spans="1:19" ht="50" customHeight="1">
      <c r="A10" s="272" t="s">
        <v>36</v>
      </c>
      <c r="B10" s="273" t="s">
        <v>14</v>
      </c>
      <c r="C10" s="274" t="s">
        <v>43</v>
      </c>
      <c r="D10" s="275" t="s">
        <v>779</v>
      </c>
      <c r="E10" s="282" t="s">
        <v>780</v>
      </c>
      <c r="F10" s="275" t="s">
        <v>630</v>
      </c>
      <c r="G10" s="275" t="s">
        <v>88</v>
      </c>
      <c r="H10" s="275" t="s">
        <v>88</v>
      </c>
      <c r="I10" s="274">
        <v>4</v>
      </c>
      <c r="J10" s="275" t="s">
        <v>781</v>
      </c>
      <c r="K10" s="274" t="s">
        <v>620</v>
      </c>
      <c r="L10" s="274" t="s">
        <v>782</v>
      </c>
      <c r="M10" s="277">
        <v>491</v>
      </c>
      <c r="N10" s="283">
        <v>0.8</v>
      </c>
      <c r="O10" s="279" t="s">
        <v>621</v>
      </c>
      <c r="P10" s="279" t="s">
        <v>621</v>
      </c>
      <c r="Q10" s="279" t="s">
        <v>621</v>
      </c>
      <c r="R10" s="279" t="s">
        <v>621</v>
      </c>
      <c r="S10" s="279" t="s">
        <v>621</v>
      </c>
    </row>
    <row r="11" spans="1:19" ht="50" customHeight="1">
      <c r="A11" s="274" t="s">
        <v>36</v>
      </c>
      <c r="B11" s="274" t="s">
        <v>14</v>
      </c>
      <c r="C11" s="274" t="s">
        <v>43</v>
      </c>
      <c r="D11" s="275" t="s">
        <v>210</v>
      </c>
      <c r="E11" s="282" t="s">
        <v>631</v>
      </c>
      <c r="F11" s="275" t="s">
        <v>99</v>
      </c>
      <c r="G11" s="275"/>
      <c r="H11" s="275" t="s">
        <v>100</v>
      </c>
      <c r="I11" s="274">
        <v>3</v>
      </c>
      <c r="J11" s="274" t="s">
        <v>783</v>
      </c>
      <c r="K11" s="274" t="s">
        <v>632</v>
      </c>
      <c r="L11" s="274" t="s">
        <v>623</v>
      </c>
      <c r="M11" s="279" t="s">
        <v>621</v>
      </c>
      <c r="N11" s="283">
        <v>0.6</v>
      </c>
      <c r="O11" s="279" t="s">
        <v>621</v>
      </c>
      <c r="P11" s="279" t="s">
        <v>621</v>
      </c>
      <c r="Q11" s="279" t="s">
        <v>621</v>
      </c>
      <c r="R11" s="279" t="s">
        <v>633</v>
      </c>
      <c r="S11" s="279" t="s">
        <v>621</v>
      </c>
    </row>
    <row r="12" spans="1:19" ht="50" customHeight="1">
      <c r="A12" s="274" t="s">
        <v>36</v>
      </c>
      <c r="B12" s="274" t="s">
        <v>14</v>
      </c>
      <c r="C12" s="274" t="s">
        <v>43</v>
      </c>
      <c r="D12" s="275" t="s">
        <v>209</v>
      </c>
      <c r="E12" s="282" t="s">
        <v>634</v>
      </c>
      <c r="F12" s="275" t="s">
        <v>99</v>
      </c>
      <c r="G12" s="275"/>
      <c r="H12" s="275" t="s">
        <v>100</v>
      </c>
      <c r="I12" s="274">
        <v>4</v>
      </c>
      <c r="J12" s="274" t="s">
        <v>783</v>
      </c>
      <c r="K12" s="274" t="s">
        <v>632</v>
      </c>
      <c r="L12" s="274" t="s">
        <v>122</v>
      </c>
      <c r="M12" s="279" t="s">
        <v>621</v>
      </c>
      <c r="N12" s="283">
        <v>0.7</v>
      </c>
      <c r="O12" s="279" t="s">
        <v>621</v>
      </c>
      <c r="P12" s="279" t="s">
        <v>621</v>
      </c>
      <c r="Q12" s="279" t="s">
        <v>621</v>
      </c>
      <c r="R12" s="284" t="s">
        <v>635</v>
      </c>
      <c r="S12" s="279" t="s">
        <v>621</v>
      </c>
    </row>
    <row r="13" spans="1:19" ht="50" customHeight="1">
      <c r="A13" s="274" t="s">
        <v>36</v>
      </c>
      <c r="B13" s="274" t="s">
        <v>14</v>
      </c>
      <c r="C13" s="274" t="s">
        <v>43</v>
      </c>
      <c r="D13" s="275" t="s">
        <v>145</v>
      </c>
      <c r="E13" s="282" t="s">
        <v>208</v>
      </c>
      <c r="F13" s="275" t="s">
        <v>98</v>
      </c>
      <c r="G13" s="275" t="s">
        <v>636</v>
      </c>
      <c r="H13" s="275" t="s">
        <v>90</v>
      </c>
      <c r="I13" s="274">
        <v>3</v>
      </c>
      <c r="J13" s="274" t="s">
        <v>143</v>
      </c>
      <c r="K13" s="274" t="s">
        <v>637</v>
      </c>
      <c r="L13" s="274" t="s">
        <v>623</v>
      </c>
      <c r="M13" s="277">
        <v>466.42</v>
      </c>
      <c r="N13" s="283">
        <v>1</v>
      </c>
      <c r="O13" s="279" t="s">
        <v>784</v>
      </c>
      <c r="P13" s="285">
        <v>750</v>
      </c>
      <c r="Q13" s="280"/>
      <c r="R13" s="279"/>
      <c r="S13" s="281"/>
    </row>
  </sheetData>
  <mergeCells count="1">
    <mergeCell ref="R1:S1"/>
  </mergeCell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1"/>
  <sheetViews>
    <sheetView zoomScale="75" zoomScaleNormal="75" zoomScalePageLayoutView="75" workbookViewId="0">
      <selection sqref="A1:XFD5"/>
    </sheetView>
  </sheetViews>
  <sheetFormatPr baseColWidth="10" defaultColWidth="8.83203125" defaultRowHeight="12" x14ac:dyDescent="0"/>
  <cols>
    <col min="1" max="1" width="8.5" style="67" customWidth="1"/>
    <col min="2" max="2" width="16.83203125" style="67" customWidth="1"/>
    <col min="3" max="3" width="34.83203125" style="67" customWidth="1"/>
    <col min="4" max="4" width="9.1640625" style="67" customWidth="1"/>
    <col min="5" max="5" width="8.1640625" style="67" customWidth="1"/>
    <col min="6" max="6" width="8.6640625" style="67" customWidth="1"/>
    <col min="7" max="7" width="8.83203125" style="67" customWidth="1"/>
    <col min="8" max="8" width="11.33203125" style="67" customWidth="1"/>
    <col min="9" max="9" width="13.83203125" style="67" customWidth="1"/>
    <col min="10" max="10" width="12.5" style="67" customWidth="1"/>
    <col min="11" max="11" width="10.83203125" style="67" customWidth="1"/>
    <col min="12" max="12" width="8.5" style="67" customWidth="1"/>
    <col min="13" max="13" width="7.1640625" style="67" customWidth="1"/>
    <col min="14" max="14" width="10.1640625" style="67" customWidth="1"/>
    <col min="15" max="15" width="9.6640625" style="67" customWidth="1"/>
    <col min="16" max="16" width="8.83203125" style="67"/>
    <col min="17" max="17" width="10.83203125" style="67" customWidth="1"/>
    <col min="18" max="16384" width="8.83203125" style="67"/>
  </cols>
  <sheetData>
    <row r="1" spans="1:23" s="317" customFormat="1" ht="125.25" customHeight="1">
      <c r="A1" s="315" t="s">
        <v>1129</v>
      </c>
      <c r="B1" s="315" t="s">
        <v>1130</v>
      </c>
      <c r="C1" s="315" t="s">
        <v>66</v>
      </c>
      <c r="D1" s="316" t="s">
        <v>856</v>
      </c>
      <c r="E1" s="316" t="s">
        <v>857</v>
      </c>
      <c r="F1" s="316" t="s">
        <v>858</v>
      </c>
      <c r="G1" s="316" t="s">
        <v>1131</v>
      </c>
      <c r="H1" s="316" t="s">
        <v>1132</v>
      </c>
      <c r="I1" s="316" t="s">
        <v>1133</v>
      </c>
      <c r="J1" s="316" t="s">
        <v>859</v>
      </c>
      <c r="K1" s="316" t="s">
        <v>860</v>
      </c>
      <c r="L1" s="316" t="s">
        <v>861</v>
      </c>
      <c r="M1" s="316" t="s">
        <v>862</v>
      </c>
      <c r="N1" s="316" t="s">
        <v>863</v>
      </c>
      <c r="O1" s="316" t="s">
        <v>864</v>
      </c>
      <c r="P1" s="316" t="s">
        <v>865</v>
      </c>
      <c r="Q1" s="316" t="s">
        <v>866</v>
      </c>
      <c r="R1" s="316" t="s">
        <v>867</v>
      </c>
      <c r="S1" s="316" t="s">
        <v>868</v>
      </c>
      <c r="T1" s="316" t="s">
        <v>869</v>
      </c>
      <c r="U1" s="316" t="s">
        <v>870</v>
      </c>
      <c r="V1" s="316" t="s">
        <v>871</v>
      </c>
      <c r="W1" s="316" t="s">
        <v>872</v>
      </c>
    </row>
    <row r="2" spans="1:23" ht="7" customHeight="1">
      <c r="A2" s="318"/>
      <c r="B2" s="318"/>
      <c r="C2" s="318"/>
      <c r="D2" s="319"/>
      <c r="E2" s="319"/>
      <c r="F2" s="319"/>
      <c r="G2" s="319"/>
      <c r="H2" s="319"/>
      <c r="I2" s="319"/>
      <c r="J2" s="319"/>
      <c r="K2" s="319"/>
      <c r="L2" s="319"/>
      <c r="M2" s="319"/>
      <c r="N2" s="319"/>
      <c r="O2" s="319"/>
      <c r="P2" s="319"/>
      <c r="Q2" s="319"/>
      <c r="R2" s="319"/>
      <c r="S2" s="319"/>
      <c r="T2" s="319"/>
      <c r="U2" s="319"/>
      <c r="V2" s="319"/>
      <c r="W2" s="320"/>
    </row>
    <row r="3" spans="1:23" s="324" customFormat="1" ht="36" customHeight="1">
      <c r="A3" s="321" t="s">
        <v>669</v>
      </c>
      <c r="B3" s="321" t="s">
        <v>1134</v>
      </c>
      <c r="C3" s="321" t="s">
        <v>15</v>
      </c>
      <c r="D3" s="321" t="s">
        <v>873</v>
      </c>
      <c r="E3" s="321">
        <v>1526</v>
      </c>
      <c r="F3" s="321">
        <v>28</v>
      </c>
      <c r="G3" s="321" t="s">
        <v>874</v>
      </c>
      <c r="H3" s="321">
        <v>3</v>
      </c>
      <c r="I3" s="321" t="s">
        <v>875</v>
      </c>
      <c r="J3" s="321" t="s">
        <v>876</v>
      </c>
      <c r="K3" s="321">
        <v>3</v>
      </c>
      <c r="L3" s="321">
        <v>1032</v>
      </c>
      <c r="M3" s="321">
        <v>1.76</v>
      </c>
      <c r="N3" s="321">
        <v>7</v>
      </c>
      <c r="O3" s="322" t="s">
        <v>877</v>
      </c>
      <c r="P3" s="321" t="s">
        <v>741</v>
      </c>
      <c r="Q3" s="321" t="s">
        <v>878</v>
      </c>
      <c r="R3" s="321" t="s">
        <v>612</v>
      </c>
      <c r="S3" s="321">
        <v>9545</v>
      </c>
      <c r="T3" s="321">
        <v>2306</v>
      </c>
      <c r="U3" s="321">
        <v>3100</v>
      </c>
      <c r="V3" s="321" t="s">
        <v>879</v>
      </c>
      <c r="W3" s="323">
        <v>5</v>
      </c>
    </row>
    <row r="4" spans="1:23" s="326" customFormat="1" ht="36" customHeight="1">
      <c r="A4" s="321" t="s">
        <v>669</v>
      </c>
      <c r="B4" s="321" t="s">
        <v>880</v>
      </c>
      <c r="C4" s="321" t="s">
        <v>881</v>
      </c>
      <c r="D4" s="321" t="s">
        <v>873</v>
      </c>
      <c r="E4" s="321">
        <v>743</v>
      </c>
      <c r="F4" s="321">
        <v>4</v>
      </c>
      <c r="G4" s="321" t="s">
        <v>873</v>
      </c>
      <c r="H4" s="321">
        <v>0</v>
      </c>
      <c r="I4" s="321" t="s">
        <v>875</v>
      </c>
      <c r="J4" s="321" t="s">
        <v>1135</v>
      </c>
      <c r="K4" s="321">
        <v>3</v>
      </c>
      <c r="L4" s="321">
        <v>970</v>
      </c>
      <c r="M4" s="321">
        <v>1.95</v>
      </c>
      <c r="N4" s="321">
        <v>4</v>
      </c>
      <c r="O4" s="321" t="s">
        <v>882</v>
      </c>
      <c r="P4" s="321" t="s">
        <v>741</v>
      </c>
      <c r="Q4" s="321" t="s">
        <v>873</v>
      </c>
      <c r="R4" s="321" t="s">
        <v>612</v>
      </c>
      <c r="S4" s="321">
        <v>130</v>
      </c>
      <c r="T4" s="321">
        <v>1400</v>
      </c>
      <c r="U4" s="321">
        <v>930</v>
      </c>
      <c r="V4" s="321" t="s">
        <v>883</v>
      </c>
      <c r="W4" s="325">
        <v>4</v>
      </c>
    </row>
    <row r="5" spans="1:23" s="326" customFormat="1" ht="36" customHeight="1">
      <c r="A5" s="321" t="s">
        <v>669</v>
      </c>
      <c r="B5" s="321" t="s">
        <v>884</v>
      </c>
      <c r="C5" s="321" t="s">
        <v>101</v>
      </c>
      <c r="D5" s="321" t="s">
        <v>885</v>
      </c>
      <c r="E5" s="321">
        <v>2508</v>
      </c>
      <c r="F5" s="321">
        <v>9</v>
      </c>
      <c r="G5" s="321" t="s">
        <v>873</v>
      </c>
      <c r="H5" s="321">
        <v>0</v>
      </c>
      <c r="I5" s="321" t="s">
        <v>875</v>
      </c>
      <c r="J5" s="321" t="s">
        <v>1136</v>
      </c>
      <c r="K5" s="321">
        <v>3</v>
      </c>
      <c r="L5" s="321">
        <v>730</v>
      </c>
      <c r="M5" s="321">
        <v>1.63</v>
      </c>
      <c r="N5" s="321">
        <v>9</v>
      </c>
      <c r="O5" s="321" t="s">
        <v>882</v>
      </c>
      <c r="P5" s="321" t="s">
        <v>741</v>
      </c>
      <c r="Q5" s="321" t="s">
        <v>878</v>
      </c>
      <c r="R5" s="321" t="s">
        <v>612</v>
      </c>
      <c r="S5" s="321">
        <v>5703</v>
      </c>
      <c r="T5" s="321">
        <v>5100</v>
      </c>
      <c r="U5" s="321">
        <v>760</v>
      </c>
      <c r="V5" s="321" t="s">
        <v>883</v>
      </c>
      <c r="W5" s="325">
        <v>6</v>
      </c>
    </row>
    <row r="6" spans="1:23" s="326" customFormat="1" ht="36" customHeight="1">
      <c r="A6" s="325" t="s">
        <v>669</v>
      </c>
      <c r="B6" s="325" t="s">
        <v>886</v>
      </c>
      <c r="C6" s="325" t="s">
        <v>104</v>
      </c>
      <c r="D6" s="321" t="s">
        <v>873</v>
      </c>
      <c r="E6" s="321">
        <v>156</v>
      </c>
      <c r="F6" s="321">
        <v>1</v>
      </c>
      <c r="G6" s="321" t="s">
        <v>873</v>
      </c>
      <c r="H6" s="321">
        <v>0</v>
      </c>
      <c r="I6" s="321">
        <v>3</v>
      </c>
      <c r="J6" s="321" t="s">
        <v>887</v>
      </c>
      <c r="K6" s="321">
        <v>3</v>
      </c>
      <c r="L6" s="321">
        <v>1000</v>
      </c>
      <c r="M6" s="321" t="s">
        <v>888</v>
      </c>
      <c r="N6" s="321">
        <v>1</v>
      </c>
      <c r="O6" s="321" t="s">
        <v>882</v>
      </c>
      <c r="P6" s="321" t="s">
        <v>741</v>
      </c>
      <c r="Q6" s="321" t="s">
        <v>873</v>
      </c>
      <c r="R6" s="321" t="s">
        <v>612</v>
      </c>
      <c r="S6" s="321">
        <v>0</v>
      </c>
      <c r="T6" s="321">
        <v>300</v>
      </c>
      <c r="U6" s="321">
        <v>250</v>
      </c>
      <c r="V6" s="321" t="s">
        <v>200</v>
      </c>
      <c r="W6" s="325">
        <v>1</v>
      </c>
    </row>
    <row r="7" spans="1:23" s="326" customFormat="1" ht="45" customHeight="1">
      <c r="A7" s="321" t="s">
        <v>669</v>
      </c>
      <c r="B7" s="321" t="s">
        <v>889</v>
      </c>
      <c r="C7" s="321" t="s">
        <v>15</v>
      </c>
      <c r="D7" s="321" t="s">
        <v>873</v>
      </c>
      <c r="E7" s="321">
        <v>2800</v>
      </c>
      <c r="F7" s="321">
        <v>30</v>
      </c>
      <c r="G7" s="321" t="s">
        <v>874</v>
      </c>
      <c r="H7" s="321">
        <v>4</v>
      </c>
      <c r="I7" s="321" t="s">
        <v>875</v>
      </c>
      <c r="J7" s="321" t="s">
        <v>876</v>
      </c>
      <c r="K7" s="321">
        <v>3</v>
      </c>
      <c r="L7" s="321">
        <v>800</v>
      </c>
      <c r="M7" s="321">
        <v>1.7</v>
      </c>
      <c r="N7" s="321">
        <v>8</v>
      </c>
      <c r="O7" s="322" t="s">
        <v>877</v>
      </c>
      <c r="P7" s="321" t="s">
        <v>875</v>
      </c>
      <c r="Q7" s="321" t="s">
        <v>878</v>
      </c>
      <c r="R7" s="321" t="s">
        <v>612</v>
      </c>
      <c r="S7" s="321">
        <v>8072</v>
      </c>
      <c r="T7" s="321">
        <v>9875</v>
      </c>
      <c r="U7" s="321">
        <v>3023</v>
      </c>
      <c r="V7" s="321" t="s">
        <v>890</v>
      </c>
      <c r="W7" s="325">
        <v>5</v>
      </c>
    </row>
    <row r="8" spans="1:23" s="324" customFormat="1" ht="36" customHeight="1">
      <c r="A8" s="327" t="s">
        <v>669</v>
      </c>
      <c r="B8" s="327" t="s">
        <v>891</v>
      </c>
      <c r="C8" s="327" t="s">
        <v>101</v>
      </c>
      <c r="D8" s="327" t="s">
        <v>873</v>
      </c>
      <c r="E8" s="327">
        <v>278</v>
      </c>
      <c r="F8" s="327">
        <v>2</v>
      </c>
      <c r="G8" s="321" t="s">
        <v>874</v>
      </c>
      <c r="H8" s="321">
        <v>2</v>
      </c>
      <c r="I8" s="321">
        <v>3</v>
      </c>
      <c r="J8" s="321" t="s">
        <v>892</v>
      </c>
      <c r="K8" s="321">
        <v>3</v>
      </c>
      <c r="L8" s="321">
        <v>4000</v>
      </c>
      <c r="M8" s="321">
        <v>2.15</v>
      </c>
      <c r="N8" s="321">
        <v>1</v>
      </c>
      <c r="O8" s="321" t="s">
        <v>882</v>
      </c>
      <c r="P8" s="321" t="s">
        <v>741</v>
      </c>
      <c r="Q8" s="321" t="s">
        <v>878</v>
      </c>
      <c r="R8" s="321" t="s">
        <v>612</v>
      </c>
      <c r="S8" s="321">
        <v>0</v>
      </c>
      <c r="T8" s="321">
        <v>9</v>
      </c>
      <c r="U8" s="321">
        <v>5</v>
      </c>
      <c r="V8" s="321" t="s">
        <v>648</v>
      </c>
      <c r="W8" s="323">
        <v>2</v>
      </c>
    </row>
    <row r="9" spans="1:23" s="326" customFormat="1" ht="36" customHeight="1">
      <c r="A9" s="321" t="s">
        <v>669</v>
      </c>
      <c r="B9" s="321" t="s">
        <v>893</v>
      </c>
      <c r="C9" s="321" t="s">
        <v>7</v>
      </c>
      <c r="D9" s="321" t="s">
        <v>873</v>
      </c>
      <c r="E9" s="321">
        <v>557</v>
      </c>
      <c r="F9" s="321">
        <v>3</v>
      </c>
      <c r="G9" s="327" t="s">
        <v>873</v>
      </c>
      <c r="H9" s="327">
        <v>0</v>
      </c>
      <c r="I9" s="327" t="s">
        <v>875</v>
      </c>
      <c r="J9" s="327" t="s">
        <v>894</v>
      </c>
      <c r="K9" s="327">
        <v>2</v>
      </c>
      <c r="L9" s="327">
        <v>660</v>
      </c>
      <c r="M9" s="327">
        <v>2.21</v>
      </c>
      <c r="N9" s="327">
        <v>6</v>
      </c>
      <c r="O9" s="327" t="s">
        <v>882</v>
      </c>
      <c r="P9" s="327" t="s">
        <v>741</v>
      </c>
      <c r="Q9" s="327" t="s">
        <v>873</v>
      </c>
      <c r="R9" s="327" t="s">
        <v>612</v>
      </c>
      <c r="S9" s="327">
        <v>0</v>
      </c>
      <c r="T9" s="327">
        <v>1065</v>
      </c>
      <c r="U9" s="327">
        <v>3</v>
      </c>
      <c r="V9" s="327" t="s">
        <v>883</v>
      </c>
      <c r="W9" s="325">
        <v>4</v>
      </c>
    </row>
    <row r="10" spans="1:23" s="326" customFormat="1" ht="36">
      <c r="A10" s="321" t="s">
        <v>669</v>
      </c>
      <c r="B10" s="321" t="s">
        <v>895</v>
      </c>
      <c r="C10" s="321" t="s">
        <v>15</v>
      </c>
      <c r="D10" s="321" t="s">
        <v>873</v>
      </c>
      <c r="E10" s="321">
        <v>475</v>
      </c>
      <c r="F10" s="321">
        <v>8</v>
      </c>
      <c r="G10" s="321" t="s">
        <v>874</v>
      </c>
      <c r="H10" s="321">
        <v>2</v>
      </c>
      <c r="I10" s="321" t="s">
        <v>875</v>
      </c>
      <c r="J10" s="321" t="s">
        <v>896</v>
      </c>
      <c r="K10" s="321">
        <v>3</v>
      </c>
      <c r="L10" s="321">
        <v>1400</v>
      </c>
      <c r="M10" s="321">
        <v>1.7</v>
      </c>
      <c r="N10" s="321">
        <v>9</v>
      </c>
      <c r="O10" s="322" t="s">
        <v>877</v>
      </c>
      <c r="P10" s="321" t="s">
        <v>741</v>
      </c>
      <c r="Q10" s="321" t="s">
        <v>878</v>
      </c>
      <c r="R10" s="321" t="s">
        <v>612</v>
      </c>
      <c r="S10" s="321">
        <v>0</v>
      </c>
      <c r="T10" s="321">
        <v>1705</v>
      </c>
      <c r="U10" s="321">
        <v>1149</v>
      </c>
      <c r="V10" s="321" t="s">
        <v>897</v>
      </c>
      <c r="W10" s="321">
        <v>8</v>
      </c>
    </row>
    <row r="11" spans="1:23" s="326" customFormat="1" ht="36" customHeight="1">
      <c r="A11" s="325" t="s">
        <v>669</v>
      </c>
      <c r="B11" s="325" t="s">
        <v>898</v>
      </c>
      <c r="C11" s="325" t="s">
        <v>104</v>
      </c>
      <c r="D11" s="321" t="s">
        <v>873</v>
      </c>
      <c r="E11" s="321">
        <v>204</v>
      </c>
      <c r="F11" s="321">
        <v>1</v>
      </c>
      <c r="G11" s="321" t="s">
        <v>873</v>
      </c>
      <c r="H11" s="321">
        <v>0</v>
      </c>
      <c r="I11" s="321">
        <v>3</v>
      </c>
      <c r="J11" s="321" t="s">
        <v>887</v>
      </c>
      <c r="K11" s="321">
        <v>3</v>
      </c>
      <c r="L11" s="321">
        <v>1000</v>
      </c>
      <c r="M11" s="321" t="s">
        <v>888</v>
      </c>
      <c r="N11" s="321">
        <v>1</v>
      </c>
      <c r="O11" s="321" t="s">
        <v>882</v>
      </c>
      <c r="P11" s="321" t="s">
        <v>741</v>
      </c>
      <c r="Q11" s="321" t="s">
        <v>873</v>
      </c>
      <c r="R11" s="321" t="s">
        <v>612</v>
      </c>
      <c r="S11" s="321">
        <v>277</v>
      </c>
      <c r="T11" s="321">
        <v>500</v>
      </c>
      <c r="U11" s="321">
        <v>300</v>
      </c>
      <c r="V11" s="321" t="s">
        <v>206</v>
      </c>
      <c r="W11" s="325">
        <v>1</v>
      </c>
    </row>
    <row r="12" spans="1:23" s="326" customFormat="1" ht="7" customHeight="1">
      <c r="A12" s="318"/>
      <c r="B12" s="318"/>
      <c r="C12" s="318"/>
      <c r="D12" s="319"/>
      <c r="E12" s="319"/>
      <c r="F12" s="319"/>
      <c r="G12" s="319"/>
      <c r="H12" s="319"/>
      <c r="I12" s="319"/>
      <c r="J12" s="319"/>
      <c r="K12" s="319"/>
      <c r="L12" s="319"/>
      <c r="M12" s="319"/>
      <c r="N12" s="319"/>
      <c r="O12" s="319"/>
      <c r="P12" s="319"/>
      <c r="Q12" s="319"/>
      <c r="R12" s="319"/>
      <c r="S12" s="319"/>
      <c r="T12" s="319"/>
      <c r="U12" s="319"/>
      <c r="V12" s="319"/>
      <c r="W12" s="320"/>
    </row>
    <row r="13" spans="1:23" s="326" customFormat="1" ht="36" customHeight="1">
      <c r="A13" s="325" t="s">
        <v>899</v>
      </c>
      <c r="B13" s="321" t="s">
        <v>900</v>
      </c>
      <c r="C13" s="325" t="s">
        <v>107</v>
      </c>
      <c r="D13" s="321" t="s">
        <v>873</v>
      </c>
      <c r="E13" s="321">
        <v>100</v>
      </c>
      <c r="F13" s="321">
        <v>2</v>
      </c>
      <c r="G13" s="321" t="s">
        <v>874</v>
      </c>
      <c r="H13" s="321">
        <v>1</v>
      </c>
      <c r="I13" s="321">
        <v>3</v>
      </c>
      <c r="J13" s="321" t="s">
        <v>901</v>
      </c>
      <c r="K13" s="321">
        <v>3</v>
      </c>
      <c r="L13" s="321">
        <v>1000</v>
      </c>
      <c r="M13" s="321" t="s">
        <v>888</v>
      </c>
      <c r="N13" s="321">
        <v>1</v>
      </c>
      <c r="O13" s="321" t="s">
        <v>902</v>
      </c>
      <c r="P13" s="321" t="s">
        <v>741</v>
      </c>
      <c r="Q13" s="321" t="s">
        <v>873</v>
      </c>
      <c r="R13" s="321" t="s">
        <v>903</v>
      </c>
      <c r="S13" s="321">
        <v>0</v>
      </c>
      <c r="T13" s="321">
        <v>100</v>
      </c>
      <c r="U13" s="321">
        <v>55</v>
      </c>
      <c r="V13" s="321" t="s">
        <v>904</v>
      </c>
      <c r="W13" s="325">
        <v>5</v>
      </c>
    </row>
    <row r="14" spans="1:23" ht="36" customHeight="1">
      <c r="A14" s="325" t="s">
        <v>899</v>
      </c>
      <c r="B14" s="321" t="s">
        <v>905</v>
      </c>
      <c r="C14" s="325" t="s">
        <v>107</v>
      </c>
      <c r="D14" s="321" t="s">
        <v>873</v>
      </c>
      <c r="E14" s="321">
        <v>50</v>
      </c>
      <c r="F14" s="321">
        <v>1</v>
      </c>
      <c r="G14" s="321" t="s">
        <v>873</v>
      </c>
      <c r="H14" s="321">
        <v>0</v>
      </c>
      <c r="I14" s="321">
        <v>3</v>
      </c>
      <c r="J14" s="321" t="s">
        <v>901</v>
      </c>
      <c r="K14" s="321">
        <v>3</v>
      </c>
      <c r="L14" s="321">
        <v>1000</v>
      </c>
      <c r="M14" s="321" t="s">
        <v>888</v>
      </c>
      <c r="N14" s="321">
        <v>1</v>
      </c>
      <c r="O14" s="321" t="s">
        <v>902</v>
      </c>
      <c r="P14" s="321" t="s">
        <v>741</v>
      </c>
      <c r="Q14" s="321" t="s">
        <v>873</v>
      </c>
      <c r="R14" s="321" t="s">
        <v>903</v>
      </c>
      <c r="S14" s="321">
        <v>0</v>
      </c>
      <c r="T14" s="321">
        <v>30</v>
      </c>
      <c r="U14" s="321">
        <v>10</v>
      </c>
      <c r="V14" s="321" t="s">
        <v>746</v>
      </c>
      <c r="W14" s="325">
        <v>5</v>
      </c>
    </row>
    <row r="15" spans="1:23" ht="7" customHeight="1">
      <c r="A15" s="318"/>
      <c r="B15" s="319"/>
      <c r="C15" s="318"/>
      <c r="D15" s="319"/>
      <c r="E15" s="319"/>
      <c r="F15" s="319"/>
      <c r="G15" s="319"/>
      <c r="H15" s="319"/>
      <c r="I15" s="319"/>
      <c r="J15" s="319"/>
      <c r="K15" s="319"/>
      <c r="L15" s="319"/>
      <c r="M15" s="319"/>
      <c r="N15" s="319"/>
      <c r="O15" s="319"/>
      <c r="P15" s="319"/>
      <c r="Q15" s="319"/>
      <c r="R15" s="319"/>
      <c r="S15" s="319"/>
      <c r="T15" s="319"/>
      <c r="U15" s="319"/>
      <c r="V15" s="319"/>
      <c r="W15" s="320"/>
    </row>
    <row r="16" spans="1:23" s="330" customFormat="1" ht="36" customHeight="1">
      <c r="A16" s="328" t="s">
        <v>906</v>
      </c>
      <c r="B16" s="329" t="s">
        <v>907</v>
      </c>
      <c r="C16" s="329" t="s">
        <v>908</v>
      </c>
      <c r="D16" s="322" t="s">
        <v>909</v>
      </c>
      <c r="E16" s="322">
        <v>3488</v>
      </c>
      <c r="F16" s="322">
        <v>37</v>
      </c>
      <c r="G16" s="321" t="s">
        <v>874</v>
      </c>
      <c r="H16" s="321">
        <v>14</v>
      </c>
      <c r="I16" s="321" t="s">
        <v>875</v>
      </c>
      <c r="J16" s="321" t="s">
        <v>876</v>
      </c>
      <c r="K16" s="321">
        <v>2</v>
      </c>
      <c r="L16" s="321">
        <v>500</v>
      </c>
      <c r="M16" s="321">
        <v>1.85</v>
      </c>
      <c r="N16" s="321">
        <v>6</v>
      </c>
      <c r="O16" s="322" t="s">
        <v>877</v>
      </c>
      <c r="P16" s="321" t="s">
        <v>875</v>
      </c>
      <c r="Q16" s="321" t="s">
        <v>878</v>
      </c>
      <c r="R16" s="321" t="s">
        <v>612</v>
      </c>
      <c r="S16" s="321">
        <v>2671</v>
      </c>
      <c r="T16" s="321">
        <v>3127</v>
      </c>
      <c r="U16" s="321">
        <v>3054</v>
      </c>
      <c r="V16" s="321" t="s">
        <v>612</v>
      </c>
      <c r="W16" s="321">
        <v>9</v>
      </c>
    </row>
    <row r="17" spans="1:23" s="330" customFormat="1" ht="36" customHeight="1">
      <c r="A17" s="328" t="s">
        <v>906</v>
      </c>
      <c r="B17" s="329" t="s">
        <v>910</v>
      </c>
      <c r="C17" s="329" t="s">
        <v>908</v>
      </c>
      <c r="D17" s="322" t="s">
        <v>909</v>
      </c>
      <c r="E17" s="322">
        <v>1632</v>
      </c>
      <c r="F17" s="322">
        <v>13</v>
      </c>
      <c r="G17" s="322" t="s">
        <v>874</v>
      </c>
      <c r="H17" s="322">
        <v>15</v>
      </c>
      <c r="I17" s="322" t="s">
        <v>875</v>
      </c>
      <c r="J17" s="322" t="s">
        <v>876</v>
      </c>
      <c r="K17" s="322">
        <v>2</v>
      </c>
      <c r="L17" s="322">
        <v>700</v>
      </c>
      <c r="M17" s="322">
        <v>2.11</v>
      </c>
      <c r="N17" s="322">
        <v>2</v>
      </c>
      <c r="O17" s="322" t="s">
        <v>877</v>
      </c>
      <c r="P17" s="322" t="s">
        <v>741</v>
      </c>
      <c r="Q17" s="322" t="s">
        <v>878</v>
      </c>
      <c r="R17" s="322" t="s">
        <v>612</v>
      </c>
      <c r="S17" s="322">
        <v>2600</v>
      </c>
      <c r="T17" s="322">
        <v>1162</v>
      </c>
      <c r="U17" s="322">
        <v>6056</v>
      </c>
      <c r="V17" s="322" t="s">
        <v>612</v>
      </c>
      <c r="W17" s="321">
        <v>5</v>
      </c>
    </row>
    <row r="18" spans="1:23" s="330" customFormat="1" ht="36" customHeight="1">
      <c r="A18" s="328" t="s">
        <v>906</v>
      </c>
      <c r="B18" s="329" t="s">
        <v>911</v>
      </c>
      <c r="C18" s="329" t="s">
        <v>908</v>
      </c>
      <c r="D18" s="322" t="s">
        <v>909</v>
      </c>
      <c r="E18" s="322">
        <v>1057</v>
      </c>
      <c r="F18" s="322">
        <v>9</v>
      </c>
      <c r="G18" s="322" t="s">
        <v>874</v>
      </c>
      <c r="H18" s="322">
        <v>8</v>
      </c>
      <c r="I18" s="322">
        <v>3</v>
      </c>
      <c r="J18" s="322" t="s">
        <v>876</v>
      </c>
      <c r="K18" s="322">
        <v>3</v>
      </c>
      <c r="L18" s="322" t="s">
        <v>912</v>
      </c>
      <c r="M18" s="322">
        <v>1.62</v>
      </c>
      <c r="N18" s="322">
        <v>1</v>
      </c>
      <c r="O18" s="322" t="s">
        <v>877</v>
      </c>
      <c r="P18" s="322" t="s">
        <v>741</v>
      </c>
      <c r="Q18" s="322" t="s">
        <v>878</v>
      </c>
      <c r="R18" s="322" t="s">
        <v>612</v>
      </c>
      <c r="S18" s="322">
        <v>0</v>
      </c>
      <c r="T18" s="322">
        <v>1906</v>
      </c>
      <c r="U18" s="322">
        <v>2903</v>
      </c>
      <c r="V18" s="322" t="s">
        <v>612</v>
      </c>
      <c r="W18" s="321">
        <v>5</v>
      </c>
    </row>
    <row r="19" spans="1:23" s="330" customFormat="1" ht="36" customHeight="1">
      <c r="A19" s="328" t="s">
        <v>906</v>
      </c>
      <c r="B19" s="329" t="s">
        <v>913</v>
      </c>
      <c r="C19" s="329" t="s">
        <v>908</v>
      </c>
      <c r="D19" s="322" t="s">
        <v>909</v>
      </c>
      <c r="E19" s="322">
        <v>1367</v>
      </c>
      <c r="F19" s="322">
        <v>11</v>
      </c>
      <c r="G19" s="322" t="s">
        <v>874</v>
      </c>
      <c r="H19" s="322">
        <v>2</v>
      </c>
      <c r="I19" s="322">
        <v>3</v>
      </c>
      <c r="J19" s="322" t="s">
        <v>876</v>
      </c>
      <c r="K19" s="322">
        <v>3</v>
      </c>
      <c r="L19" s="322" t="s">
        <v>914</v>
      </c>
      <c r="M19" s="322">
        <v>1.42</v>
      </c>
      <c r="N19" s="322">
        <v>2</v>
      </c>
      <c r="O19" s="322" t="s">
        <v>877</v>
      </c>
      <c r="P19" s="322" t="s">
        <v>741</v>
      </c>
      <c r="Q19" s="322" t="s">
        <v>878</v>
      </c>
      <c r="R19" s="322" t="s">
        <v>612</v>
      </c>
      <c r="S19" s="322">
        <v>1417</v>
      </c>
      <c r="T19" s="322">
        <v>3411</v>
      </c>
      <c r="U19" s="322">
        <v>4405</v>
      </c>
      <c r="V19" s="322" t="s">
        <v>612</v>
      </c>
      <c r="W19" s="321">
        <v>6</v>
      </c>
    </row>
    <row r="20" spans="1:23" s="330" customFormat="1" ht="36" customHeight="1">
      <c r="A20" s="328" t="s">
        <v>906</v>
      </c>
      <c r="B20" s="329" t="s">
        <v>915</v>
      </c>
      <c r="C20" s="329" t="s">
        <v>908</v>
      </c>
      <c r="D20" s="322" t="s">
        <v>623</v>
      </c>
      <c r="E20" s="322">
        <v>1048</v>
      </c>
      <c r="F20" s="322">
        <v>4</v>
      </c>
      <c r="G20" s="322" t="s">
        <v>873</v>
      </c>
      <c r="H20" s="322">
        <v>0</v>
      </c>
      <c r="I20" s="322" t="s">
        <v>875</v>
      </c>
      <c r="J20" s="322" t="s">
        <v>876</v>
      </c>
      <c r="K20" s="322">
        <v>2</v>
      </c>
      <c r="L20" s="322">
        <v>900</v>
      </c>
      <c r="M20" s="322">
        <v>1.94</v>
      </c>
      <c r="N20" s="322">
        <v>2</v>
      </c>
      <c r="O20" s="322" t="s">
        <v>877</v>
      </c>
      <c r="P20" s="322" t="s">
        <v>741</v>
      </c>
      <c r="Q20" s="322" t="s">
        <v>873</v>
      </c>
      <c r="R20" s="322" t="s">
        <v>612</v>
      </c>
      <c r="S20" s="322">
        <v>4517</v>
      </c>
      <c r="T20" s="322">
        <v>1131</v>
      </c>
      <c r="U20" s="322">
        <v>548</v>
      </c>
      <c r="V20" s="322" t="s">
        <v>612</v>
      </c>
      <c r="W20" s="321">
        <v>2</v>
      </c>
    </row>
    <row r="21" spans="1:23" s="331" customFormat="1" ht="36" customHeight="1">
      <c r="A21" s="328" t="s">
        <v>906</v>
      </c>
      <c r="B21" s="329" t="s">
        <v>916</v>
      </c>
      <c r="C21" s="329" t="s">
        <v>97</v>
      </c>
      <c r="D21" s="322" t="s">
        <v>623</v>
      </c>
      <c r="E21" s="322">
        <v>630</v>
      </c>
      <c r="F21" s="322">
        <v>1</v>
      </c>
      <c r="G21" s="322" t="s">
        <v>873</v>
      </c>
      <c r="H21" s="322">
        <v>0</v>
      </c>
      <c r="I21" s="322">
        <v>3</v>
      </c>
      <c r="J21" s="322" t="s">
        <v>917</v>
      </c>
      <c r="K21" s="322">
        <v>1</v>
      </c>
      <c r="L21" s="322">
        <v>580</v>
      </c>
      <c r="M21" s="322"/>
      <c r="N21" s="322">
        <v>1</v>
      </c>
      <c r="O21" s="322" t="s">
        <v>877</v>
      </c>
      <c r="P21" s="322" t="s">
        <v>741</v>
      </c>
      <c r="Q21" s="322" t="s">
        <v>918</v>
      </c>
      <c r="R21" s="322" t="s">
        <v>612</v>
      </c>
      <c r="S21" s="322">
        <v>0</v>
      </c>
      <c r="T21" s="322">
        <v>83</v>
      </c>
      <c r="U21" s="322">
        <v>36</v>
      </c>
      <c r="V21" s="322" t="s">
        <v>612</v>
      </c>
      <c r="W21" s="321">
        <v>2</v>
      </c>
    </row>
    <row r="22" spans="1:23" s="331" customFormat="1" ht="36" customHeight="1">
      <c r="A22" s="328" t="s">
        <v>906</v>
      </c>
      <c r="B22" s="329" t="s">
        <v>919</v>
      </c>
      <c r="C22" s="329" t="s">
        <v>94</v>
      </c>
      <c r="D22" s="322" t="s">
        <v>920</v>
      </c>
      <c r="E22" s="322">
        <v>3596</v>
      </c>
      <c r="F22" s="322">
        <v>44</v>
      </c>
      <c r="G22" s="322" t="s">
        <v>874</v>
      </c>
      <c r="H22" s="322">
        <v>6</v>
      </c>
      <c r="I22" s="322" t="s">
        <v>875</v>
      </c>
      <c r="J22" s="322" t="s">
        <v>921</v>
      </c>
      <c r="K22" s="322">
        <v>2</v>
      </c>
      <c r="L22" s="322" t="s">
        <v>922</v>
      </c>
      <c r="M22" s="322">
        <v>1.64</v>
      </c>
      <c r="N22" s="322">
        <v>8</v>
      </c>
      <c r="O22" s="322" t="s">
        <v>877</v>
      </c>
      <c r="P22" s="322" t="s">
        <v>741</v>
      </c>
      <c r="Q22" s="322" t="s">
        <v>878</v>
      </c>
      <c r="R22" s="322" t="s">
        <v>612</v>
      </c>
      <c r="S22" s="322">
        <v>21195</v>
      </c>
      <c r="T22" s="322">
        <v>1778</v>
      </c>
      <c r="U22" s="322">
        <v>2628</v>
      </c>
      <c r="V22" s="322" t="s">
        <v>612</v>
      </c>
      <c r="W22" s="321">
        <v>7</v>
      </c>
    </row>
    <row r="23" spans="1:23" s="331" customFormat="1" ht="36" customHeight="1">
      <c r="A23" s="328" t="s">
        <v>906</v>
      </c>
      <c r="B23" s="329" t="s">
        <v>923</v>
      </c>
      <c r="C23" s="329" t="s">
        <v>94</v>
      </c>
      <c r="D23" s="322" t="s">
        <v>920</v>
      </c>
      <c r="E23" s="322">
        <v>2006</v>
      </c>
      <c r="F23" s="322">
        <v>34</v>
      </c>
      <c r="G23" s="322" t="s">
        <v>874</v>
      </c>
      <c r="H23" s="322">
        <v>6</v>
      </c>
      <c r="I23" s="322">
        <v>3</v>
      </c>
      <c r="J23" s="322" t="s">
        <v>921</v>
      </c>
      <c r="K23" s="322">
        <v>2</v>
      </c>
      <c r="L23" s="322">
        <v>700</v>
      </c>
      <c r="M23" s="322">
        <v>1.53</v>
      </c>
      <c r="N23" s="322"/>
      <c r="O23" s="322" t="s">
        <v>877</v>
      </c>
      <c r="P23" s="322" t="s">
        <v>741</v>
      </c>
      <c r="Q23" s="322" t="s">
        <v>878</v>
      </c>
      <c r="R23" s="322" t="s">
        <v>612</v>
      </c>
      <c r="S23" s="322"/>
      <c r="T23" s="322">
        <v>803</v>
      </c>
      <c r="U23" s="322">
        <v>2030</v>
      </c>
      <c r="V23" s="322" t="s">
        <v>924</v>
      </c>
      <c r="W23" s="321">
        <v>6</v>
      </c>
    </row>
    <row r="24" spans="1:23" s="330" customFormat="1" ht="36" customHeight="1">
      <c r="A24" s="328" t="s">
        <v>906</v>
      </c>
      <c r="B24" s="325" t="s">
        <v>925</v>
      </c>
      <c r="C24" s="329" t="s">
        <v>908</v>
      </c>
      <c r="D24" s="322" t="s">
        <v>623</v>
      </c>
      <c r="E24" s="322">
        <v>1067</v>
      </c>
      <c r="F24" s="322">
        <v>1</v>
      </c>
      <c r="G24" s="322" t="s">
        <v>873</v>
      </c>
      <c r="H24" s="322">
        <v>0</v>
      </c>
      <c r="I24" s="322" t="s">
        <v>885</v>
      </c>
      <c r="J24" s="322" t="s">
        <v>926</v>
      </c>
      <c r="K24" s="322">
        <v>1</v>
      </c>
      <c r="L24" s="322" t="s">
        <v>888</v>
      </c>
      <c r="M24" s="322" t="s">
        <v>888</v>
      </c>
      <c r="N24" s="322">
        <v>1</v>
      </c>
      <c r="O24" s="322" t="s">
        <v>877</v>
      </c>
      <c r="P24" s="322" t="s">
        <v>741</v>
      </c>
      <c r="Q24" s="322" t="s">
        <v>878</v>
      </c>
      <c r="R24" s="322" t="s">
        <v>612</v>
      </c>
      <c r="S24" s="322">
        <v>0</v>
      </c>
      <c r="T24" s="322">
        <v>818</v>
      </c>
      <c r="U24" s="322"/>
      <c r="V24" s="322" t="s">
        <v>612</v>
      </c>
      <c r="W24" s="321" t="s">
        <v>888</v>
      </c>
    </row>
    <row r="25" spans="1:23" s="331" customFormat="1" ht="36" customHeight="1">
      <c r="A25" s="328" t="s">
        <v>906</v>
      </c>
      <c r="B25" s="325" t="s">
        <v>927</v>
      </c>
      <c r="C25" s="329" t="s">
        <v>180</v>
      </c>
      <c r="D25" s="322" t="s">
        <v>623</v>
      </c>
      <c r="E25" s="322">
        <v>1199</v>
      </c>
      <c r="F25" s="322">
        <v>6</v>
      </c>
      <c r="G25" s="322" t="s">
        <v>873</v>
      </c>
      <c r="H25" s="322">
        <v>0</v>
      </c>
      <c r="I25" s="322" t="s">
        <v>885</v>
      </c>
      <c r="J25" s="322" t="s">
        <v>928</v>
      </c>
      <c r="K25" s="322">
        <v>1</v>
      </c>
      <c r="L25" s="322" t="s">
        <v>888</v>
      </c>
      <c r="M25" s="322" t="s">
        <v>888</v>
      </c>
      <c r="N25" s="322">
        <v>1</v>
      </c>
      <c r="O25" s="322" t="s">
        <v>877</v>
      </c>
      <c r="P25" s="322" t="s">
        <v>741</v>
      </c>
      <c r="Q25" s="322" t="s">
        <v>873</v>
      </c>
      <c r="R25" s="322" t="s">
        <v>612</v>
      </c>
      <c r="S25" s="322"/>
      <c r="T25" s="322"/>
      <c r="U25" s="322"/>
      <c r="V25" s="322" t="s">
        <v>929</v>
      </c>
      <c r="W25" s="321" t="s">
        <v>888</v>
      </c>
    </row>
    <row r="26" spans="1:23" s="331" customFormat="1" ht="36" customHeight="1">
      <c r="A26" s="328" t="s">
        <v>906</v>
      </c>
      <c r="B26" s="325" t="s">
        <v>216</v>
      </c>
      <c r="C26" s="329" t="s">
        <v>94</v>
      </c>
      <c r="D26" s="322" t="s">
        <v>623</v>
      </c>
      <c r="E26" s="322">
        <v>1990</v>
      </c>
      <c r="F26" s="322">
        <v>1</v>
      </c>
      <c r="G26" s="322" t="s">
        <v>873</v>
      </c>
      <c r="H26" s="322">
        <v>0</v>
      </c>
      <c r="I26" s="322" t="s">
        <v>885</v>
      </c>
      <c r="J26" s="322" t="s">
        <v>930</v>
      </c>
      <c r="K26" s="322">
        <v>1</v>
      </c>
      <c r="L26" s="322" t="s">
        <v>888</v>
      </c>
      <c r="M26" s="322" t="s">
        <v>888</v>
      </c>
      <c r="N26" s="322">
        <v>0</v>
      </c>
      <c r="O26" s="322" t="s">
        <v>877</v>
      </c>
      <c r="P26" s="322" t="s">
        <v>741</v>
      </c>
      <c r="Q26" s="322" t="s">
        <v>873</v>
      </c>
      <c r="R26" s="322" t="s">
        <v>612</v>
      </c>
      <c r="S26" s="322">
        <v>0</v>
      </c>
      <c r="T26" s="322">
        <v>603</v>
      </c>
      <c r="U26" s="322">
        <v>188</v>
      </c>
      <c r="V26" s="322" t="s">
        <v>612</v>
      </c>
      <c r="W26" s="321" t="s">
        <v>888</v>
      </c>
    </row>
    <row r="27" spans="1:23" s="331" customFormat="1" ht="36" customHeight="1">
      <c r="A27" s="328" t="s">
        <v>906</v>
      </c>
      <c r="B27" s="325" t="s">
        <v>931</v>
      </c>
      <c r="C27" s="329" t="s">
        <v>97</v>
      </c>
      <c r="D27" s="322" t="s">
        <v>623</v>
      </c>
      <c r="E27" s="322">
        <v>332</v>
      </c>
      <c r="F27" s="322">
        <v>1</v>
      </c>
      <c r="G27" s="322" t="s">
        <v>873</v>
      </c>
      <c r="H27" s="322">
        <v>0</v>
      </c>
      <c r="I27" s="322" t="s">
        <v>885</v>
      </c>
      <c r="J27" s="322">
        <v>1</v>
      </c>
      <c r="K27" s="322">
        <v>1</v>
      </c>
      <c r="L27" s="322">
        <v>500</v>
      </c>
      <c r="M27" s="322" t="s">
        <v>888</v>
      </c>
      <c r="N27" s="322">
        <v>1</v>
      </c>
      <c r="O27" s="322" t="s">
        <v>877</v>
      </c>
      <c r="P27" s="322" t="s">
        <v>741</v>
      </c>
      <c r="Q27" s="322" t="s">
        <v>873</v>
      </c>
      <c r="R27" s="322" t="s">
        <v>612</v>
      </c>
      <c r="S27" s="322">
        <v>0</v>
      </c>
      <c r="T27" s="322">
        <v>13</v>
      </c>
      <c r="U27" s="322">
        <v>12</v>
      </c>
      <c r="V27" s="322" t="s">
        <v>612</v>
      </c>
      <c r="W27" s="321" t="s">
        <v>888</v>
      </c>
    </row>
    <row r="28" spans="1:23" s="331" customFormat="1" ht="36" customHeight="1">
      <c r="A28" s="328" t="s">
        <v>906</v>
      </c>
      <c r="B28" s="325" t="s">
        <v>932</v>
      </c>
      <c r="C28" s="329" t="s">
        <v>97</v>
      </c>
      <c r="D28" s="322" t="s">
        <v>623</v>
      </c>
      <c r="E28" s="322">
        <v>100</v>
      </c>
      <c r="F28" s="322">
        <v>1</v>
      </c>
      <c r="G28" s="322" t="s">
        <v>873</v>
      </c>
      <c r="H28" s="322">
        <v>0</v>
      </c>
      <c r="I28" s="322" t="s">
        <v>885</v>
      </c>
      <c r="J28" s="322">
        <v>1</v>
      </c>
      <c r="K28" s="322">
        <v>1</v>
      </c>
      <c r="L28" s="322">
        <v>500</v>
      </c>
      <c r="M28" s="322" t="s">
        <v>888</v>
      </c>
      <c r="N28" s="322">
        <v>1</v>
      </c>
      <c r="O28" s="322" t="s">
        <v>877</v>
      </c>
      <c r="P28" s="322" t="s">
        <v>741</v>
      </c>
      <c r="Q28" s="322" t="s">
        <v>873</v>
      </c>
      <c r="R28" s="322" t="s">
        <v>612</v>
      </c>
      <c r="S28" s="322">
        <v>0</v>
      </c>
      <c r="T28" s="322">
        <v>185</v>
      </c>
      <c r="U28" s="322">
        <v>280</v>
      </c>
      <c r="V28" s="322" t="s">
        <v>612</v>
      </c>
      <c r="W28" s="321" t="s">
        <v>888</v>
      </c>
    </row>
    <row r="29" spans="1:23" s="331" customFormat="1" ht="36" customHeight="1">
      <c r="A29" s="328" t="s">
        <v>906</v>
      </c>
      <c r="B29" s="325" t="s">
        <v>933</v>
      </c>
      <c r="C29" s="329" t="s">
        <v>934</v>
      </c>
      <c r="D29" s="322" t="s">
        <v>623</v>
      </c>
      <c r="E29" s="322">
        <v>959</v>
      </c>
      <c r="F29" s="322">
        <v>1</v>
      </c>
      <c r="G29" s="322" t="s">
        <v>874</v>
      </c>
      <c r="H29" s="322">
        <v>1</v>
      </c>
      <c r="I29" s="322" t="s">
        <v>885</v>
      </c>
      <c r="J29" s="322" t="s">
        <v>935</v>
      </c>
      <c r="K29" s="322">
        <v>2</v>
      </c>
      <c r="L29" s="322">
        <v>724</v>
      </c>
      <c r="M29" s="322" t="s">
        <v>888</v>
      </c>
      <c r="N29" s="322">
        <v>1</v>
      </c>
      <c r="O29" s="322" t="s">
        <v>877</v>
      </c>
      <c r="P29" s="322" t="s">
        <v>741</v>
      </c>
      <c r="Q29" s="322" t="s">
        <v>873</v>
      </c>
      <c r="R29" s="322" t="s">
        <v>612</v>
      </c>
      <c r="S29" s="322">
        <v>0</v>
      </c>
      <c r="T29" s="322">
        <v>842</v>
      </c>
      <c r="U29" s="322">
        <v>1121</v>
      </c>
      <c r="V29" s="322" t="s">
        <v>612</v>
      </c>
      <c r="W29" s="321" t="s">
        <v>888</v>
      </c>
    </row>
    <row r="30" spans="1:23" s="331" customFormat="1" ht="36" customHeight="1">
      <c r="A30" s="328" t="s">
        <v>906</v>
      </c>
      <c r="B30" s="325" t="s">
        <v>936</v>
      </c>
      <c r="C30" s="329" t="s">
        <v>97</v>
      </c>
      <c r="D30" s="322" t="s">
        <v>623</v>
      </c>
      <c r="E30" s="322">
        <v>800</v>
      </c>
      <c r="F30" s="322">
        <v>1</v>
      </c>
      <c r="G30" s="322" t="s">
        <v>873</v>
      </c>
      <c r="H30" s="322">
        <v>0</v>
      </c>
      <c r="I30" s="322" t="s">
        <v>885</v>
      </c>
      <c r="J30" s="322">
        <v>1</v>
      </c>
      <c r="K30" s="322">
        <v>1</v>
      </c>
      <c r="L30" s="322">
        <v>390</v>
      </c>
      <c r="M30" s="322" t="s">
        <v>888</v>
      </c>
      <c r="N30" s="322">
        <v>1</v>
      </c>
      <c r="O30" s="322" t="s">
        <v>937</v>
      </c>
      <c r="P30" s="322" t="s">
        <v>741</v>
      </c>
      <c r="Q30" s="322" t="s">
        <v>885</v>
      </c>
      <c r="R30" s="322" t="s">
        <v>612</v>
      </c>
      <c r="S30" s="322">
        <v>0</v>
      </c>
      <c r="T30" s="322">
        <v>115</v>
      </c>
      <c r="U30" s="322">
        <v>280</v>
      </c>
      <c r="V30" s="322" t="s">
        <v>612</v>
      </c>
      <c r="W30" s="321">
        <v>1</v>
      </c>
    </row>
    <row r="31" spans="1:23" s="331" customFormat="1" ht="36" customHeight="1">
      <c r="A31" s="328" t="s">
        <v>906</v>
      </c>
      <c r="B31" s="325" t="s">
        <v>938</v>
      </c>
      <c r="C31" s="329" t="s">
        <v>97</v>
      </c>
      <c r="D31" s="322" t="s">
        <v>623</v>
      </c>
      <c r="E31" s="322">
        <v>153</v>
      </c>
      <c r="F31" s="322">
        <v>1</v>
      </c>
      <c r="G31" s="322" t="s">
        <v>873</v>
      </c>
      <c r="H31" s="322">
        <v>0</v>
      </c>
      <c r="I31" s="322" t="s">
        <v>885</v>
      </c>
      <c r="J31" s="322">
        <v>1</v>
      </c>
      <c r="K31" s="322">
        <v>1</v>
      </c>
      <c r="L31" s="322">
        <v>418</v>
      </c>
      <c r="M31" s="322" t="s">
        <v>888</v>
      </c>
      <c r="N31" s="322">
        <v>0</v>
      </c>
      <c r="O31" s="322" t="s">
        <v>937</v>
      </c>
      <c r="P31" s="322" t="s">
        <v>741</v>
      </c>
      <c r="Q31" s="322" t="s">
        <v>885</v>
      </c>
      <c r="R31" s="322" t="s">
        <v>612</v>
      </c>
      <c r="S31" s="322">
        <v>0</v>
      </c>
      <c r="T31" s="322">
        <v>50</v>
      </c>
      <c r="U31" s="322">
        <v>190</v>
      </c>
      <c r="V31" s="322" t="s">
        <v>612</v>
      </c>
      <c r="W31" s="321">
        <v>1</v>
      </c>
    </row>
    <row r="32" spans="1:23" s="331" customFormat="1" ht="36" customHeight="1">
      <c r="A32" s="328" t="s">
        <v>906</v>
      </c>
      <c r="B32" s="325" t="s">
        <v>939</v>
      </c>
      <c r="C32" s="329" t="s">
        <v>934</v>
      </c>
      <c r="D32" s="322" t="s">
        <v>623</v>
      </c>
      <c r="E32" s="322">
        <v>1600</v>
      </c>
      <c r="F32" s="322">
        <v>1</v>
      </c>
      <c r="G32" s="322" t="s">
        <v>873</v>
      </c>
      <c r="H32" s="322">
        <v>0</v>
      </c>
      <c r="I32" s="322" t="s">
        <v>885</v>
      </c>
      <c r="J32" s="322">
        <v>6</v>
      </c>
      <c r="K32" s="322">
        <v>2</v>
      </c>
      <c r="L32" s="322">
        <v>800</v>
      </c>
      <c r="M32" s="322" t="s">
        <v>888</v>
      </c>
      <c r="N32" s="322">
        <v>1</v>
      </c>
      <c r="O32" s="322" t="s">
        <v>877</v>
      </c>
      <c r="P32" s="322" t="s">
        <v>741</v>
      </c>
      <c r="Q32" s="322" t="s">
        <v>873</v>
      </c>
      <c r="R32" s="322" t="s">
        <v>612</v>
      </c>
      <c r="S32" s="322">
        <v>0</v>
      </c>
      <c r="T32" s="322">
        <v>1168</v>
      </c>
      <c r="U32" s="322">
        <v>2407</v>
      </c>
      <c r="V32" s="322" t="s">
        <v>612</v>
      </c>
      <c r="W32" s="321">
        <v>3</v>
      </c>
    </row>
    <row r="33" spans="1:23" s="331" customFormat="1" ht="36" customHeight="1">
      <c r="A33" s="328" t="s">
        <v>906</v>
      </c>
      <c r="B33" s="325" t="s">
        <v>940</v>
      </c>
      <c r="C33" s="329" t="s">
        <v>97</v>
      </c>
      <c r="D33" s="322" t="s">
        <v>623</v>
      </c>
      <c r="E33" s="322">
        <v>230</v>
      </c>
      <c r="F33" s="322">
        <v>1</v>
      </c>
      <c r="G33" s="322" t="s">
        <v>873</v>
      </c>
      <c r="H33" s="322">
        <v>0</v>
      </c>
      <c r="I33" s="322" t="s">
        <v>941</v>
      </c>
      <c r="J33" s="322" t="s">
        <v>935</v>
      </c>
      <c r="K33" s="322">
        <v>1</v>
      </c>
      <c r="L33" s="322">
        <v>556</v>
      </c>
      <c r="M33" s="322" t="s">
        <v>888</v>
      </c>
      <c r="N33" s="322">
        <v>1</v>
      </c>
      <c r="O33" s="322" t="s">
        <v>877</v>
      </c>
      <c r="P33" s="322" t="s">
        <v>741</v>
      </c>
      <c r="Q33" s="322" t="s">
        <v>873</v>
      </c>
      <c r="R33" s="322" t="s">
        <v>612</v>
      </c>
      <c r="S33" s="322">
        <v>0</v>
      </c>
      <c r="T33" s="322">
        <v>35</v>
      </c>
      <c r="U33" s="322">
        <v>28</v>
      </c>
      <c r="V33" s="322" t="s">
        <v>612</v>
      </c>
      <c r="W33" s="321" t="s">
        <v>888</v>
      </c>
    </row>
    <row r="34" spans="1:23" s="331" customFormat="1" ht="36" customHeight="1">
      <c r="A34" s="328" t="s">
        <v>906</v>
      </c>
      <c r="B34" s="325" t="s">
        <v>942</v>
      </c>
      <c r="C34" s="329" t="s">
        <v>97</v>
      </c>
      <c r="D34" s="322" t="s">
        <v>623</v>
      </c>
      <c r="E34" s="322">
        <v>130</v>
      </c>
      <c r="F34" s="322">
        <v>1</v>
      </c>
      <c r="G34" s="322" t="s">
        <v>873</v>
      </c>
      <c r="H34" s="322">
        <v>0</v>
      </c>
      <c r="I34" s="322" t="s">
        <v>885</v>
      </c>
      <c r="J34" s="322" t="s">
        <v>935</v>
      </c>
      <c r="K34" s="322">
        <v>1</v>
      </c>
      <c r="L34" s="322">
        <v>500</v>
      </c>
      <c r="M34" s="322" t="s">
        <v>888</v>
      </c>
      <c r="N34" s="322">
        <v>0</v>
      </c>
      <c r="O34" s="322" t="s">
        <v>877</v>
      </c>
      <c r="P34" s="322" t="s">
        <v>741</v>
      </c>
      <c r="Q34" s="322" t="s">
        <v>873</v>
      </c>
      <c r="R34" s="322" t="s">
        <v>612</v>
      </c>
      <c r="S34" s="322">
        <v>0</v>
      </c>
      <c r="T34" s="322">
        <v>29</v>
      </c>
      <c r="U34" s="322">
        <v>29</v>
      </c>
      <c r="V34" s="322" t="s">
        <v>612</v>
      </c>
      <c r="W34" s="321" t="s">
        <v>888</v>
      </c>
    </row>
    <row r="35" spans="1:23" s="331" customFormat="1" ht="36" customHeight="1">
      <c r="A35" s="328" t="s">
        <v>906</v>
      </c>
      <c r="B35" s="321" t="s">
        <v>943</v>
      </c>
      <c r="C35" s="329" t="s">
        <v>934</v>
      </c>
      <c r="D35" s="322" t="s">
        <v>623</v>
      </c>
      <c r="E35" s="322">
        <v>100</v>
      </c>
      <c r="F35" s="322">
        <v>0</v>
      </c>
      <c r="G35" s="322">
        <v>0</v>
      </c>
      <c r="H35" s="322">
        <v>0</v>
      </c>
      <c r="I35" s="322" t="s">
        <v>885</v>
      </c>
      <c r="J35" s="322">
        <v>0</v>
      </c>
      <c r="K35" s="322">
        <v>3</v>
      </c>
      <c r="L35" s="322">
        <v>1000</v>
      </c>
      <c r="M35" s="322" t="s">
        <v>888</v>
      </c>
      <c r="N35" s="322">
        <v>0</v>
      </c>
      <c r="O35" s="322" t="s">
        <v>944</v>
      </c>
      <c r="P35" s="322" t="s">
        <v>741</v>
      </c>
      <c r="Q35" s="322" t="s">
        <v>873</v>
      </c>
      <c r="R35" s="322" t="s">
        <v>612</v>
      </c>
      <c r="S35" s="322"/>
      <c r="T35" s="322">
        <v>0</v>
      </c>
      <c r="U35" s="322">
        <v>0</v>
      </c>
      <c r="V35" s="322" t="s">
        <v>612</v>
      </c>
      <c r="W35" s="321" t="s">
        <v>888</v>
      </c>
    </row>
    <row r="36" spans="1:23" s="331" customFormat="1" ht="36" customHeight="1">
      <c r="A36" s="328" t="s">
        <v>906</v>
      </c>
      <c r="B36" s="321" t="s">
        <v>945</v>
      </c>
      <c r="C36" s="329" t="s">
        <v>934</v>
      </c>
      <c r="D36" s="322" t="s">
        <v>623</v>
      </c>
      <c r="E36" s="322">
        <v>1170</v>
      </c>
      <c r="F36" s="322">
        <v>1</v>
      </c>
      <c r="G36" s="322" t="s">
        <v>873</v>
      </c>
      <c r="H36" s="322">
        <v>0</v>
      </c>
      <c r="I36" s="322" t="s">
        <v>885</v>
      </c>
      <c r="J36" s="322">
        <v>6</v>
      </c>
      <c r="K36" s="322">
        <v>3</v>
      </c>
      <c r="L36" s="322">
        <v>1000</v>
      </c>
      <c r="M36" s="322" t="s">
        <v>888</v>
      </c>
      <c r="N36" s="322">
        <v>0</v>
      </c>
      <c r="O36" s="322" t="s">
        <v>944</v>
      </c>
      <c r="P36" s="322" t="s">
        <v>741</v>
      </c>
      <c r="Q36" s="322" t="s">
        <v>873</v>
      </c>
      <c r="R36" s="322" t="s">
        <v>612</v>
      </c>
      <c r="S36" s="322">
        <v>20494</v>
      </c>
      <c r="T36" s="322">
        <v>449</v>
      </c>
      <c r="U36" s="322">
        <v>1863</v>
      </c>
      <c r="V36" s="322" t="s">
        <v>612</v>
      </c>
      <c r="W36" s="321">
        <v>3</v>
      </c>
    </row>
    <row r="37" spans="1:23" s="331" customFormat="1" ht="36" customHeight="1">
      <c r="A37" s="328" t="s">
        <v>906</v>
      </c>
      <c r="B37" s="325" t="s">
        <v>946</v>
      </c>
      <c r="C37" s="329" t="s">
        <v>97</v>
      </c>
      <c r="D37" s="322" t="s">
        <v>623</v>
      </c>
      <c r="E37" s="322">
        <v>125</v>
      </c>
      <c r="F37" s="322">
        <v>2</v>
      </c>
      <c r="G37" s="322" t="s">
        <v>874</v>
      </c>
      <c r="H37" s="322">
        <v>4</v>
      </c>
      <c r="I37" s="322">
        <v>3</v>
      </c>
      <c r="J37" s="322" t="s">
        <v>947</v>
      </c>
      <c r="K37" s="322">
        <v>3</v>
      </c>
      <c r="L37" s="322">
        <v>800</v>
      </c>
      <c r="M37" s="322" t="s">
        <v>888</v>
      </c>
      <c r="N37" s="322">
        <v>0</v>
      </c>
      <c r="O37" s="322" t="s">
        <v>877</v>
      </c>
      <c r="P37" s="322" t="s">
        <v>741</v>
      </c>
      <c r="Q37" s="322" t="s">
        <v>873</v>
      </c>
      <c r="R37" s="322"/>
      <c r="S37" s="322">
        <v>0</v>
      </c>
      <c r="T37" s="322">
        <v>95</v>
      </c>
      <c r="U37" s="322">
        <v>694</v>
      </c>
      <c r="V37" s="322" t="s">
        <v>948</v>
      </c>
      <c r="W37" s="321">
        <v>4</v>
      </c>
    </row>
    <row r="38" spans="1:23" s="331" customFormat="1" ht="36" customHeight="1">
      <c r="A38" s="328" t="s">
        <v>906</v>
      </c>
      <c r="B38" s="325" t="s">
        <v>949</v>
      </c>
      <c r="C38" s="329" t="s">
        <v>97</v>
      </c>
      <c r="D38" s="322" t="s">
        <v>623</v>
      </c>
      <c r="E38" s="322">
        <v>25</v>
      </c>
      <c r="F38" s="322">
        <v>1</v>
      </c>
      <c r="G38" s="322" t="s">
        <v>873</v>
      </c>
      <c r="H38" s="322">
        <v>0</v>
      </c>
      <c r="I38" s="322">
        <v>3</v>
      </c>
      <c r="J38" s="322" t="s">
        <v>950</v>
      </c>
      <c r="K38" s="322">
        <v>2</v>
      </c>
      <c r="L38" s="322">
        <v>1000</v>
      </c>
      <c r="M38" s="322"/>
      <c r="N38" s="322">
        <v>0</v>
      </c>
      <c r="O38" s="322" t="s">
        <v>877</v>
      </c>
      <c r="P38" s="322" t="s">
        <v>741</v>
      </c>
      <c r="Q38" s="322" t="s">
        <v>873</v>
      </c>
      <c r="R38" s="322">
        <v>0</v>
      </c>
      <c r="S38" s="322">
        <v>0</v>
      </c>
      <c r="T38" s="322">
        <v>17</v>
      </c>
      <c r="U38" s="322">
        <v>54</v>
      </c>
      <c r="V38" s="322" t="s">
        <v>207</v>
      </c>
      <c r="W38" s="321">
        <v>2</v>
      </c>
    </row>
    <row r="39" spans="1:23" s="330" customFormat="1" ht="36" customHeight="1">
      <c r="A39" s="328" t="s">
        <v>906</v>
      </c>
      <c r="B39" s="329" t="s">
        <v>951</v>
      </c>
      <c r="C39" s="329" t="s">
        <v>952</v>
      </c>
      <c r="D39" s="322" t="s">
        <v>623</v>
      </c>
      <c r="E39" s="322">
        <v>32</v>
      </c>
      <c r="F39" s="322">
        <v>23</v>
      </c>
      <c r="G39" s="322" t="s">
        <v>874</v>
      </c>
      <c r="H39" s="322">
        <v>13</v>
      </c>
      <c r="I39" s="322">
        <v>3</v>
      </c>
      <c r="J39" s="322">
        <v>1</v>
      </c>
      <c r="K39" s="322">
        <v>3</v>
      </c>
      <c r="L39" s="322">
        <v>1000</v>
      </c>
      <c r="M39" s="322"/>
      <c r="N39" s="322">
        <v>0</v>
      </c>
      <c r="O39" s="322" t="s">
        <v>877</v>
      </c>
      <c r="P39" s="322" t="s">
        <v>741</v>
      </c>
      <c r="Q39" s="322" t="s">
        <v>873</v>
      </c>
      <c r="R39" s="322"/>
      <c r="S39" s="322">
        <v>0</v>
      </c>
      <c r="T39" s="322">
        <v>29</v>
      </c>
      <c r="U39" s="322">
        <v>90</v>
      </c>
      <c r="V39" s="322" t="s">
        <v>953</v>
      </c>
      <c r="W39" s="321">
        <v>7</v>
      </c>
    </row>
    <row r="40" spans="1:23" s="331" customFormat="1" ht="36" customHeight="1">
      <c r="A40" s="328" t="s">
        <v>906</v>
      </c>
      <c r="B40" s="325" t="s">
        <v>171</v>
      </c>
      <c r="C40" s="329" t="s">
        <v>95</v>
      </c>
      <c r="D40" s="322" t="s">
        <v>782</v>
      </c>
      <c r="E40" s="322">
        <v>100</v>
      </c>
      <c r="F40" s="322">
        <v>1</v>
      </c>
      <c r="G40" s="322" t="s">
        <v>597</v>
      </c>
      <c r="H40" s="322">
        <v>0</v>
      </c>
      <c r="I40" s="322">
        <v>3</v>
      </c>
      <c r="J40" s="322" t="s">
        <v>935</v>
      </c>
      <c r="K40" s="322">
        <v>2</v>
      </c>
      <c r="L40" s="322">
        <v>1000</v>
      </c>
      <c r="M40" s="322" t="s">
        <v>888</v>
      </c>
      <c r="N40" s="322">
        <v>0</v>
      </c>
      <c r="O40" s="322" t="s">
        <v>877</v>
      </c>
      <c r="P40" s="322" t="s">
        <v>741</v>
      </c>
      <c r="Q40" s="322" t="s">
        <v>873</v>
      </c>
      <c r="R40" s="322">
        <v>2</v>
      </c>
      <c r="S40" s="322" t="s">
        <v>954</v>
      </c>
      <c r="T40" s="322">
        <v>121</v>
      </c>
      <c r="U40" s="322" t="s">
        <v>611</v>
      </c>
      <c r="V40" s="322" t="s">
        <v>955</v>
      </c>
      <c r="W40" s="321" t="s">
        <v>956</v>
      </c>
    </row>
    <row r="41" spans="1:23" s="331" customFormat="1" ht="36" customHeight="1">
      <c r="A41" s="328" t="s">
        <v>906</v>
      </c>
      <c r="B41" s="325" t="s">
        <v>957</v>
      </c>
      <c r="C41" s="329" t="s">
        <v>95</v>
      </c>
      <c r="D41" s="322" t="s">
        <v>782</v>
      </c>
      <c r="E41" s="322">
        <v>450</v>
      </c>
      <c r="F41" s="322">
        <v>1</v>
      </c>
      <c r="G41" s="322" t="s">
        <v>597</v>
      </c>
      <c r="H41" s="322">
        <v>0</v>
      </c>
      <c r="I41" s="322">
        <v>3</v>
      </c>
      <c r="J41" s="322" t="s">
        <v>935</v>
      </c>
      <c r="K41" s="322">
        <v>3</v>
      </c>
      <c r="L41" s="322">
        <v>1500</v>
      </c>
      <c r="M41" s="322" t="s">
        <v>888</v>
      </c>
      <c r="N41" s="322">
        <v>0</v>
      </c>
      <c r="O41" s="322" t="s">
        <v>877</v>
      </c>
      <c r="P41" s="322" t="s">
        <v>958</v>
      </c>
      <c r="Q41" s="322" t="s">
        <v>873</v>
      </c>
      <c r="R41" s="322">
        <v>1</v>
      </c>
      <c r="S41" s="322" t="s">
        <v>954</v>
      </c>
      <c r="T41" s="322">
        <v>323</v>
      </c>
      <c r="U41" s="322">
        <v>300</v>
      </c>
      <c r="V41" s="322" t="s">
        <v>948</v>
      </c>
      <c r="W41" s="321" t="s">
        <v>956</v>
      </c>
    </row>
    <row r="42" spans="1:23" s="331" customFormat="1" ht="36" customHeight="1">
      <c r="A42" s="328" t="s">
        <v>906</v>
      </c>
      <c r="B42" s="325" t="s">
        <v>959</v>
      </c>
      <c r="C42" s="329" t="s">
        <v>95</v>
      </c>
      <c r="D42" s="322" t="s">
        <v>782</v>
      </c>
      <c r="E42" s="322">
        <v>50</v>
      </c>
      <c r="F42" s="322">
        <v>1</v>
      </c>
      <c r="G42" s="322" t="s">
        <v>960</v>
      </c>
      <c r="H42" s="322">
        <v>0</v>
      </c>
      <c r="I42" s="322" t="s">
        <v>961</v>
      </c>
      <c r="J42" s="322" t="s">
        <v>935</v>
      </c>
      <c r="K42" s="322">
        <v>2</v>
      </c>
      <c r="L42" s="322">
        <v>1000</v>
      </c>
      <c r="M42" s="322" t="s">
        <v>888</v>
      </c>
      <c r="N42" s="322">
        <v>0</v>
      </c>
      <c r="O42" s="322" t="s">
        <v>902</v>
      </c>
      <c r="P42" s="322" t="s">
        <v>741</v>
      </c>
      <c r="Q42" s="322" t="s">
        <v>918</v>
      </c>
      <c r="R42" s="322">
        <v>1</v>
      </c>
      <c r="S42" s="322" t="s">
        <v>954</v>
      </c>
      <c r="T42" s="322">
        <v>127</v>
      </c>
      <c r="U42" s="322">
        <v>70</v>
      </c>
      <c r="V42" s="322" t="s">
        <v>962</v>
      </c>
      <c r="W42" s="321" t="s">
        <v>956</v>
      </c>
    </row>
    <row r="43" spans="1:23" s="330" customFormat="1" ht="36" customHeight="1">
      <c r="A43" s="328" t="s">
        <v>906</v>
      </c>
      <c r="B43" s="329" t="s">
        <v>963</v>
      </c>
      <c r="C43" s="329" t="s">
        <v>88</v>
      </c>
      <c r="D43" s="322" t="s">
        <v>964</v>
      </c>
      <c r="E43" s="322">
        <v>490</v>
      </c>
      <c r="F43" s="322">
        <v>3</v>
      </c>
      <c r="G43" s="322" t="s">
        <v>873</v>
      </c>
      <c r="H43" s="322">
        <v>3</v>
      </c>
      <c r="I43" s="322">
        <v>3</v>
      </c>
      <c r="J43" s="322">
        <v>3</v>
      </c>
      <c r="K43" s="322">
        <v>4</v>
      </c>
      <c r="L43" s="322">
        <v>1000</v>
      </c>
      <c r="M43" s="322"/>
      <c r="N43" s="322">
        <v>1</v>
      </c>
      <c r="O43" s="322" t="s">
        <v>877</v>
      </c>
      <c r="P43" s="322" t="s">
        <v>741</v>
      </c>
      <c r="Q43" s="322" t="s">
        <v>873</v>
      </c>
      <c r="R43" s="322">
        <v>2</v>
      </c>
      <c r="S43" s="322">
        <v>4548</v>
      </c>
      <c r="T43" s="322">
        <v>294</v>
      </c>
      <c r="U43" s="322">
        <v>549</v>
      </c>
      <c r="V43" s="322" t="s">
        <v>965</v>
      </c>
      <c r="W43" s="321">
        <v>4</v>
      </c>
    </row>
    <row r="44" spans="1:23" s="330" customFormat="1" ht="36" customHeight="1">
      <c r="A44" s="328" t="s">
        <v>906</v>
      </c>
      <c r="B44" s="322" t="s">
        <v>966</v>
      </c>
      <c r="C44" s="329" t="s">
        <v>88</v>
      </c>
      <c r="D44" s="322" t="s">
        <v>964</v>
      </c>
      <c r="E44" s="322">
        <v>677</v>
      </c>
      <c r="F44" s="322">
        <v>4</v>
      </c>
      <c r="G44" s="322" t="s">
        <v>874</v>
      </c>
      <c r="H44" s="322">
        <v>2</v>
      </c>
      <c r="I44" s="322">
        <v>3</v>
      </c>
      <c r="J44" s="322">
        <v>3</v>
      </c>
      <c r="K44" s="322">
        <v>4</v>
      </c>
      <c r="L44" s="322">
        <v>1000</v>
      </c>
      <c r="M44" s="322">
        <v>1.94</v>
      </c>
      <c r="N44" s="322">
        <v>1</v>
      </c>
      <c r="O44" s="322" t="s">
        <v>877</v>
      </c>
      <c r="P44" s="322" t="s">
        <v>967</v>
      </c>
      <c r="Q44" s="322" t="s">
        <v>873</v>
      </c>
      <c r="R44" s="322" t="s">
        <v>612</v>
      </c>
      <c r="S44" s="322">
        <v>14449</v>
      </c>
      <c r="T44" s="322">
        <v>355</v>
      </c>
      <c r="U44" s="322">
        <v>101</v>
      </c>
      <c r="V44" s="322" t="s">
        <v>968</v>
      </c>
      <c r="W44" s="321">
        <v>5</v>
      </c>
    </row>
    <row r="45" spans="1:23" s="331" customFormat="1" ht="36" customHeight="1">
      <c r="A45" s="328" t="s">
        <v>906</v>
      </c>
      <c r="B45" s="321" t="s">
        <v>969</v>
      </c>
      <c r="C45" s="329" t="s">
        <v>100</v>
      </c>
      <c r="D45" s="322" t="s">
        <v>122</v>
      </c>
      <c r="E45" s="322">
        <v>12</v>
      </c>
      <c r="F45" s="322">
        <v>4</v>
      </c>
      <c r="G45" s="322" t="s">
        <v>873</v>
      </c>
      <c r="H45" s="322">
        <v>0</v>
      </c>
      <c r="I45" s="322">
        <v>3</v>
      </c>
      <c r="J45" s="322" t="s">
        <v>970</v>
      </c>
      <c r="K45" s="322">
        <v>3</v>
      </c>
      <c r="L45" s="322" t="s">
        <v>971</v>
      </c>
      <c r="M45" s="322" t="s">
        <v>972</v>
      </c>
      <c r="N45" s="322">
        <v>0</v>
      </c>
      <c r="O45" s="322" t="s">
        <v>973</v>
      </c>
      <c r="P45" s="322" t="s">
        <v>741</v>
      </c>
      <c r="Q45" s="322" t="s">
        <v>873</v>
      </c>
      <c r="R45" s="322" t="s">
        <v>611</v>
      </c>
      <c r="S45" s="322">
        <v>0</v>
      </c>
      <c r="T45" s="322">
        <v>24</v>
      </c>
      <c r="U45" s="322">
        <v>110</v>
      </c>
      <c r="V45" s="322" t="s">
        <v>146</v>
      </c>
      <c r="W45" s="321">
        <v>25</v>
      </c>
    </row>
    <row r="46" spans="1:23" s="331" customFormat="1" ht="36" customHeight="1">
      <c r="A46" s="328" t="s">
        <v>906</v>
      </c>
      <c r="B46" s="321" t="s">
        <v>974</v>
      </c>
      <c r="C46" s="329" t="s">
        <v>100</v>
      </c>
      <c r="D46" s="322" t="s">
        <v>122</v>
      </c>
      <c r="E46" s="322">
        <v>100</v>
      </c>
      <c r="F46" s="322">
        <v>7</v>
      </c>
      <c r="G46" s="322" t="s">
        <v>874</v>
      </c>
      <c r="H46" s="322">
        <v>14</v>
      </c>
      <c r="I46" s="322">
        <v>3</v>
      </c>
      <c r="J46" s="322" t="s">
        <v>935</v>
      </c>
      <c r="K46" s="322">
        <v>4</v>
      </c>
      <c r="L46" s="322" t="s">
        <v>975</v>
      </c>
      <c r="M46" s="322">
        <v>1.26</v>
      </c>
      <c r="N46" s="322">
        <v>0</v>
      </c>
      <c r="O46" s="322" t="s">
        <v>973</v>
      </c>
      <c r="P46" s="322" t="s">
        <v>741</v>
      </c>
      <c r="Q46" s="322" t="s">
        <v>976</v>
      </c>
      <c r="R46" s="322" t="s">
        <v>611</v>
      </c>
      <c r="S46" s="322">
        <v>0</v>
      </c>
      <c r="T46" s="322">
        <v>181</v>
      </c>
      <c r="U46" s="322">
        <v>420</v>
      </c>
      <c r="V46" s="322" t="s">
        <v>146</v>
      </c>
      <c r="W46" s="321">
        <v>29</v>
      </c>
    </row>
    <row r="47" spans="1:23" s="331" customFormat="1" ht="36" customHeight="1">
      <c r="A47" s="328" t="s">
        <v>906</v>
      </c>
      <c r="B47" s="321" t="s">
        <v>977</v>
      </c>
      <c r="C47" s="329" t="s">
        <v>90</v>
      </c>
      <c r="D47" s="322" t="s">
        <v>623</v>
      </c>
      <c r="E47" s="322">
        <v>457</v>
      </c>
      <c r="F47" s="322">
        <v>1</v>
      </c>
      <c r="G47" s="322" t="s">
        <v>873</v>
      </c>
      <c r="H47" s="322">
        <v>0</v>
      </c>
      <c r="I47" s="322">
        <v>3</v>
      </c>
      <c r="J47" s="322" t="s">
        <v>876</v>
      </c>
      <c r="K47" s="322" t="s">
        <v>978</v>
      </c>
      <c r="L47" s="322">
        <v>733</v>
      </c>
      <c r="M47" s="322" t="s">
        <v>888</v>
      </c>
      <c r="N47" s="322">
        <v>0</v>
      </c>
      <c r="O47" s="322" t="s">
        <v>979</v>
      </c>
      <c r="P47" s="322" t="s">
        <v>741</v>
      </c>
      <c r="Q47" s="322" t="s">
        <v>878</v>
      </c>
      <c r="R47" s="322"/>
      <c r="S47" s="322">
        <v>0</v>
      </c>
      <c r="T47" s="322">
        <v>1800</v>
      </c>
      <c r="U47" s="322">
        <v>30</v>
      </c>
      <c r="V47" s="322" t="s">
        <v>145</v>
      </c>
      <c r="W47" s="321">
        <v>37</v>
      </c>
    </row>
    <row r="48" spans="1:23" s="331" customFormat="1" ht="36" customHeight="1">
      <c r="A48" s="328" t="s">
        <v>906</v>
      </c>
      <c r="B48" s="321" t="s">
        <v>980</v>
      </c>
      <c r="C48" s="329" t="s">
        <v>180</v>
      </c>
      <c r="D48" s="322" t="s">
        <v>623</v>
      </c>
      <c r="E48" s="322">
        <v>22</v>
      </c>
      <c r="F48" s="322">
        <v>1</v>
      </c>
      <c r="G48" s="322" t="s">
        <v>873</v>
      </c>
      <c r="H48" s="322">
        <v>0</v>
      </c>
      <c r="I48" s="322">
        <v>3</v>
      </c>
      <c r="J48" s="322" t="s">
        <v>981</v>
      </c>
      <c r="K48" s="322">
        <v>3</v>
      </c>
      <c r="L48" s="322"/>
      <c r="M48" s="322" t="s">
        <v>888</v>
      </c>
      <c r="N48" s="322">
        <v>0</v>
      </c>
      <c r="O48" s="322" t="s">
        <v>979</v>
      </c>
      <c r="P48" s="322" t="s">
        <v>741</v>
      </c>
      <c r="Q48" s="322" t="s">
        <v>873</v>
      </c>
      <c r="R48" s="322" t="s">
        <v>982</v>
      </c>
      <c r="S48" s="322" t="s">
        <v>983</v>
      </c>
      <c r="T48" s="322">
        <v>80</v>
      </c>
      <c r="U48" s="322" t="s">
        <v>984</v>
      </c>
      <c r="V48" s="322" t="s">
        <v>146</v>
      </c>
      <c r="W48" s="321" t="s">
        <v>985</v>
      </c>
    </row>
    <row r="49" spans="1:23" s="331" customFormat="1" ht="36" customHeight="1">
      <c r="A49" s="328" t="s">
        <v>906</v>
      </c>
      <c r="B49" s="321" t="s">
        <v>986</v>
      </c>
      <c r="C49" s="329" t="s">
        <v>180</v>
      </c>
      <c r="D49" s="322" t="s">
        <v>623</v>
      </c>
      <c r="E49" s="322">
        <v>10</v>
      </c>
      <c r="F49" s="322">
        <v>6</v>
      </c>
      <c r="G49" s="322" t="s">
        <v>873</v>
      </c>
      <c r="H49" s="322">
        <v>0</v>
      </c>
      <c r="I49" s="322">
        <v>3</v>
      </c>
      <c r="J49" s="322" t="s">
        <v>876</v>
      </c>
      <c r="K49" s="322">
        <v>3</v>
      </c>
      <c r="L49" s="322"/>
      <c r="M49" s="322" t="s">
        <v>888</v>
      </c>
      <c r="N49" s="322">
        <v>0</v>
      </c>
      <c r="O49" s="322" t="s">
        <v>979</v>
      </c>
      <c r="P49" s="322" t="s">
        <v>741</v>
      </c>
      <c r="Q49" s="322" t="s">
        <v>873</v>
      </c>
      <c r="R49" s="322" t="s">
        <v>987</v>
      </c>
      <c r="S49" s="322" t="s">
        <v>983</v>
      </c>
      <c r="T49" s="322">
        <v>32</v>
      </c>
      <c r="U49" s="322" t="s">
        <v>984</v>
      </c>
      <c r="V49" s="322" t="s">
        <v>146</v>
      </c>
      <c r="W49" s="321" t="s">
        <v>985</v>
      </c>
    </row>
    <row r="50" spans="1:23" s="331" customFormat="1" ht="7" customHeight="1">
      <c r="A50" s="332"/>
      <c r="B50" s="318"/>
      <c r="C50" s="333"/>
      <c r="D50" s="334"/>
      <c r="E50" s="334"/>
      <c r="F50" s="334"/>
      <c r="G50" s="334"/>
      <c r="H50" s="334"/>
      <c r="I50" s="334"/>
      <c r="J50" s="334"/>
      <c r="K50" s="334"/>
      <c r="L50" s="334"/>
      <c r="M50" s="334"/>
      <c r="N50" s="334"/>
      <c r="O50" s="334"/>
      <c r="P50" s="334"/>
      <c r="Q50" s="334"/>
      <c r="R50" s="334"/>
      <c r="S50" s="334"/>
      <c r="T50" s="334"/>
      <c r="U50" s="334"/>
      <c r="V50" s="334"/>
      <c r="W50" s="335"/>
    </row>
    <row r="51" spans="1:23" s="326" customFormat="1" ht="36" customHeight="1">
      <c r="A51" s="325" t="s">
        <v>988</v>
      </c>
      <c r="B51" s="321" t="s">
        <v>989</v>
      </c>
      <c r="C51" s="325" t="s">
        <v>81</v>
      </c>
      <c r="D51" s="321" t="s">
        <v>990</v>
      </c>
      <c r="E51" s="321">
        <v>465</v>
      </c>
      <c r="F51" s="321">
        <v>1</v>
      </c>
      <c r="G51" s="321" t="s">
        <v>873</v>
      </c>
      <c r="H51" s="321">
        <v>0</v>
      </c>
      <c r="I51" s="321">
        <v>3</v>
      </c>
      <c r="J51" s="321" t="s">
        <v>991</v>
      </c>
      <c r="K51" s="321">
        <v>3</v>
      </c>
      <c r="L51" s="321">
        <v>2000</v>
      </c>
      <c r="M51" s="321">
        <v>2.4</v>
      </c>
      <c r="N51" s="321">
        <v>1</v>
      </c>
      <c r="O51" s="322" t="s">
        <v>877</v>
      </c>
      <c r="P51" s="321" t="s">
        <v>873</v>
      </c>
      <c r="Q51" s="321" t="s">
        <v>888</v>
      </c>
      <c r="R51" s="321" t="s">
        <v>888</v>
      </c>
      <c r="S51" s="321" t="s">
        <v>888</v>
      </c>
      <c r="T51" s="321">
        <v>154</v>
      </c>
      <c r="U51" s="321">
        <v>602</v>
      </c>
      <c r="V51" s="321" t="s">
        <v>430</v>
      </c>
      <c r="W51" s="325">
        <v>3</v>
      </c>
    </row>
    <row r="52" spans="1:23" s="326" customFormat="1" ht="36" customHeight="1">
      <c r="A52" s="336" t="s">
        <v>988</v>
      </c>
      <c r="B52" s="337" t="s">
        <v>992</v>
      </c>
      <c r="C52" s="336" t="s">
        <v>79</v>
      </c>
      <c r="D52" s="322" t="s">
        <v>885</v>
      </c>
      <c r="E52" s="322">
        <v>100</v>
      </c>
      <c r="F52" s="322">
        <v>4</v>
      </c>
      <c r="G52" s="321" t="s">
        <v>874</v>
      </c>
      <c r="H52" s="321">
        <v>0</v>
      </c>
      <c r="I52" s="321">
        <v>3</v>
      </c>
      <c r="J52" s="321" t="s">
        <v>79</v>
      </c>
      <c r="K52" s="321">
        <v>3</v>
      </c>
      <c r="L52" s="321">
        <v>2000</v>
      </c>
      <c r="M52" s="321"/>
      <c r="N52" s="321">
        <v>2</v>
      </c>
      <c r="O52" s="321" t="s">
        <v>979</v>
      </c>
      <c r="P52" s="321" t="s">
        <v>875</v>
      </c>
      <c r="Q52" s="321" t="s">
        <v>878</v>
      </c>
      <c r="R52" s="321"/>
      <c r="S52" s="321"/>
      <c r="T52" s="321"/>
      <c r="U52" s="321"/>
      <c r="V52" s="321"/>
      <c r="W52" s="325"/>
    </row>
    <row r="53" spans="1:23" s="339" customFormat="1" ht="36" customHeight="1">
      <c r="A53" s="325" t="s">
        <v>988</v>
      </c>
      <c r="B53" s="325" t="s">
        <v>993</v>
      </c>
      <c r="C53" s="338" t="s">
        <v>81</v>
      </c>
      <c r="D53" s="321" t="s">
        <v>623</v>
      </c>
      <c r="E53" s="321">
        <v>585</v>
      </c>
      <c r="F53" s="321">
        <v>2</v>
      </c>
      <c r="G53" s="322" t="s">
        <v>873</v>
      </c>
      <c r="H53" s="322">
        <v>0</v>
      </c>
      <c r="I53" s="322">
        <v>3</v>
      </c>
      <c r="J53" s="321" t="s">
        <v>991</v>
      </c>
      <c r="K53" s="322">
        <v>2</v>
      </c>
      <c r="L53" s="322">
        <v>1291</v>
      </c>
      <c r="M53" s="322">
        <v>2.2999999999999998</v>
      </c>
      <c r="N53" s="322">
        <v>7</v>
      </c>
      <c r="O53" s="322" t="s">
        <v>877</v>
      </c>
      <c r="P53" s="322" t="s">
        <v>741</v>
      </c>
      <c r="Q53" s="322" t="s">
        <v>873</v>
      </c>
      <c r="R53" s="322"/>
      <c r="S53" s="322">
        <v>0</v>
      </c>
      <c r="T53" s="322">
        <v>200</v>
      </c>
      <c r="U53" s="322">
        <v>340</v>
      </c>
      <c r="V53" s="322" t="s">
        <v>994</v>
      </c>
      <c r="W53" s="323">
        <v>2</v>
      </c>
    </row>
    <row r="54" spans="1:23" s="326" customFormat="1" ht="36" customHeight="1">
      <c r="A54" s="321" t="s">
        <v>988</v>
      </c>
      <c r="B54" s="340" t="s">
        <v>995</v>
      </c>
      <c r="C54" s="325" t="s">
        <v>81</v>
      </c>
      <c r="D54" s="321" t="s">
        <v>873</v>
      </c>
      <c r="E54" s="321">
        <v>1254</v>
      </c>
      <c r="F54" s="321">
        <v>30</v>
      </c>
      <c r="G54" s="321" t="s">
        <v>873</v>
      </c>
      <c r="H54" s="321">
        <v>0</v>
      </c>
      <c r="I54" s="321">
        <v>3</v>
      </c>
      <c r="J54" s="321" t="s">
        <v>991</v>
      </c>
      <c r="K54" s="321">
        <v>2</v>
      </c>
      <c r="L54" s="321">
        <v>484</v>
      </c>
      <c r="M54" s="321">
        <v>1.9</v>
      </c>
      <c r="N54" s="321">
        <v>6</v>
      </c>
      <c r="O54" s="322" t="s">
        <v>877</v>
      </c>
      <c r="P54" s="321" t="s">
        <v>741</v>
      </c>
      <c r="Q54" s="321" t="s">
        <v>918</v>
      </c>
      <c r="R54" s="321"/>
      <c r="S54" s="321">
        <v>0</v>
      </c>
      <c r="T54" s="321">
        <v>1200</v>
      </c>
      <c r="U54" s="321"/>
      <c r="V54" s="321" t="s">
        <v>996</v>
      </c>
      <c r="W54" s="325">
        <v>3</v>
      </c>
    </row>
    <row r="55" spans="1:23" s="326" customFormat="1" ht="36">
      <c r="A55" s="321" t="s">
        <v>988</v>
      </c>
      <c r="B55" s="340" t="s">
        <v>997</v>
      </c>
      <c r="C55" s="325" t="s">
        <v>81</v>
      </c>
      <c r="D55" s="321" t="s">
        <v>990</v>
      </c>
      <c r="E55" s="321">
        <v>5323</v>
      </c>
      <c r="F55" s="321">
        <v>21</v>
      </c>
      <c r="G55" s="321" t="s">
        <v>874</v>
      </c>
      <c r="H55" s="321">
        <v>18</v>
      </c>
      <c r="I55" s="321">
        <v>3</v>
      </c>
      <c r="J55" s="321" t="s">
        <v>876</v>
      </c>
      <c r="K55" s="321">
        <v>3</v>
      </c>
      <c r="L55" s="321">
        <v>1080</v>
      </c>
      <c r="M55" s="321" t="s">
        <v>998</v>
      </c>
      <c r="N55" s="321">
        <v>30</v>
      </c>
      <c r="O55" s="322" t="s">
        <v>877</v>
      </c>
      <c r="P55" s="321" t="s">
        <v>741</v>
      </c>
      <c r="Q55" s="321" t="s">
        <v>878</v>
      </c>
      <c r="R55" s="321" t="s">
        <v>612</v>
      </c>
      <c r="S55" s="321">
        <v>87281</v>
      </c>
      <c r="T55" s="321">
        <v>3304</v>
      </c>
      <c r="U55" s="321"/>
      <c r="V55" s="321" t="s">
        <v>999</v>
      </c>
      <c r="W55" s="325">
        <v>11</v>
      </c>
    </row>
    <row r="56" spans="1:23" s="339" customFormat="1" ht="36" customHeight="1">
      <c r="A56" s="325" t="s">
        <v>988</v>
      </c>
      <c r="B56" s="323" t="s">
        <v>1000</v>
      </c>
      <c r="C56" s="338" t="s">
        <v>81</v>
      </c>
      <c r="D56" s="321" t="s">
        <v>873</v>
      </c>
      <c r="E56" s="321">
        <v>140</v>
      </c>
      <c r="F56" s="321">
        <v>4</v>
      </c>
      <c r="G56" s="321" t="s">
        <v>874</v>
      </c>
      <c r="H56" s="321"/>
      <c r="I56" s="321">
        <v>3</v>
      </c>
      <c r="J56" s="321" t="s">
        <v>991</v>
      </c>
      <c r="K56" s="321">
        <v>3</v>
      </c>
      <c r="L56" s="321">
        <v>1722</v>
      </c>
      <c r="M56" s="321" t="s">
        <v>888</v>
      </c>
      <c r="N56" s="321">
        <v>0</v>
      </c>
      <c r="O56" s="322" t="s">
        <v>877</v>
      </c>
      <c r="P56" s="321" t="s">
        <v>741</v>
      </c>
      <c r="Q56" s="321" t="s">
        <v>918</v>
      </c>
      <c r="R56" s="321"/>
      <c r="S56" s="321">
        <v>0</v>
      </c>
      <c r="T56" s="321">
        <v>44</v>
      </c>
      <c r="U56" s="321">
        <v>50</v>
      </c>
      <c r="V56" s="321" t="s">
        <v>128</v>
      </c>
      <c r="W56" s="323">
        <v>20</v>
      </c>
    </row>
    <row r="57" spans="1:23" s="326" customFormat="1" ht="36" customHeight="1">
      <c r="A57" s="325" t="s">
        <v>988</v>
      </c>
      <c r="B57" s="321" t="s">
        <v>1001</v>
      </c>
      <c r="C57" s="325" t="s">
        <v>81</v>
      </c>
      <c r="D57" s="321" t="s">
        <v>990</v>
      </c>
      <c r="E57" s="321">
        <v>743</v>
      </c>
      <c r="F57" s="321">
        <v>2</v>
      </c>
      <c r="G57" s="321" t="s">
        <v>873</v>
      </c>
      <c r="H57" s="321">
        <v>0</v>
      </c>
      <c r="I57" s="321">
        <v>3</v>
      </c>
      <c r="J57" s="321" t="s">
        <v>991</v>
      </c>
      <c r="K57" s="321">
        <v>3</v>
      </c>
      <c r="L57" s="321">
        <v>2000</v>
      </c>
      <c r="M57" s="321">
        <v>1.7</v>
      </c>
      <c r="N57" s="321">
        <v>2</v>
      </c>
      <c r="O57" s="322" t="s">
        <v>877</v>
      </c>
      <c r="P57" s="321" t="s">
        <v>873</v>
      </c>
      <c r="Q57" s="321" t="s">
        <v>888</v>
      </c>
      <c r="R57" s="321" t="s">
        <v>888</v>
      </c>
      <c r="S57" s="321">
        <v>290</v>
      </c>
      <c r="T57" s="321">
        <v>512</v>
      </c>
      <c r="U57" s="341">
        <v>1715</v>
      </c>
      <c r="V57" s="321" t="s">
        <v>430</v>
      </c>
      <c r="W57" s="325">
        <v>4</v>
      </c>
    </row>
    <row r="58" spans="1:23" s="326" customFormat="1" ht="36" customHeight="1">
      <c r="A58" s="325" t="s">
        <v>988</v>
      </c>
      <c r="B58" s="340" t="s">
        <v>1002</v>
      </c>
      <c r="C58" s="325" t="s">
        <v>81</v>
      </c>
      <c r="D58" s="321" t="s">
        <v>873</v>
      </c>
      <c r="E58" s="321">
        <v>50</v>
      </c>
      <c r="F58" s="321">
        <v>2</v>
      </c>
      <c r="G58" s="321" t="s">
        <v>873</v>
      </c>
      <c r="H58" s="321">
        <v>0</v>
      </c>
      <c r="I58" s="321">
        <v>3</v>
      </c>
      <c r="J58" s="321" t="s">
        <v>991</v>
      </c>
      <c r="K58" s="321">
        <v>3</v>
      </c>
      <c r="L58" s="321">
        <v>1000</v>
      </c>
      <c r="M58" s="321" t="s">
        <v>888</v>
      </c>
      <c r="N58" s="321" t="s">
        <v>873</v>
      </c>
      <c r="O58" s="322" t="s">
        <v>877</v>
      </c>
      <c r="P58" s="321" t="s">
        <v>741</v>
      </c>
      <c r="Q58" s="321" t="s">
        <v>918</v>
      </c>
      <c r="R58" s="321"/>
      <c r="S58" s="321">
        <v>0</v>
      </c>
      <c r="T58" s="321">
        <v>100</v>
      </c>
      <c r="U58" s="321"/>
      <c r="V58" s="321" t="s">
        <v>144</v>
      </c>
      <c r="W58" s="342"/>
    </row>
    <row r="59" spans="1:23" s="326" customFormat="1" ht="36" customHeight="1">
      <c r="A59" s="325" t="s">
        <v>988</v>
      </c>
      <c r="B59" s="340" t="s">
        <v>561</v>
      </c>
      <c r="C59" s="325" t="s">
        <v>81</v>
      </c>
      <c r="D59" s="321" t="s">
        <v>990</v>
      </c>
      <c r="E59" s="321">
        <v>5992</v>
      </c>
      <c r="F59" s="321">
        <v>15</v>
      </c>
      <c r="G59" s="321" t="s">
        <v>873</v>
      </c>
      <c r="H59" s="321">
        <v>0</v>
      </c>
      <c r="I59" s="321" t="s">
        <v>875</v>
      </c>
      <c r="J59" s="321" t="s">
        <v>876</v>
      </c>
      <c r="K59" s="321">
        <v>2</v>
      </c>
      <c r="L59" s="321">
        <v>480</v>
      </c>
      <c r="M59" s="321">
        <v>1.65</v>
      </c>
      <c r="N59" s="321">
        <v>31</v>
      </c>
      <c r="O59" s="321" t="s">
        <v>1003</v>
      </c>
      <c r="P59" s="321" t="s">
        <v>741</v>
      </c>
      <c r="Q59" s="321" t="s">
        <v>878</v>
      </c>
      <c r="R59" s="321" t="s">
        <v>612</v>
      </c>
      <c r="S59" s="321">
        <v>2023</v>
      </c>
      <c r="T59" s="321">
        <v>1944</v>
      </c>
      <c r="U59" s="321">
        <v>3134</v>
      </c>
      <c r="V59" s="321"/>
      <c r="W59" s="325">
        <v>4</v>
      </c>
    </row>
    <row r="60" spans="1:23" s="326" customFormat="1" ht="36" customHeight="1">
      <c r="A60" s="321" t="s">
        <v>988</v>
      </c>
      <c r="B60" s="340" t="s">
        <v>560</v>
      </c>
      <c r="C60" s="325" t="s">
        <v>81</v>
      </c>
      <c r="D60" s="321" t="s">
        <v>873</v>
      </c>
      <c r="E60" s="321">
        <v>8195</v>
      </c>
      <c r="F60" s="321">
        <v>28</v>
      </c>
      <c r="G60" s="321" t="s">
        <v>874</v>
      </c>
      <c r="H60" s="321">
        <v>34</v>
      </c>
      <c r="I60" s="321" t="s">
        <v>875</v>
      </c>
      <c r="J60" s="321" t="s">
        <v>876</v>
      </c>
      <c r="K60" s="321">
        <v>3</v>
      </c>
      <c r="L60" s="321">
        <v>970</v>
      </c>
      <c r="M60" s="321">
        <v>1.54</v>
      </c>
      <c r="N60" s="321">
        <v>38</v>
      </c>
      <c r="O60" s="321" t="s">
        <v>1004</v>
      </c>
      <c r="P60" s="321" t="s">
        <v>741</v>
      </c>
      <c r="Q60" s="321" t="s">
        <v>878</v>
      </c>
      <c r="R60" s="321" t="s">
        <v>612</v>
      </c>
      <c r="S60" s="321">
        <v>1784</v>
      </c>
      <c r="T60" s="321">
        <v>5769</v>
      </c>
      <c r="U60" s="321">
        <v>8223</v>
      </c>
      <c r="V60" s="321"/>
      <c r="W60" s="325">
        <v>6</v>
      </c>
    </row>
    <row r="61" spans="1:23" s="326" customFormat="1" ht="36" customHeight="1">
      <c r="A61" s="321" t="s">
        <v>988</v>
      </c>
      <c r="B61" s="340" t="s">
        <v>1005</v>
      </c>
      <c r="C61" s="325" t="s">
        <v>81</v>
      </c>
      <c r="D61" s="321" t="s">
        <v>873</v>
      </c>
      <c r="E61" s="321">
        <v>1615</v>
      </c>
      <c r="F61" s="321">
        <v>1</v>
      </c>
      <c r="G61" s="321" t="s">
        <v>873</v>
      </c>
      <c r="H61" s="321">
        <v>0</v>
      </c>
      <c r="I61" s="321" t="s">
        <v>875</v>
      </c>
      <c r="J61" s="321" t="s">
        <v>876</v>
      </c>
      <c r="K61" s="321">
        <v>3</v>
      </c>
      <c r="L61" s="321">
        <v>570</v>
      </c>
      <c r="M61" s="321">
        <v>1.49</v>
      </c>
      <c r="N61" s="321">
        <v>50</v>
      </c>
      <c r="O61" s="322" t="s">
        <v>877</v>
      </c>
      <c r="P61" s="321" t="s">
        <v>741</v>
      </c>
      <c r="Q61" s="321" t="s">
        <v>873</v>
      </c>
      <c r="R61" s="321" t="s">
        <v>141</v>
      </c>
      <c r="S61" s="321">
        <v>0</v>
      </c>
      <c r="T61" s="321">
        <v>1200</v>
      </c>
      <c r="U61" s="321">
        <v>9300</v>
      </c>
      <c r="V61" s="321"/>
      <c r="W61" s="325">
        <v>6</v>
      </c>
    </row>
    <row r="62" spans="1:23" s="326" customFormat="1" ht="36" customHeight="1">
      <c r="A62" s="325" t="s">
        <v>988</v>
      </c>
      <c r="B62" s="340" t="s">
        <v>1006</v>
      </c>
      <c r="C62" s="325" t="s">
        <v>81</v>
      </c>
      <c r="D62" s="321" t="s">
        <v>990</v>
      </c>
      <c r="E62" s="321">
        <v>4590</v>
      </c>
      <c r="F62" s="321">
        <v>33</v>
      </c>
      <c r="G62" s="321" t="s">
        <v>1007</v>
      </c>
      <c r="H62" s="321">
        <v>0</v>
      </c>
      <c r="I62" s="321" t="s">
        <v>875</v>
      </c>
      <c r="J62" s="321" t="s">
        <v>876</v>
      </c>
      <c r="K62" s="321" t="s">
        <v>1008</v>
      </c>
      <c r="L62" s="321">
        <v>700</v>
      </c>
      <c r="M62" s="321" t="s">
        <v>1009</v>
      </c>
      <c r="N62" s="321">
        <v>20</v>
      </c>
      <c r="O62" s="322" t="s">
        <v>877</v>
      </c>
      <c r="P62" s="321" t="s">
        <v>741</v>
      </c>
      <c r="Q62" s="321" t="s">
        <v>878</v>
      </c>
      <c r="R62" s="321" t="s">
        <v>612</v>
      </c>
      <c r="S62" s="321">
        <v>7944</v>
      </c>
      <c r="T62" s="321">
        <v>1901</v>
      </c>
      <c r="U62" s="321">
        <v>2036</v>
      </c>
      <c r="V62" s="321" t="s">
        <v>888</v>
      </c>
      <c r="W62" s="325">
        <v>9</v>
      </c>
    </row>
    <row r="63" spans="1:23" s="326" customFormat="1" ht="36" customHeight="1">
      <c r="A63" s="325" t="s">
        <v>988</v>
      </c>
      <c r="B63" s="321" t="s">
        <v>1010</v>
      </c>
      <c r="C63" s="325" t="s">
        <v>81</v>
      </c>
      <c r="D63" s="321" t="s">
        <v>873</v>
      </c>
      <c r="E63" s="321">
        <v>200</v>
      </c>
      <c r="F63" s="321">
        <v>40</v>
      </c>
      <c r="G63" s="321" t="s">
        <v>873</v>
      </c>
      <c r="H63" s="321">
        <v>0</v>
      </c>
      <c r="I63" s="321" t="s">
        <v>875</v>
      </c>
      <c r="J63" s="321" t="s">
        <v>991</v>
      </c>
      <c r="K63" s="321">
        <v>1</v>
      </c>
      <c r="L63" s="321">
        <v>350</v>
      </c>
      <c r="M63" s="321" t="s">
        <v>888</v>
      </c>
      <c r="N63" s="321">
        <v>6</v>
      </c>
      <c r="O63" s="321" t="s">
        <v>1011</v>
      </c>
      <c r="P63" s="321" t="s">
        <v>741</v>
      </c>
      <c r="Q63" s="321" t="s">
        <v>873</v>
      </c>
      <c r="R63" s="321"/>
      <c r="S63" s="321"/>
      <c r="T63" s="321">
        <v>500</v>
      </c>
      <c r="U63" s="321">
        <v>25</v>
      </c>
      <c r="V63" s="321"/>
      <c r="W63" s="325">
        <v>3</v>
      </c>
    </row>
    <row r="64" spans="1:23" s="339" customFormat="1" ht="36" customHeight="1">
      <c r="A64" s="325" t="s">
        <v>988</v>
      </c>
      <c r="B64" s="323" t="s">
        <v>1012</v>
      </c>
      <c r="C64" s="338" t="s">
        <v>81</v>
      </c>
      <c r="D64" s="321" t="s">
        <v>873</v>
      </c>
      <c r="E64" s="321">
        <v>938</v>
      </c>
      <c r="F64" s="321">
        <v>10</v>
      </c>
      <c r="G64" s="321" t="s">
        <v>874</v>
      </c>
      <c r="H64" s="321">
        <v>0</v>
      </c>
      <c r="I64" s="321" t="s">
        <v>875</v>
      </c>
      <c r="J64" s="321" t="s">
        <v>991</v>
      </c>
      <c r="K64" s="321">
        <v>3</v>
      </c>
      <c r="L64" s="321">
        <v>1076.5</v>
      </c>
      <c r="M64" s="321">
        <v>2.4</v>
      </c>
      <c r="N64" s="321">
        <v>1</v>
      </c>
      <c r="O64" s="321" t="s">
        <v>1013</v>
      </c>
      <c r="P64" s="321" t="s">
        <v>741</v>
      </c>
      <c r="Q64" s="321" t="s">
        <v>878</v>
      </c>
      <c r="R64" s="321"/>
      <c r="S64" s="321">
        <v>4360</v>
      </c>
      <c r="T64" s="321">
        <v>337</v>
      </c>
      <c r="U64" s="321">
        <v>767</v>
      </c>
      <c r="V64" s="321"/>
      <c r="W64" s="323">
        <v>2</v>
      </c>
    </row>
    <row r="65" spans="1:23" s="326" customFormat="1" ht="36" customHeight="1">
      <c r="A65" s="321" t="s">
        <v>988</v>
      </c>
      <c r="B65" s="321" t="s">
        <v>1014</v>
      </c>
      <c r="C65" s="325" t="s">
        <v>81</v>
      </c>
      <c r="D65" s="321" t="s">
        <v>990</v>
      </c>
      <c r="E65" s="321">
        <v>1800</v>
      </c>
      <c r="F65" s="321">
        <v>1</v>
      </c>
      <c r="G65" s="321" t="s">
        <v>873</v>
      </c>
      <c r="H65" s="321">
        <v>0</v>
      </c>
      <c r="I65" s="321">
        <v>3</v>
      </c>
      <c r="J65" s="321" t="s">
        <v>876</v>
      </c>
      <c r="K65" s="321">
        <v>3</v>
      </c>
      <c r="L65" s="321">
        <v>1290</v>
      </c>
      <c r="M65" s="321">
        <v>2.2999999999999998</v>
      </c>
      <c r="N65" s="321">
        <v>1</v>
      </c>
      <c r="O65" s="321" t="s">
        <v>1004</v>
      </c>
      <c r="P65" s="321" t="s">
        <v>741</v>
      </c>
      <c r="Q65" s="321" t="s">
        <v>878</v>
      </c>
      <c r="R65" s="321" t="s">
        <v>1015</v>
      </c>
      <c r="S65" s="341">
        <v>44637</v>
      </c>
      <c r="T65" s="321">
        <v>1249</v>
      </c>
      <c r="U65" s="321">
        <v>1538</v>
      </c>
      <c r="V65" s="321" t="s">
        <v>121</v>
      </c>
      <c r="W65" s="325">
        <v>4</v>
      </c>
    </row>
    <row r="66" spans="1:23" s="326" customFormat="1" ht="36" customHeight="1">
      <c r="A66" s="321" t="s">
        <v>988</v>
      </c>
      <c r="B66" s="321" t="s">
        <v>1016</v>
      </c>
      <c r="C66" s="325" t="s">
        <v>81</v>
      </c>
      <c r="D66" s="321" t="s">
        <v>873</v>
      </c>
      <c r="E66" s="321">
        <v>465</v>
      </c>
      <c r="F66" s="321">
        <v>6</v>
      </c>
      <c r="G66" s="321" t="s">
        <v>874</v>
      </c>
      <c r="H66" s="321">
        <v>6</v>
      </c>
      <c r="I66" s="321">
        <v>3</v>
      </c>
      <c r="J66" s="321" t="s">
        <v>991</v>
      </c>
      <c r="K66" s="321">
        <v>3</v>
      </c>
      <c r="L66" s="321">
        <v>2000</v>
      </c>
      <c r="M66" s="321">
        <v>1.3</v>
      </c>
      <c r="N66" s="321">
        <v>1</v>
      </c>
      <c r="O66" s="322" t="s">
        <v>877</v>
      </c>
      <c r="P66" s="321" t="s">
        <v>741</v>
      </c>
      <c r="Q66" s="321" t="s">
        <v>878</v>
      </c>
      <c r="R66" s="321"/>
      <c r="S66" s="321">
        <v>0</v>
      </c>
      <c r="T66" s="321">
        <v>200</v>
      </c>
      <c r="U66" s="321"/>
      <c r="V66" s="321" t="s">
        <v>1017</v>
      </c>
      <c r="W66" s="325">
        <v>45</v>
      </c>
    </row>
    <row r="67" spans="1:23" s="326" customFormat="1" ht="36" customHeight="1">
      <c r="A67" s="325" t="s">
        <v>988</v>
      </c>
      <c r="B67" s="321" t="s">
        <v>1018</v>
      </c>
      <c r="C67" s="325" t="s">
        <v>81</v>
      </c>
      <c r="D67" s="321" t="s">
        <v>873</v>
      </c>
      <c r="E67" s="321">
        <v>530</v>
      </c>
      <c r="F67" s="321">
        <v>17</v>
      </c>
      <c r="G67" s="321" t="s">
        <v>874</v>
      </c>
      <c r="H67" s="321">
        <v>6</v>
      </c>
      <c r="I67" s="321">
        <v>3</v>
      </c>
      <c r="J67" s="321" t="s">
        <v>991</v>
      </c>
      <c r="K67" s="321">
        <v>3</v>
      </c>
      <c r="L67" s="321">
        <v>2000</v>
      </c>
      <c r="M67" s="321">
        <v>1.6</v>
      </c>
      <c r="N67" s="321">
        <v>6</v>
      </c>
      <c r="O67" s="322" t="s">
        <v>877</v>
      </c>
      <c r="P67" s="321" t="s">
        <v>741</v>
      </c>
      <c r="Q67" s="321" t="s">
        <v>878</v>
      </c>
      <c r="R67" s="321"/>
      <c r="S67" s="321">
        <v>0</v>
      </c>
      <c r="T67" s="321">
        <v>650</v>
      </c>
      <c r="U67" s="321">
        <v>146</v>
      </c>
      <c r="V67" s="321" t="s">
        <v>1017</v>
      </c>
      <c r="W67" s="325">
        <v>22</v>
      </c>
    </row>
    <row r="68" spans="1:23" s="339" customFormat="1" ht="36" customHeight="1">
      <c r="A68" s="325" t="s">
        <v>988</v>
      </c>
      <c r="B68" s="325" t="s">
        <v>1019</v>
      </c>
      <c r="C68" s="338" t="s">
        <v>81</v>
      </c>
      <c r="D68" s="321" t="s">
        <v>873</v>
      </c>
      <c r="E68" s="321">
        <v>966</v>
      </c>
      <c r="F68" s="321">
        <v>2</v>
      </c>
      <c r="G68" s="321" t="s">
        <v>874</v>
      </c>
      <c r="H68" s="321">
        <v>0</v>
      </c>
      <c r="I68" s="321">
        <v>3</v>
      </c>
      <c r="J68" s="321">
        <v>1</v>
      </c>
      <c r="K68" s="321">
        <v>1</v>
      </c>
      <c r="L68" s="321">
        <v>323</v>
      </c>
      <c r="M68" s="321">
        <v>1.8</v>
      </c>
      <c r="N68" s="321">
        <v>2</v>
      </c>
      <c r="O68" s="322" t="s">
        <v>877</v>
      </c>
      <c r="P68" s="321" t="s">
        <v>741</v>
      </c>
      <c r="Q68" s="321" t="s">
        <v>873</v>
      </c>
      <c r="R68" s="321"/>
      <c r="S68" s="321">
        <v>0</v>
      </c>
      <c r="T68" s="321">
        <v>320</v>
      </c>
      <c r="U68" s="321">
        <v>245</v>
      </c>
      <c r="V68" s="321" t="s">
        <v>994</v>
      </c>
      <c r="W68" s="323">
        <v>2</v>
      </c>
    </row>
    <row r="69" spans="1:23" s="339" customFormat="1" ht="36" customHeight="1">
      <c r="A69" s="325" t="s">
        <v>988</v>
      </c>
      <c r="B69" s="338" t="s">
        <v>1020</v>
      </c>
      <c r="C69" s="338" t="s">
        <v>81</v>
      </c>
      <c r="D69" s="343" t="s">
        <v>873</v>
      </c>
      <c r="E69" s="343">
        <v>5667</v>
      </c>
      <c r="F69" s="343">
        <v>1</v>
      </c>
      <c r="G69" s="343" t="s">
        <v>874</v>
      </c>
      <c r="H69" s="343">
        <v>1</v>
      </c>
      <c r="I69" s="343" t="s">
        <v>885</v>
      </c>
      <c r="J69" s="343">
        <v>1</v>
      </c>
      <c r="K69" s="343">
        <v>3</v>
      </c>
      <c r="L69" s="343">
        <v>538</v>
      </c>
      <c r="M69" s="343">
        <v>2</v>
      </c>
      <c r="N69" s="343">
        <v>3</v>
      </c>
      <c r="O69" s="322" t="s">
        <v>877</v>
      </c>
      <c r="P69" s="343" t="s">
        <v>741</v>
      </c>
      <c r="Q69" s="343" t="s">
        <v>878</v>
      </c>
      <c r="R69" s="343"/>
      <c r="S69" s="343">
        <v>449</v>
      </c>
      <c r="T69" s="343">
        <v>11094</v>
      </c>
      <c r="U69" s="343">
        <v>2600</v>
      </c>
      <c r="V69" s="321" t="s">
        <v>994</v>
      </c>
      <c r="W69" s="344">
        <v>3</v>
      </c>
    </row>
    <row r="70" spans="1:23" s="339" customFormat="1" ht="36" customHeight="1">
      <c r="A70" s="325" t="s">
        <v>988</v>
      </c>
      <c r="B70" s="323" t="s">
        <v>1021</v>
      </c>
      <c r="C70" s="338" t="s">
        <v>79</v>
      </c>
      <c r="D70" s="321" t="s">
        <v>885</v>
      </c>
      <c r="E70" s="321">
        <v>30</v>
      </c>
      <c r="F70" s="321">
        <v>2</v>
      </c>
      <c r="G70" s="321" t="s">
        <v>874</v>
      </c>
      <c r="H70" s="321">
        <v>2</v>
      </c>
      <c r="I70" s="321">
        <v>3</v>
      </c>
      <c r="J70" s="321" t="s">
        <v>1022</v>
      </c>
      <c r="K70" s="321">
        <v>3</v>
      </c>
      <c r="L70" s="321" t="s">
        <v>888</v>
      </c>
      <c r="M70" s="321">
        <v>1.6</v>
      </c>
      <c r="N70" s="321">
        <v>0</v>
      </c>
      <c r="O70" s="322" t="s">
        <v>877</v>
      </c>
      <c r="P70" s="321" t="s">
        <v>741</v>
      </c>
      <c r="Q70" s="321" t="s">
        <v>873</v>
      </c>
      <c r="R70" s="321" t="s">
        <v>612</v>
      </c>
      <c r="S70" s="321">
        <v>0</v>
      </c>
      <c r="T70" s="321" t="s">
        <v>232</v>
      </c>
      <c r="U70" s="321" t="s">
        <v>232</v>
      </c>
      <c r="V70" s="321" t="s">
        <v>1023</v>
      </c>
      <c r="W70" s="345" t="s">
        <v>232</v>
      </c>
    </row>
    <row r="73" spans="1:23" ht="15">
      <c r="A73" s="311" t="s">
        <v>853</v>
      </c>
    </row>
    <row r="74" spans="1:23">
      <c r="A74" s="312" t="s">
        <v>854</v>
      </c>
    </row>
    <row r="75" spans="1:23">
      <c r="A75" s="312"/>
    </row>
    <row r="76" spans="1:23">
      <c r="A76" s="346" t="s">
        <v>1024</v>
      </c>
      <c r="G76" s="32"/>
      <c r="H76" s="32"/>
      <c r="I76" s="32"/>
      <c r="J76" s="32"/>
    </row>
    <row r="77" spans="1:23">
      <c r="A77" s="313" t="s">
        <v>1025</v>
      </c>
      <c r="B77" s="314"/>
      <c r="C77" s="314"/>
      <c r="D77" s="314"/>
      <c r="E77" s="314"/>
      <c r="F77" s="314"/>
      <c r="G77" s="314"/>
      <c r="H77" s="314"/>
      <c r="I77" s="314"/>
      <c r="J77" s="314"/>
    </row>
    <row r="78" spans="1:23" ht="108">
      <c r="A78" s="347" t="s">
        <v>1026</v>
      </c>
      <c r="B78" s="347" t="s">
        <v>855</v>
      </c>
      <c r="C78" s="347" t="s">
        <v>1027</v>
      </c>
      <c r="D78" s="347" t="s">
        <v>66</v>
      </c>
      <c r="E78" s="348" t="s">
        <v>1028</v>
      </c>
      <c r="F78" s="348" t="s">
        <v>1029</v>
      </c>
      <c r="G78" s="348" t="s">
        <v>858</v>
      </c>
      <c r="H78" s="348" t="s">
        <v>1030</v>
      </c>
    </row>
    <row r="79" spans="1:23">
      <c r="A79" s="349" t="s">
        <v>902</v>
      </c>
      <c r="B79" s="349" t="s">
        <v>669</v>
      </c>
      <c r="C79" s="325" t="s">
        <v>1031</v>
      </c>
      <c r="D79" s="349" t="s">
        <v>1032</v>
      </c>
      <c r="E79" s="350">
        <v>153</v>
      </c>
      <c r="F79" s="350">
        <v>153</v>
      </c>
      <c r="G79" s="350">
        <v>8</v>
      </c>
      <c r="H79" s="351" t="s">
        <v>1033</v>
      </c>
    </row>
    <row r="80" spans="1:23">
      <c r="A80" s="321" t="s">
        <v>882</v>
      </c>
      <c r="B80" s="321" t="s">
        <v>669</v>
      </c>
      <c r="C80" s="321" t="s">
        <v>193</v>
      </c>
      <c r="D80" s="321" t="s">
        <v>101</v>
      </c>
      <c r="E80" s="352">
        <v>663</v>
      </c>
      <c r="F80" s="352">
        <v>665</v>
      </c>
      <c r="G80" s="352">
        <v>27</v>
      </c>
      <c r="H80" s="351" t="s">
        <v>1034</v>
      </c>
    </row>
    <row r="81" spans="1:8">
      <c r="A81" s="321" t="s">
        <v>1035</v>
      </c>
      <c r="B81" s="321" t="s">
        <v>669</v>
      </c>
      <c r="C81" s="321" t="s">
        <v>7</v>
      </c>
      <c r="D81" s="321" t="s">
        <v>7</v>
      </c>
      <c r="E81" s="352">
        <v>0</v>
      </c>
      <c r="F81" s="352">
        <v>0</v>
      </c>
      <c r="G81" s="352">
        <v>0</v>
      </c>
      <c r="H81" s="351" t="s">
        <v>988</v>
      </c>
    </row>
    <row r="82" spans="1:8">
      <c r="A82" s="325" t="s">
        <v>1036</v>
      </c>
      <c r="B82" s="325" t="s">
        <v>669</v>
      </c>
      <c r="C82" s="325" t="s">
        <v>1037</v>
      </c>
      <c r="D82" s="325" t="s">
        <v>15</v>
      </c>
      <c r="E82" s="350">
        <v>50</v>
      </c>
      <c r="F82" s="350">
        <v>41</v>
      </c>
      <c r="G82" s="350">
        <v>8</v>
      </c>
      <c r="H82" s="351" t="s">
        <v>1038</v>
      </c>
    </row>
    <row r="83" spans="1:8">
      <c r="A83" s="321" t="s">
        <v>1039</v>
      </c>
      <c r="B83" s="321" t="s">
        <v>669</v>
      </c>
      <c r="C83" s="321" t="s">
        <v>1040</v>
      </c>
      <c r="D83" s="321" t="s">
        <v>881</v>
      </c>
      <c r="E83" s="352">
        <v>220</v>
      </c>
      <c r="F83" s="352">
        <v>83</v>
      </c>
      <c r="G83" s="352">
        <v>12</v>
      </c>
      <c r="H83" s="351" t="s">
        <v>1038</v>
      </c>
    </row>
    <row r="84" spans="1:8">
      <c r="A84" s="353" t="s">
        <v>1041</v>
      </c>
      <c r="B84" s="353" t="s">
        <v>906</v>
      </c>
      <c r="C84" s="353" t="s">
        <v>316</v>
      </c>
      <c r="D84" s="353" t="s">
        <v>90</v>
      </c>
      <c r="E84" s="351">
        <v>364</v>
      </c>
      <c r="F84" s="351">
        <v>276</v>
      </c>
      <c r="G84" s="351">
        <v>21</v>
      </c>
      <c r="H84" s="351" t="s">
        <v>1033</v>
      </c>
    </row>
    <row r="85" spans="1:8">
      <c r="A85" s="353" t="s">
        <v>1042</v>
      </c>
      <c r="B85" s="353" t="s">
        <v>906</v>
      </c>
      <c r="C85" s="353" t="s">
        <v>1</v>
      </c>
      <c r="D85" s="353" t="s">
        <v>90</v>
      </c>
      <c r="E85" s="351">
        <v>4</v>
      </c>
      <c r="F85" s="351">
        <v>13</v>
      </c>
      <c r="G85" s="351">
        <v>12</v>
      </c>
      <c r="H85" s="351" t="s">
        <v>885</v>
      </c>
    </row>
    <row r="86" spans="1:8">
      <c r="A86" s="353" t="s">
        <v>1043</v>
      </c>
      <c r="B86" s="353" t="s">
        <v>906</v>
      </c>
      <c r="C86" s="353" t="s">
        <v>1044</v>
      </c>
      <c r="D86" s="353" t="s">
        <v>94</v>
      </c>
      <c r="E86" s="351">
        <v>14</v>
      </c>
      <c r="F86" s="351">
        <v>25</v>
      </c>
      <c r="G86" s="351">
        <v>29</v>
      </c>
      <c r="H86" s="351" t="s">
        <v>1033</v>
      </c>
    </row>
    <row r="87" spans="1:8">
      <c r="A87" s="353" t="s">
        <v>1045</v>
      </c>
      <c r="B87" s="353" t="s">
        <v>906</v>
      </c>
      <c r="C87" s="353" t="s">
        <v>1046</v>
      </c>
      <c r="D87" s="353" t="s">
        <v>90</v>
      </c>
      <c r="E87" s="351">
        <v>156</v>
      </c>
      <c r="F87" s="351">
        <v>62</v>
      </c>
      <c r="G87" s="351">
        <v>11</v>
      </c>
      <c r="H87" s="351" t="s">
        <v>1038</v>
      </c>
    </row>
    <row r="88" spans="1:8">
      <c r="A88" s="353" t="s">
        <v>1047</v>
      </c>
      <c r="B88" s="353" t="s">
        <v>906</v>
      </c>
      <c r="C88" s="353" t="s">
        <v>1048</v>
      </c>
      <c r="D88" s="353" t="s">
        <v>90</v>
      </c>
      <c r="E88" s="351">
        <v>4</v>
      </c>
      <c r="F88" s="351">
        <v>6</v>
      </c>
      <c r="G88" s="351">
        <v>1</v>
      </c>
      <c r="H88" s="351" t="s">
        <v>885</v>
      </c>
    </row>
    <row r="89" spans="1:8">
      <c r="A89" s="349" t="s">
        <v>1049</v>
      </c>
      <c r="B89" s="349" t="s">
        <v>988</v>
      </c>
      <c r="C89" s="325" t="s">
        <v>1050</v>
      </c>
      <c r="D89" s="349" t="s">
        <v>81</v>
      </c>
      <c r="E89" s="350">
        <v>67</v>
      </c>
      <c r="F89" s="350">
        <v>67</v>
      </c>
      <c r="G89" s="350">
        <v>6</v>
      </c>
      <c r="H89" s="351" t="s">
        <v>885</v>
      </c>
    </row>
    <row r="90" spans="1:8">
      <c r="A90" s="349" t="s">
        <v>1051</v>
      </c>
      <c r="B90" s="349" t="s">
        <v>988</v>
      </c>
      <c r="C90" s="325" t="s">
        <v>993</v>
      </c>
      <c r="D90" s="349" t="s">
        <v>81</v>
      </c>
      <c r="E90" s="350">
        <v>16</v>
      </c>
      <c r="F90" s="350">
        <v>16</v>
      </c>
      <c r="G90" s="350">
        <v>16</v>
      </c>
      <c r="H90" s="351" t="s">
        <v>1052</v>
      </c>
    </row>
    <row r="91" spans="1:8">
      <c r="A91" s="349" t="s">
        <v>1011</v>
      </c>
      <c r="B91" s="349" t="s">
        <v>988</v>
      </c>
      <c r="C91" s="325" t="s">
        <v>995</v>
      </c>
      <c r="D91" s="349" t="s">
        <v>81</v>
      </c>
      <c r="E91" s="350">
        <v>9</v>
      </c>
      <c r="F91" s="350">
        <v>23</v>
      </c>
      <c r="G91" s="350">
        <v>12</v>
      </c>
      <c r="H91" s="351" t="s">
        <v>1033</v>
      </c>
    </row>
    <row r="92" spans="1:8">
      <c r="A92" s="354" t="s">
        <v>1053</v>
      </c>
      <c r="B92" s="354" t="s">
        <v>988</v>
      </c>
      <c r="C92" s="321" t="s">
        <v>1054</v>
      </c>
      <c r="D92" s="354" t="s">
        <v>81</v>
      </c>
      <c r="E92" s="352">
        <v>315</v>
      </c>
      <c r="F92" s="352">
        <v>357</v>
      </c>
      <c r="G92" s="352">
        <v>30</v>
      </c>
      <c r="H92" s="351" t="s">
        <v>1038</v>
      </c>
    </row>
    <row r="93" spans="1:8">
      <c r="A93" s="349" t="s">
        <v>1055</v>
      </c>
      <c r="B93" s="349" t="s">
        <v>988</v>
      </c>
      <c r="C93" s="325" t="s">
        <v>1056</v>
      </c>
      <c r="D93" s="349" t="s">
        <v>81</v>
      </c>
      <c r="E93" s="350">
        <v>3</v>
      </c>
      <c r="F93" s="350">
        <v>13</v>
      </c>
      <c r="G93" s="350">
        <v>7</v>
      </c>
      <c r="H93" s="351" t="s">
        <v>885</v>
      </c>
    </row>
    <row r="94" spans="1:8">
      <c r="A94" s="354" t="s">
        <v>1057</v>
      </c>
      <c r="B94" s="354" t="s">
        <v>988</v>
      </c>
      <c r="C94" s="321" t="s">
        <v>1058</v>
      </c>
      <c r="D94" s="354" t="s">
        <v>79</v>
      </c>
      <c r="E94" s="352">
        <v>71</v>
      </c>
      <c r="F94" s="352">
        <v>71</v>
      </c>
      <c r="G94" s="352">
        <v>11</v>
      </c>
      <c r="H94" s="351" t="s">
        <v>1038</v>
      </c>
    </row>
    <row r="95" spans="1:8">
      <c r="A95" s="349" t="s">
        <v>1059</v>
      </c>
      <c r="B95" s="349" t="s">
        <v>988</v>
      </c>
      <c r="C95" s="325" t="s">
        <v>560</v>
      </c>
      <c r="D95" s="349" t="s">
        <v>81</v>
      </c>
      <c r="E95" s="350">
        <v>16</v>
      </c>
      <c r="F95" s="350">
        <v>64</v>
      </c>
      <c r="G95" s="350">
        <v>37</v>
      </c>
      <c r="H95" s="351" t="s">
        <v>885</v>
      </c>
    </row>
    <row r="96" spans="1:8" ht="24">
      <c r="A96" s="321" t="s">
        <v>1060</v>
      </c>
      <c r="B96" s="321" t="s">
        <v>906</v>
      </c>
      <c r="C96" s="321" t="s">
        <v>973</v>
      </c>
      <c r="D96" s="321" t="s">
        <v>100</v>
      </c>
      <c r="E96" s="352">
        <v>53</v>
      </c>
      <c r="F96" s="352">
        <v>49</v>
      </c>
      <c r="G96" s="352">
        <v>14</v>
      </c>
      <c r="H96" s="355" t="s">
        <v>1038</v>
      </c>
    </row>
    <row r="97" spans="1:8">
      <c r="A97" s="321" t="s">
        <v>1061</v>
      </c>
      <c r="B97" s="321" t="s">
        <v>906</v>
      </c>
      <c r="C97" s="321" t="s">
        <v>1062</v>
      </c>
      <c r="D97" s="321" t="s">
        <v>1063</v>
      </c>
      <c r="E97" s="355">
        <v>50</v>
      </c>
      <c r="F97" s="352">
        <v>56</v>
      </c>
      <c r="G97" s="355">
        <v>6</v>
      </c>
      <c r="H97" s="355" t="s">
        <v>1038</v>
      </c>
    </row>
    <row r="98" spans="1:8" ht="24">
      <c r="A98" s="321" t="s">
        <v>1064</v>
      </c>
      <c r="B98" s="321" t="s">
        <v>906</v>
      </c>
      <c r="C98" s="321" t="s">
        <v>1065</v>
      </c>
      <c r="D98" s="321" t="s">
        <v>1066</v>
      </c>
      <c r="E98" s="352">
        <v>334</v>
      </c>
      <c r="F98" s="352">
        <v>263</v>
      </c>
      <c r="G98" s="355">
        <v>14</v>
      </c>
      <c r="H98" s="355" t="s">
        <v>1038</v>
      </c>
    </row>
    <row r="99" spans="1:8">
      <c r="A99" s="321" t="s">
        <v>1067</v>
      </c>
      <c r="B99" s="321" t="s">
        <v>906</v>
      </c>
      <c r="C99" s="321" t="s">
        <v>1068</v>
      </c>
      <c r="D99" s="321" t="s">
        <v>1069</v>
      </c>
      <c r="E99" s="355">
        <v>111</v>
      </c>
      <c r="F99" s="352">
        <v>96</v>
      </c>
      <c r="G99" s="355">
        <v>15</v>
      </c>
      <c r="H99" s="355" t="s">
        <v>1038</v>
      </c>
    </row>
    <row r="100" spans="1:8">
      <c r="A100" s="321" t="s">
        <v>1070</v>
      </c>
      <c r="B100" s="321" t="s">
        <v>906</v>
      </c>
      <c r="C100" s="321" t="s">
        <v>1071</v>
      </c>
      <c r="D100" s="321" t="s">
        <v>97</v>
      </c>
      <c r="E100" s="355">
        <v>55</v>
      </c>
      <c r="F100" s="352">
        <v>40</v>
      </c>
      <c r="G100" s="355">
        <v>1</v>
      </c>
      <c r="H100" s="355" t="s">
        <v>1038</v>
      </c>
    </row>
    <row r="101" spans="1:8">
      <c r="B101" s="356"/>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86"/>
  <sheetViews>
    <sheetView showGridLines="0" workbookViewId="0">
      <selection activeCell="AP51" sqref="AP51"/>
    </sheetView>
  </sheetViews>
  <sheetFormatPr baseColWidth="10" defaultColWidth="8.83203125" defaultRowHeight="12" x14ac:dyDescent="0"/>
  <cols>
    <col min="1" max="1" width="1.5" customWidth="1"/>
    <col min="2" max="2" width="19.6640625" customWidth="1"/>
    <col min="3" max="3" width="20.1640625" customWidth="1"/>
    <col min="4" max="8" width="14.6640625" customWidth="1"/>
    <col min="9" max="9" width="10.5" customWidth="1"/>
    <col min="10" max="15" width="14.33203125" customWidth="1"/>
    <col min="16" max="16" width="14.83203125" customWidth="1"/>
    <col min="17" max="17" width="20.1640625" customWidth="1"/>
    <col min="18" max="18" width="16.5" bestFit="1" customWidth="1"/>
    <col min="19" max="19" width="12.6640625" bestFit="1" customWidth="1"/>
    <col min="20" max="20" width="39.83203125" customWidth="1"/>
    <col min="21" max="21" width="15.33203125" customWidth="1"/>
    <col min="22" max="22" width="15.83203125" bestFit="1" customWidth="1"/>
    <col min="23" max="23" width="16.33203125" bestFit="1" customWidth="1"/>
    <col min="24" max="24" width="14.5" bestFit="1" customWidth="1"/>
    <col min="25" max="25" width="16.5" bestFit="1" customWidth="1"/>
    <col min="26" max="26" width="13.83203125" bestFit="1" customWidth="1"/>
    <col min="27" max="27" width="12.33203125" bestFit="1" customWidth="1"/>
    <col min="28" max="28" width="17.6640625" customWidth="1"/>
    <col min="29" max="29" width="12.33203125" bestFit="1" customWidth="1"/>
    <col min="30" max="30" width="12.6640625" bestFit="1" customWidth="1"/>
    <col min="31" max="31" width="15.6640625" bestFit="1" customWidth="1"/>
    <col min="32" max="32" width="11" bestFit="1" customWidth="1"/>
    <col min="33" max="33" width="9.5" bestFit="1" customWidth="1"/>
    <col min="34" max="34" width="11" bestFit="1" customWidth="1"/>
    <col min="35" max="35" width="5" bestFit="1" customWidth="1"/>
  </cols>
  <sheetData>
    <row r="1" spans="2:15" ht="17">
      <c r="B1" s="4" t="s">
        <v>62</v>
      </c>
      <c r="C1" s="4"/>
      <c r="D1" s="4"/>
      <c r="E1" s="7" t="s">
        <v>825</v>
      </c>
      <c r="F1" s="4"/>
      <c r="G1" s="4"/>
      <c r="H1" s="4"/>
      <c r="I1" s="4"/>
      <c r="J1" s="4"/>
      <c r="K1" s="4"/>
      <c r="L1" s="4"/>
    </row>
    <row r="2" spans="2:15" ht="18" thickBot="1">
      <c r="B2" s="4"/>
      <c r="C2" s="4"/>
      <c r="D2" s="4"/>
      <c r="E2" s="4"/>
      <c r="F2" s="4"/>
      <c r="G2" s="4"/>
      <c r="H2" s="4"/>
      <c r="I2" s="4"/>
      <c r="J2" s="4"/>
      <c r="K2" s="4"/>
      <c r="L2" s="4"/>
    </row>
    <row r="3" spans="2:15" ht="16" thickBot="1">
      <c r="B3" s="447" t="s">
        <v>53</v>
      </c>
      <c r="C3" s="448"/>
      <c r="D3" s="449"/>
      <c r="E3" s="15"/>
      <c r="F3" s="447" t="s">
        <v>60</v>
      </c>
      <c r="G3" s="448"/>
      <c r="H3" s="448"/>
      <c r="I3" s="448"/>
      <c r="J3" s="448"/>
      <c r="K3" s="448"/>
      <c r="L3" s="449"/>
    </row>
    <row r="4" spans="2:15" ht="15">
      <c r="B4" s="34" t="s">
        <v>48</v>
      </c>
      <c r="C4" s="12" t="s">
        <v>51</v>
      </c>
      <c r="D4" s="35" t="s">
        <v>56</v>
      </c>
      <c r="E4" s="16"/>
      <c r="F4" s="386" t="s">
        <v>585</v>
      </c>
      <c r="G4" s="387"/>
      <c r="H4" s="185" t="s">
        <v>536</v>
      </c>
      <c r="I4" s="172"/>
      <c r="J4" s="172"/>
      <c r="K4" s="172"/>
      <c r="L4" s="172"/>
      <c r="M4" s="172"/>
      <c r="N4" s="172"/>
      <c r="O4" s="173"/>
    </row>
    <row r="5" spans="2:15" ht="15">
      <c r="B5" s="36" t="s">
        <v>39</v>
      </c>
      <c r="C5" s="13">
        <f>COUNTIF('DC Portfolio'!$C$2:$C$78,"Americas")</f>
        <v>17</v>
      </c>
      <c r="D5" s="37">
        <f>SUMIF('DC Portfolio'!$C$2:$C$78,"Americas",'DC Portfolio'!$U$2:$U$78)</f>
        <v>329740</v>
      </c>
      <c r="E5" s="17"/>
      <c r="F5" s="413" t="s">
        <v>31</v>
      </c>
      <c r="G5" s="412" t="s">
        <v>45</v>
      </c>
      <c r="H5" s="419">
        <v>1</v>
      </c>
      <c r="I5" s="419">
        <v>2</v>
      </c>
      <c r="J5" s="419">
        <v>3</v>
      </c>
      <c r="K5" s="419">
        <v>4</v>
      </c>
      <c r="L5" s="419" t="s">
        <v>608</v>
      </c>
      <c r="M5" s="419" t="s">
        <v>762</v>
      </c>
      <c r="N5" s="419" t="s">
        <v>848</v>
      </c>
      <c r="O5" s="420" t="s">
        <v>11</v>
      </c>
    </row>
    <row r="6" spans="2:15" ht="15">
      <c r="B6" s="36" t="s">
        <v>40</v>
      </c>
      <c r="C6" s="13">
        <f>COUNTIF('DC Portfolio'!$C$2:$C$78,"EMEA")</f>
        <v>24</v>
      </c>
      <c r="D6" s="37">
        <f>SUMIF('DC Portfolio'!$C$2:$C$78,"EMEA",'DC Portfolio'!$U$2:$U$78)</f>
        <v>238091</v>
      </c>
      <c r="E6" s="17"/>
      <c r="F6" s="450" t="s">
        <v>36</v>
      </c>
      <c r="G6" s="417" t="s">
        <v>13</v>
      </c>
      <c r="H6" s="411">
        <v>1</v>
      </c>
      <c r="I6" s="411">
        <v>4</v>
      </c>
      <c r="J6" s="411">
        <v>12</v>
      </c>
      <c r="K6" s="411"/>
      <c r="L6" s="411"/>
      <c r="M6" s="411"/>
      <c r="N6" s="411"/>
      <c r="O6" s="414">
        <v>17</v>
      </c>
    </row>
    <row r="7" spans="2:15" ht="15">
      <c r="B7" s="36" t="s">
        <v>41</v>
      </c>
      <c r="C7" s="13">
        <f>COUNTIF('DC Portfolio'!$C$2:$C$78,"Asia")</f>
        <v>11</v>
      </c>
      <c r="D7" s="37">
        <f>SUMIF('DC Portfolio'!$C$2:$C$78,"Asia",'DC Portfolio'!$U$2:$U$78)</f>
        <v>46614</v>
      </c>
      <c r="E7" s="17"/>
      <c r="F7" s="451"/>
      <c r="G7" s="417" t="s">
        <v>14</v>
      </c>
      <c r="H7" s="411">
        <v>1</v>
      </c>
      <c r="I7" s="411">
        <v>9</v>
      </c>
      <c r="J7" s="411">
        <v>8</v>
      </c>
      <c r="K7" s="411">
        <v>3</v>
      </c>
      <c r="L7" s="411">
        <v>1</v>
      </c>
      <c r="M7" s="411"/>
      <c r="N7" s="411">
        <v>1</v>
      </c>
      <c r="O7" s="414">
        <v>23</v>
      </c>
    </row>
    <row r="8" spans="2:15" ht="15">
      <c r="B8" s="36" t="s">
        <v>42</v>
      </c>
      <c r="C8" s="13">
        <f>COUNTIF('DC Portfolio'!$C$2:$C$78,"Australia")</f>
        <v>6</v>
      </c>
      <c r="D8" s="37">
        <f>SUMIF('DC Portfolio'!$C$2:$C$78,"Australia",'DC Portfolio'!$U$2:$U$78)</f>
        <v>44137</v>
      </c>
      <c r="E8" s="17"/>
      <c r="F8" s="451"/>
      <c r="G8" s="417" t="s">
        <v>16</v>
      </c>
      <c r="H8" s="411"/>
      <c r="I8" s="411">
        <v>2</v>
      </c>
      <c r="J8" s="411">
        <v>8</v>
      </c>
      <c r="K8" s="411"/>
      <c r="L8" s="411"/>
      <c r="M8" s="411"/>
      <c r="N8" s="411"/>
      <c r="O8" s="414">
        <v>10</v>
      </c>
    </row>
    <row r="9" spans="2:15" ht="15">
      <c r="B9" s="36" t="s">
        <v>55</v>
      </c>
      <c r="C9" s="13">
        <f>COUNTIF('DC Portfolio'!$C$2:$C$78,"LATAM")</f>
        <v>2</v>
      </c>
      <c r="D9" s="37">
        <f>SUMIF('DC Portfolio'!$C$2:$C$78,"LATAM",'DC Portfolio'!$U$2:$U$78)</f>
        <v>1339</v>
      </c>
      <c r="E9" s="17"/>
      <c r="F9" s="451"/>
      <c r="G9" s="417" t="s">
        <v>15</v>
      </c>
      <c r="H9" s="411"/>
      <c r="I9" s="411">
        <v>1</v>
      </c>
      <c r="J9" s="411">
        <v>4</v>
      </c>
      <c r="K9" s="411"/>
      <c r="L9" s="411"/>
      <c r="M9" s="411"/>
      <c r="N9" s="411"/>
      <c r="O9" s="414">
        <v>5</v>
      </c>
    </row>
    <row r="10" spans="2:15" ht="15">
      <c r="B10" s="36" t="s">
        <v>49</v>
      </c>
      <c r="C10" s="13">
        <f>COUNTIF('DC Portfolio'!$C$2:$C$78,"TC&amp;H")</f>
        <v>5</v>
      </c>
      <c r="D10" s="37">
        <f>SUMIF('DC Portfolio'!$C$2:$C$78,"TC&amp;H",'DC Portfolio'!$U$2:$U$78)</f>
        <v>28600</v>
      </c>
      <c r="E10" s="17"/>
      <c r="F10" s="451"/>
      <c r="G10" s="417" t="s">
        <v>47</v>
      </c>
      <c r="H10" s="411"/>
      <c r="I10" s="411"/>
      <c r="J10" s="411">
        <v>2</v>
      </c>
      <c r="K10" s="411"/>
      <c r="L10" s="411"/>
      <c r="M10" s="411"/>
      <c r="N10" s="411"/>
      <c r="O10" s="414">
        <v>2</v>
      </c>
    </row>
    <row r="11" spans="2:15" ht="15">
      <c r="B11" s="36" t="s">
        <v>38</v>
      </c>
      <c r="C11" s="13">
        <f>COUNTIF('DC Portfolio'!$C$2:$C$78,"ITIS")</f>
        <v>7</v>
      </c>
      <c r="D11" s="37">
        <f>SUMIF('DC Portfolio'!$C$2:$C$78,"ITIS",'DC Portfolio'!$U$2:$U$78)</f>
        <v>29377</v>
      </c>
      <c r="E11" s="17"/>
      <c r="F11" s="451"/>
      <c r="G11" s="418" t="s">
        <v>46</v>
      </c>
      <c r="H11" s="411"/>
      <c r="I11" s="411">
        <v>1</v>
      </c>
      <c r="J11" s="411">
        <v>4</v>
      </c>
      <c r="K11" s="411"/>
      <c r="L11" s="411"/>
      <c r="M11" s="411"/>
      <c r="N11" s="411"/>
      <c r="O11" s="414">
        <v>5</v>
      </c>
    </row>
    <row r="12" spans="2:15" ht="16" thickBot="1">
      <c r="B12" s="38" t="s">
        <v>17</v>
      </c>
      <c r="C12" s="39">
        <f>SUM(C5:C11)</f>
        <v>72</v>
      </c>
      <c r="D12" s="40">
        <f>SUM(D5:D11)</f>
        <v>717898</v>
      </c>
      <c r="E12" s="17"/>
      <c r="F12" s="441" t="s">
        <v>38</v>
      </c>
      <c r="G12" s="418" t="s">
        <v>54</v>
      </c>
      <c r="H12" s="411">
        <v>2</v>
      </c>
      <c r="I12" s="411">
        <v>1</v>
      </c>
      <c r="J12" s="411">
        <v>2</v>
      </c>
      <c r="K12" s="411"/>
      <c r="L12" s="411"/>
      <c r="M12" s="411"/>
      <c r="N12" s="411"/>
      <c r="O12" s="414">
        <v>5</v>
      </c>
    </row>
    <row r="13" spans="2:15" ht="17">
      <c r="B13" s="4"/>
      <c r="C13" s="4"/>
      <c r="D13" s="4"/>
      <c r="E13" s="4"/>
      <c r="F13" s="441" t="s">
        <v>762</v>
      </c>
      <c r="G13" s="382" t="s">
        <v>762</v>
      </c>
      <c r="H13" s="411"/>
      <c r="I13" s="411"/>
      <c r="J13" s="411"/>
      <c r="K13" s="411"/>
      <c r="L13" s="411"/>
      <c r="M13" s="411"/>
      <c r="N13" s="411"/>
      <c r="O13" s="414"/>
    </row>
    <row r="14" spans="2:15" ht="16" thickBot="1">
      <c r="E14" s="3"/>
      <c r="F14" s="452" t="s">
        <v>11</v>
      </c>
      <c r="G14" s="453"/>
      <c r="H14" s="415">
        <v>4</v>
      </c>
      <c r="I14" s="415">
        <v>18</v>
      </c>
      <c r="J14" s="415">
        <v>40</v>
      </c>
      <c r="K14" s="415">
        <v>3</v>
      </c>
      <c r="L14" s="415">
        <v>1</v>
      </c>
      <c r="M14" s="415"/>
      <c r="N14" s="415">
        <v>1</v>
      </c>
      <c r="O14" s="416">
        <v>67</v>
      </c>
    </row>
    <row r="15" spans="2:15" ht="16" thickBot="1">
      <c r="B15" s="447" t="s">
        <v>52</v>
      </c>
      <c r="C15" s="448"/>
      <c r="D15" s="448"/>
      <c r="E15" s="448"/>
      <c r="F15" s="448"/>
      <c r="G15" s="448"/>
      <c r="H15" s="448"/>
      <c r="I15" s="448"/>
      <c r="J15" s="449"/>
    </row>
    <row r="16" spans="2:15">
      <c r="B16" s="171"/>
      <c r="C16" s="424" t="s">
        <v>20</v>
      </c>
      <c r="D16" s="388" t="s">
        <v>10</v>
      </c>
      <c r="E16" s="56"/>
      <c r="F16" s="56"/>
      <c r="G16" s="56"/>
      <c r="H16" s="56"/>
      <c r="I16" s="56"/>
      <c r="J16" s="56"/>
      <c r="K16" s="56"/>
      <c r="L16" s="56"/>
      <c r="M16" s="56"/>
      <c r="N16" s="57"/>
    </row>
    <row r="17" spans="2:14" ht="13">
      <c r="B17" s="170"/>
      <c r="C17" s="462" t="s">
        <v>8</v>
      </c>
      <c r="D17" s="463"/>
      <c r="E17" s="454" t="s">
        <v>9</v>
      </c>
      <c r="F17" s="455"/>
      <c r="G17" s="454" t="s">
        <v>43</v>
      </c>
      <c r="H17" s="455"/>
      <c r="I17" s="456" t="s">
        <v>762</v>
      </c>
      <c r="J17" s="457"/>
      <c r="K17" s="456" t="s">
        <v>1074</v>
      </c>
      <c r="L17" s="457"/>
      <c r="M17" s="458" t="s">
        <v>50</v>
      </c>
      <c r="N17" s="460" t="s">
        <v>58</v>
      </c>
    </row>
    <row r="18" spans="2:14" ht="13">
      <c r="B18" s="429" t="s">
        <v>536</v>
      </c>
      <c r="C18" s="440" t="s">
        <v>51</v>
      </c>
      <c r="D18" s="433" t="s">
        <v>59</v>
      </c>
      <c r="E18" s="440" t="s">
        <v>51</v>
      </c>
      <c r="F18" s="433" t="s">
        <v>59</v>
      </c>
      <c r="G18" s="440" t="s">
        <v>51</v>
      </c>
      <c r="H18" s="433" t="s">
        <v>59</v>
      </c>
      <c r="I18" s="383" t="s">
        <v>51</v>
      </c>
      <c r="J18" s="384" t="s">
        <v>59</v>
      </c>
      <c r="K18" s="383" t="s">
        <v>51</v>
      </c>
      <c r="L18" s="384" t="s">
        <v>59</v>
      </c>
      <c r="M18" s="459"/>
      <c r="N18" s="461"/>
    </row>
    <row r="19" spans="2:14">
      <c r="B19" s="430">
        <v>1</v>
      </c>
      <c r="C19" s="421"/>
      <c r="D19" s="422"/>
      <c r="E19" s="421">
        <v>4</v>
      </c>
      <c r="F19" s="422">
        <v>54908</v>
      </c>
      <c r="G19" s="421"/>
      <c r="H19" s="422"/>
      <c r="I19" s="410"/>
      <c r="J19" s="410"/>
      <c r="K19" s="410"/>
      <c r="L19" s="410"/>
      <c r="M19" s="423">
        <v>4</v>
      </c>
      <c r="N19" s="389">
        <v>54908</v>
      </c>
    </row>
    <row r="20" spans="2:14">
      <c r="B20" s="430">
        <v>2</v>
      </c>
      <c r="C20" s="421">
        <v>8</v>
      </c>
      <c r="D20" s="422">
        <v>234789</v>
      </c>
      <c r="E20" s="421">
        <v>6</v>
      </c>
      <c r="F20" s="422">
        <v>71483</v>
      </c>
      <c r="G20" s="421">
        <v>4</v>
      </c>
      <c r="H20" s="422">
        <v>2276</v>
      </c>
      <c r="I20" s="410"/>
      <c r="J20" s="410"/>
      <c r="K20" s="410"/>
      <c r="L20" s="410"/>
      <c r="M20" s="423">
        <v>18</v>
      </c>
      <c r="N20" s="389">
        <v>308548</v>
      </c>
    </row>
    <row r="21" spans="2:14">
      <c r="B21" s="430">
        <v>3</v>
      </c>
      <c r="C21" s="421">
        <v>5</v>
      </c>
      <c r="D21" s="422">
        <v>128035</v>
      </c>
      <c r="E21" s="421">
        <v>8</v>
      </c>
      <c r="F21" s="422">
        <v>117684</v>
      </c>
      <c r="G21" s="421">
        <v>26</v>
      </c>
      <c r="H21" s="422">
        <v>67935</v>
      </c>
      <c r="I21" s="410"/>
      <c r="J21" s="410"/>
      <c r="K21" s="410">
        <v>1</v>
      </c>
      <c r="L21" s="410">
        <v>6700</v>
      </c>
      <c r="M21" s="423">
        <v>40</v>
      </c>
      <c r="N21" s="389">
        <v>320354</v>
      </c>
    </row>
    <row r="22" spans="2:14">
      <c r="B22" s="430">
        <v>4</v>
      </c>
      <c r="C22" s="421"/>
      <c r="D22" s="422"/>
      <c r="E22" s="421"/>
      <c r="F22" s="422"/>
      <c r="G22" s="421">
        <v>3</v>
      </c>
      <c r="H22" s="422">
        <v>26361</v>
      </c>
      <c r="I22" s="410"/>
      <c r="J22" s="410"/>
      <c r="K22" s="410"/>
      <c r="L22" s="410"/>
      <c r="M22" s="423">
        <v>3</v>
      </c>
      <c r="N22" s="389">
        <v>26361</v>
      </c>
    </row>
    <row r="23" spans="2:14">
      <c r="B23" s="430" t="s">
        <v>608</v>
      </c>
      <c r="C23" s="421"/>
      <c r="D23" s="422"/>
      <c r="E23" s="421"/>
      <c r="F23" s="422"/>
      <c r="G23" s="421">
        <v>1</v>
      </c>
      <c r="H23" s="422">
        <v>237</v>
      </c>
      <c r="I23" s="410"/>
      <c r="J23" s="410"/>
      <c r="K23" s="410"/>
      <c r="L23" s="410"/>
      <c r="M23" s="423">
        <v>1</v>
      </c>
      <c r="N23" s="389">
        <v>237</v>
      </c>
    </row>
    <row r="24" spans="2:14">
      <c r="B24" s="430" t="s">
        <v>762</v>
      </c>
      <c r="C24" s="421">
        <v>2</v>
      </c>
      <c r="D24" s="422"/>
      <c r="E24" s="421"/>
      <c r="F24" s="422"/>
      <c r="G24" s="421">
        <v>3</v>
      </c>
      <c r="H24" s="422">
        <v>2000</v>
      </c>
      <c r="I24" s="410">
        <v>5</v>
      </c>
      <c r="J24" s="410"/>
      <c r="K24" s="410"/>
      <c r="L24" s="410"/>
      <c r="M24" s="423">
        <v>10</v>
      </c>
      <c r="N24" s="389">
        <v>2000</v>
      </c>
    </row>
    <row r="25" spans="2:14">
      <c r="B25" s="431" t="s">
        <v>848</v>
      </c>
      <c r="C25" s="421"/>
      <c r="D25" s="422"/>
      <c r="E25" s="421">
        <v>1</v>
      </c>
      <c r="F25" s="422">
        <v>5490</v>
      </c>
      <c r="G25" s="421"/>
      <c r="H25" s="422"/>
      <c r="I25" s="410"/>
      <c r="J25" s="410"/>
      <c r="K25" s="410"/>
      <c r="L25" s="410"/>
      <c r="M25" s="423">
        <v>1</v>
      </c>
      <c r="N25" s="389">
        <v>5490</v>
      </c>
    </row>
    <row r="26" spans="2:14" ht="14" thickBot="1">
      <c r="B26" s="432" t="s">
        <v>11</v>
      </c>
      <c r="C26" s="425">
        <v>15</v>
      </c>
      <c r="D26" s="426">
        <v>362824</v>
      </c>
      <c r="E26" s="425">
        <v>19</v>
      </c>
      <c r="F26" s="426">
        <v>249565</v>
      </c>
      <c r="G26" s="425">
        <v>37</v>
      </c>
      <c r="H26" s="426">
        <v>98809</v>
      </c>
      <c r="I26" s="427">
        <v>5</v>
      </c>
      <c r="J26" s="427"/>
      <c r="K26" s="427">
        <v>1</v>
      </c>
      <c r="L26" s="427">
        <v>6700</v>
      </c>
      <c r="M26" s="425">
        <v>77</v>
      </c>
      <c r="N26" s="428">
        <v>717898</v>
      </c>
    </row>
    <row r="27" spans="2:14">
      <c r="B27" s="439"/>
      <c r="C27" s="439"/>
      <c r="D27" s="404" t="s">
        <v>20</v>
      </c>
      <c r="E27" s="403"/>
      <c r="F27" s="403"/>
      <c r="G27" s="403"/>
      <c r="H27" s="405"/>
      <c r="I27" s="405"/>
    </row>
    <row r="28" spans="2:14">
      <c r="B28" s="439" t="s">
        <v>536</v>
      </c>
      <c r="C28" s="407" t="s">
        <v>130</v>
      </c>
      <c r="D28" s="409" t="s">
        <v>8</v>
      </c>
      <c r="E28" s="409" t="s">
        <v>9</v>
      </c>
      <c r="F28" s="409" t="s">
        <v>43</v>
      </c>
      <c r="G28" s="409" t="s">
        <v>762</v>
      </c>
      <c r="H28" s="409" t="s">
        <v>1074</v>
      </c>
      <c r="I28" s="409" t="s">
        <v>11</v>
      </c>
    </row>
    <row r="29" spans="2:14">
      <c r="B29" s="445">
        <v>1</v>
      </c>
      <c r="C29" s="438" t="s">
        <v>12</v>
      </c>
      <c r="D29" s="406"/>
      <c r="E29" s="406">
        <v>4</v>
      </c>
      <c r="F29" s="406"/>
      <c r="G29" s="406"/>
      <c r="H29" s="406"/>
      <c r="I29" s="406">
        <v>4</v>
      </c>
    </row>
    <row r="30" spans="2:14">
      <c r="B30" s="446"/>
      <c r="C30" s="438" t="s">
        <v>30</v>
      </c>
      <c r="D30" s="406"/>
      <c r="E30" s="406">
        <v>54908</v>
      </c>
      <c r="F30" s="406"/>
      <c r="G30" s="406"/>
      <c r="H30" s="406"/>
      <c r="I30" s="406">
        <v>54908</v>
      </c>
    </row>
    <row r="31" spans="2:14">
      <c r="B31" s="445">
        <v>2</v>
      </c>
      <c r="C31" s="438" t="s">
        <v>12</v>
      </c>
      <c r="D31" s="406">
        <v>8</v>
      </c>
      <c r="E31" s="406">
        <v>6</v>
      </c>
      <c r="F31" s="406">
        <v>4</v>
      </c>
      <c r="G31" s="406"/>
      <c r="H31" s="406"/>
      <c r="I31" s="406">
        <v>18</v>
      </c>
    </row>
    <row r="32" spans="2:14">
      <c r="B32" s="446"/>
      <c r="C32" s="438" t="s">
        <v>30</v>
      </c>
      <c r="D32" s="406">
        <v>234789</v>
      </c>
      <c r="E32" s="406">
        <v>71483</v>
      </c>
      <c r="F32" s="406">
        <v>2276</v>
      </c>
      <c r="G32" s="406"/>
      <c r="H32" s="406"/>
      <c r="I32" s="406">
        <v>308548</v>
      </c>
    </row>
    <row r="33" spans="2:9">
      <c r="B33" s="445">
        <v>3</v>
      </c>
      <c r="C33" s="438" t="s">
        <v>12</v>
      </c>
      <c r="D33" s="406">
        <v>5</v>
      </c>
      <c r="E33" s="406">
        <v>8</v>
      </c>
      <c r="F33" s="406">
        <v>26</v>
      </c>
      <c r="G33" s="406"/>
      <c r="H33" s="406">
        <v>1</v>
      </c>
      <c r="I33" s="406">
        <v>40</v>
      </c>
    </row>
    <row r="34" spans="2:9">
      <c r="B34" s="446"/>
      <c r="C34" s="438" t="s">
        <v>30</v>
      </c>
      <c r="D34" s="406">
        <v>128035</v>
      </c>
      <c r="E34" s="406">
        <v>117684</v>
      </c>
      <c r="F34" s="406">
        <v>67935</v>
      </c>
      <c r="G34" s="406"/>
      <c r="H34" s="406">
        <v>6700</v>
      </c>
      <c r="I34" s="406">
        <v>320354</v>
      </c>
    </row>
    <row r="35" spans="2:9">
      <c r="B35" s="445">
        <v>4</v>
      </c>
      <c r="C35" s="438" t="s">
        <v>12</v>
      </c>
      <c r="D35" s="406"/>
      <c r="E35" s="406"/>
      <c r="F35" s="406">
        <v>3</v>
      </c>
      <c r="G35" s="406"/>
      <c r="H35" s="406"/>
      <c r="I35" s="406">
        <v>3</v>
      </c>
    </row>
    <row r="36" spans="2:9">
      <c r="B36" s="446"/>
      <c r="C36" s="438" t="s">
        <v>30</v>
      </c>
      <c r="D36" s="406"/>
      <c r="E36" s="406"/>
      <c r="F36" s="406">
        <v>26361</v>
      </c>
      <c r="G36" s="406"/>
      <c r="H36" s="406"/>
      <c r="I36" s="406">
        <v>26361</v>
      </c>
    </row>
    <row r="37" spans="2:9">
      <c r="B37" s="445" t="s">
        <v>608</v>
      </c>
      <c r="C37" s="408" t="s">
        <v>12</v>
      </c>
      <c r="D37" s="406"/>
      <c r="E37" s="406"/>
      <c r="F37" s="406">
        <v>1</v>
      </c>
      <c r="G37" s="406"/>
      <c r="H37" s="406"/>
      <c r="I37" s="406">
        <v>1</v>
      </c>
    </row>
    <row r="38" spans="2:9">
      <c r="B38" s="446"/>
      <c r="C38" s="408" t="s">
        <v>30</v>
      </c>
      <c r="D38" s="406"/>
      <c r="E38" s="406"/>
      <c r="F38" s="406">
        <v>237</v>
      </c>
      <c r="G38" s="406"/>
      <c r="H38" s="406"/>
      <c r="I38" s="406">
        <v>237</v>
      </c>
    </row>
    <row r="39" spans="2:9">
      <c r="B39" s="445" t="s">
        <v>762</v>
      </c>
      <c r="C39" s="408" t="s">
        <v>12</v>
      </c>
      <c r="D39" s="406">
        <v>2</v>
      </c>
      <c r="E39" s="406"/>
      <c r="F39" s="406">
        <v>3</v>
      </c>
      <c r="G39" s="406">
        <v>5</v>
      </c>
      <c r="H39" s="406"/>
      <c r="I39" s="406">
        <v>10</v>
      </c>
    </row>
    <row r="40" spans="2:9">
      <c r="B40" s="446"/>
      <c r="C40" s="408" t="s">
        <v>30</v>
      </c>
      <c r="D40" s="406"/>
      <c r="E40" s="406"/>
      <c r="F40" s="406">
        <v>2000</v>
      </c>
      <c r="G40" s="406"/>
      <c r="H40" s="406"/>
      <c r="I40" s="406">
        <v>2000</v>
      </c>
    </row>
    <row r="41" spans="2:9">
      <c r="B41" s="445" t="s">
        <v>848</v>
      </c>
      <c r="C41" s="408" t="s">
        <v>12</v>
      </c>
      <c r="D41" s="406"/>
      <c r="E41" s="406">
        <v>1</v>
      </c>
      <c r="F41" s="406"/>
      <c r="G41" s="406"/>
      <c r="H41" s="406"/>
      <c r="I41" s="406">
        <v>1</v>
      </c>
    </row>
    <row r="42" spans="2:9">
      <c r="B42" s="446"/>
      <c r="C42" s="408" t="s">
        <v>30</v>
      </c>
      <c r="D42" s="406"/>
      <c r="E42" s="406">
        <v>5490</v>
      </c>
      <c r="F42" s="406"/>
      <c r="G42" s="406"/>
      <c r="H42" s="406"/>
      <c r="I42" s="406">
        <v>5490</v>
      </c>
    </row>
    <row r="43" spans="2:9">
      <c r="B43" s="445" t="s">
        <v>558</v>
      </c>
      <c r="C43" s="446"/>
      <c r="D43" s="406">
        <v>15</v>
      </c>
      <c r="E43" s="406">
        <v>19</v>
      </c>
      <c r="F43" s="406">
        <v>37</v>
      </c>
      <c r="G43" s="406">
        <v>5</v>
      </c>
      <c r="H43" s="406">
        <v>1</v>
      </c>
      <c r="I43" s="406">
        <v>77</v>
      </c>
    </row>
    <row r="44" spans="2:9">
      <c r="B44" s="445" t="s">
        <v>559</v>
      </c>
      <c r="C44" s="446"/>
      <c r="D44" s="406">
        <v>362824</v>
      </c>
      <c r="E44" s="406">
        <v>249565</v>
      </c>
      <c r="F44" s="406">
        <v>98809</v>
      </c>
      <c r="G44" s="406"/>
      <c r="H44" s="406">
        <v>6700</v>
      </c>
      <c r="I44" s="406">
        <v>717898</v>
      </c>
    </row>
    <row r="64" spans="18:18">
      <c r="R64" s="14"/>
    </row>
    <row r="66" spans="2:11">
      <c r="G66" s="9"/>
      <c r="H66" s="9"/>
      <c r="I66" s="9"/>
    </row>
    <row r="67" spans="2:11">
      <c r="G67" s="9"/>
      <c r="H67" s="9"/>
      <c r="I67" s="9"/>
      <c r="J67" s="9"/>
      <c r="K67" s="9"/>
    </row>
    <row r="68" spans="2:11">
      <c r="G68" s="9"/>
      <c r="H68" s="10"/>
      <c r="I68" s="9"/>
      <c r="J68" s="9"/>
      <c r="K68" s="9"/>
    </row>
    <row r="69" spans="2:11">
      <c r="G69" s="9"/>
      <c r="H69" s="10"/>
      <c r="I69" s="9"/>
      <c r="J69" s="10"/>
      <c r="K69" s="9"/>
    </row>
    <row r="70" spans="2:11">
      <c r="G70" s="9"/>
      <c r="H70" s="10"/>
      <c r="I70" s="9"/>
      <c r="J70" s="10"/>
      <c r="K70" s="9"/>
    </row>
    <row r="71" spans="2:11">
      <c r="G71" s="9"/>
      <c r="H71" s="10"/>
      <c r="I71" s="9"/>
      <c r="J71" s="10"/>
      <c r="K71" s="9"/>
    </row>
    <row r="72" spans="2:11">
      <c r="G72" s="9"/>
      <c r="H72" s="10"/>
      <c r="I72" s="9"/>
      <c r="J72" s="10"/>
      <c r="K72" s="9"/>
    </row>
    <row r="73" spans="2:11">
      <c r="G73" s="9"/>
      <c r="H73" s="10"/>
      <c r="I73" s="9"/>
      <c r="J73" s="10"/>
      <c r="K73" s="9"/>
    </row>
    <row r="74" spans="2:11">
      <c r="G74" s="9"/>
      <c r="H74" s="10"/>
      <c r="I74" s="9"/>
      <c r="J74" s="10"/>
      <c r="K74" s="9"/>
    </row>
    <row r="75" spans="2:11">
      <c r="B75" s="2"/>
      <c r="C75" s="2"/>
      <c r="D75" s="3"/>
      <c r="G75" s="9"/>
      <c r="H75" s="10"/>
      <c r="I75" s="9"/>
      <c r="J75" s="10"/>
      <c r="K75" s="9"/>
    </row>
    <row r="76" spans="2:11">
      <c r="B76" s="5"/>
      <c r="C76" s="5"/>
      <c r="D76" s="5"/>
      <c r="G76" s="9"/>
      <c r="H76" s="10"/>
      <c r="I76" s="9"/>
      <c r="J76" s="10"/>
      <c r="K76" s="9"/>
    </row>
    <row r="77" spans="2:11" ht="15">
      <c r="B77" s="444"/>
      <c r="C77" s="444"/>
      <c r="D77" s="444"/>
      <c r="G77" s="9"/>
      <c r="H77" s="10"/>
      <c r="I77" s="9"/>
      <c r="J77" s="10"/>
      <c r="K77" s="9"/>
    </row>
    <row r="78" spans="2:11">
      <c r="G78" s="9"/>
      <c r="H78" s="9"/>
      <c r="I78" s="9"/>
      <c r="J78" s="10"/>
      <c r="K78" s="9"/>
    </row>
    <row r="79" spans="2:11">
      <c r="I79" s="9"/>
      <c r="J79" s="9"/>
      <c r="K79" s="9"/>
    </row>
    <row r="80" spans="2:11">
      <c r="I80" s="9"/>
      <c r="J80" s="11"/>
      <c r="K80" s="9"/>
    </row>
    <row r="81" spans="9:11">
      <c r="I81" s="9"/>
      <c r="J81" s="11"/>
      <c r="K81" s="9"/>
    </row>
    <row r="82" spans="9:11">
      <c r="I82" s="9"/>
      <c r="J82" s="11"/>
      <c r="K82" s="9"/>
    </row>
    <row r="83" spans="9:11">
      <c r="I83" s="9"/>
      <c r="J83" s="11"/>
      <c r="K83" s="9"/>
    </row>
    <row r="84" spans="9:11">
      <c r="I84" s="9"/>
      <c r="J84" s="11"/>
      <c r="K84" s="9"/>
    </row>
    <row r="85" spans="9:11">
      <c r="I85" s="9"/>
      <c r="J85" s="11"/>
      <c r="K85" s="9"/>
    </row>
    <row r="86" spans="9:11">
      <c r="J86" s="9"/>
      <c r="K86" s="9"/>
    </row>
  </sheetData>
  <sortState ref="C4:T54">
    <sortCondition ref="C4:C54"/>
    <sortCondition ref="D4:D54" customList="Americas,EMEA,Asia,Australia"/>
    <sortCondition ref="G4:G54" customList="Own,Lease,Colo"/>
  </sortState>
  <mergeCells count="22">
    <mergeCell ref="B41:B42"/>
    <mergeCell ref="B43:C43"/>
    <mergeCell ref="B44:C44"/>
    <mergeCell ref="C17:D17"/>
    <mergeCell ref="E17:F17"/>
    <mergeCell ref="G17:H17"/>
    <mergeCell ref="I17:J17"/>
    <mergeCell ref="K17:L17"/>
    <mergeCell ref="M17:M18"/>
    <mergeCell ref="N17:N18"/>
    <mergeCell ref="B3:D3"/>
    <mergeCell ref="F3:L3"/>
    <mergeCell ref="B15:J15"/>
    <mergeCell ref="F6:F11"/>
    <mergeCell ref="F14:G14"/>
    <mergeCell ref="B77:D77"/>
    <mergeCell ref="B29:B30"/>
    <mergeCell ref="B31:B32"/>
    <mergeCell ref="B33:B34"/>
    <mergeCell ref="B35:B36"/>
    <mergeCell ref="B37:B38"/>
    <mergeCell ref="B39:B40"/>
  </mergeCells>
  <phoneticPr fontId="4" type="noConversion"/>
  <pageMargins left="0.19" right="0.25" top="1" bottom="1" header="0.5" footer="0.5"/>
  <pageSetup scale="77" orientation="landscape"/>
  <headerFooter alignWithMargins="0">
    <oddHeader>&amp;C&amp;"Arial,Bold"&amp;18January 2006</oddHead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4"/>
  <sheetViews>
    <sheetView zoomScale="90" zoomScaleNormal="90" zoomScalePageLayoutView="90" workbookViewId="0">
      <selection activeCell="D12" sqref="D12:E12"/>
    </sheetView>
  </sheetViews>
  <sheetFormatPr baseColWidth="10" defaultColWidth="8.83203125" defaultRowHeight="12" x14ac:dyDescent="0"/>
  <cols>
    <col min="1" max="1" width="2.6640625" customWidth="1"/>
    <col min="2" max="4" width="26.83203125" customWidth="1"/>
    <col min="5" max="5" width="23.1640625" customWidth="1"/>
    <col min="6" max="6" width="18.1640625" customWidth="1"/>
    <col min="7" max="7" width="2.5" customWidth="1"/>
    <col min="8" max="8" width="24.6640625" customWidth="1"/>
    <col min="9" max="9" width="17.5" customWidth="1"/>
    <col min="10" max="10" width="23.6640625" customWidth="1"/>
    <col min="11" max="11" width="25.83203125" customWidth="1"/>
    <col min="12" max="12" width="21" customWidth="1"/>
    <col min="13" max="13" width="19.5" customWidth="1"/>
  </cols>
  <sheetData>
    <row r="1" spans="2:13">
      <c r="D1" s="7" t="s">
        <v>825</v>
      </c>
    </row>
    <row r="4" spans="2:13">
      <c r="B4" s="68" t="s">
        <v>243</v>
      </c>
      <c r="C4" s="68" t="s">
        <v>668</v>
      </c>
      <c r="D4" s="68" t="s">
        <v>343</v>
      </c>
      <c r="E4" s="68" t="s">
        <v>417</v>
      </c>
      <c r="F4" s="68" t="s">
        <v>418</v>
      </c>
      <c r="H4" s="68" t="s">
        <v>246</v>
      </c>
      <c r="I4" s="68" t="s">
        <v>426</v>
      </c>
      <c r="J4" s="68" t="s">
        <v>423</v>
      </c>
      <c r="K4" s="68" t="s">
        <v>343</v>
      </c>
      <c r="L4" s="68" t="s">
        <v>417</v>
      </c>
      <c r="M4" s="68" t="s">
        <v>418</v>
      </c>
    </row>
    <row r="5" spans="2:13">
      <c r="B5" s="113" t="s">
        <v>340</v>
      </c>
      <c r="C5" s="113"/>
      <c r="D5" s="113"/>
      <c r="E5" s="113" t="s">
        <v>341</v>
      </c>
      <c r="F5" s="113" t="s">
        <v>342</v>
      </c>
      <c r="H5" s="115"/>
      <c r="I5" s="115"/>
      <c r="J5" s="115"/>
      <c r="K5" s="114"/>
      <c r="L5" s="114"/>
      <c r="M5" s="114"/>
    </row>
    <row r="6" spans="2:13" ht="24">
      <c r="B6" s="113" t="s">
        <v>345</v>
      </c>
      <c r="C6" s="113"/>
      <c r="D6" s="113" t="s">
        <v>344</v>
      </c>
      <c r="E6" s="113" t="s">
        <v>384</v>
      </c>
      <c r="F6" s="113"/>
      <c r="H6" s="116" t="s">
        <v>428</v>
      </c>
      <c r="I6" s="116" t="s">
        <v>119</v>
      </c>
      <c r="J6" s="116" t="s">
        <v>429</v>
      </c>
      <c r="K6" s="114"/>
      <c r="L6" s="114"/>
      <c r="M6" s="114"/>
    </row>
    <row r="7" spans="2:13">
      <c r="B7" s="113" t="s">
        <v>253</v>
      </c>
      <c r="C7" s="113"/>
      <c r="D7" s="113" t="s">
        <v>346</v>
      </c>
      <c r="E7" s="113" t="s">
        <v>347</v>
      </c>
      <c r="F7" s="113"/>
      <c r="H7" s="116" t="s">
        <v>425</v>
      </c>
      <c r="I7" s="116" t="s">
        <v>430</v>
      </c>
      <c r="J7" s="116" t="s">
        <v>424</v>
      </c>
      <c r="K7" s="117" t="s">
        <v>422</v>
      </c>
      <c r="L7" s="114" t="s">
        <v>420</v>
      </c>
      <c r="M7" s="114" t="s">
        <v>421</v>
      </c>
    </row>
    <row r="8" spans="2:13" ht="48">
      <c r="B8" s="113" t="s">
        <v>262</v>
      </c>
      <c r="C8" s="113" t="s">
        <v>68</v>
      </c>
      <c r="D8" s="113" t="s">
        <v>348</v>
      </c>
      <c r="E8" s="113" t="s">
        <v>349</v>
      </c>
      <c r="F8" s="113"/>
      <c r="H8" s="203" t="s">
        <v>658</v>
      </c>
      <c r="I8" s="203" t="s">
        <v>427</v>
      </c>
      <c r="J8" s="203" t="s">
        <v>586</v>
      </c>
      <c r="K8" s="204" t="s">
        <v>659</v>
      </c>
      <c r="L8" s="205" t="s">
        <v>660</v>
      </c>
      <c r="M8" s="114"/>
    </row>
    <row r="9" spans="2:13">
      <c r="B9" s="113" t="s">
        <v>383</v>
      </c>
      <c r="C9" s="113"/>
      <c r="D9" s="113" t="s">
        <v>351</v>
      </c>
      <c r="E9" s="113" t="s">
        <v>350</v>
      </c>
      <c r="F9" s="113"/>
      <c r="H9" s="116"/>
      <c r="I9" s="116"/>
      <c r="J9" s="116"/>
      <c r="K9" s="114"/>
      <c r="L9" s="114"/>
      <c r="M9" s="114"/>
    </row>
    <row r="10" spans="2:13">
      <c r="B10" s="113" t="s">
        <v>382</v>
      </c>
      <c r="C10" s="113" t="s">
        <v>4</v>
      </c>
      <c r="D10" s="114" t="s">
        <v>353</v>
      </c>
      <c r="E10" s="113" t="s">
        <v>352</v>
      </c>
      <c r="F10" s="113"/>
      <c r="H10" s="114"/>
      <c r="I10" s="114"/>
      <c r="J10" s="114"/>
      <c r="K10" s="114"/>
      <c r="L10" s="114"/>
      <c r="M10" s="114"/>
    </row>
    <row r="11" spans="2:13">
      <c r="B11" s="113" t="s">
        <v>356</v>
      </c>
      <c r="C11" s="113"/>
      <c r="D11" s="113"/>
      <c r="E11" s="113" t="s">
        <v>354</v>
      </c>
      <c r="F11" s="113" t="s">
        <v>355</v>
      </c>
      <c r="H11" s="114"/>
      <c r="I11" s="114"/>
      <c r="J11" s="114"/>
      <c r="K11" s="114"/>
      <c r="L11" s="114"/>
      <c r="M11" s="114"/>
    </row>
    <row r="12" spans="2:13">
      <c r="B12" s="113" t="s">
        <v>385</v>
      </c>
      <c r="C12" s="113"/>
      <c r="D12" s="113" t="s">
        <v>358</v>
      </c>
      <c r="E12" s="113" t="s">
        <v>357</v>
      </c>
      <c r="F12" s="113"/>
      <c r="H12" s="114"/>
      <c r="I12" s="114"/>
      <c r="J12" s="114"/>
      <c r="K12" s="114"/>
      <c r="L12" s="114"/>
      <c r="M12" s="114"/>
    </row>
    <row r="13" spans="2:13">
      <c r="B13" s="113" t="s">
        <v>262</v>
      </c>
      <c r="C13" s="113"/>
      <c r="D13" s="113" t="s">
        <v>348</v>
      </c>
      <c r="E13" s="113" t="s">
        <v>349</v>
      </c>
      <c r="F13" s="113"/>
      <c r="H13" s="114"/>
      <c r="I13" s="114"/>
      <c r="J13" s="114"/>
      <c r="K13" s="114"/>
      <c r="L13" s="114"/>
      <c r="M13" s="114"/>
    </row>
    <row r="14" spans="2:13">
      <c r="B14" s="113" t="s">
        <v>361</v>
      </c>
      <c r="C14" s="113" t="s">
        <v>278</v>
      </c>
      <c r="D14" s="113" t="s">
        <v>360</v>
      </c>
      <c r="E14" s="113" t="s">
        <v>359</v>
      </c>
      <c r="F14" s="113"/>
      <c r="H14" s="114"/>
      <c r="I14" s="114"/>
      <c r="J14" s="114"/>
      <c r="K14" s="114"/>
      <c r="L14" s="114"/>
      <c r="M14" s="114"/>
    </row>
    <row r="15" spans="2:13">
      <c r="B15" s="113"/>
      <c r="C15" s="113"/>
      <c r="D15" s="113"/>
      <c r="E15" s="113"/>
      <c r="F15" s="113"/>
      <c r="H15" s="114"/>
      <c r="I15" s="114"/>
      <c r="J15" s="114"/>
      <c r="K15" s="114"/>
      <c r="L15" s="114"/>
      <c r="M15" s="114"/>
    </row>
    <row r="16" spans="2:13">
      <c r="B16" s="113" t="s">
        <v>281</v>
      </c>
      <c r="C16" s="113" t="s">
        <v>669</v>
      </c>
      <c r="D16" s="113" t="s">
        <v>362</v>
      </c>
      <c r="E16" s="113">
        <v>603.76637301999995</v>
      </c>
      <c r="F16" s="113"/>
      <c r="H16" s="114"/>
      <c r="I16" s="114"/>
      <c r="J16" s="114"/>
      <c r="K16" s="114"/>
      <c r="L16" s="114"/>
      <c r="M16" s="114"/>
    </row>
    <row r="17" spans="2:13">
      <c r="B17" s="113" t="s">
        <v>587</v>
      </c>
      <c r="C17" s="113"/>
      <c r="D17" s="113" t="s">
        <v>590</v>
      </c>
      <c r="E17" s="113" t="s">
        <v>595</v>
      </c>
      <c r="F17" s="113"/>
      <c r="H17" s="114"/>
      <c r="I17" s="114"/>
      <c r="J17" s="114"/>
      <c r="K17" s="114"/>
      <c r="L17" s="114"/>
      <c r="M17" s="114"/>
    </row>
    <row r="18" spans="2:13">
      <c r="B18" s="113" t="s">
        <v>588</v>
      </c>
      <c r="C18" s="113"/>
      <c r="D18" s="113" t="s">
        <v>591</v>
      </c>
      <c r="E18" s="113" t="s">
        <v>594</v>
      </c>
      <c r="F18" s="113"/>
      <c r="H18" s="114"/>
      <c r="I18" s="114"/>
      <c r="J18" s="114"/>
      <c r="K18" s="114"/>
      <c r="L18" s="114"/>
      <c r="M18" s="114"/>
    </row>
    <row r="19" spans="2:13">
      <c r="B19" s="113" t="s">
        <v>589</v>
      </c>
      <c r="C19" s="113"/>
      <c r="D19" s="113" t="s">
        <v>592</v>
      </c>
      <c r="E19" s="113" t="s">
        <v>593</v>
      </c>
      <c r="F19" s="113"/>
      <c r="H19" s="114"/>
      <c r="I19" s="114"/>
      <c r="J19" s="114"/>
      <c r="K19" s="114"/>
      <c r="L19" s="114"/>
      <c r="M19" s="114"/>
    </row>
    <row r="20" spans="2:13">
      <c r="B20" s="113" t="s">
        <v>386</v>
      </c>
      <c r="C20" s="113"/>
      <c r="D20" s="113" t="s">
        <v>364</v>
      </c>
      <c r="E20" s="113" t="s">
        <v>363</v>
      </c>
      <c r="F20" s="113"/>
      <c r="H20" s="114"/>
      <c r="I20" s="114"/>
      <c r="J20" s="114"/>
      <c r="K20" s="114"/>
      <c r="L20" s="114"/>
      <c r="M20" s="114"/>
    </row>
    <row r="21" spans="2:13">
      <c r="B21" s="113" t="s">
        <v>367</v>
      </c>
      <c r="C21" s="113"/>
      <c r="D21" s="113" t="s">
        <v>366</v>
      </c>
      <c r="E21" s="113" t="s">
        <v>365</v>
      </c>
      <c r="F21" s="113"/>
      <c r="H21" s="114"/>
      <c r="I21" s="114"/>
      <c r="J21" s="114"/>
      <c r="K21" s="114"/>
      <c r="L21" s="114"/>
      <c r="M21" s="114"/>
    </row>
    <row r="22" spans="2:13">
      <c r="B22" s="113" t="s">
        <v>370</v>
      </c>
      <c r="C22" s="113"/>
      <c r="D22" s="113" t="s">
        <v>369</v>
      </c>
      <c r="E22" s="113" t="s">
        <v>368</v>
      </c>
      <c r="F22" s="113"/>
      <c r="H22" s="114"/>
      <c r="I22" s="114"/>
      <c r="J22" s="114"/>
      <c r="K22" s="114"/>
      <c r="L22" s="114"/>
      <c r="M22" s="114"/>
    </row>
    <row r="23" spans="2:13">
      <c r="B23" s="113" t="s">
        <v>373</v>
      </c>
      <c r="C23" s="113"/>
      <c r="D23" s="113" t="s">
        <v>372</v>
      </c>
      <c r="E23" s="113" t="s">
        <v>371</v>
      </c>
      <c r="F23" s="113"/>
      <c r="H23" s="114"/>
      <c r="I23" s="114"/>
      <c r="J23" s="114"/>
      <c r="K23" s="114"/>
      <c r="L23" s="114"/>
      <c r="M23" s="114"/>
    </row>
    <row r="24" spans="2:13">
      <c r="B24" s="113" t="s">
        <v>376</v>
      </c>
      <c r="C24" s="113"/>
      <c r="D24" s="113" t="s">
        <v>375</v>
      </c>
      <c r="E24" s="113" t="s">
        <v>374</v>
      </c>
      <c r="F24" s="113"/>
      <c r="H24" s="114"/>
      <c r="I24" s="114"/>
      <c r="J24" s="114"/>
      <c r="K24" s="114"/>
      <c r="L24" s="114"/>
      <c r="M24" s="114"/>
    </row>
    <row r="25" spans="2:13">
      <c r="B25" s="113" t="s">
        <v>378</v>
      </c>
      <c r="C25" s="113"/>
      <c r="D25" s="113" t="s">
        <v>377</v>
      </c>
      <c r="E25" s="113">
        <v>352.24834294999999</v>
      </c>
      <c r="F25" s="113"/>
      <c r="H25" s="114"/>
      <c r="I25" s="114"/>
      <c r="J25" s="114"/>
      <c r="K25" s="114"/>
      <c r="L25" s="114"/>
      <c r="M25" s="114"/>
    </row>
    <row r="26" spans="2:13">
      <c r="B26" s="113" t="s">
        <v>381</v>
      </c>
      <c r="C26" s="113"/>
      <c r="D26" s="113"/>
      <c r="E26" s="113" t="s">
        <v>379</v>
      </c>
      <c r="F26" s="113" t="s">
        <v>380</v>
      </c>
      <c r="H26" s="114"/>
      <c r="I26" s="114"/>
      <c r="J26" s="114"/>
      <c r="K26" s="114"/>
      <c r="L26" s="114"/>
      <c r="M26" s="114"/>
    </row>
    <row r="27" spans="2:13">
      <c r="B27" s="113" t="s">
        <v>389</v>
      </c>
      <c r="C27" s="113"/>
      <c r="D27" s="113" t="s">
        <v>388</v>
      </c>
      <c r="E27" s="113" t="s">
        <v>387</v>
      </c>
      <c r="F27" s="113"/>
      <c r="H27" s="114"/>
      <c r="I27" s="114"/>
      <c r="J27" s="114"/>
      <c r="K27" s="114"/>
      <c r="L27" s="114"/>
      <c r="M27" s="114"/>
    </row>
    <row r="28" spans="2:13">
      <c r="B28" s="113" t="s">
        <v>376</v>
      </c>
      <c r="C28" s="113"/>
      <c r="D28" s="113" t="s">
        <v>375</v>
      </c>
      <c r="E28" s="113" t="s">
        <v>390</v>
      </c>
      <c r="F28" s="113"/>
      <c r="H28" s="114"/>
      <c r="I28" s="114"/>
      <c r="J28" s="114"/>
      <c r="K28" s="114"/>
      <c r="L28" s="114"/>
      <c r="M28" s="114"/>
    </row>
    <row r="29" spans="2:13">
      <c r="B29" s="113" t="s">
        <v>393</v>
      </c>
      <c r="C29" s="113"/>
      <c r="D29" s="113" t="s">
        <v>392</v>
      </c>
      <c r="E29" s="113" t="s">
        <v>391</v>
      </c>
      <c r="F29" s="113"/>
      <c r="H29" s="114"/>
      <c r="I29" s="114"/>
      <c r="J29" s="114"/>
      <c r="K29" s="114"/>
      <c r="L29" s="114"/>
      <c r="M29" s="114"/>
    </row>
    <row r="30" spans="2:13">
      <c r="B30" s="113" t="s">
        <v>396</v>
      </c>
      <c r="C30" s="113"/>
      <c r="D30" s="113" t="s">
        <v>395</v>
      </c>
      <c r="E30" s="113" t="s">
        <v>394</v>
      </c>
      <c r="F30" s="113"/>
      <c r="H30" s="114"/>
      <c r="I30" s="114"/>
      <c r="J30" s="114"/>
      <c r="K30" s="114"/>
      <c r="L30" s="114"/>
      <c r="M30" s="114"/>
    </row>
    <row r="31" spans="2:13">
      <c r="B31" s="113" t="s">
        <v>399</v>
      </c>
      <c r="C31" s="113"/>
      <c r="D31" s="113" t="s">
        <v>398</v>
      </c>
      <c r="E31" s="113" t="s">
        <v>397</v>
      </c>
      <c r="F31" s="113"/>
      <c r="H31" s="114"/>
      <c r="I31" s="114"/>
      <c r="J31" s="114"/>
      <c r="K31" s="114"/>
      <c r="L31" s="114"/>
      <c r="M31" s="114"/>
    </row>
    <row r="32" spans="2:13">
      <c r="B32" s="113" t="s">
        <v>402</v>
      </c>
      <c r="C32" s="113"/>
      <c r="D32" s="113" t="s">
        <v>401</v>
      </c>
      <c r="E32" s="113" t="s">
        <v>400</v>
      </c>
      <c r="F32" s="113"/>
      <c r="H32" s="114"/>
      <c r="I32" s="114"/>
      <c r="J32" s="114"/>
      <c r="K32" s="114"/>
      <c r="L32" s="114"/>
      <c r="M32" s="114"/>
    </row>
    <row r="33" spans="2:13">
      <c r="B33" s="113" t="s">
        <v>405</v>
      </c>
      <c r="C33" s="113"/>
      <c r="D33" s="113"/>
      <c r="E33" s="113" t="s">
        <v>403</v>
      </c>
      <c r="F33" s="113" t="s">
        <v>404</v>
      </c>
      <c r="H33" s="114"/>
      <c r="I33" s="114"/>
      <c r="J33" s="114"/>
      <c r="K33" s="114"/>
      <c r="L33" s="114"/>
      <c r="M33" s="114"/>
    </row>
    <row r="34" spans="2:13">
      <c r="B34" s="113" t="s">
        <v>336</v>
      </c>
      <c r="C34" s="113"/>
      <c r="D34" s="113" t="s">
        <v>407</v>
      </c>
      <c r="E34" s="113" t="s">
        <v>406</v>
      </c>
      <c r="F34" s="113"/>
      <c r="H34" s="114"/>
      <c r="I34" s="114"/>
      <c r="J34" s="114"/>
      <c r="K34" s="114"/>
      <c r="L34" s="114"/>
      <c r="M34" s="114"/>
    </row>
    <row r="35" spans="2:13">
      <c r="B35" s="113" t="s">
        <v>410</v>
      </c>
      <c r="C35" s="113"/>
      <c r="D35" s="113"/>
      <c r="E35" s="113" t="s">
        <v>408</v>
      </c>
      <c r="F35" s="113" t="s">
        <v>409</v>
      </c>
      <c r="H35" s="114"/>
      <c r="I35" s="114"/>
      <c r="J35" s="114"/>
      <c r="K35" s="114"/>
      <c r="L35" s="114"/>
      <c r="M35" s="114"/>
    </row>
    <row r="36" spans="2:13">
      <c r="B36" s="113" t="s">
        <v>413</v>
      </c>
      <c r="C36" s="113"/>
      <c r="D36" s="113"/>
      <c r="E36" s="113" t="s">
        <v>411</v>
      </c>
      <c r="F36" s="113" t="s">
        <v>412</v>
      </c>
    </row>
    <row r="37" spans="2:13">
      <c r="B37" s="113" t="s">
        <v>415</v>
      </c>
      <c r="C37" s="113"/>
      <c r="D37" s="113" t="s">
        <v>416</v>
      </c>
      <c r="E37" s="113" t="s">
        <v>414</v>
      </c>
      <c r="F37" s="113"/>
    </row>
    <row r="39" spans="2:13">
      <c r="B39" s="68" t="s">
        <v>528</v>
      </c>
      <c r="C39" s="68"/>
      <c r="D39" s="68" t="s">
        <v>343</v>
      </c>
      <c r="E39" s="68" t="s">
        <v>417</v>
      </c>
      <c r="F39" s="68" t="s">
        <v>418</v>
      </c>
      <c r="H39" s="68" t="s">
        <v>248</v>
      </c>
      <c r="I39" s="68" t="s">
        <v>426</v>
      </c>
      <c r="J39" s="68" t="s">
        <v>423</v>
      </c>
      <c r="K39" s="68" t="s">
        <v>343</v>
      </c>
      <c r="L39" s="68" t="s">
        <v>417</v>
      </c>
      <c r="M39" s="68" t="s">
        <v>418</v>
      </c>
    </row>
    <row r="40" spans="2:13">
      <c r="B40" s="115" t="s">
        <v>529</v>
      </c>
      <c r="C40" s="115"/>
      <c r="D40" s="112"/>
      <c r="E40" s="112"/>
      <c r="F40" s="112"/>
      <c r="H40" s="116" t="s">
        <v>436</v>
      </c>
      <c r="I40" s="115" t="s">
        <v>435</v>
      </c>
      <c r="J40" s="118"/>
      <c r="K40" s="119" t="s">
        <v>434</v>
      </c>
      <c r="L40" s="118" t="s">
        <v>432</v>
      </c>
      <c r="M40" s="118" t="s">
        <v>433</v>
      </c>
    </row>
    <row r="41" spans="2:13">
      <c r="B41" s="116" t="s">
        <v>530</v>
      </c>
      <c r="C41" s="116"/>
      <c r="D41" s="112"/>
      <c r="E41" s="112"/>
      <c r="F41" s="112"/>
      <c r="H41" s="116" t="s">
        <v>263</v>
      </c>
      <c r="I41" s="115" t="s">
        <v>435</v>
      </c>
      <c r="J41" s="118"/>
      <c r="K41" s="118" t="s">
        <v>439</v>
      </c>
      <c r="L41" s="118" t="s">
        <v>437</v>
      </c>
      <c r="M41" s="118" t="s">
        <v>438</v>
      </c>
    </row>
    <row r="42" spans="2:13">
      <c r="B42" s="115" t="s">
        <v>531</v>
      </c>
      <c r="C42" s="115"/>
      <c r="D42" s="112"/>
      <c r="E42" s="112"/>
      <c r="F42" s="112"/>
      <c r="H42" s="116" t="s">
        <v>443</v>
      </c>
      <c r="I42" s="115" t="s">
        <v>435</v>
      </c>
      <c r="J42" s="118"/>
      <c r="K42" s="118" t="s">
        <v>442</v>
      </c>
      <c r="L42" s="118" t="s">
        <v>440</v>
      </c>
      <c r="M42" s="118" t="s">
        <v>441</v>
      </c>
    </row>
    <row r="43" spans="2:13">
      <c r="B43" s="115" t="s">
        <v>534</v>
      </c>
      <c r="C43" s="115"/>
      <c r="D43" s="112"/>
      <c r="E43" s="112"/>
      <c r="F43" s="112"/>
      <c r="H43" s="116" t="s">
        <v>447</v>
      </c>
      <c r="I43" s="115" t="s">
        <v>435</v>
      </c>
      <c r="J43" s="118"/>
      <c r="K43" s="118" t="s">
        <v>446</v>
      </c>
      <c r="L43" s="118" t="s">
        <v>444</v>
      </c>
      <c r="M43" s="118" t="s">
        <v>445</v>
      </c>
    </row>
    <row r="44" spans="2:13">
      <c r="B44" s="115" t="s">
        <v>533</v>
      </c>
      <c r="C44" s="115"/>
      <c r="D44" s="112"/>
      <c r="E44" s="112"/>
      <c r="F44" s="112"/>
      <c r="H44" s="116" t="s">
        <v>451</v>
      </c>
      <c r="I44" s="115" t="s">
        <v>435</v>
      </c>
      <c r="J44" s="118"/>
      <c r="K44" s="118" t="s">
        <v>450</v>
      </c>
      <c r="L44" s="118" t="s">
        <v>448</v>
      </c>
      <c r="M44" s="118" t="s">
        <v>449</v>
      </c>
    </row>
    <row r="45" spans="2:13">
      <c r="B45" s="115" t="s">
        <v>535</v>
      </c>
      <c r="C45" s="115"/>
      <c r="D45" s="112"/>
      <c r="E45" s="112"/>
      <c r="F45" s="112"/>
      <c r="H45" s="116" t="s">
        <v>455</v>
      </c>
      <c r="I45" s="115" t="s">
        <v>435</v>
      </c>
      <c r="J45" s="118"/>
      <c r="K45" s="118" t="s">
        <v>454</v>
      </c>
      <c r="L45" s="118" t="s">
        <v>452</v>
      </c>
      <c r="M45" s="118" t="s">
        <v>453</v>
      </c>
    </row>
    <row r="46" spans="2:13" ht="36">
      <c r="B46" s="116" t="s">
        <v>532</v>
      </c>
      <c r="C46" s="116"/>
      <c r="D46" s="112"/>
      <c r="E46" s="112"/>
      <c r="F46" s="112"/>
      <c r="H46" s="116" t="s">
        <v>459</v>
      </c>
      <c r="I46" s="115" t="s">
        <v>435</v>
      </c>
      <c r="J46" s="118"/>
      <c r="K46" s="118" t="s">
        <v>457</v>
      </c>
      <c r="L46" s="118" t="s">
        <v>456</v>
      </c>
      <c r="M46" s="116" t="s">
        <v>458</v>
      </c>
    </row>
    <row r="47" spans="2:13" ht="24">
      <c r="B47" s="113" t="s">
        <v>413</v>
      </c>
      <c r="C47" s="113"/>
      <c r="D47" s="112"/>
      <c r="E47" s="112"/>
      <c r="F47" s="112"/>
      <c r="H47" s="116" t="s">
        <v>286</v>
      </c>
      <c r="I47" s="115" t="s">
        <v>435</v>
      </c>
      <c r="J47" s="118"/>
      <c r="K47" s="118" t="s">
        <v>462</v>
      </c>
      <c r="L47" s="116" t="s">
        <v>461</v>
      </c>
      <c r="M47" s="118" t="s">
        <v>460</v>
      </c>
    </row>
    <row r="48" spans="2:13" ht="36">
      <c r="B48" s="112"/>
      <c r="C48" s="112"/>
      <c r="D48" s="112"/>
      <c r="E48" s="112"/>
      <c r="F48" s="112"/>
      <c r="H48" s="116" t="s">
        <v>466</v>
      </c>
      <c r="I48" s="115" t="s">
        <v>435</v>
      </c>
      <c r="J48" s="118"/>
      <c r="K48" s="116" t="s">
        <v>465</v>
      </c>
      <c r="L48" s="118" t="s">
        <v>463</v>
      </c>
      <c r="M48" s="116" t="s">
        <v>464</v>
      </c>
    </row>
    <row r="49" spans="2:13" ht="24">
      <c r="B49" s="112"/>
      <c r="C49" s="112"/>
      <c r="D49" s="112"/>
      <c r="E49" s="112"/>
      <c r="F49" s="112"/>
      <c r="H49" s="116" t="s">
        <v>470</v>
      </c>
      <c r="I49" s="115" t="s">
        <v>435</v>
      </c>
      <c r="J49" s="118"/>
      <c r="K49" s="116" t="s">
        <v>469</v>
      </c>
      <c r="L49" s="116" t="s">
        <v>467</v>
      </c>
      <c r="M49" s="118" t="s">
        <v>468</v>
      </c>
    </row>
    <row r="50" spans="2:13">
      <c r="B50" s="112"/>
      <c r="C50" s="112"/>
      <c r="D50" s="112"/>
      <c r="E50" s="112"/>
      <c r="F50" s="112"/>
      <c r="H50" s="116" t="s">
        <v>474</v>
      </c>
      <c r="I50" s="115" t="s">
        <v>435</v>
      </c>
      <c r="J50" s="118"/>
      <c r="K50" s="118" t="s">
        <v>473</v>
      </c>
      <c r="L50" s="118" t="s">
        <v>471</v>
      </c>
      <c r="M50" s="118" t="s">
        <v>472</v>
      </c>
    </row>
    <row r="51" spans="2:13">
      <c r="B51" s="112"/>
      <c r="C51" s="112"/>
      <c r="D51" s="112"/>
      <c r="E51" s="112"/>
      <c r="F51" s="112"/>
      <c r="H51" s="116" t="s">
        <v>478</v>
      </c>
      <c r="I51" s="115" t="s">
        <v>435</v>
      </c>
      <c r="J51" s="118"/>
      <c r="K51" s="118" t="s">
        <v>477</v>
      </c>
      <c r="L51" s="118" t="s">
        <v>475</v>
      </c>
      <c r="M51" s="118" t="s">
        <v>476</v>
      </c>
    </row>
    <row r="52" spans="2:13">
      <c r="B52" s="112"/>
      <c r="C52" s="112"/>
      <c r="D52" s="112"/>
      <c r="E52" s="112"/>
      <c r="F52" s="112"/>
      <c r="H52" s="116" t="s">
        <v>482</v>
      </c>
      <c r="I52" s="118"/>
      <c r="J52" s="118"/>
      <c r="K52" s="118" t="s">
        <v>481</v>
      </c>
      <c r="L52" s="118" t="s">
        <v>479</v>
      </c>
      <c r="M52" s="118" t="s">
        <v>480</v>
      </c>
    </row>
    <row r="53" spans="2:13">
      <c r="B53" s="112"/>
      <c r="C53" s="112"/>
      <c r="D53" s="112"/>
      <c r="E53" s="112"/>
      <c r="F53" s="112"/>
      <c r="H53" s="116" t="s">
        <v>486</v>
      </c>
      <c r="I53" s="115" t="s">
        <v>435</v>
      </c>
      <c r="J53" s="118"/>
      <c r="K53" s="118" t="s">
        <v>485</v>
      </c>
      <c r="L53" s="118" t="s">
        <v>483</v>
      </c>
      <c r="M53" s="118" t="s">
        <v>484</v>
      </c>
    </row>
    <row r="54" spans="2:13">
      <c r="B54" s="112"/>
      <c r="C54" s="112"/>
      <c r="D54" s="112"/>
      <c r="E54" s="112"/>
      <c r="F54" s="112"/>
      <c r="H54" s="116" t="s">
        <v>490</v>
      </c>
      <c r="I54" s="115" t="s">
        <v>435</v>
      </c>
      <c r="J54" s="118"/>
      <c r="K54" s="118" t="s">
        <v>489</v>
      </c>
      <c r="L54" s="118" t="s">
        <v>487</v>
      </c>
      <c r="M54" s="118" t="s">
        <v>488</v>
      </c>
    </row>
    <row r="55" spans="2:13">
      <c r="B55" s="112"/>
      <c r="C55" s="112"/>
      <c r="D55" s="112"/>
      <c r="E55" s="112"/>
      <c r="F55" s="112"/>
      <c r="H55" s="116" t="s">
        <v>478</v>
      </c>
      <c r="I55" s="115" t="s">
        <v>435</v>
      </c>
      <c r="J55" s="118"/>
      <c r="K55" s="118" t="s">
        <v>477</v>
      </c>
      <c r="L55" s="118" t="s">
        <v>491</v>
      </c>
      <c r="M55" s="118" t="s">
        <v>492</v>
      </c>
    </row>
    <row r="56" spans="2:13">
      <c r="B56" s="112"/>
      <c r="C56" s="112"/>
      <c r="D56" s="112"/>
      <c r="E56" s="112"/>
      <c r="F56" s="112"/>
      <c r="H56" s="116" t="s">
        <v>496</v>
      </c>
      <c r="I56" s="115" t="s">
        <v>435</v>
      </c>
      <c r="J56" s="118"/>
      <c r="K56" s="118" t="s">
        <v>495</v>
      </c>
      <c r="L56" s="118" t="s">
        <v>493</v>
      </c>
      <c r="M56" s="118" t="s">
        <v>494</v>
      </c>
    </row>
    <row r="57" spans="2:13">
      <c r="B57" s="112"/>
      <c r="C57" s="112"/>
      <c r="D57" s="112"/>
      <c r="E57" s="112"/>
      <c r="F57" s="112"/>
      <c r="H57" s="116" t="s">
        <v>500</v>
      </c>
      <c r="I57" s="115" t="s">
        <v>435</v>
      </c>
      <c r="J57" s="118"/>
      <c r="K57" s="118" t="s">
        <v>499</v>
      </c>
      <c r="L57" s="118" t="s">
        <v>497</v>
      </c>
      <c r="M57" s="118" t="s">
        <v>498</v>
      </c>
    </row>
    <row r="58" spans="2:13">
      <c r="B58" s="112"/>
      <c r="C58" s="112"/>
      <c r="D58" s="112"/>
      <c r="E58" s="112"/>
      <c r="F58" s="112"/>
      <c r="H58" s="116" t="s">
        <v>504</v>
      </c>
      <c r="I58" s="115" t="s">
        <v>435</v>
      </c>
      <c r="J58" s="118"/>
      <c r="K58" s="118" t="s">
        <v>503</v>
      </c>
      <c r="L58" s="118" t="s">
        <v>501</v>
      </c>
      <c r="M58" s="118" t="s">
        <v>502</v>
      </c>
    </row>
    <row r="59" spans="2:13">
      <c r="B59" s="112"/>
      <c r="C59" s="112"/>
      <c r="D59" s="112"/>
      <c r="E59" s="112"/>
      <c r="F59" s="112"/>
      <c r="H59" s="116" t="s">
        <v>508</v>
      </c>
      <c r="I59" s="115" t="s">
        <v>435</v>
      </c>
      <c r="J59" s="118"/>
      <c r="K59" s="118" t="s">
        <v>507</v>
      </c>
      <c r="L59" s="118" t="s">
        <v>505</v>
      </c>
      <c r="M59" s="118" t="s">
        <v>506</v>
      </c>
    </row>
    <row r="60" spans="2:13">
      <c r="B60" s="112"/>
      <c r="C60" s="112"/>
      <c r="D60" s="112"/>
      <c r="E60" s="112"/>
      <c r="F60" s="112"/>
      <c r="H60" s="116" t="s">
        <v>447</v>
      </c>
      <c r="I60" s="115" t="s">
        <v>435</v>
      </c>
      <c r="J60" s="118"/>
      <c r="K60" s="118" t="s">
        <v>446</v>
      </c>
      <c r="L60" s="118" t="s">
        <v>444</v>
      </c>
      <c r="M60" s="118" t="s">
        <v>445</v>
      </c>
    </row>
    <row r="61" spans="2:13" ht="24">
      <c r="B61" s="112"/>
      <c r="C61" s="112"/>
      <c r="D61" s="112"/>
      <c r="E61" s="112"/>
      <c r="F61" s="112"/>
      <c r="H61" s="116" t="s">
        <v>513</v>
      </c>
      <c r="I61" s="120" t="s">
        <v>510</v>
      </c>
      <c r="J61" s="118" t="s">
        <v>509</v>
      </c>
      <c r="K61" s="118"/>
      <c r="L61" s="118" t="s">
        <v>511</v>
      </c>
      <c r="M61" s="115" t="s">
        <v>512</v>
      </c>
    </row>
    <row r="62" spans="2:13">
      <c r="B62" s="112"/>
      <c r="C62" s="112"/>
      <c r="D62" s="112"/>
      <c r="E62" s="112"/>
      <c r="F62" s="112"/>
      <c r="H62" s="116" t="s">
        <v>517</v>
      </c>
      <c r="I62" s="115" t="s">
        <v>121</v>
      </c>
      <c r="J62" s="118" t="s">
        <v>514</v>
      </c>
      <c r="K62" s="118" t="s">
        <v>515</v>
      </c>
      <c r="L62" s="118"/>
      <c r="M62" s="118" t="s">
        <v>516</v>
      </c>
    </row>
    <row r="63" spans="2:13">
      <c r="B63" s="112"/>
      <c r="C63" s="112"/>
      <c r="D63" s="112"/>
      <c r="E63" s="112"/>
      <c r="F63" s="112"/>
      <c r="H63" s="116"/>
      <c r="I63" s="118"/>
      <c r="J63" s="118"/>
      <c r="K63" s="118"/>
      <c r="L63" s="118"/>
      <c r="M63" s="118"/>
    </row>
    <row r="64" spans="2:13">
      <c r="B64" s="112"/>
      <c r="C64" s="112"/>
      <c r="D64" s="112"/>
      <c r="E64" s="112"/>
      <c r="F64" s="112"/>
      <c r="H64" s="116"/>
      <c r="I64" s="118"/>
      <c r="J64" s="118"/>
      <c r="K64" s="118"/>
      <c r="L64" s="118"/>
      <c r="M64" s="118"/>
    </row>
  </sheetData>
  <hyperlinks>
    <hyperlink ref="K7" r:id="rId1"/>
    <hyperlink ref="K40" r:id="rId2"/>
    <hyperlink ref="K8" r:id="rId3"/>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74"/>
  <sheetViews>
    <sheetView zoomScale="75" zoomScaleNormal="75" zoomScalePageLayoutView="75" workbookViewId="0">
      <selection activeCell="D13" sqref="D13:F13"/>
    </sheetView>
  </sheetViews>
  <sheetFormatPr baseColWidth="10" defaultColWidth="8.83203125" defaultRowHeight="12" x14ac:dyDescent="0"/>
  <cols>
    <col min="1" max="1" width="10.5" customWidth="1"/>
    <col min="2" max="2" width="13.6640625" customWidth="1"/>
    <col min="3" max="3" width="29.1640625" customWidth="1"/>
    <col min="4" max="4" width="37.5" customWidth="1"/>
    <col min="5" max="5" width="16.6640625" customWidth="1"/>
    <col min="6" max="6" width="15.6640625" customWidth="1"/>
    <col min="7" max="7" width="12.83203125" customWidth="1"/>
    <col min="8" max="8" width="12.6640625" customWidth="1"/>
    <col min="10" max="10" width="10" customWidth="1"/>
    <col min="11" max="11" width="12" customWidth="1"/>
    <col min="12" max="12" width="10" customWidth="1"/>
    <col min="13" max="13" width="12" customWidth="1"/>
    <col min="14" max="15" width="13" customWidth="1"/>
    <col min="16" max="16" width="8.83203125" style="9"/>
    <col min="17" max="67" width="8.5" style="9" customWidth="1"/>
    <col min="68" max="85" width="8.5" customWidth="1"/>
  </cols>
  <sheetData>
    <row r="1" spans="1:85">
      <c r="D1" s="7" t="s">
        <v>825</v>
      </c>
    </row>
    <row r="2" spans="1:85" ht="71">
      <c r="A2" s="68" t="s">
        <v>31</v>
      </c>
      <c r="B2" s="68" t="s">
        <v>242</v>
      </c>
      <c r="C2" s="68" t="s">
        <v>0</v>
      </c>
      <c r="D2" s="68" t="s">
        <v>69</v>
      </c>
      <c r="E2" s="68" t="s">
        <v>65</v>
      </c>
      <c r="F2" s="68" t="s">
        <v>91</v>
      </c>
      <c r="G2" s="68" t="s">
        <v>66</v>
      </c>
      <c r="H2" s="68" t="s">
        <v>527</v>
      </c>
      <c r="I2" s="229" t="s">
        <v>679</v>
      </c>
      <c r="J2" s="229" t="s">
        <v>680</v>
      </c>
      <c r="K2" s="230" t="s">
        <v>681</v>
      </c>
      <c r="L2" s="229" t="s">
        <v>680</v>
      </c>
      <c r="M2" s="230" t="s">
        <v>681</v>
      </c>
      <c r="N2" s="231"/>
      <c r="O2" s="231"/>
      <c r="Q2" s="232" t="str">
        <f>B3</f>
        <v>RESDC</v>
      </c>
      <c r="R2" s="232" t="str">
        <f>B4</f>
        <v>LDC1</v>
      </c>
      <c r="S2" s="232" t="str">
        <f>B5</f>
        <v>LDC2</v>
      </c>
      <c r="T2" s="232" t="str">
        <f>B6</f>
        <v>AUDC</v>
      </c>
      <c r="U2" s="232" t="str">
        <f>B7</f>
        <v>CDC2</v>
      </c>
      <c r="V2" s="232" t="str">
        <f>B8</f>
        <v>CDC3</v>
      </c>
      <c r="W2" s="232" t="str">
        <f>B9</f>
        <v>CDC4</v>
      </c>
      <c r="X2" s="232" t="str">
        <f>B10</f>
        <v>MERDC</v>
      </c>
      <c r="Y2" s="232" t="str">
        <f>B11</f>
        <v>NDC</v>
      </c>
      <c r="Z2" s="232" t="str">
        <f>B12</f>
        <v>NEDC</v>
      </c>
      <c r="AA2" s="232" t="str">
        <f>B13</f>
        <v>NOR2</v>
      </c>
      <c r="AB2" s="232" t="str">
        <f>B14</f>
        <v>NOR1</v>
      </c>
      <c r="AC2" s="232" t="str">
        <f>B15</f>
        <v>BRDC</v>
      </c>
      <c r="AD2" s="232" t="str">
        <f>B16</f>
        <v>TODC</v>
      </c>
      <c r="AE2" s="232" t="str">
        <f>B17</f>
        <v>DDC</v>
      </c>
      <c r="AF2" s="232" t="str">
        <f>B18</f>
        <v>TDC</v>
      </c>
      <c r="AG2" s="232" t="str">
        <f>B19</f>
        <v>HBDC</v>
      </c>
      <c r="AH2" s="232" t="str">
        <f>B20</f>
        <v>HDC</v>
      </c>
      <c r="AI2" s="232" t="str">
        <f>B21</f>
        <v>KLDC1</v>
      </c>
      <c r="AJ2" s="232" t="str">
        <f>B22</f>
        <v>KLDC2</v>
      </c>
      <c r="AK2" s="232" t="str">
        <f>B23</f>
        <v>KLDC3</v>
      </c>
      <c r="AL2" s="232" t="str">
        <f>B24</f>
        <v>CYDC</v>
      </c>
      <c r="AM2" s="232" t="str">
        <f>B25</f>
        <v>STDC1</v>
      </c>
      <c r="AN2" s="232" t="str">
        <f>B26</f>
        <v>STDC2</v>
      </c>
      <c r="AO2" s="232" t="str">
        <f>B27</f>
        <v>ODC</v>
      </c>
      <c r="AP2" s="232" t="str">
        <f>B28</f>
        <v>CLDC</v>
      </c>
      <c r="AQ2" s="232" t="str">
        <f>B29</f>
        <v>PYDC</v>
      </c>
      <c r="AR2" s="232" t="str">
        <f>B30</f>
        <v>SUDC</v>
      </c>
      <c r="AS2" s="232" t="str">
        <f>B31</f>
        <v>PEDC1</v>
      </c>
      <c r="AT2" s="232" t="str">
        <f>B32</f>
        <v>PEDC2</v>
      </c>
      <c r="AU2" s="232" t="str">
        <f>B33</f>
        <v>ADC</v>
      </c>
      <c r="AV2" s="232" t="str">
        <f>B34</f>
        <v>LXDC1</v>
      </c>
      <c r="AW2" s="232" t="str">
        <f>B35</f>
        <v>LXDC2</v>
      </c>
      <c r="AX2" s="232" t="str">
        <f>B36</f>
        <v>ENGDC</v>
      </c>
      <c r="AY2" s="232" t="str">
        <f>B37</f>
        <v>PDC1</v>
      </c>
      <c r="AZ2" s="232" t="str">
        <f>B38</f>
        <v>FRDC1</v>
      </c>
      <c r="BA2" s="232" t="str">
        <f>B39</f>
        <v>FRDC2</v>
      </c>
      <c r="BB2" s="232" t="str">
        <f>B40</f>
        <v>FDHDC</v>
      </c>
      <c r="BC2" s="232" t="str">
        <f>B41</f>
        <v>AMDC1</v>
      </c>
      <c r="BD2" s="232" t="str">
        <f>B42</f>
        <v>PDC2</v>
      </c>
      <c r="BE2" s="232" t="str">
        <f>B43</f>
        <v>LODC</v>
      </c>
      <c r="BF2" s="232" t="str">
        <f>B44</f>
        <v>FRDC3</v>
      </c>
      <c r="BG2" s="232" t="str">
        <f>B45</f>
        <v>LPADC</v>
      </c>
      <c r="BH2" s="232" t="str">
        <f>B46</f>
        <v>MDC</v>
      </c>
      <c r="BI2" s="232" t="str">
        <f>B47</f>
        <v>NODC</v>
      </c>
      <c r="BJ2" s="232" t="str">
        <f>B48</f>
        <v>RTVDC</v>
      </c>
      <c r="BK2" s="232" t="str">
        <f>B49</f>
        <v>SDC</v>
      </c>
      <c r="BL2" s="232" t="str">
        <f>B50</f>
        <v>STODC1</v>
      </c>
      <c r="BM2" s="232" t="str">
        <f>B51</f>
        <v>STODC2</v>
      </c>
      <c r="BN2" s="232" t="str">
        <f>B52</f>
        <v>AMDC3</v>
      </c>
      <c r="BO2" s="232" t="str">
        <f>B53</f>
        <v>AMDC4</v>
      </c>
      <c r="BP2" s="233" t="str">
        <f>B54</f>
        <v>RTWDC</v>
      </c>
      <c r="BQ2" s="233" t="str">
        <f>B55</f>
        <v>RDC</v>
      </c>
      <c r="BR2" s="233" t="str">
        <f>B56</f>
        <v>CHADC</v>
      </c>
      <c r="BS2" s="233" t="str">
        <f>B57</f>
        <v>CHDC1</v>
      </c>
      <c r="BT2" s="233" t="str">
        <f>B58</f>
        <v>SLDC</v>
      </c>
      <c r="BU2" s="233" t="str">
        <f>B59</f>
        <v>CUDC</v>
      </c>
      <c r="BV2" s="233" t="str">
        <f>B60</f>
        <v>SPDC</v>
      </c>
      <c r="BW2" s="233" t="str">
        <f>B61</f>
        <v>CHDC2</v>
      </c>
      <c r="BX2" s="233" t="str">
        <f>B62</f>
        <v>SCDC</v>
      </c>
      <c r="BY2" s="233" t="str">
        <f>B63</f>
        <v>SOMDC</v>
      </c>
      <c r="BZ2" s="233" t="str">
        <f>B64</f>
        <v>SUDC'</v>
      </c>
      <c r="CA2" s="233" t="str">
        <f>B65</f>
        <v>EDC</v>
      </c>
      <c r="CB2" s="233" t="str">
        <f>B66</f>
        <v>Cambridge</v>
      </c>
      <c r="CC2" s="233" t="str">
        <f>B67</f>
        <v>Apeldoorn</v>
      </c>
      <c r="CD2" s="233" t="str">
        <f>B68</f>
        <v>Cape Town</v>
      </c>
      <c r="CE2" s="233" t="str">
        <f>B69</f>
        <v>C-site Chicago</v>
      </c>
      <c r="CF2" s="233" t="str">
        <f>B70</f>
        <v>C-site K-Street</v>
      </c>
      <c r="CG2" s="233" t="str">
        <f>B71</f>
        <v>C-site Santa Clara</v>
      </c>
    </row>
    <row r="3" spans="1:85">
      <c r="A3" s="234" t="s">
        <v>36</v>
      </c>
      <c r="B3" s="41" t="s">
        <v>600</v>
      </c>
      <c r="C3" s="42" t="s">
        <v>72</v>
      </c>
      <c r="D3" s="42" t="s">
        <v>192</v>
      </c>
      <c r="E3" s="42" t="s">
        <v>72</v>
      </c>
      <c r="F3" s="42" t="s">
        <v>73</v>
      </c>
      <c r="G3" s="42" t="s">
        <v>81</v>
      </c>
      <c r="H3" s="42">
        <v>20191</v>
      </c>
      <c r="I3" s="234" t="s">
        <v>13</v>
      </c>
      <c r="J3" s="235">
        <v>38.950744</v>
      </c>
      <c r="K3" s="236">
        <v>-77.364633999999995</v>
      </c>
      <c r="L3" s="237">
        <f t="shared" ref="L3:M34" si="0">RADIANS(J3)</f>
        <v>0.67981872890142625</v>
      </c>
      <c r="M3" s="237">
        <f t="shared" si="0"/>
        <v>-1.3502675879003507</v>
      </c>
      <c r="N3" s="236"/>
      <c r="O3" s="236"/>
      <c r="P3" s="112" t="str">
        <f>B3</f>
        <v>RESDC</v>
      </c>
      <c r="Q3" s="238"/>
      <c r="R3" s="238">
        <f t="shared" ref="R3:AW3" si="1">ACOS(COS($L3)*COS($M3)*COS(INDEX($L:$L,MATCH(R$2,$P:$P,0)))*COS(INDEX($M:$M,MATCH(R$2,$P:$P,0))) + COS($L3)*SIN($M3)*COS(INDEX($L:$L,MATCH(R$2,$P:$P,0)))*SIN(INDEX($M:$M,MATCH(R$2,$P:$P,0))) + SIN($L3)*SIN(INDEX($L:$L,MATCH(R$2,$P:$P,0)))) * 3963.1</f>
        <v>1164.6424112486663</v>
      </c>
      <c r="S3" s="238">
        <f t="shared" si="1"/>
        <v>1164.6424112486663</v>
      </c>
      <c r="T3" s="238">
        <f t="shared" si="1"/>
        <v>1301.8323467628256</v>
      </c>
      <c r="U3" s="238">
        <f t="shared" si="1"/>
        <v>575.74454983307987</v>
      </c>
      <c r="V3" s="238">
        <f t="shared" si="1"/>
        <v>575.74454983307987</v>
      </c>
      <c r="W3" s="238">
        <f t="shared" si="1"/>
        <v>575.74454983307987</v>
      </c>
      <c r="X3" s="238">
        <f t="shared" si="1"/>
        <v>300.23445219903965</v>
      </c>
      <c r="Y3" s="238">
        <f t="shared" si="1"/>
        <v>101.25219174697115</v>
      </c>
      <c r="Z3" s="238">
        <f t="shared" si="1"/>
        <v>308.49759534099513</v>
      </c>
      <c r="AA3" s="238">
        <f t="shared" si="1"/>
        <v>330.93975029135635</v>
      </c>
      <c r="AB3" s="238">
        <f t="shared" si="1"/>
        <v>330.93975029135635</v>
      </c>
      <c r="AC3" s="238">
        <f t="shared" si="1"/>
        <v>353.42038326448971</v>
      </c>
      <c r="AD3" s="238">
        <f t="shared" si="1"/>
        <v>341.29523734860248</v>
      </c>
      <c r="AE3" s="238">
        <f t="shared" si="1"/>
        <v>1466.1096373076423</v>
      </c>
      <c r="AF3" s="238">
        <f t="shared" si="1"/>
        <v>6769.4873967691346</v>
      </c>
      <c r="AG3" s="238">
        <f t="shared" si="1"/>
        <v>9666.6778812316697</v>
      </c>
      <c r="AH3" s="238">
        <f t="shared" si="1"/>
        <v>9543.3148657315633</v>
      </c>
      <c r="AI3" s="238">
        <f t="shared" si="1"/>
        <v>9540.1663201934443</v>
      </c>
      <c r="AJ3" s="238">
        <f t="shared" si="1"/>
        <v>9540.1663201934443</v>
      </c>
      <c r="AK3" s="238">
        <f t="shared" si="1"/>
        <v>9540.1663201934443</v>
      </c>
      <c r="AL3" s="238">
        <f t="shared" si="1"/>
        <v>9552.9404923963448</v>
      </c>
      <c r="AM3" s="238">
        <f t="shared" si="1"/>
        <v>8141.763665901256</v>
      </c>
      <c r="AN3" s="238">
        <f t="shared" si="1"/>
        <v>8141.763665901256</v>
      </c>
      <c r="AO3" s="238">
        <f t="shared" si="1"/>
        <v>6941.0737345423831</v>
      </c>
      <c r="AP3" s="238">
        <f t="shared" si="1"/>
        <v>10167.424893328325</v>
      </c>
      <c r="AQ3" s="238">
        <f t="shared" si="1"/>
        <v>9758.3172590762006</v>
      </c>
      <c r="AR3" s="238">
        <f t="shared" si="1"/>
        <v>11564.939222621499</v>
      </c>
      <c r="AS3" s="238">
        <f t="shared" si="1"/>
        <v>11563.712705625789</v>
      </c>
      <c r="AT3" s="238">
        <f t="shared" si="1"/>
        <v>11562.830100359597</v>
      </c>
      <c r="AU3" s="238">
        <f t="shared" si="1"/>
        <v>3708.0432668670132</v>
      </c>
      <c r="AV3" s="238">
        <f t="shared" si="1"/>
        <v>3983.8185355265459</v>
      </c>
      <c r="AW3" s="238">
        <f t="shared" si="1"/>
        <v>3975.630231398567</v>
      </c>
      <c r="AX3" s="238">
        <f t="shared" ref="AX3:CG3" si="2">ACOS(COS($L3)*COS($M3)*COS(INDEX($L:$L,MATCH(AX$2,$P:$P,0)))*COS(INDEX($M:$M,MATCH(AX$2,$P:$P,0))) + COS($L3)*SIN($M3)*COS(INDEX($L:$L,MATCH(AX$2,$P:$P,0)))*SIN(INDEX($M:$M,MATCH(AX$2,$P:$P,0))) + SIN($L3)*SIN(INDEX($L:$L,MATCH(AX$2,$P:$P,0)))) * 3963.1</f>
        <v>4062.6458041028295</v>
      </c>
      <c r="AY3" s="238">
        <f t="shared" si="2"/>
        <v>3850.0670455796994</v>
      </c>
      <c r="AZ3" s="238">
        <f t="shared" si="2"/>
        <v>4069.3235046063983</v>
      </c>
      <c r="BA3" s="238">
        <f t="shared" si="2"/>
        <v>4069.1840091432387</v>
      </c>
      <c r="BB3" s="238">
        <f t="shared" si="2"/>
        <v>4175.2102978065486</v>
      </c>
      <c r="BC3" s="238">
        <f t="shared" si="2"/>
        <v>5547.7432305615248</v>
      </c>
      <c r="BD3" s="238">
        <f t="shared" si="2"/>
        <v>3843.3379882715831</v>
      </c>
      <c r="BE3" s="238">
        <f t="shared" si="2"/>
        <v>3685.0174500914213</v>
      </c>
      <c r="BF3" s="238">
        <f t="shared" si="2"/>
        <v>4071.4805943331426</v>
      </c>
      <c r="BG3" s="238">
        <f t="shared" si="2"/>
        <v>4057.6342950710355</v>
      </c>
      <c r="BH3" s="238">
        <f t="shared" si="2"/>
        <v>3712.7295826599438</v>
      </c>
      <c r="BI3" s="238">
        <f t="shared" si="2"/>
        <v>3598.4925582523174</v>
      </c>
      <c r="BJ3" s="238">
        <f t="shared" si="2"/>
        <v>4057.514220571531</v>
      </c>
      <c r="BK3" s="238">
        <f t="shared" si="2"/>
        <v>3695.9878679628318</v>
      </c>
      <c r="BL3" s="238">
        <f t="shared" si="2"/>
        <v>4138.8871008724291</v>
      </c>
      <c r="BM3" s="238">
        <f t="shared" si="2"/>
        <v>4131.1213900050179</v>
      </c>
      <c r="BN3" s="238">
        <f t="shared" si="2"/>
        <v>3857.9908169130208</v>
      </c>
      <c r="BO3" s="238">
        <f t="shared" si="2"/>
        <v>3863.1708108599664</v>
      </c>
      <c r="BP3" s="238">
        <f t="shared" si="2"/>
        <v>3704.5850138007017</v>
      </c>
      <c r="BQ3" s="238">
        <f t="shared" si="2"/>
        <v>316.91790731487868</v>
      </c>
      <c r="BR3" s="238">
        <f t="shared" si="2"/>
        <v>73.693609715788256</v>
      </c>
      <c r="BS3" s="238">
        <f t="shared" si="2"/>
        <v>7.5262475850546648</v>
      </c>
      <c r="BT3" s="238">
        <f t="shared" si="2"/>
        <v>691.81416127761076</v>
      </c>
      <c r="BU3" s="238">
        <f t="shared" si="2"/>
        <v>47.404082903205591</v>
      </c>
      <c r="BV3" s="238">
        <f t="shared" si="2"/>
        <v>4702.9055226113742</v>
      </c>
      <c r="BW3" s="238">
        <f t="shared" si="2"/>
        <v>7.5262475850546648</v>
      </c>
      <c r="BX3" s="238">
        <f t="shared" si="2"/>
        <v>2403.8793346019934</v>
      </c>
      <c r="BY3" s="238">
        <f t="shared" si="2"/>
        <v>405.88117438930493</v>
      </c>
      <c r="BZ3" s="238">
        <f t="shared" si="2"/>
        <v>2404.8518370515339</v>
      </c>
      <c r="CA3" s="238">
        <f t="shared" si="2"/>
        <v>238.25610149236016</v>
      </c>
      <c r="CB3" s="238">
        <f t="shared" si="2"/>
        <v>403.51250892274032</v>
      </c>
      <c r="CC3" s="238">
        <f t="shared" si="2"/>
        <v>3908.3473608624658</v>
      </c>
      <c r="CD3" s="238">
        <f t="shared" si="2"/>
        <v>7928.42237265319</v>
      </c>
      <c r="CE3" s="238">
        <f t="shared" si="2"/>
        <v>576.83419858184129</v>
      </c>
      <c r="CF3" s="238">
        <f t="shared" si="2"/>
        <v>18.353696379277142</v>
      </c>
      <c r="CG3" s="238">
        <f t="shared" si="2"/>
        <v>2403.9863056337704</v>
      </c>
    </row>
    <row r="4" spans="1:85">
      <c r="A4" s="234" t="s">
        <v>36</v>
      </c>
      <c r="B4" s="41" t="s">
        <v>251</v>
      </c>
      <c r="C4" s="42" t="s">
        <v>252</v>
      </c>
      <c r="D4" s="42" t="s">
        <v>190</v>
      </c>
      <c r="E4" s="42" t="s">
        <v>77</v>
      </c>
      <c r="F4" s="42" t="s">
        <v>75</v>
      </c>
      <c r="G4" s="42" t="s">
        <v>81</v>
      </c>
      <c r="H4" s="42">
        <v>75067</v>
      </c>
      <c r="I4" s="234" t="s">
        <v>13</v>
      </c>
      <c r="J4" s="235">
        <v>33.054313</v>
      </c>
      <c r="K4" s="236">
        <v>-96.915160999999998</v>
      </c>
      <c r="L4" s="237">
        <f t="shared" si="0"/>
        <v>0.57690659383476439</v>
      </c>
      <c r="M4" s="237">
        <f t="shared" si="0"/>
        <v>-1.6914886545504002</v>
      </c>
      <c r="N4" s="236"/>
      <c r="O4" s="236"/>
      <c r="P4" s="112" t="str">
        <f t="shared" ref="P4:P67" si="3">B4</f>
        <v>LDC1</v>
      </c>
      <c r="Q4" s="238">
        <f t="shared" ref="Q4:Q35" si="4">ACOS(COS($L4)*COS($M4)*COS(INDEX($L:$L,MATCH(Q$2,$P:$P,0)))*COS(INDEX($M:$M,MATCH(Q$2,$P:$P,0))) + COS($L4)*SIN($M4)*COS(INDEX($L:$L,MATCH(Q$2,$P:$P,0)))*SIN(INDEX($M:$M,MATCH(Q$2,$P:$P,0))) + SIN($L4)*SIN(INDEX($L:$L,MATCH(Q$2,$P:$P,0)))) * 3963.1</f>
        <v>1164.6424112486648</v>
      </c>
      <c r="R4" s="238"/>
      <c r="S4" s="238"/>
      <c r="T4" s="238">
        <f t="shared" ref="T4:AC5" si="5">ACOS(COS($L4)*COS($M4)*COS(INDEX($L:$L,MATCH(T$2,$P:$P,0)))*COS(INDEX($M:$M,MATCH(T$2,$P:$P,0))) + COS($L4)*SIN($M4)*COS(INDEX($L:$L,MATCH(T$2,$P:$P,0)))*SIN(INDEX($M:$M,MATCH(T$2,$P:$P,0))) + SIN($L4)*SIN(INDEX($L:$L,MATCH(T$2,$P:$P,0)))) * 3963.1</f>
        <v>201.67336484785116</v>
      </c>
      <c r="U4" s="238">
        <f t="shared" si="5"/>
        <v>793.32637381781603</v>
      </c>
      <c r="V4" s="238">
        <f t="shared" si="5"/>
        <v>793.32637381781603</v>
      </c>
      <c r="W4" s="238">
        <f t="shared" si="5"/>
        <v>793.32637381781603</v>
      </c>
      <c r="X4" s="238">
        <f t="shared" si="5"/>
        <v>1445.6916085786308</v>
      </c>
      <c r="Y4" s="238">
        <f t="shared" si="5"/>
        <v>1261.6098843001457</v>
      </c>
      <c r="Z4" s="238">
        <f t="shared" si="5"/>
        <v>1449.8618412287351</v>
      </c>
      <c r="AA4" s="238">
        <f t="shared" si="5"/>
        <v>1479.1084724144939</v>
      </c>
      <c r="AB4" s="238">
        <f t="shared" si="5"/>
        <v>1479.1084724144939</v>
      </c>
      <c r="AC4" s="238">
        <f t="shared" si="5"/>
        <v>1185.8225725821935</v>
      </c>
      <c r="AD4" s="238">
        <f t="shared" ref="AD4:AM5" si="6">ACOS(COS($L4)*COS($M4)*COS(INDEX($L:$L,MATCH(AD$2,$P:$P,0)))*COS(INDEX($M:$M,MATCH(AD$2,$P:$P,0))) + COS($L4)*SIN($M4)*COS(INDEX($L:$L,MATCH(AD$2,$P:$P,0)))*SIN(INDEX($M:$M,MATCH(AD$2,$P:$P,0))) + SIN($L4)*SIN(INDEX($L:$L,MATCH(AD$2,$P:$P,0)))) * 3963.1</f>
        <v>1196.3034420813592</v>
      </c>
      <c r="AE4" s="238">
        <f t="shared" si="6"/>
        <v>635.26218252074011</v>
      </c>
      <c r="AF4" s="238">
        <f t="shared" si="6"/>
        <v>6446.153344676507</v>
      </c>
      <c r="AG4" s="238">
        <f t="shared" si="6"/>
        <v>9717.3459315521141</v>
      </c>
      <c r="AH4" s="238">
        <f t="shared" si="6"/>
        <v>9677.2999587897102</v>
      </c>
      <c r="AI4" s="238">
        <f t="shared" si="6"/>
        <v>9669.8425771390503</v>
      </c>
      <c r="AJ4" s="238">
        <f t="shared" si="6"/>
        <v>9669.8425771390503</v>
      </c>
      <c r="AK4" s="238">
        <f t="shared" si="6"/>
        <v>9669.8425771390503</v>
      </c>
      <c r="AL4" s="238">
        <f t="shared" si="6"/>
        <v>9680.8538889053434</v>
      </c>
      <c r="AM4" s="238">
        <f t="shared" si="6"/>
        <v>8100.1216816875667</v>
      </c>
      <c r="AN4" s="238">
        <f t="shared" ref="AN4:AW5" si="7">ACOS(COS($L4)*COS($M4)*COS(INDEX($L:$L,MATCH(AN$2,$P:$P,0)))*COS(INDEX($M:$M,MATCH(AN$2,$P:$P,0))) + COS($L4)*SIN($M4)*COS(INDEX($L:$L,MATCH(AN$2,$P:$P,0)))*SIN(INDEX($M:$M,MATCH(AN$2,$P:$P,0))) + SIN($L4)*SIN(INDEX($L:$L,MATCH(AN$2,$P:$P,0)))) * 3963.1</f>
        <v>8100.1216816875667</v>
      </c>
      <c r="AO4" s="238">
        <f t="shared" si="7"/>
        <v>6663.0272705655507</v>
      </c>
      <c r="AP4" s="238">
        <f t="shared" si="7"/>
        <v>9003.6247927032691</v>
      </c>
      <c r="AQ4" s="238">
        <f t="shared" si="7"/>
        <v>8599.1823165325368</v>
      </c>
      <c r="AR4" s="238">
        <f t="shared" si="7"/>
        <v>10546.961879024759</v>
      </c>
      <c r="AS4" s="238">
        <f t="shared" si="7"/>
        <v>10545.235079714397</v>
      </c>
      <c r="AT4" s="238">
        <f t="shared" si="7"/>
        <v>10544.476598206194</v>
      </c>
      <c r="AU4" s="238">
        <f t="shared" si="7"/>
        <v>4771.8553169826528</v>
      </c>
      <c r="AV4" s="238">
        <f t="shared" si="7"/>
        <v>5047.7388772670174</v>
      </c>
      <c r="AW4" s="238">
        <f t="shared" si="7"/>
        <v>5039.432938942713</v>
      </c>
      <c r="AX4" s="238">
        <f t="shared" ref="AX4:BG5" si="8">ACOS(COS($L4)*COS($M4)*COS(INDEX($L:$L,MATCH(AX$2,$P:$P,0)))*COS(INDEX($M:$M,MATCH(AX$2,$P:$P,0))) + COS($L4)*SIN($M4)*COS(INDEX($L:$L,MATCH(AX$2,$P:$P,0)))*SIN(INDEX($M:$M,MATCH(AX$2,$P:$P,0))) + SIN($L4)*SIN(INDEX($L:$L,MATCH(AX$2,$P:$P,0)))) * 3963.1</f>
        <v>5050.795078970631</v>
      </c>
      <c r="AY4" s="238">
        <f t="shared" si="8"/>
        <v>4928.1052923663628</v>
      </c>
      <c r="AZ4" s="238">
        <f t="shared" si="8"/>
        <v>5121.6594240077211</v>
      </c>
      <c r="BA4" s="238">
        <f t="shared" si="8"/>
        <v>5121.5212955989691</v>
      </c>
      <c r="BB4" s="238">
        <f t="shared" si="8"/>
        <v>5244.6282680712966</v>
      </c>
      <c r="BC4" s="238">
        <f t="shared" si="8"/>
        <v>6625.8344678228605</v>
      </c>
      <c r="BD4" s="238">
        <f t="shared" si="8"/>
        <v>4922.5363415178235</v>
      </c>
      <c r="BE4" s="238">
        <f t="shared" si="8"/>
        <v>4748.0711238340646</v>
      </c>
      <c r="BF4" s="238">
        <f t="shared" si="8"/>
        <v>5123.9674271001631</v>
      </c>
      <c r="BG4" s="238">
        <f t="shared" si="8"/>
        <v>5045.3707086183349</v>
      </c>
      <c r="BH4" s="238">
        <f t="shared" ref="BH4:BQ5" si="9">ACOS(COS($L4)*COS($M4)*COS(INDEX($L:$L,MATCH(BH$2,$P:$P,0)))*COS(INDEX($M:$M,MATCH(BH$2,$P:$P,0))) + COS($L4)*SIN($M4)*COS(INDEX($L:$L,MATCH(BH$2,$P:$P,0)))*SIN(INDEX($M:$M,MATCH(BH$2,$P:$P,0))) + SIN($L4)*SIN(INDEX($L:$L,MATCH(BH$2,$P:$P,0)))) * 3963.1</f>
        <v>4776.5415719134571</v>
      </c>
      <c r="BI4" s="238">
        <f t="shared" si="9"/>
        <v>4649.7137506249737</v>
      </c>
      <c r="BJ4" s="238">
        <f t="shared" si="9"/>
        <v>5045.9912137641113</v>
      </c>
      <c r="BK4" s="238">
        <f t="shared" si="9"/>
        <v>4760.437655916654</v>
      </c>
      <c r="BL4" s="238">
        <f t="shared" si="9"/>
        <v>5068.9334067256241</v>
      </c>
      <c r="BM4" s="238">
        <f t="shared" si="9"/>
        <v>5060.5805328093375</v>
      </c>
      <c r="BN4" s="238">
        <f t="shared" si="9"/>
        <v>4901.0655394414025</v>
      </c>
      <c r="BO4" s="238">
        <f t="shared" si="9"/>
        <v>4906.5485134545333</v>
      </c>
      <c r="BP4" s="238">
        <f t="shared" si="9"/>
        <v>4770.1139703317922</v>
      </c>
      <c r="BQ4" s="238">
        <f t="shared" si="9"/>
        <v>1422.4237252118821</v>
      </c>
      <c r="BR4" s="238">
        <f t="shared" ref="BR4:CA5" si="10">ACOS(COS($L4)*COS($M4)*COS(INDEX($L:$L,MATCH(BR$2,$P:$P,0)))*COS(INDEX($M:$M,MATCH(BR$2,$P:$P,0))) + COS($L4)*SIN($M4)*COS(INDEX($L:$L,MATCH(BR$2,$P:$P,0)))*SIN(INDEX($M:$M,MATCH(BR$2,$P:$P,0))) + SIN($L4)*SIN(INDEX($L:$L,MATCH(BR$2,$P:$P,0)))) * 3963.1</f>
        <v>1171.2390609805182</v>
      </c>
      <c r="BS4" s="238">
        <f t="shared" si="10"/>
        <v>1158.0908449671622</v>
      </c>
      <c r="BT4" s="238">
        <f t="shared" si="10"/>
        <v>538.40736595526687</v>
      </c>
      <c r="BU4" s="238">
        <f t="shared" si="10"/>
        <v>1124.4313729568271</v>
      </c>
      <c r="BV4" s="238">
        <f t="shared" si="10"/>
        <v>5071.7388788212011</v>
      </c>
      <c r="BW4" s="238">
        <f t="shared" si="10"/>
        <v>1158.0908449671622</v>
      </c>
      <c r="BX4" s="238">
        <f t="shared" si="10"/>
        <v>1442.5665628908885</v>
      </c>
      <c r="BY4" s="238">
        <f t="shared" si="10"/>
        <v>1545.6185018239507</v>
      </c>
      <c r="BZ4" s="238">
        <f t="shared" si="10"/>
        <v>1443.4981536515704</v>
      </c>
      <c r="CA4" s="238">
        <f t="shared" si="10"/>
        <v>1384.651327536855</v>
      </c>
      <c r="CB4" s="238">
        <f t="shared" ref="CB4:CG5" si="11">ACOS(COS($L4)*COS($M4)*COS(INDEX($L:$L,MATCH(CB$2,$P:$P,0)))*COS(INDEX($M:$M,MATCH(CB$2,$P:$P,0))) + COS($L4)*SIN($M4)*COS(INDEX($L:$L,MATCH(CB$2,$P:$P,0)))*SIN(INDEX($M:$M,MATCH(CB$2,$P:$P,0))) + SIN($L4)*SIN(INDEX($L:$L,MATCH(CB$2,$P:$P,0)))) * 3963.1</f>
        <v>1542.5640707332711</v>
      </c>
      <c r="CC4" s="238">
        <f t="shared" si="11"/>
        <v>4949.9447693261436</v>
      </c>
      <c r="CD4" s="238">
        <f t="shared" si="11"/>
        <v>8789.7442900111728</v>
      </c>
      <c r="CE4" s="238">
        <f t="shared" si="11"/>
        <v>793.93890020027061</v>
      </c>
      <c r="CF4" s="238">
        <f t="shared" si="11"/>
        <v>1181.3299945286633</v>
      </c>
      <c r="CG4" s="238">
        <f t="shared" si="11"/>
        <v>1442.6702178184644</v>
      </c>
    </row>
    <row r="5" spans="1:85">
      <c r="A5" s="234" t="s">
        <v>36</v>
      </c>
      <c r="B5" s="41" t="s">
        <v>254</v>
      </c>
      <c r="C5" s="42" t="s">
        <v>252</v>
      </c>
      <c r="D5" s="42" t="s">
        <v>190</v>
      </c>
      <c r="E5" s="42" t="s">
        <v>77</v>
      </c>
      <c r="F5" s="42" t="s">
        <v>75</v>
      </c>
      <c r="G5" s="42" t="s">
        <v>81</v>
      </c>
      <c r="H5" s="42">
        <v>75067</v>
      </c>
      <c r="I5" s="234" t="s">
        <v>13</v>
      </c>
      <c r="J5" s="235">
        <v>33.054313</v>
      </c>
      <c r="K5" s="236">
        <v>-96.915160999999998</v>
      </c>
      <c r="L5" s="237">
        <f t="shared" si="0"/>
        <v>0.57690659383476439</v>
      </c>
      <c r="M5" s="237">
        <f t="shared" si="0"/>
        <v>-1.6914886545504002</v>
      </c>
      <c r="N5" s="236"/>
      <c r="O5" s="236"/>
      <c r="P5" s="112" t="str">
        <f t="shared" si="3"/>
        <v>LDC2</v>
      </c>
      <c r="Q5" s="238">
        <f t="shared" si="4"/>
        <v>1164.6424112486648</v>
      </c>
      <c r="R5" s="238"/>
      <c r="S5" s="238"/>
      <c r="T5" s="238">
        <f t="shared" si="5"/>
        <v>201.67336484785116</v>
      </c>
      <c r="U5" s="238">
        <f t="shared" si="5"/>
        <v>793.32637381781603</v>
      </c>
      <c r="V5" s="238">
        <f t="shared" si="5"/>
        <v>793.32637381781603</v>
      </c>
      <c r="W5" s="238">
        <f t="shared" si="5"/>
        <v>793.32637381781603</v>
      </c>
      <c r="X5" s="238">
        <f t="shared" si="5"/>
        <v>1445.6916085786308</v>
      </c>
      <c r="Y5" s="238">
        <f t="shared" si="5"/>
        <v>1261.6098843001457</v>
      </c>
      <c r="Z5" s="238">
        <f t="shared" si="5"/>
        <v>1449.8618412287351</v>
      </c>
      <c r="AA5" s="238">
        <f t="shared" si="5"/>
        <v>1479.1084724144939</v>
      </c>
      <c r="AB5" s="238">
        <f t="shared" si="5"/>
        <v>1479.1084724144939</v>
      </c>
      <c r="AC5" s="238">
        <f t="shared" si="5"/>
        <v>1185.8225725821935</v>
      </c>
      <c r="AD5" s="238">
        <f t="shared" si="6"/>
        <v>1196.3034420813592</v>
      </c>
      <c r="AE5" s="238">
        <f t="shared" si="6"/>
        <v>635.26218252074011</v>
      </c>
      <c r="AF5" s="238">
        <f t="shared" si="6"/>
        <v>6446.153344676507</v>
      </c>
      <c r="AG5" s="238">
        <f t="shared" si="6"/>
        <v>9717.3459315521141</v>
      </c>
      <c r="AH5" s="238">
        <f t="shared" si="6"/>
        <v>9677.2999587897102</v>
      </c>
      <c r="AI5" s="238">
        <f t="shared" si="6"/>
        <v>9669.8425771390503</v>
      </c>
      <c r="AJ5" s="238">
        <f t="shared" si="6"/>
        <v>9669.8425771390503</v>
      </c>
      <c r="AK5" s="238">
        <f t="shared" si="6"/>
        <v>9669.8425771390503</v>
      </c>
      <c r="AL5" s="238">
        <f t="shared" si="6"/>
        <v>9680.8538889053434</v>
      </c>
      <c r="AM5" s="238">
        <f t="shared" si="6"/>
        <v>8100.1216816875667</v>
      </c>
      <c r="AN5" s="238">
        <f t="shared" si="7"/>
        <v>8100.1216816875667</v>
      </c>
      <c r="AO5" s="238">
        <f t="shared" si="7"/>
        <v>6663.0272705655507</v>
      </c>
      <c r="AP5" s="238">
        <f t="shared" si="7"/>
        <v>9003.6247927032691</v>
      </c>
      <c r="AQ5" s="238">
        <f t="shared" si="7"/>
        <v>8599.1823165325368</v>
      </c>
      <c r="AR5" s="238">
        <f t="shared" si="7"/>
        <v>10546.961879024759</v>
      </c>
      <c r="AS5" s="238">
        <f t="shared" si="7"/>
        <v>10545.235079714397</v>
      </c>
      <c r="AT5" s="238">
        <f t="shared" si="7"/>
        <v>10544.476598206194</v>
      </c>
      <c r="AU5" s="238">
        <f t="shared" si="7"/>
        <v>4771.8553169826528</v>
      </c>
      <c r="AV5" s="238">
        <f t="shared" si="7"/>
        <v>5047.7388772670174</v>
      </c>
      <c r="AW5" s="238">
        <f t="shared" si="7"/>
        <v>5039.432938942713</v>
      </c>
      <c r="AX5" s="238">
        <f t="shared" si="8"/>
        <v>5050.795078970631</v>
      </c>
      <c r="AY5" s="238">
        <f t="shared" si="8"/>
        <v>4928.1052923663628</v>
      </c>
      <c r="AZ5" s="238">
        <f t="shared" si="8"/>
        <v>5121.6594240077211</v>
      </c>
      <c r="BA5" s="238">
        <f t="shared" si="8"/>
        <v>5121.5212955989691</v>
      </c>
      <c r="BB5" s="238">
        <f t="shared" si="8"/>
        <v>5244.6282680712966</v>
      </c>
      <c r="BC5" s="238">
        <f t="shared" si="8"/>
        <v>6625.8344678228605</v>
      </c>
      <c r="BD5" s="238">
        <f t="shared" si="8"/>
        <v>4922.5363415178235</v>
      </c>
      <c r="BE5" s="238">
        <f t="shared" si="8"/>
        <v>4748.0711238340646</v>
      </c>
      <c r="BF5" s="238">
        <f t="shared" si="8"/>
        <v>5123.9674271001631</v>
      </c>
      <c r="BG5" s="238">
        <f t="shared" si="8"/>
        <v>5045.3707086183349</v>
      </c>
      <c r="BH5" s="238">
        <f t="shared" si="9"/>
        <v>4776.5415719134571</v>
      </c>
      <c r="BI5" s="238">
        <f t="shared" si="9"/>
        <v>4649.7137506249737</v>
      </c>
      <c r="BJ5" s="238">
        <f t="shared" si="9"/>
        <v>5045.9912137641113</v>
      </c>
      <c r="BK5" s="238">
        <f t="shared" si="9"/>
        <v>4760.437655916654</v>
      </c>
      <c r="BL5" s="238">
        <f t="shared" si="9"/>
        <v>5068.9334067256241</v>
      </c>
      <c r="BM5" s="238">
        <f t="shared" si="9"/>
        <v>5060.5805328093375</v>
      </c>
      <c r="BN5" s="238">
        <f t="shared" si="9"/>
        <v>4901.0655394414025</v>
      </c>
      <c r="BO5" s="238">
        <f t="shared" si="9"/>
        <v>4906.5485134545333</v>
      </c>
      <c r="BP5" s="238">
        <f t="shared" si="9"/>
        <v>4770.1139703317922</v>
      </c>
      <c r="BQ5" s="238">
        <f t="shared" si="9"/>
        <v>1422.4237252118821</v>
      </c>
      <c r="BR5" s="238">
        <f t="shared" si="10"/>
        <v>1171.2390609805182</v>
      </c>
      <c r="BS5" s="238">
        <f t="shared" si="10"/>
        <v>1158.0908449671622</v>
      </c>
      <c r="BT5" s="238">
        <f t="shared" si="10"/>
        <v>538.40736595526687</v>
      </c>
      <c r="BU5" s="238">
        <f t="shared" si="10"/>
        <v>1124.4313729568271</v>
      </c>
      <c r="BV5" s="238">
        <f t="shared" si="10"/>
        <v>5071.7388788212011</v>
      </c>
      <c r="BW5" s="238">
        <f t="shared" si="10"/>
        <v>1158.0908449671622</v>
      </c>
      <c r="BX5" s="238">
        <f t="shared" si="10"/>
        <v>1442.5665628908885</v>
      </c>
      <c r="BY5" s="238">
        <f t="shared" si="10"/>
        <v>1545.6185018239507</v>
      </c>
      <c r="BZ5" s="238">
        <f t="shared" si="10"/>
        <v>1443.4981536515704</v>
      </c>
      <c r="CA5" s="238">
        <f t="shared" si="10"/>
        <v>1384.651327536855</v>
      </c>
      <c r="CB5" s="238">
        <f t="shared" si="11"/>
        <v>1542.5640707332711</v>
      </c>
      <c r="CC5" s="238">
        <f t="shared" si="11"/>
        <v>4949.9447693261436</v>
      </c>
      <c r="CD5" s="238">
        <f t="shared" si="11"/>
        <v>8789.7442900111728</v>
      </c>
      <c r="CE5" s="238">
        <f t="shared" si="11"/>
        <v>793.93890020027061</v>
      </c>
      <c r="CF5" s="238">
        <f t="shared" si="11"/>
        <v>1181.3299945286633</v>
      </c>
      <c r="CG5" s="238">
        <f t="shared" si="11"/>
        <v>1442.6702178184644</v>
      </c>
    </row>
    <row r="6" spans="1:85">
      <c r="A6" s="234" t="s">
        <v>36</v>
      </c>
      <c r="B6" s="41" t="s">
        <v>256</v>
      </c>
      <c r="C6" s="42" t="s">
        <v>74</v>
      </c>
      <c r="D6" s="42" t="s">
        <v>191</v>
      </c>
      <c r="E6" s="42" t="s">
        <v>74</v>
      </c>
      <c r="F6" s="42" t="s">
        <v>75</v>
      </c>
      <c r="G6" s="42" t="s">
        <v>81</v>
      </c>
      <c r="H6" s="42">
        <v>78744</v>
      </c>
      <c r="I6" s="234" t="s">
        <v>13</v>
      </c>
      <c r="J6" s="235">
        <v>30.215496000000002</v>
      </c>
      <c r="K6" s="236">
        <v>-97.696337999999997</v>
      </c>
      <c r="L6" s="237">
        <f t="shared" si="0"/>
        <v>0.52735989032317654</v>
      </c>
      <c r="M6" s="237">
        <f t="shared" si="0"/>
        <v>-1.7051227652412519</v>
      </c>
      <c r="N6" s="236"/>
      <c r="O6" s="236"/>
      <c r="P6" s="112" t="str">
        <f t="shared" si="3"/>
        <v>AUDC</v>
      </c>
      <c r="Q6" s="238">
        <f t="shared" si="4"/>
        <v>1301.8323467628256</v>
      </c>
      <c r="R6" s="238">
        <f t="shared" ref="R6:S25" si="12">ACOS(COS($L6)*COS($M6)*COS(INDEX($L:$L,MATCH(R$2,$P:$P,0)))*COS(INDEX($M:$M,MATCH(R$2,$P:$P,0))) + COS($L6)*SIN($M6)*COS(INDEX($L:$L,MATCH(R$2,$P:$P,0)))*SIN(INDEX($M:$M,MATCH(R$2,$P:$P,0))) + SIN($L6)*SIN(INDEX($L:$L,MATCH(R$2,$P:$P,0)))) * 3963.1</f>
        <v>201.67336484785116</v>
      </c>
      <c r="S6" s="238">
        <f t="shared" si="12"/>
        <v>201.67336484785116</v>
      </c>
      <c r="T6" s="238"/>
      <c r="U6" s="238">
        <f t="shared" ref="U6:AZ6" si="13">ACOS(COS($L6)*COS($M6)*COS(INDEX($L:$L,MATCH(U$2,$P:$P,0)))*COS(INDEX($M:$M,MATCH(U$2,$P:$P,0))) + COS($L6)*SIN($M6)*COS(INDEX($L:$L,MATCH(U$2,$P:$P,0)))*SIN(INDEX($M:$M,MATCH(U$2,$P:$P,0))) + SIN($L6)*SIN(INDEX($L:$L,MATCH(U$2,$P:$P,0)))) * 3963.1</f>
        <v>981.13001021974833</v>
      </c>
      <c r="V6" s="238">
        <f t="shared" si="13"/>
        <v>981.13001021974833</v>
      </c>
      <c r="W6" s="238">
        <f t="shared" si="13"/>
        <v>981.13001021974833</v>
      </c>
      <c r="X6" s="238">
        <f t="shared" si="13"/>
        <v>1592.5407482201624</v>
      </c>
      <c r="Y6" s="238">
        <f t="shared" si="13"/>
        <v>1401.5316471245558</v>
      </c>
      <c r="Z6" s="238">
        <f t="shared" si="13"/>
        <v>1597.9085033622607</v>
      </c>
      <c r="AA6" s="238">
        <f t="shared" si="13"/>
        <v>1625.4386469943552</v>
      </c>
      <c r="AB6" s="238">
        <f t="shared" si="13"/>
        <v>1625.4386469943552</v>
      </c>
      <c r="AC6" s="238">
        <f t="shared" si="13"/>
        <v>1359.1953020647525</v>
      </c>
      <c r="AD6" s="238">
        <f t="shared" si="13"/>
        <v>1368.4156219480287</v>
      </c>
      <c r="AE6" s="238">
        <f t="shared" si="13"/>
        <v>768.41196032565858</v>
      </c>
      <c r="AF6" s="238">
        <f t="shared" si="13"/>
        <v>6558.0119550812815</v>
      </c>
      <c r="AG6" s="238">
        <f t="shared" si="13"/>
        <v>9850.8555306341659</v>
      </c>
      <c r="AH6" s="238">
        <f t="shared" si="13"/>
        <v>9822.5678423530298</v>
      </c>
      <c r="AI6" s="238">
        <f t="shared" si="13"/>
        <v>9814.657575586667</v>
      </c>
      <c r="AJ6" s="238">
        <f t="shared" si="13"/>
        <v>9814.657575586667</v>
      </c>
      <c r="AK6" s="238">
        <f t="shared" si="13"/>
        <v>9814.657575586667</v>
      </c>
      <c r="AL6" s="238">
        <f t="shared" si="13"/>
        <v>9825.2811990937589</v>
      </c>
      <c r="AM6" s="238">
        <f t="shared" si="13"/>
        <v>8239.1480675156272</v>
      </c>
      <c r="AN6" s="238">
        <f t="shared" si="13"/>
        <v>8239.1480675156272</v>
      </c>
      <c r="AO6" s="238">
        <f t="shared" si="13"/>
        <v>6780.1327412862611</v>
      </c>
      <c r="AP6" s="238">
        <f t="shared" si="13"/>
        <v>8877.9992229106574</v>
      </c>
      <c r="AQ6" s="238">
        <f t="shared" si="13"/>
        <v>8482.5292659704173</v>
      </c>
      <c r="AR6" s="238">
        <f t="shared" si="13"/>
        <v>10469.210948740929</v>
      </c>
      <c r="AS6" s="238">
        <f t="shared" si="13"/>
        <v>10467.416381627316</v>
      </c>
      <c r="AT6" s="238">
        <f t="shared" si="13"/>
        <v>10466.707426771089</v>
      </c>
      <c r="AU6" s="238">
        <f t="shared" si="13"/>
        <v>4949.9627782031948</v>
      </c>
      <c r="AV6" s="238">
        <f t="shared" si="13"/>
        <v>5226.2047389936188</v>
      </c>
      <c r="AW6" s="238">
        <f t="shared" si="13"/>
        <v>5217.9097105855863</v>
      </c>
      <c r="AX6" s="238">
        <f t="shared" si="13"/>
        <v>5240.0133770159282</v>
      </c>
      <c r="AY6" s="238">
        <f t="shared" si="13"/>
        <v>5103.6137908868068</v>
      </c>
      <c r="AZ6" s="238">
        <f t="shared" si="13"/>
        <v>5302.2879894498237</v>
      </c>
      <c r="BA6" s="238">
        <f t="shared" ref="BA6:CG6" si="14">ACOS(COS($L6)*COS($M6)*COS(INDEX($L:$L,MATCH(BA$2,$P:$P,0)))*COS(INDEX($M:$M,MATCH(BA$2,$P:$P,0))) + COS($L6)*SIN($M6)*COS(INDEX($L:$L,MATCH(BA$2,$P:$P,0)))*SIN(INDEX($M:$M,MATCH(BA$2,$P:$P,0))) + SIN($L6)*SIN(INDEX($L:$L,MATCH(BA$2,$P:$P,0)))) * 3963.1</f>
        <v>5302.1494430439152</v>
      </c>
      <c r="BB6" s="238">
        <f t="shared" si="14"/>
        <v>5422.2950695341415</v>
      </c>
      <c r="BC6" s="238">
        <f t="shared" si="14"/>
        <v>6684.8942172639772</v>
      </c>
      <c r="BD6" s="238">
        <f t="shared" si="14"/>
        <v>5097.7917811547168</v>
      </c>
      <c r="BE6" s="238">
        <f t="shared" si="14"/>
        <v>4926.2848169818344</v>
      </c>
      <c r="BF6" s="238">
        <f t="shared" si="14"/>
        <v>5304.5734144421449</v>
      </c>
      <c r="BG6" s="238">
        <f t="shared" si="14"/>
        <v>5234.625654581645</v>
      </c>
      <c r="BH6" s="238">
        <f t="shared" si="14"/>
        <v>4954.6556969964822</v>
      </c>
      <c r="BI6" s="238">
        <f t="shared" si="14"/>
        <v>4829.858729954527</v>
      </c>
      <c r="BJ6" s="238">
        <f t="shared" si="14"/>
        <v>5235.1675616811463</v>
      </c>
      <c r="BK6" s="238">
        <f t="shared" si="14"/>
        <v>4938.4103213826538</v>
      </c>
      <c r="BL6" s="238">
        <f t="shared" si="14"/>
        <v>5263.3502861605366</v>
      </c>
      <c r="BM6" s="238">
        <f t="shared" si="14"/>
        <v>5255.0296022105385</v>
      </c>
      <c r="BN6" s="238">
        <f t="shared" si="14"/>
        <v>5082.9043799541951</v>
      </c>
      <c r="BO6" s="238">
        <f t="shared" si="14"/>
        <v>5088.3473687370051</v>
      </c>
      <c r="BP6" s="238">
        <f t="shared" si="14"/>
        <v>4947.8982783382753</v>
      </c>
      <c r="BQ6" s="238">
        <f t="shared" si="14"/>
        <v>1577.3922720914693</v>
      </c>
      <c r="BR6" s="238">
        <f t="shared" si="14"/>
        <v>1317.0329716010065</v>
      </c>
      <c r="BS6" s="238">
        <f t="shared" si="14"/>
        <v>1294.8770886000843</v>
      </c>
      <c r="BT6" s="238">
        <f t="shared" si="14"/>
        <v>721.37743508107121</v>
      </c>
      <c r="BU6" s="238">
        <f t="shared" si="14"/>
        <v>1258.8010461592737</v>
      </c>
      <c r="BV6" s="238">
        <f t="shared" si="14"/>
        <v>4973.88531009899</v>
      </c>
      <c r="BW6" s="238">
        <f t="shared" si="14"/>
        <v>1294.8770886000843</v>
      </c>
      <c r="BX6" s="238">
        <f t="shared" si="14"/>
        <v>1475.5172064470119</v>
      </c>
      <c r="BY6" s="238">
        <f t="shared" si="14"/>
        <v>1695.139979617084</v>
      </c>
      <c r="BZ6" s="238">
        <f t="shared" si="14"/>
        <v>1476.3998007010202</v>
      </c>
      <c r="CA6" s="238">
        <f t="shared" si="14"/>
        <v>1530.5089499612304</v>
      </c>
      <c r="CB6" s="238">
        <f t="shared" si="14"/>
        <v>1692.2502143846107</v>
      </c>
      <c r="CC6" s="238">
        <f t="shared" si="14"/>
        <v>5132.0852727236761</v>
      </c>
      <c r="CD6" s="238">
        <f t="shared" si="14"/>
        <v>8762.703215745707</v>
      </c>
      <c r="CE6" s="238">
        <f t="shared" si="14"/>
        <v>981.86648294592317</v>
      </c>
      <c r="CF6" s="238">
        <f t="shared" si="14"/>
        <v>1317.4689052068732</v>
      </c>
      <c r="CG6" s="238">
        <f t="shared" si="14"/>
        <v>1475.6158857901059</v>
      </c>
    </row>
    <row r="7" spans="1:85">
      <c r="A7" s="234" t="s">
        <v>36</v>
      </c>
      <c r="B7" s="41" t="s">
        <v>257</v>
      </c>
      <c r="C7" s="42" t="s">
        <v>258</v>
      </c>
      <c r="D7" s="42" t="s">
        <v>682</v>
      </c>
      <c r="E7" s="42" t="s">
        <v>68</v>
      </c>
      <c r="F7" s="42" t="s">
        <v>76</v>
      </c>
      <c r="G7" s="42" t="s">
        <v>81</v>
      </c>
      <c r="H7" s="42">
        <v>60616</v>
      </c>
      <c r="I7" s="234" t="s">
        <v>13</v>
      </c>
      <c r="J7" s="235">
        <v>41.853099</v>
      </c>
      <c r="K7" s="239">
        <v>-87.61833</v>
      </c>
      <c r="L7" s="237">
        <f t="shared" si="0"/>
        <v>0.73047437971314622</v>
      </c>
      <c r="M7" s="237">
        <f t="shared" si="0"/>
        <v>-1.5292283435989233</v>
      </c>
      <c r="N7" s="239"/>
      <c r="O7" s="239"/>
      <c r="P7" s="112" t="str">
        <f t="shared" si="3"/>
        <v>CDC2</v>
      </c>
      <c r="Q7" s="238">
        <f t="shared" si="4"/>
        <v>575.74454983307987</v>
      </c>
      <c r="R7" s="238">
        <f t="shared" si="12"/>
        <v>793.32637381781603</v>
      </c>
      <c r="S7" s="238">
        <f t="shared" si="12"/>
        <v>793.32637381781603</v>
      </c>
      <c r="T7" s="238">
        <f t="shared" ref="T7:T38" si="15">ACOS(COS($L7)*COS($M7)*COS(INDEX($L:$L,MATCH(T$2,$P:$P,0)))*COS(INDEX($M:$M,MATCH(T$2,$P:$P,0))) + COS($L7)*SIN($M7)*COS(INDEX($L:$L,MATCH(T$2,$P:$P,0)))*SIN(INDEX($M:$M,MATCH(T$2,$P:$P,0))) + SIN($L7)*SIN(INDEX($L:$L,MATCH(T$2,$P:$P,0)))) * 3963.1</f>
        <v>981.13001021974833</v>
      </c>
      <c r="U7" s="238"/>
      <c r="V7" s="238"/>
      <c r="W7" s="238"/>
      <c r="X7" s="238">
        <f t="shared" ref="X7:AG9" si="16">ACOS(COS($L7)*COS($M7)*COS(INDEX($L:$L,MATCH(X$2,$P:$P,0)))*COS(INDEX($M:$M,MATCH(X$2,$P:$P,0))) + COS($L7)*SIN($M7)*COS(INDEX($L:$L,MATCH(X$2,$P:$P,0)))*SIN(INDEX($M:$M,MATCH(X$2,$P:$P,0))) + SIN($L7)*SIN(INDEX($L:$L,MATCH(X$2,$P:$P,0)))) * 3963.1</f>
        <v>766.95150168747</v>
      </c>
      <c r="Y7" s="238">
        <f t="shared" si="16"/>
        <v>638.47789671679777</v>
      </c>
      <c r="Z7" s="238">
        <f t="shared" si="16"/>
        <v>765.7873633401731</v>
      </c>
      <c r="AA7" s="238">
        <f t="shared" si="16"/>
        <v>799.40292678958406</v>
      </c>
      <c r="AB7" s="238">
        <f t="shared" si="16"/>
        <v>799.40292678958406</v>
      </c>
      <c r="AC7" s="238">
        <f t="shared" si="16"/>
        <v>421.62377163911066</v>
      </c>
      <c r="AD7" s="238">
        <f t="shared" si="16"/>
        <v>436.11174327065703</v>
      </c>
      <c r="AE7" s="238">
        <f t="shared" si="16"/>
        <v>913.86250209109164</v>
      </c>
      <c r="AF7" s="238">
        <f t="shared" si="16"/>
        <v>6306.1111006481196</v>
      </c>
      <c r="AG7" s="238">
        <f t="shared" si="16"/>
        <v>9382.1625652916955</v>
      </c>
      <c r="AH7" s="238">
        <f t="shared" ref="AH7:AQ9" si="17">ACOS(COS($L7)*COS($M7)*COS(INDEX($L:$L,MATCH(AH$2,$P:$P,0)))*COS(INDEX($M:$M,MATCH(AH$2,$P:$P,0))) + COS($L7)*SIN($M7)*COS(INDEX($L:$L,MATCH(AH$2,$P:$P,0)))*SIN(INDEX($M:$M,MATCH(AH$2,$P:$P,0))) + SIN($L7)*SIN(INDEX($L:$L,MATCH(AH$2,$P:$P,0)))) * 3963.1</f>
        <v>9291.2724119235463</v>
      </c>
      <c r="AI7" s="238">
        <f t="shared" si="17"/>
        <v>9286.1750519849829</v>
      </c>
      <c r="AJ7" s="238">
        <f t="shared" si="17"/>
        <v>9286.1750519849829</v>
      </c>
      <c r="AK7" s="238">
        <f t="shared" si="17"/>
        <v>9286.1750519849829</v>
      </c>
      <c r="AL7" s="238">
        <f t="shared" si="17"/>
        <v>9298.5025654957954</v>
      </c>
      <c r="AM7" s="238">
        <f t="shared" si="17"/>
        <v>7792.1844534171432</v>
      </c>
      <c r="AN7" s="238">
        <f t="shared" si="17"/>
        <v>7792.1844534171432</v>
      </c>
      <c r="AO7" s="238">
        <f t="shared" si="17"/>
        <v>6493.5363349451291</v>
      </c>
      <c r="AP7" s="238">
        <f t="shared" si="17"/>
        <v>9680.9523433886661</v>
      </c>
      <c r="AQ7" s="238">
        <f t="shared" si="17"/>
        <v>9256.4123226972151</v>
      </c>
      <c r="AR7" s="238">
        <f t="shared" ref="AR7:BA9" si="18">ACOS(COS($L7)*COS($M7)*COS(INDEX($L:$L,MATCH(AR$2,$P:$P,0)))*COS(INDEX($M:$M,MATCH(AR$2,$P:$P,0))) + COS($L7)*SIN($M7)*COS(INDEX($L:$L,MATCH(AR$2,$P:$P,0)))*SIN(INDEX($M:$M,MATCH(AR$2,$P:$P,0))) + SIN($L7)*SIN(INDEX($L:$L,MATCH(AR$2,$P:$P,0)))) * 3963.1</f>
        <v>10990.799730898028</v>
      </c>
      <c r="AS7" s="238">
        <f t="shared" si="18"/>
        <v>10989.519542642269</v>
      </c>
      <c r="AT7" s="238">
        <f t="shared" si="18"/>
        <v>10988.640867715008</v>
      </c>
      <c r="AU7" s="238">
        <f t="shared" si="18"/>
        <v>3981.0744661863328</v>
      </c>
      <c r="AV7" s="238">
        <f t="shared" si="18"/>
        <v>4256.6139376430201</v>
      </c>
      <c r="AW7" s="238">
        <f t="shared" si="18"/>
        <v>4248.3035701681874</v>
      </c>
      <c r="AX7" s="238">
        <f t="shared" si="18"/>
        <v>4259.0314500356171</v>
      </c>
      <c r="AY7" s="238">
        <f t="shared" si="18"/>
        <v>4139.3453814800605</v>
      </c>
      <c r="AZ7" s="238">
        <f t="shared" si="18"/>
        <v>4329.3056351449759</v>
      </c>
      <c r="BA7" s="238">
        <f t="shared" si="18"/>
        <v>4329.1677229183488</v>
      </c>
      <c r="BB7" s="238">
        <f t="shared" ref="BB7:BK9" si="19">ACOS(COS($L7)*COS($M7)*COS(INDEX($L:$L,MATCH(BB$2,$P:$P,0)))*COS(INDEX($M:$M,MATCH(BB$2,$P:$P,0))) + COS($L7)*SIN($M7)*COS(INDEX($L:$L,MATCH(BB$2,$P:$P,0)))*SIN(INDEX($M:$M,MATCH(BB$2,$P:$P,0))) + SIN($L7)*SIN(INDEX($L:$L,MATCH(BB$2,$P:$P,0)))) * 3963.1</f>
        <v>4453.9808521572058</v>
      </c>
      <c r="BC7" s="238">
        <f t="shared" si="19"/>
        <v>6102.5321924866439</v>
      </c>
      <c r="BD7" s="238">
        <f t="shared" si="19"/>
        <v>4134.0096014000446</v>
      </c>
      <c r="BE7" s="238">
        <f t="shared" si="19"/>
        <v>3957.2244916841337</v>
      </c>
      <c r="BF7" s="238">
        <f t="shared" si="19"/>
        <v>4331.6235565939114</v>
      </c>
      <c r="BG7" s="238">
        <f t="shared" si="19"/>
        <v>4253.6344092830041</v>
      </c>
      <c r="BH7" s="238">
        <f t="shared" si="19"/>
        <v>3985.7541713951068</v>
      </c>
      <c r="BI7" s="238">
        <f t="shared" si="19"/>
        <v>3857.6999574405559</v>
      </c>
      <c r="BJ7" s="238">
        <f t="shared" si="19"/>
        <v>4254.1962947829797</v>
      </c>
      <c r="BK7" s="238">
        <f t="shared" si="19"/>
        <v>3969.7577925815849</v>
      </c>
      <c r="BL7" s="238">
        <f t="shared" ref="BL7:BU9" si="20">ACOS(COS($L7)*COS($M7)*COS(INDEX($L:$L,MATCH(BL$2,$P:$P,0)))*COS(INDEX($M:$M,MATCH(BL$2,$P:$P,0))) + COS($L7)*SIN($M7)*COS(INDEX($L:$L,MATCH(BL$2,$P:$P,0)))*SIN(INDEX($M:$M,MATCH(BL$2,$P:$P,0))) + SIN($L7)*SIN(INDEX($L:$L,MATCH(BL$2,$P:$P,0)))) * 3963.1</f>
        <v>4284.6165460756329</v>
      </c>
      <c r="BM7" s="238">
        <f t="shared" si="20"/>
        <v>4276.3413122401416</v>
      </c>
      <c r="BN7" s="238">
        <f t="shared" si="20"/>
        <v>4108.2582037275361</v>
      </c>
      <c r="BO7" s="238">
        <f t="shared" si="20"/>
        <v>4113.7544098319713</v>
      </c>
      <c r="BP7" s="238">
        <f t="shared" si="20"/>
        <v>3979.5674977715689</v>
      </c>
      <c r="BQ7" s="238">
        <f t="shared" si="20"/>
        <v>712.68976151318088</v>
      </c>
      <c r="BR7" s="238">
        <f t="shared" si="20"/>
        <v>537.14227134259795</v>
      </c>
      <c r="BS7" s="238">
        <f t="shared" si="20"/>
        <v>572.90958163947869</v>
      </c>
      <c r="BT7" s="238">
        <f t="shared" si="20"/>
        <v>261.60697221561378</v>
      </c>
      <c r="BU7" s="238">
        <f t="shared" si="20"/>
        <v>560.89397783428444</v>
      </c>
      <c r="BV7" s="238">
        <f t="shared" ref="BV7:CG9" si="21">ACOS(COS($L7)*COS($M7)*COS(INDEX($L:$L,MATCH(BV$2,$P:$P,0)))*COS(INDEX($M:$M,MATCH(BV$2,$P:$P,0))) + COS($L7)*SIN($M7)*COS(INDEX($L:$L,MATCH(BV$2,$P:$P,0)))*SIN(INDEX($M:$M,MATCH(BV$2,$P:$P,0))) + SIN($L7)*SIN(INDEX($L:$L,MATCH(BV$2,$P:$P,0)))) * 3963.1</f>
        <v>5171.5908423482115</v>
      </c>
      <c r="BW7" s="238">
        <f t="shared" si="21"/>
        <v>572.90958163947869</v>
      </c>
      <c r="BX7" s="238">
        <f t="shared" si="21"/>
        <v>1843.8167867957204</v>
      </c>
      <c r="BY7" s="238">
        <f t="shared" si="21"/>
        <v>847.99095281998905</v>
      </c>
      <c r="BZ7" s="238">
        <f t="shared" si="21"/>
        <v>1844.7826741643098</v>
      </c>
      <c r="CA7" s="238">
        <f t="shared" si="21"/>
        <v>716.52428205926333</v>
      </c>
      <c r="CB7" s="238">
        <f t="shared" si="21"/>
        <v>844.5185880393575</v>
      </c>
      <c r="CC7" s="238">
        <f t="shared" si="21"/>
        <v>4157.0326690499414</v>
      </c>
      <c r="CD7" s="238">
        <f t="shared" si="21"/>
        <v>8504.0605247435597</v>
      </c>
      <c r="CE7" s="238">
        <f t="shared" si="21"/>
        <v>1.6260802753088119</v>
      </c>
      <c r="CF7" s="238">
        <f t="shared" si="21"/>
        <v>593.6174357931277</v>
      </c>
      <c r="CG7" s="238">
        <f t="shared" si="21"/>
        <v>1843.9228107693541</v>
      </c>
    </row>
    <row r="8" spans="1:85">
      <c r="A8" s="234" t="s">
        <v>36</v>
      </c>
      <c r="B8" s="41" t="s">
        <v>260</v>
      </c>
      <c r="C8" s="42" t="s">
        <v>261</v>
      </c>
      <c r="D8" s="42" t="s">
        <v>682</v>
      </c>
      <c r="E8" s="42" t="s">
        <v>68</v>
      </c>
      <c r="F8" s="42" t="s">
        <v>76</v>
      </c>
      <c r="G8" s="42" t="s">
        <v>81</v>
      </c>
      <c r="H8" s="42">
        <v>60616</v>
      </c>
      <c r="I8" s="234" t="s">
        <v>13</v>
      </c>
      <c r="J8" s="235">
        <v>41.853099</v>
      </c>
      <c r="K8" s="239">
        <v>-87.61833</v>
      </c>
      <c r="L8" s="237">
        <f t="shared" si="0"/>
        <v>0.73047437971314622</v>
      </c>
      <c r="M8" s="237">
        <f t="shared" si="0"/>
        <v>-1.5292283435989233</v>
      </c>
      <c r="N8" s="236"/>
      <c r="O8" s="236"/>
      <c r="P8" s="112" t="str">
        <f t="shared" si="3"/>
        <v>CDC3</v>
      </c>
      <c r="Q8" s="238">
        <f t="shared" si="4"/>
        <v>575.74454983307987</v>
      </c>
      <c r="R8" s="238">
        <f t="shared" si="12"/>
        <v>793.32637381781603</v>
      </c>
      <c r="S8" s="238">
        <f t="shared" si="12"/>
        <v>793.32637381781603</v>
      </c>
      <c r="T8" s="238">
        <f t="shared" si="15"/>
        <v>981.13001021974833</v>
      </c>
      <c r="U8" s="238"/>
      <c r="V8" s="238"/>
      <c r="W8" s="238"/>
      <c r="X8" s="238">
        <f t="shared" si="16"/>
        <v>766.95150168747</v>
      </c>
      <c r="Y8" s="238">
        <f t="shared" si="16"/>
        <v>638.47789671679777</v>
      </c>
      <c r="Z8" s="238">
        <f t="shared" si="16"/>
        <v>765.7873633401731</v>
      </c>
      <c r="AA8" s="238">
        <f t="shared" si="16"/>
        <v>799.40292678958406</v>
      </c>
      <c r="AB8" s="238">
        <f t="shared" si="16"/>
        <v>799.40292678958406</v>
      </c>
      <c r="AC8" s="238">
        <f t="shared" si="16"/>
        <v>421.62377163911066</v>
      </c>
      <c r="AD8" s="238">
        <f t="shared" si="16"/>
        <v>436.11174327065703</v>
      </c>
      <c r="AE8" s="238">
        <f t="shared" si="16"/>
        <v>913.86250209109164</v>
      </c>
      <c r="AF8" s="238">
        <f t="shared" si="16"/>
        <v>6306.1111006481196</v>
      </c>
      <c r="AG8" s="238">
        <f t="shared" si="16"/>
        <v>9382.1625652916955</v>
      </c>
      <c r="AH8" s="238">
        <f t="shared" si="17"/>
        <v>9291.2724119235463</v>
      </c>
      <c r="AI8" s="238">
        <f t="shared" si="17"/>
        <v>9286.1750519849829</v>
      </c>
      <c r="AJ8" s="238">
        <f t="shared" si="17"/>
        <v>9286.1750519849829</v>
      </c>
      <c r="AK8" s="238">
        <f t="shared" si="17"/>
        <v>9286.1750519849829</v>
      </c>
      <c r="AL8" s="238">
        <f t="shared" si="17"/>
        <v>9298.5025654957954</v>
      </c>
      <c r="AM8" s="238">
        <f t="shared" si="17"/>
        <v>7792.1844534171432</v>
      </c>
      <c r="AN8" s="238">
        <f t="shared" si="17"/>
        <v>7792.1844534171432</v>
      </c>
      <c r="AO8" s="238">
        <f t="shared" si="17"/>
        <v>6493.5363349451291</v>
      </c>
      <c r="AP8" s="238">
        <f t="shared" si="17"/>
        <v>9680.9523433886661</v>
      </c>
      <c r="AQ8" s="238">
        <f t="shared" si="17"/>
        <v>9256.4123226972151</v>
      </c>
      <c r="AR8" s="238">
        <f t="shared" si="18"/>
        <v>10990.799730898028</v>
      </c>
      <c r="AS8" s="238">
        <f t="shared" si="18"/>
        <v>10989.519542642269</v>
      </c>
      <c r="AT8" s="238">
        <f t="shared" si="18"/>
        <v>10988.640867715008</v>
      </c>
      <c r="AU8" s="238">
        <f t="shared" si="18"/>
        <v>3981.0744661863328</v>
      </c>
      <c r="AV8" s="238">
        <f t="shared" si="18"/>
        <v>4256.6139376430201</v>
      </c>
      <c r="AW8" s="238">
        <f t="shared" si="18"/>
        <v>4248.3035701681874</v>
      </c>
      <c r="AX8" s="238">
        <f t="shared" si="18"/>
        <v>4259.0314500356171</v>
      </c>
      <c r="AY8" s="238">
        <f t="shared" si="18"/>
        <v>4139.3453814800605</v>
      </c>
      <c r="AZ8" s="238">
        <f t="shared" si="18"/>
        <v>4329.3056351449759</v>
      </c>
      <c r="BA8" s="238">
        <f t="shared" si="18"/>
        <v>4329.1677229183488</v>
      </c>
      <c r="BB8" s="238">
        <f t="shared" si="19"/>
        <v>4453.9808521572058</v>
      </c>
      <c r="BC8" s="238">
        <f t="shared" si="19"/>
        <v>6102.5321924866439</v>
      </c>
      <c r="BD8" s="238">
        <f t="shared" si="19"/>
        <v>4134.0096014000446</v>
      </c>
      <c r="BE8" s="238">
        <f t="shared" si="19"/>
        <v>3957.2244916841337</v>
      </c>
      <c r="BF8" s="238">
        <f t="shared" si="19"/>
        <v>4331.6235565939114</v>
      </c>
      <c r="BG8" s="238">
        <f t="shared" si="19"/>
        <v>4253.6344092830041</v>
      </c>
      <c r="BH8" s="238">
        <f t="shared" si="19"/>
        <v>3985.7541713951068</v>
      </c>
      <c r="BI8" s="238">
        <f t="shared" si="19"/>
        <v>3857.6999574405559</v>
      </c>
      <c r="BJ8" s="238">
        <f t="shared" si="19"/>
        <v>4254.1962947829797</v>
      </c>
      <c r="BK8" s="238">
        <f t="shared" si="19"/>
        <v>3969.7577925815849</v>
      </c>
      <c r="BL8" s="238">
        <f t="shared" si="20"/>
        <v>4284.6165460756329</v>
      </c>
      <c r="BM8" s="238">
        <f t="shared" si="20"/>
        <v>4276.3413122401416</v>
      </c>
      <c r="BN8" s="238">
        <f t="shared" si="20"/>
        <v>4108.2582037275361</v>
      </c>
      <c r="BO8" s="238">
        <f t="shared" si="20"/>
        <v>4113.7544098319713</v>
      </c>
      <c r="BP8" s="238">
        <f t="shared" si="20"/>
        <v>3979.5674977715689</v>
      </c>
      <c r="BQ8" s="238">
        <f t="shared" si="20"/>
        <v>712.68976151318088</v>
      </c>
      <c r="BR8" s="238">
        <f t="shared" si="20"/>
        <v>537.14227134259795</v>
      </c>
      <c r="BS8" s="238">
        <f t="shared" si="20"/>
        <v>572.90958163947869</v>
      </c>
      <c r="BT8" s="238">
        <f t="shared" si="20"/>
        <v>261.60697221561378</v>
      </c>
      <c r="BU8" s="238">
        <f t="shared" si="20"/>
        <v>560.89397783428444</v>
      </c>
      <c r="BV8" s="238">
        <f t="shared" si="21"/>
        <v>5171.5908423482115</v>
      </c>
      <c r="BW8" s="238">
        <f t="shared" si="21"/>
        <v>572.90958163947869</v>
      </c>
      <c r="BX8" s="238">
        <f t="shared" si="21"/>
        <v>1843.8167867957204</v>
      </c>
      <c r="BY8" s="238">
        <f t="shared" si="21"/>
        <v>847.99095281998905</v>
      </c>
      <c r="BZ8" s="238">
        <f t="shared" si="21"/>
        <v>1844.7826741643098</v>
      </c>
      <c r="CA8" s="238">
        <f t="shared" si="21"/>
        <v>716.52428205926333</v>
      </c>
      <c r="CB8" s="238">
        <f t="shared" si="21"/>
        <v>844.5185880393575</v>
      </c>
      <c r="CC8" s="238">
        <f t="shared" si="21"/>
        <v>4157.0326690499414</v>
      </c>
      <c r="CD8" s="238">
        <f t="shared" si="21"/>
        <v>8504.0605247435597</v>
      </c>
      <c r="CE8" s="238">
        <f t="shared" si="21"/>
        <v>1.6260802753088119</v>
      </c>
      <c r="CF8" s="238">
        <f t="shared" si="21"/>
        <v>593.6174357931277</v>
      </c>
      <c r="CG8" s="238">
        <f t="shared" si="21"/>
        <v>1843.9228107693541</v>
      </c>
    </row>
    <row r="9" spans="1:85">
      <c r="A9" s="234" t="s">
        <v>36</v>
      </c>
      <c r="B9" s="41" t="s">
        <v>264</v>
      </c>
      <c r="C9" s="42" t="s">
        <v>265</v>
      </c>
      <c r="D9" s="42" t="s">
        <v>682</v>
      </c>
      <c r="E9" s="42" t="s">
        <v>68</v>
      </c>
      <c r="F9" s="42" t="s">
        <v>76</v>
      </c>
      <c r="G9" s="42" t="s">
        <v>81</v>
      </c>
      <c r="H9" s="42">
        <v>60616</v>
      </c>
      <c r="I9" s="234" t="s">
        <v>13</v>
      </c>
      <c r="J9" s="235">
        <v>41.853099</v>
      </c>
      <c r="K9" s="239">
        <v>-87.61833</v>
      </c>
      <c r="L9" s="237">
        <f t="shared" si="0"/>
        <v>0.73047437971314622</v>
      </c>
      <c r="M9" s="237">
        <f t="shared" si="0"/>
        <v>-1.5292283435989233</v>
      </c>
      <c r="N9" s="236"/>
      <c r="O9" s="236"/>
      <c r="P9" s="112" t="str">
        <f t="shared" si="3"/>
        <v>CDC4</v>
      </c>
      <c r="Q9" s="238">
        <f t="shared" si="4"/>
        <v>575.74454983307987</v>
      </c>
      <c r="R9" s="238">
        <f t="shared" si="12"/>
        <v>793.32637381781603</v>
      </c>
      <c r="S9" s="238">
        <f t="shared" si="12"/>
        <v>793.32637381781603</v>
      </c>
      <c r="T9" s="238">
        <f t="shared" si="15"/>
        <v>981.13001021974833</v>
      </c>
      <c r="U9" s="238"/>
      <c r="V9" s="238"/>
      <c r="W9" s="238"/>
      <c r="X9" s="238">
        <f t="shared" si="16"/>
        <v>766.95150168747</v>
      </c>
      <c r="Y9" s="238">
        <f t="shared" si="16"/>
        <v>638.47789671679777</v>
      </c>
      <c r="Z9" s="238">
        <f t="shared" si="16"/>
        <v>765.7873633401731</v>
      </c>
      <c r="AA9" s="238">
        <f t="shared" si="16"/>
        <v>799.40292678958406</v>
      </c>
      <c r="AB9" s="238">
        <f t="shared" si="16"/>
        <v>799.40292678958406</v>
      </c>
      <c r="AC9" s="238">
        <f t="shared" si="16"/>
        <v>421.62377163911066</v>
      </c>
      <c r="AD9" s="238">
        <f t="shared" si="16"/>
        <v>436.11174327065703</v>
      </c>
      <c r="AE9" s="238">
        <f t="shared" si="16"/>
        <v>913.86250209109164</v>
      </c>
      <c r="AF9" s="238">
        <f t="shared" si="16"/>
        <v>6306.1111006481196</v>
      </c>
      <c r="AG9" s="238">
        <f t="shared" si="16"/>
        <v>9382.1625652916955</v>
      </c>
      <c r="AH9" s="238">
        <f t="shared" si="17"/>
        <v>9291.2724119235463</v>
      </c>
      <c r="AI9" s="238">
        <f t="shared" si="17"/>
        <v>9286.1750519849829</v>
      </c>
      <c r="AJ9" s="238">
        <f t="shared" si="17"/>
        <v>9286.1750519849829</v>
      </c>
      <c r="AK9" s="238">
        <f t="shared" si="17"/>
        <v>9286.1750519849829</v>
      </c>
      <c r="AL9" s="238">
        <f t="shared" si="17"/>
        <v>9298.5025654957954</v>
      </c>
      <c r="AM9" s="238">
        <f t="shared" si="17"/>
        <v>7792.1844534171432</v>
      </c>
      <c r="AN9" s="238">
        <f t="shared" si="17"/>
        <v>7792.1844534171432</v>
      </c>
      <c r="AO9" s="238">
        <f t="shared" si="17"/>
        <v>6493.5363349451291</v>
      </c>
      <c r="AP9" s="238">
        <f t="shared" si="17"/>
        <v>9680.9523433886661</v>
      </c>
      <c r="AQ9" s="238">
        <f t="shared" si="17"/>
        <v>9256.4123226972151</v>
      </c>
      <c r="AR9" s="238">
        <f t="shared" si="18"/>
        <v>10990.799730898028</v>
      </c>
      <c r="AS9" s="238">
        <f t="shared" si="18"/>
        <v>10989.519542642269</v>
      </c>
      <c r="AT9" s="238">
        <f t="shared" si="18"/>
        <v>10988.640867715008</v>
      </c>
      <c r="AU9" s="238">
        <f t="shared" si="18"/>
        <v>3981.0744661863328</v>
      </c>
      <c r="AV9" s="238">
        <f t="shared" si="18"/>
        <v>4256.6139376430201</v>
      </c>
      <c r="AW9" s="238">
        <f t="shared" si="18"/>
        <v>4248.3035701681874</v>
      </c>
      <c r="AX9" s="238">
        <f t="shared" si="18"/>
        <v>4259.0314500356171</v>
      </c>
      <c r="AY9" s="238">
        <f t="shared" si="18"/>
        <v>4139.3453814800605</v>
      </c>
      <c r="AZ9" s="238">
        <f t="shared" si="18"/>
        <v>4329.3056351449759</v>
      </c>
      <c r="BA9" s="238">
        <f t="shared" si="18"/>
        <v>4329.1677229183488</v>
      </c>
      <c r="BB9" s="238">
        <f t="shared" si="19"/>
        <v>4453.9808521572058</v>
      </c>
      <c r="BC9" s="238">
        <f t="shared" si="19"/>
        <v>6102.5321924866439</v>
      </c>
      <c r="BD9" s="238">
        <f t="shared" si="19"/>
        <v>4134.0096014000446</v>
      </c>
      <c r="BE9" s="238">
        <f t="shared" si="19"/>
        <v>3957.2244916841337</v>
      </c>
      <c r="BF9" s="238">
        <f t="shared" si="19"/>
        <v>4331.6235565939114</v>
      </c>
      <c r="BG9" s="238">
        <f t="shared" si="19"/>
        <v>4253.6344092830041</v>
      </c>
      <c r="BH9" s="238">
        <f t="shared" si="19"/>
        <v>3985.7541713951068</v>
      </c>
      <c r="BI9" s="238">
        <f t="shared" si="19"/>
        <v>3857.6999574405559</v>
      </c>
      <c r="BJ9" s="238">
        <f t="shared" si="19"/>
        <v>4254.1962947829797</v>
      </c>
      <c r="BK9" s="238">
        <f t="shared" si="19"/>
        <v>3969.7577925815849</v>
      </c>
      <c r="BL9" s="238">
        <f t="shared" si="20"/>
        <v>4284.6165460756329</v>
      </c>
      <c r="BM9" s="238">
        <f t="shared" si="20"/>
        <v>4276.3413122401416</v>
      </c>
      <c r="BN9" s="238">
        <f t="shared" si="20"/>
        <v>4108.2582037275361</v>
      </c>
      <c r="BO9" s="238">
        <f t="shared" si="20"/>
        <v>4113.7544098319713</v>
      </c>
      <c r="BP9" s="238">
        <f t="shared" si="20"/>
        <v>3979.5674977715689</v>
      </c>
      <c r="BQ9" s="238">
        <f t="shared" si="20"/>
        <v>712.68976151318088</v>
      </c>
      <c r="BR9" s="238">
        <f t="shared" si="20"/>
        <v>537.14227134259795</v>
      </c>
      <c r="BS9" s="238">
        <f t="shared" si="20"/>
        <v>572.90958163947869</v>
      </c>
      <c r="BT9" s="238">
        <f t="shared" si="20"/>
        <v>261.60697221561378</v>
      </c>
      <c r="BU9" s="238">
        <f t="shared" si="20"/>
        <v>560.89397783428444</v>
      </c>
      <c r="BV9" s="238">
        <f t="shared" si="21"/>
        <v>5171.5908423482115</v>
      </c>
      <c r="BW9" s="238">
        <f t="shared" si="21"/>
        <v>572.90958163947869</v>
      </c>
      <c r="BX9" s="238">
        <f t="shared" si="21"/>
        <v>1843.8167867957204</v>
      </c>
      <c r="BY9" s="238">
        <f t="shared" si="21"/>
        <v>847.99095281998905</v>
      </c>
      <c r="BZ9" s="238">
        <f t="shared" si="21"/>
        <v>1844.7826741643098</v>
      </c>
      <c r="CA9" s="238">
        <f t="shared" si="21"/>
        <v>716.52428205926333</v>
      </c>
      <c r="CB9" s="238">
        <f t="shared" si="21"/>
        <v>844.5185880393575</v>
      </c>
      <c r="CC9" s="238">
        <f t="shared" si="21"/>
        <v>4157.0326690499414</v>
      </c>
      <c r="CD9" s="238">
        <f t="shared" si="21"/>
        <v>8504.0605247435597</v>
      </c>
      <c r="CE9" s="238">
        <f t="shared" si="21"/>
        <v>1.6260802753088119</v>
      </c>
      <c r="CF9" s="238">
        <f t="shared" si="21"/>
        <v>593.6174357931277</v>
      </c>
      <c r="CG9" s="238">
        <f t="shared" si="21"/>
        <v>1843.9228107693541</v>
      </c>
    </row>
    <row r="10" spans="1:85">
      <c r="A10" s="234" t="s">
        <v>36</v>
      </c>
      <c r="B10" s="41" t="s">
        <v>601</v>
      </c>
      <c r="C10" s="42" t="s">
        <v>602</v>
      </c>
      <c r="D10" s="42" t="s">
        <v>133</v>
      </c>
      <c r="E10" s="42" t="s">
        <v>3</v>
      </c>
      <c r="F10" s="42" t="s">
        <v>71</v>
      </c>
      <c r="G10" s="42" t="s">
        <v>81</v>
      </c>
      <c r="H10" s="69" t="s">
        <v>266</v>
      </c>
      <c r="I10" s="234" t="s">
        <v>13</v>
      </c>
      <c r="J10" s="235">
        <v>41.500397999999997</v>
      </c>
      <c r="K10" s="239">
        <v>-72.762022000000002</v>
      </c>
      <c r="L10" s="237">
        <f t="shared" si="0"/>
        <v>0.72431858598806964</v>
      </c>
      <c r="M10" s="237">
        <f t="shared" si="0"/>
        <v>-1.2699368543085496</v>
      </c>
      <c r="N10" s="239"/>
      <c r="O10" s="239"/>
      <c r="P10" s="112" t="str">
        <f t="shared" si="3"/>
        <v>MERDC</v>
      </c>
      <c r="Q10" s="238">
        <f t="shared" si="4"/>
        <v>300.23445219903965</v>
      </c>
      <c r="R10" s="238">
        <f t="shared" si="12"/>
        <v>1445.6916085786308</v>
      </c>
      <c r="S10" s="238">
        <f t="shared" si="12"/>
        <v>1445.6916085786308</v>
      </c>
      <c r="T10" s="238">
        <f t="shared" si="15"/>
        <v>1592.5407482201624</v>
      </c>
      <c r="U10" s="238">
        <f t="shared" ref="U10:W29" si="22">ACOS(COS($L10)*COS($M10)*COS(INDEX($L:$L,MATCH(U$2,$P:$P,0)))*COS(INDEX($M:$M,MATCH(U$2,$P:$P,0))) + COS($L10)*SIN($M10)*COS(INDEX($L:$L,MATCH(U$2,$P:$P,0)))*SIN(INDEX($M:$M,MATCH(U$2,$P:$P,0))) + SIN($L10)*SIN(INDEX($L:$L,MATCH(U$2,$P:$P,0)))) * 3963.1</f>
        <v>766.95150168746557</v>
      </c>
      <c r="V10" s="238">
        <f t="shared" si="22"/>
        <v>766.95150168746557</v>
      </c>
      <c r="W10" s="238">
        <f t="shared" si="22"/>
        <v>766.95150168746557</v>
      </c>
      <c r="X10" s="238"/>
      <c r="Y10" s="238">
        <f t="shared" ref="Y10:BD10" si="23">ACOS(COS($L10)*COS($M10)*COS(INDEX($L:$L,MATCH(Y$2,$P:$P,0)))*COS(INDEX($M:$M,MATCH(Y$2,$P:$P,0))) + COS($L10)*SIN($M10)*COS(INDEX($L:$L,MATCH(Y$2,$P:$P,0)))*SIN(INDEX($M:$M,MATCH(Y$2,$P:$P,0))) + SIN($L10)*SIN(INDEX($L:$L,MATCH(Y$2,$P:$P,0)))) * 3963.1</f>
        <v>199.69902426993866</v>
      </c>
      <c r="Z10" s="238">
        <f t="shared" si="23"/>
        <v>13.760515366143901</v>
      </c>
      <c r="AA10" s="238">
        <f t="shared" si="23"/>
        <v>33.662889419079974</v>
      </c>
      <c r="AB10" s="238">
        <f t="shared" si="23"/>
        <v>33.662889419079974</v>
      </c>
      <c r="AC10" s="238">
        <f t="shared" si="23"/>
        <v>386.40913970609233</v>
      </c>
      <c r="AD10" s="238">
        <f t="shared" si="23"/>
        <v>368.31668786995539</v>
      </c>
      <c r="AE10" s="238">
        <f t="shared" si="23"/>
        <v>1680.7855227046441</v>
      </c>
      <c r="AF10" s="238">
        <f t="shared" si="23"/>
        <v>6727.4958355284807</v>
      </c>
      <c r="AG10" s="238">
        <f t="shared" si="23"/>
        <v>9483.5817003964166</v>
      </c>
      <c r="AH10" s="238">
        <f t="shared" si="23"/>
        <v>9346.6580182759863</v>
      </c>
      <c r="AI10" s="238">
        <f t="shared" si="23"/>
        <v>9344.4113587406355</v>
      </c>
      <c r="AJ10" s="238">
        <f t="shared" si="23"/>
        <v>9344.4113587406355</v>
      </c>
      <c r="AK10" s="238">
        <f t="shared" si="23"/>
        <v>9344.4113587406355</v>
      </c>
      <c r="AL10" s="238">
        <f t="shared" si="23"/>
        <v>9357.2390679518103</v>
      </c>
      <c r="AM10" s="238">
        <f t="shared" si="23"/>
        <v>8008.5792830664222</v>
      </c>
      <c r="AN10" s="238">
        <f t="shared" si="23"/>
        <v>8008.5792830664222</v>
      </c>
      <c r="AO10" s="238">
        <f t="shared" si="23"/>
        <v>6884.6027695469465</v>
      </c>
      <c r="AP10" s="238">
        <f t="shared" si="23"/>
        <v>10434.557510566634</v>
      </c>
      <c r="AQ10" s="238">
        <f t="shared" si="23"/>
        <v>10016.099225389973</v>
      </c>
      <c r="AR10" s="238">
        <f t="shared" si="23"/>
        <v>11637.094515461833</v>
      </c>
      <c r="AS10" s="238">
        <f t="shared" si="23"/>
        <v>11636.430615693132</v>
      </c>
      <c r="AT10" s="238">
        <f t="shared" si="23"/>
        <v>11635.570739982113</v>
      </c>
      <c r="AU10" s="238">
        <f t="shared" si="23"/>
        <v>3408.2996551247115</v>
      </c>
      <c r="AV10" s="238">
        <f t="shared" si="23"/>
        <v>3683.9724054993494</v>
      </c>
      <c r="AW10" s="238">
        <f t="shared" si="23"/>
        <v>3675.7909381499608</v>
      </c>
      <c r="AX10" s="238">
        <f t="shared" si="23"/>
        <v>3768.4722002959534</v>
      </c>
      <c r="AY10" s="238">
        <f t="shared" si="23"/>
        <v>3549.8894647648845</v>
      </c>
      <c r="AZ10" s="238">
        <f t="shared" si="23"/>
        <v>3769.9375031638178</v>
      </c>
      <c r="BA10" s="238">
        <f t="shared" si="23"/>
        <v>3769.7980089309963</v>
      </c>
      <c r="BB10" s="238">
        <f t="shared" si="23"/>
        <v>3875.1507556848642</v>
      </c>
      <c r="BC10" s="238">
        <f t="shared" si="23"/>
        <v>5338.2461422478673</v>
      </c>
      <c r="BD10" s="238">
        <f t="shared" si="23"/>
        <v>3543.1452263036913</v>
      </c>
      <c r="BE10" s="238">
        <f t="shared" ref="BE10:CG10" si="24">ACOS(COS($L10)*COS($M10)*COS(INDEX($L:$L,MATCH(BE$2,$P:$P,0)))*COS(INDEX($M:$M,MATCH(BE$2,$P:$P,0))) + COS($L10)*SIN($M10)*COS(INDEX($L:$L,MATCH(BE$2,$P:$P,0)))*SIN(INDEX($M:$M,MATCH(BE$2,$P:$P,0))) + SIN($L10)*SIN(INDEX($L:$L,MATCH(BE$2,$P:$P,0)))) * 3963.1</f>
        <v>3385.3145232931279</v>
      </c>
      <c r="BF10" s="238">
        <f t="shared" si="24"/>
        <v>3772.0860706304939</v>
      </c>
      <c r="BG10" s="238">
        <f t="shared" si="24"/>
        <v>3763.5134152917735</v>
      </c>
      <c r="BH10" s="238">
        <f t="shared" si="24"/>
        <v>3412.9841208476737</v>
      </c>
      <c r="BI10" s="238">
        <f t="shared" si="24"/>
        <v>3299.4425477118316</v>
      </c>
      <c r="BJ10" s="238">
        <f t="shared" si="24"/>
        <v>3763.3145447174493</v>
      </c>
      <c r="BK10" s="238">
        <f t="shared" si="24"/>
        <v>3396.2233665873432</v>
      </c>
      <c r="BL10" s="238">
        <f t="shared" si="24"/>
        <v>3851.6303018426152</v>
      </c>
      <c r="BM10" s="238">
        <f t="shared" si="24"/>
        <v>3843.9666294780732</v>
      </c>
      <c r="BN10" s="238">
        <f t="shared" si="24"/>
        <v>3559.2615579444055</v>
      </c>
      <c r="BO10" s="238">
        <f t="shared" si="24"/>
        <v>3564.4183480669635</v>
      </c>
      <c r="BP10" s="238">
        <f t="shared" si="24"/>
        <v>3404.7752855949989</v>
      </c>
      <c r="BQ10" s="238">
        <f t="shared" si="24"/>
        <v>91.407949238474586</v>
      </c>
      <c r="BR10" s="238">
        <f t="shared" si="24"/>
        <v>275.53657170374089</v>
      </c>
      <c r="BS10" s="238">
        <f t="shared" si="24"/>
        <v>307.71454705505766</v>
      </c>
      <c r="BT10" s="238">
        <f t="shared" si="24"/>
        <v>942.57264013387044</v>
      </c>
      <c r="BU10" s="238">
        <f t="shared" si="24"/>
        <v>347.19854368030417</v>
      </c>
      <c r="BV10" s="238">
        <f t="shared" si="24"/>
        <v>4746.4467105256344</v>
      </c>
      <c r="BW10" s="238">
        <f t="shared" si="24"/>
        <v>307.71454705505766</v>
      </c>
      <c r="BX10" s="238">
        <f t="shared" si="24"/>
        <v>2608.6530364185382</v>
      </c>
      <c r="BY10" s="238">
        <f t="shared" si="24"/>
        <v>105.66194056891872</v>
      </c>
      <c r="BZ10" s="238">
        <f t="shared" si="24"/>
        <v>2609.6149624036939</v>
      </c>
      <c r="CA10" s="238">
        <f t="shared" si="24"/>
        <v>62.473726509841491</v>
      </c>
      <c r="CB10" s="238">
        <f t="shared" si="24"/>
        <v>103.35740457700818</v>
      </c>
      <c r="CC10" s="238">
        <f t="shared" si="24"/>
        <v>3609.6761716793126</v>
      </c>
      <c r="CD10" s="238">
        <f t="shared" si="24"/>
        <v>7784.305084151677</v>
      </c>
      <c r="CE10" s="238">
        <f t="shared" si="24"/>
        <v>767.55848861136508</v>
      </c>
      <c r="CF10" s="238">
        <f t="shared" si="24"/>
        <v>288.21419665879733</v>
      </c>
      <c r="CG10" s="238">
        <f t="shared" si="24"/>
        <v>2608.7585348369166</v>
      </c>
    </row>
    <row r="11" spans="1:85">
      <c r="A11" s="234" t="s">
        <v>36</v>
      </c>
      <c r="B11" s="41" t="s">
        <v>267</v>
      </c>
      <c r="C11" s="42" t="s">
        <v>109</v>
      </c>
      <c r="D11" s="43" t="s">
        <v>185</v>
      </c>
      <c r="E11" s="42" t="s">
        <v>4</v>
      </c>
      <c r="F11" s="42" t="s">
        <v>70</v>
      </c>
      <c r="G11" s="42" t="s">
        <v>81</v>
      </c>
      <c r="H11" s="42">
        <v>19711</v>
      </c>
      <c r="I11" s="234" t="s">
        <v>13</v>
      </c>
      <c r="J11" s="235">
        <v>39.712634999999999</v>
      </c>
      <c r="K11" s="239">
        <v>-75.748609999999999</v>
      </c>
      <c r="L11" s="237">
        <f t="shared" si="0"/>
        <v>0.69311623539273826</v>
      </c>
      <c r="M11" s="237">
        <f t="shared" si="0"/>
        <v>-1.3220626483091018</v>
      </c>
      <c r="N11" s="239"/>
      <c r="O11" s="239"/>
      <c r="P11" s="112" t="str">
        <f t="shared" si="3"/>
        <v>NDC</v>
      </c>
      <c r="Q11" s="238">
        <f t="shared" si="4"/>
        <v>101.25219174697115</v>
      </c>
      <c r="R11" s="238">
        <f t="shared" si="12"/>
        <v>1261.6098843001457</v>
      </c>
      <c r="S11" s="238">
        <f t="shared" si="12"/>
        <v>1261.6098843001457</v>
      </c>
      <c r="T11" s="238">
        <f t="shared" si="15"/>
        <v>1401.5316471245576</v>
      </c>
      <c r="U11" s="238">
        <f t="shared" si="22"/>
        <v>638.47789671679777</v>
      </c>
      <c r="V11" s="238">
        <f t="shared" si="22"/>
        <v>638.47789671679777</v>
      </c>
      <c r="W11" s="238">
        <f t="shared" si="22"/>
        <v>638.47789671679777</v>
      </c>
      <c r="X11" s="238">
        <f t="shared" ref="X11:X42" si="25">ACOS(COS($L11)*COS($M11)*COS(INDEX($L:$L,MATCH(X$2,$P:$P,0)))*COS(INDEX($M:$M,MATCH(X$2,$P:$P,0))) + COS($L11)*SIN($M11)*COS(INDEX($L:$L,MATCH(X$2,$P:$P,0)))*SIN(INDEX($M:$M,MATCH(X$2,$P:$P,0))) + SIN($L11)*SIN(INDEX($L:$L,MATCH(X$2,$P:$P,0)))) * 3963.1</f>
        <v>199.69902426993866</v>
      </c>
      <c r="Y11" s="238"/>
      <c r="Z11" s="238">
        <f t="shared" ref="Z11:BE11" si="26">ACOS(COS($L11)*COS($M11)*COS(INDEX($L:$L,MATCH(Z$2,$P:$P,0)))*COS(INDEX($M:$M,MATCH(Z$2,$P:$P,0))) + COS($L11)*SIN($M11)*COS(INDEX($L:$L,MATCH(Z$2,$P:$P,0)))*SIN(INDEX($M:$M,MATCH(Z$2,$P:$P,0))) + SIN($L11)*SIN(INDEX($L:$L,MATCH(Z$2,$P:$P,0)))) * 3963.1</f>
        <v>208.57565851554753</v>
      </c>
      <c r="AA11" s="238">
        <f t="shared" si="26"/>
        <v>229.89373225726069</v>
      </c>
      <c r="AB11" s="238">
        <f t="shared" si="26"/>
        <v>229.89373225726069</v>
      </c>
      <c r="AC11" s="238">
        <f t="shared" si="26"/>
        <v>346.02692254183239</v>
      </c>
      <c r="AD11" s="238">
        <f t="shared" si="26"/>
        <v>330.51420790101065</v>
      </c>
      <c r="AE11" s="238">
        <f t="shared" si="26"/>
        <v>1542.1424445460796</v>
      </c>
      <c r="AF11" s="238">
        <f t="shared" si="26"/>
        <v>6765.4376938788428</v>
      </c>
      <c r="AG11" s="238">
        <f t="shared" si="26"/>
        <v>9614.8683159538814</v>
      </c>
      <c r="AH11" s="238">
        <f t="shared" si="26"/>
        <v>9486.3183934976132</v>
      </c>
      <c r="AI11" s="238">
        <f t="shared" si="26"/>
        <v>9483.506348478626</v>
      </c>
      <c r="AJ11" s="238">
        <f t="shared" si="26"/>
        <v>9483.506348478626</v>
      </c>
      <c r="AK11" s="238">
        <f t="shared" si="26"/>
        <v>9483.506348478626</v>
      </c>
      <c r="AL11" s="238">
        <f t="shared" si="26"/>
        <v>9496.3111325303944</v>
      </c>
      <c r="AM11" s="238">
        <f t="shared" si="26"/>
        <v>8106.9052640363589</v>
      </c>
      <c r="AN11" s="238">
        <f t="shared" si="26"/>
        <v>8106.9052640363589</v>
      </c>
      <c r="AO11" s="238">
        <f t="shared" si="26"/>
        <v>6932.1860454678972</v>
      </c>
      <c r="AP11" s="238">
        <f t="shared" si="26"/>
        <v>10262.322171640722</v>
      </c>
      <c r="AQ11" s="238">
        <f t="shared" si="26"/>
        <v>9850.6527828078761</v>
      </c>
      <c r="AR11" s="238">
        <f t="shared" si="26"/>
        <v>11609.418070624124</v>
      </c>
      <c r="AS11" s="238">
        <f t="shared" si="26"/>
        <v>11608.350755678237</v>
      </c>
      <c r="AT11" s="238">
        <f t="shared" si="26"/>
        <v>11607.463810453644</v>
      </c>
      <c r="AU11" s="238">
        <f t="shared" si="26"/>
        <v>3607.9894449291555</v>
      </c>
      <c r="AV11" s="238">
        <f t="shared" si="26"/>
        <v>3883.6705131489434</v>
      </c>
      <c r="AW11" s="238">
        <f t="shared" si="26"/>
        <v>3875.4887495219427</v>
      </c>
      <c r="AX11" s="238">
        <f t="shared" si="26"/>
        <v>3965.789693200652</v>
      </c>
      <c r="AY11" s="238">
        <f t="shared" si="26"/>
        <v>3749.5070196282441</v>
      </c>
      <c r="AZ11" s="238">
        <f t="shared" si="26"/>
        <v>3969.5610196648513</v>
      </c>
      <c r="BA11" s="238">
        <f t="shared" si="26"/>
        <v>3969.4215245300229</v>
      </c>
      <c r="BB11" s="238">
        <f t="shared" si="26"/>
        <v>4074.8303276206734</v>
      </c>
      <c r="BC11" s="238">
        <f t="shared" si="26"/>
        <v>5470.1564329708563</v>
      </c>
      <c r="BD11" s="238">
        <f t="shared" si="26"/>
        <v>3742.7458954522058</v>
      </c>
      <c r="BE11" s="238">
        <f t="shared" si="26"/>
        <v>3584.999211908897</v>
      </c>
      <c r="BF11" s="238">
        <f t="shared" ref="BF11:CG11" si="27">ACOS(COS($L11)*COS($M11)*COS(INDEX($L:$L,MATCH(BF$2,$P:$P,0)))*COS(INDEX($M:$M,MATCH(BF$2,$P:$P,0))) + COS($L11)*SIN($M11)*COS(INDEX($L:$L,MATCH(BF$2,$P:$P,0)))*SIN(INDEX($M:$M,MATCH(BF$2,$P:$P,0))) + SIN($L11)*SIN(INDEX($L:$L,MATCH(BF$2,$P:$P,0)))) * 3963.1</f>
        <v>3971.7116785452354</v>
      </c>
      <c r="BG11" s="238">
        <f t="shared" si="27"/>
        <v>3960.8034585756236</v>
      </c>
      <c r="BH11" s="238">
        <f t="shared" si="27"/>
        <v>3612.6741258621651</v>
      </c>
      <c r="BI11" s="238">
        <f t="shared" si="27"/>
        <v>3498.9679527138933</v>
      </c>
      <c r="BJ11" s="238">
        <f t="shared" si="27"/>
        <v>3960.6452844373775</v>
      </c>
      <c r="BK11" s="238">
        <f t="shared" si="27"/>
        <v>3595.9153725721203</v>
      </c>
      <c r="BL11" s="238">
        <f t="shared" si="27"/>
        <v>4045.1701356087769</v>
      </c>
      <c r="BM11" s="238">
        <f t="shared" si="27"/>
        <v>4037.4478593515332</v>
      </c>
      <c r="BN11" s="238">
        <f t="shared" si="27"/>
        <v>3758.6814695876042</v>
      </c>
      <c r="BO11" s="238">
        <f t="shared" si="27"/>
        <v>3763.8465122920452</v>
      </c>
      <c r="BP11" s="238">
        <f t="shared" si="27"/>
        <v>3604.4711916754545</v>
      </c>
      <c r="BQ11" s="238">
        <f t="shared" si="27"/>
        <v>226.54058163653204</v>
      </c>
      <c r="BR11" s="238">
        <f t="shared" si="27"/>
        <v>101.9014220414946</v>
      </c>
      <c r="BS11" s="238">
        <f t="shared" si="27"/>
        <v>108.62559030299828</v>
      </c>
      <c r="BT11" s="238">
        <f t="shared" si="27"/>
        <v>777.7602650960423</v>
      </c>
      <c r="BU11" s="238">
        <f t="shared" si="27"/>
        <v>147.6990810463999</v>
      </c>
      <c r="BV11" s="238">
        <f t="shared" si="27"/>
        <v>4706.819549722316</v>
      </c>
      <c r="BW11" s="238">
        <f t="shared" si="27"/>
        <v>108.62559030299828</v>
      </c>
      <c r="BX11" s="238">
        <f t="shared" si="27"/>
        <v>2477.9937600332237</v>
      </c>
      <c r="BY11" s="238">
        <f t="shared" si="27"/>
        <v>305.33103964108665</v>
      </c>
      <c r="BZ11" s="238">
        <f t="shared" si="27"/>
        <v>2478.9637946691364</v>
      </c>
      <c r="CA11" s="238">
        <f t="shared" si="27"/>
        <v>138.40092891698177</v>
      </c>
      <c r="CB11" s="238">
        <f t="shared" si="27"/>
        <v>303.05595389662835</v>
      </c>
      <c r="CC11" s="238">
        <f t="shared" si="27"/>
        <v>3809.0758378629012</v>
      </c>
      <c r="CD11" s="238">
        <f t="shared" si="27"/>
        <v>7872.2800799533497</v>
      </c>
      <c r="CE11" s="238">
        <f t="shared" si="27"/>
        <v>639.39962106704979</v>
      </c>
      <c r="CF11" s="238">
        <f t="shared" si="27"/>
        <v>88.516411890949016</v>
      </c>
      <c r="CG11" s="238">
        <f t="shared" si="27"/>
        <v>2478.1003601792895</v>
      </c>
    </row>
    <row r="12" spans="1:85">
      <c r="A12" s="234" t="s">
        <v>36</v>
      </c>
      <c r="B12" s="41" t="s">
        <v>268</v>
      </c>
      <c r="C12" s="42" t="s">
        <v>6</v>
      </c>
      <c r="D12" s="42" t="s">
        <v>181</v>
      </c>
      <c r="E12" s="42" t="s">
        <v>6</v>
      </c>
      <c r="F12" s="42" t="s">
        <v>71</v>
      </c>
      <c r="G12" s="42" t="s">
        <v>81</v>
      </c>
      <c r="H12" s="42"/>
      <c r="I12" s="234" t="s">
        <v>13</v>
      </c>
      <c r="J12" s="235">
        <v>41.699278</v>
      </c>
      <c r="K12" s="236">
        <v>-72.755483999999996</v>
      </c>
      <c r="L12" s="237">
        <f t="shared" si="0"/>
        <v>0.72778969680443606</v>
      </c>
      <c r="M12" s="237">
        <f t="shared" si="0"/>
        <v>-1.269822744682054</v>
      </c>
      <c r="N12" s="236"/>
      <c r="O12" s="236"/>
      <c r="P12" s="112" t="str">
        <f t="shared" si="3"/>
        <v>NEDC</v>
      </c>
      <c r="Q12" s="238">
        <f t="shared" si="4"/>
        <v>308.49759534099513</v>
      </c>
      <c r="R12" s="238">
        <f t="shared" si="12"/>
        <v>1449.8618412287369</v>
      </c>
      <c r="S12" s="238">
        <f t="shared" si="12"/>
        <v>1449.8618412287369</v>
      </c>
      <c r="T12" s="238">
        <f t="shared" si="15"/>
        <v>1597.9085033622607</v>
      </c>
      <c r="U12" s="238">
        <f t="shared" si="22"/>
        <v>765.7873633401731</v>
      </c>
      <c r="V12" s="238">
        <f t="shared" si="22"/>
        <v>765.7873633401731</v>
      </c>
      <c r="W12" s="238">
        <f t="shared" si="22"/>
        <v>765.7873633401731</v>
      </c>
      <c r="X12" s="238">
        <f t="shared" si="25"/>
        <v>13.760515366143901</v>
      </c>
      <c r="Y12" s="238">
        <f t="shared" ref="Y12:Y43" si="28">ACOS(COS($L12)*COS($M12)*COS(INDEX($L:$L,MATCH(Y$2,$P:$P,0)))*COS(INDEX($M:$M,MATCH(Y$2,$P:$P,0))) + COS($L12)*SIN($M12)*COS(INDEX($L:$L,MATCH(Y$2,$P:$P,0)))*SIN(INDEX($M:$M,MATCH(Y$2,$P:$P,0))) + SIN($L12)*SIN(INDEX($L:$L,MATCH(Y$2,$P:$P,0)))) * 3963.1</f>
        <v>208.57565851553875</v>
      </c>
      <c r="Z12" s="238"/>
      <c r="AA12" s="238">
        <f t="shared" ref="AA12:BF12" si="29">ACOS(COS($L12)*COS($M12)*COS(INDEX($L:$L,MATCH(AA$2,$P:$P,0)))*COS(INDEX($M:$M,MATCH(AA$2,$P:$P,0))) + COS($L12)*SIN($M12)*COS(INDEX($L:$L,MATCH(AA$2,$P:$P,0)))*SIN(INDEX($M:$M,MATCH(AA$2,$P:$P,0))) + SIN($L12)*SIN(INDEX($L:$L,MATCH(AA$2,$P:$P,0)))) * 3963.1</f>
        <v>33.993039886920613</v>
      </c>
      <c r="AB12" s="238">
        <f t="shared" si="29"/>
        <v>33.993039886920613</v>
      </c>
      <c r="AC12" s="238">
        <f t="shared" si="29"/>
        <v>380.88269049592861</v>
      </c>
      <c r="AD12" s="238">
        <f t="shared" si="29"/>
        <v>362.80987917367366</v>
      </c>
      <c r="AE12" s="238">
        <f t="shared" si="29"/>
        <v>1679.6411949285507</v>
      </c>
      <c r="AF12" s="238">
        <f t="shared" si="29"/>
        <v>6715.294250081226</v>
      </c>
      <c r="AG12" s="238">
        <f t="shared" si="29"/>
        <v>9469.8484887463146</v>
      </c>
      <c r="AH12" s="238">
        <f t="shared" si="29"/>
        <v>9332.9926295116857</v>
      </c>
      <c r="AI12" s="238">
        <f t="shared" si="29"/>
        <v>9330.7397783823362</v>
      </c>
      <c r="AJ12" s="238">
        <f t="shared" si="29"/>
        <v>9330.7397783823362</v>
      </c>
      <c r="AK12" s="238">
        <f t="shared" si="29"/>
        <v>9330.7397783823362</v>
      </c>
      <c r="AL12" s="238">
        <f t="shared" si="29"/>
        <v>9343.5674276855316</v>
      </c>
      <c r="AM12" s="238">
        <f t="shared" si="29"/>
        <v>7994.9719760697917</v>
      </c>
      <c r="AN12" s="238">
        <f t="shared" si="29"/>
        <v>7994.9719760697917</v>
      </c>
      <c r="AO12" s="238">
        <f t="shared" si="29"/>
        <v>6872.0960099875147</v>
      </c>
      <c r="AP12" s="238">
        <f t="shared" si="29"/>
        <v>10436.192447707772</v>
      </c>
      <c r="AQ12" s="238">
        <f t="shared" si="29"/>
        <v>10016.906643452747</v>
      </c>
      <c r="AR12" s="238">
        <f t="shared" si="29"/>
        <v>11626.479443410488</v>
      </c>
      <c r="AS12" s="238">
        <f t="shared" si="29"/>
        <v>11625.834654808808</v>
      </c>
      <c r="AT12" s="238">
        <f t="shared" si="29"/>
        <v>11624.977176032571</v>
      </c>
      <c r="AU12" s="238">
        <f t="shared" si="29"/>
        <v>3399.6068928217296</v>
      </c>
      <c r="AV12" s="238">
        <f t="shared" si="29"/>
        <v>3675.3500788585693</v>
      </c>
      <c r="AW12" s="238">
        <f t="shared" si="29"/>
        <v>3667.1636790168177</v>
      </c>
      <c r="AX12" s="238">
        <f t="shared" si="29"/>
        <v>3758.3035432954157</v>
      </c>
      <c r="AY12" s="238">
        <f t="shared" si="29"/>
        <v>3541.6180712406817</v>
      </c>
      <c r="AZ12" s="238">
        <f t="shared" si="29"/>
        <v>3761.0502347544834</v>
      </c>
      <c r="BA12" s="238">
        <f t="shared" si="29"/>
        <v>3760.9107391249545</v>
      </c>
      <c r="BB12" s="238">
        <f t="shared" si="29"/>
        <v>3866.7140008333727</v>
      </c>
      <c r="BC12" s="238">
        <f t="shared" si="29"/>
        <v>5340.691005518187</v>
      </c>
      <c r="BD12" s="238">
        <f t="shared" si="29"/>
        <v>3534.9055917801261</v>
      </c>
      <c r="BE12" s="238">
        <f t="shared" si="29"/>
        <v>3376.5961128751742</v>
      </c>
      <c r="BF12" s="238">
        <f t="shared" si="29"/>
        <v>3763.2029000288517</v>
      </c>
      <c r="BG12" s="238">
        <f t="shared" ref="BG12:CG12" si="30">ACOS(COS($L12)*COS($M12)*COS(INDEX($L:$L,MATCH(BG$2,$P:$P,0)))*COS(INDEX($M:$M,MATCH(BG$2,$P:$P,0))) + COS($L12)*SIN($M12)*COS(INDEX($L:$L,MATCH(BG$2,$P:$P,0)))*SIN(INDEX($M:$M,MATCH(BG$2,$P:$P,0))) + SIN($L12)*SIN(INDEX($L:$L,MATCH(BG$2,$P:$P,0)))) * 3963.1</f>
        <v>3753.3363133776129</v>
      </c>
      <c r="BH12" s="238">
        <f t="shared" si="30"/>
        <v>3404.2925630661043</v>
      </c>
      <c r="BI12" s="238">
        <f t="shared" si="30"/>
        <v>3290.4048711874434</v>
      </c>
      <c r="BJ12" s="238">
        <f t="shared" si="30"/>
        <v>3753.1499127453994</v>
      </c>
      <c r="BK12" s="238">
        <f t="shared" si="30"/>
        <v>3387.5441184834426</v>
      </c>
      <c r="BL12" s="238">
        <f t="shared" si="30"/>
        <v>3840.6201434216982</v>
      </c>
      <c r="BM12" s="238">
        <f t="shared" si="30"/>
        <v>3832.9463858150934</v>
      </c>
      <c r="BN12" s="238">
        <f t="shared" si="30"/>
        <v>3550.1058237524644</v>
      </c>
      <c r="BO12" s="238">
        <f t="shared" si="30"/>
        <v>3555.270873697697</v>
      </c>
      <c r="BP12" s="238">
        <f t="shared" si="30"/>
        <v>3396.1265363016005</v>
      </c>
      <c r="BQ12" s="238">
        <f t="shared" si="30"/>
        <v>80.341915598731276</v>
      </c>
      <c r="BR12" s="238">
        <f t="shared" si="30"/>
        <v>280.97798414842998</v>
      </c>
      <c r="BS12" s="238">
        <f t="shared" si="30"/>
        <v>316.00264207081727</v>
      </c>
      <c r="BT12" s="238">
        <f t="shared" si="30"/>
        <v>944.54519517677943</v>
      </c>
      <c r="BU12" s="238">
        <f t="shared" si="30"/>
        <v>355.65099575307329</v>
      </c>
      <c r="BV12" s="238">
        <f t="shared" si="30"/>
        <v>4758.744411990082</v>
      </c>
      <c r="BW12" s="238">
        <f t="shared" si="30"/>
        <v>316.00264207081727</v>
      </c>
      <c r="BX12" s="238">
        <f t="shared" si="30"/>
        <v>2606.5271928267189</v>
      </c>
      <c r="BY12" s="238">
        <f t="shared" si="30"/>
        <v>97.999690762720448</v>
      </c>
      <c r="BZ12" s="238">
        <f t="shared" si="30"/>
        <v>2607.4882171194054</v>
      </c>
      <c r="CA12" s="238">
        <f t="shared" si="30"/>
        <v>70.265727954291393</v>
      </c>
      <c r="CB12" s="238">
        <f t="shared" si="30"/>
        <v>95.407652504612059</v>
      </c>
      <c r="CC12" s="238">
        <f t="shared" si="30"/>
        <v>3600.500712569487</v>
      </c>
      <c r="CD12" s="238">
        <f t="shared" si="30"/>
        <v>7790.0321273137652</v>
      </c>
      <c r="CE12" s="238">
        <f t="shared" si="30"/>
        <v>766.36710733973496</v>
      </c>
      <c r="CF12" s="238">
        <f t="shared" si="30"/>
        <v>296.98785820005395</v>
      </c>
      <c r="CG12" s="238">
        <f t="shared" si="30"/>
        <v>2606.6325736220788</v>
      </c>
    </row>
    <row r="13" spans="1:85">
      <c r="A13" s="234" t="s">
        <v>36</v>
      </c>
      <c r="B13" s="41" t="s">
        <v>269</v>
      </c>
      <c r="C13" s="42" t="s">
        <v>199</v>
      </c>
      <c r="D13" s="42" t="s">
        <v>683</v>
      </c>
      <c r="E13" s="42" t="s">
        <v>67</v>
      </c>
      <c r="F13" s="42" t="s">
        <v>71</v>
      </c>
      <c r="G13" s="42" t="s">
        <v>81</v>
      </c>
      <c r="H13" s="69" t="s">
        <v>270</v>
      </c>
      <c r="I13" s="234" t="s">
        <v>13</v>
      </c>
      <c r="J13" s="240">
        <v>41.574572000000003</v>
      </c>
      <c r="K13" s="239">
        <v>-72.119434999999996</v>
      </c>
      <c r="L13" s="237">
        <f t="shared" si="0"/>
        <v>0.72561316650744401</v>
      </c>
      <c r="M13" s="237">
        <f t="shared" si="0"/>
        <v>-1.2587215954280366</v>
      </c>
      <c r="N13" s="239"/>
      <c r="O13" s="239"/>
      <c r="P13" s="112" t="str">
        <f t="shared" si="3"/>
        <v>NOR2</v>
      </c>
      <c r="Q13" s="238">
        <f t="shared" si="4"/>
        <v>330.93975029135635</v>
      </c>
      <c r="R13" s="238">
        <f t="shared" si="12"/>
        <v>1479.1084724144939</v>
      </c>
      <c r="S13" s="238">
        <f t="shared" si="12"/>
        <v>1479.1084724144939</v>
      </c>
      <c r="T13" s="238">
        <f t="shared" si="15"/>
        <v>1625.4386469943543</v>
      </c>
      <c r="U13" s="238">
        <f t="shared" si="22"/>
        <v>799.40292678957962</v>
      </c>
      <c r="V13" s="238">
        <f t="shared" si="22"/>
        <v>799.40292678957962</v>
      </c>
      <c r="W13" s="238">
        <f t="shared" si="22"/>
        <v>799.40292678957962</v>
      </c>
      <c r="X13" s="238">
        <f t="shared" si="25"/>
        <v>33.662889419079974</v>
      </c>
      <c r="Y13" s="238">
        <f t="shared" si="28"/>
        <v>229.89373225725279</v>
      </c>
      <c r="Z13" s="238">
        <f t="shared" ref="Z13:Z44" si="31">ACOS(COS($L13)*COS($M13)*COS(INDEX($L:$L,MATCH(Z$2,$P:$P,0)))*COS(INDEX($M:$M,MATCH(Z$2,$P:$P,0))) + COS($L13)*SIN($M13)*COS(INDEX($L:$L,MATCH(Z$2,$P:$P,0)))*SIN(INDEX($M:$M,MATCH(Z$2,$P:$P,0))) + SIN($L13)*SIN(INDEX($L:$L,MATCH(Z$2,$P:$P,0)))) * 3963.1</f>
        <v>33.993039886920613</v>
      </c>
      <c r="AA13" s="238"/>
      <c r="AB13" s="238">
        <f t="shared" ref="AB13:BG13" si="32">ACOS(COS($L13)*COS($M13)*COS(INDEX($L:$L,MATCH(AB$2,$P:$P,0)))*COS(INDEX($M:$M,MATCH(AB$2,$P:$P,0))) + COS($L13)*SIN($M13)*COS(INDEX($L:$L,MATCH(AB$2,$P:$P,0)))*SIN(INDEX($M:$M,MATCH(AB$2,$P:$P,0))) + SIN($L13)*SIN(INDEX($L:$L,MATCH(AB$2,$P:$P,0)))) * 3963.1</f>
        <v>5.9054791927337645E-5</v>
      </c>
      <c r="AC13" s="238">
        <f t="shared" si="32"/>
        <v>414.43287663608072</v>
      </c>
      <c r="AD13" s="238">
        <f t="shared" si="32"/>
        <v>396.37425832192753</v>
      </c>
      <c r="AE13" s="238">
        <f t="shared" si="32"/>
        <v>1713.2654268978556</v>
      </c>
      <c r="AF13" s="238">
        <f t="shared" si="32"/>
        <v>6737.4096339849357</v>
      </c>
      <c r="AG13" s="238">
        <f t="shared" si="32"/>
        <v>9475.2921355706712</v>
      </c>
      <c r="AH13" s="238">
        <f t="shared" si="32"/>
        <v>9336.6075877260209</v>
      </c>
      <c r="AI13" s="238">
        <f t="shared" si="32"/>
        <v>9334.4864342557612</v>
      </c>
      <c r="AJ13" s="238">
        <f t="shared" si="32"/>
        <v>9334.4864342557612</v>
      </c>
      <c r="AK13" s="238">
        <f t="shared" si="32"/>
        <v>9334.4864342557612</v>
      </c>
      <c r="AL13" s="238">
        <f t="shared" si="32"/>
        <v>9347.3144882998313</v>
      </c>
      <c r="AM13" s="238">
        <f t="shared" si="32"/>
        <v>8007.4408348752067</v>
      </c>
      <c r="AN13" s="238">
        <f t="shared" si="32"/>
        <v>8007.4408348752067</v>
      </c>
      <c r="AO13" s="238">
        <f t="shared" si="32"/>
        <v>6892.8773180523449</v>
      </c>
      <c r="AP13" s="238">
        <f t="shared" si="32"/>
        <v>10468.1607671659</v>
      </c>
      <c r="AQ13" s="238">
        <f t="shared" si="32"/>
        <v>10049.516698187907</v>
      </c>
      <c r="AR13" s="238">
        <f t="shared" si="32"/>
        <v>11653.106759511827</v>
      </c>
      <c r="AS13" s="238">
        <f t="shared" si="32"/>
        <v>11652.508728277413</v>
      </c>
      <c r="AT13" s="238">
        <f t="shared" si="32"/>
        <v>11651.657470762329</v>
      </c>
      <c r="AU13" s="238">
        <f t="shared" si="32"/>
        <v>3378.8459647506129</v>
      </c>
      <c r="AV13" s="238">
        <f t="shared" si="32"/>
        <v>3654.4055065613506</v>
      </c>
      <c r="AW13" s="238">
        <f t="shared" si="32"/>
        <v>3646.2316367190338</v>
      </c>
      <c r="AX13" s="238">
        <f t="shared" si="32"/>
        <v>3741.7343144838628</v>
      </c>
      <c r="AY13" s="238">
        <f t="shared" si="32"/>
        <v>3519.8198428839123</v>
      </c>
      <c r="AZ13" s="238">
        <f t="shared" si="32"/>
        <v>3740.7803089313552</v>
      </c>
      <c r="BA13" s="238">
        <f t="shared" si="32"/>
        <v>3740.640820034017</v>
      </c>
      <c r="BB13" s="238">
        <f t="shared" si="32"/>
        <v>3845.3073293251337</v>
      </c>
      <c r="BC13" s="238">
        <f t="shared" si="32"/>
        <v>5306.7392501250997</v>
      </c>
      <c r="BD13" s="238">
        <f t="shared" si="32"/>
        <v>3513.0321161282095</v>
      </c>
      <c r="BE13" s="238">
        <f t="shared" si="32"/>
        <v>3355.9008059628418</v>
      </c>
      <c r="BF13" s="238">
        <f t="shared" si="32"/>
        <v>3742.922257692408</v>
      </c>
      <c r="BG13" s="238">
        <f t="shared" si="32"/>
        <v>3736.7943533068378</v>
      </c>
      <c r="BH13" s="238">
        <f t="shared" ref="BH13:CG13" si="33">ACOS(COS($L13)*COS($M13)*COS(INDEX($L:$L,MATCH(BH$2,$P:$P,0)))*COS(INDEX($M:$M,MATCH(BH$2,$P:$P,0))) + COS($L13)*SIN($M13)*COS(INDEX($L:$L,MATCH(BH$2,$P:$P,0)))*SIN(INDEX($M:$M,MATCH(BH$2,$P:$P,0))) + SIN($L13)*SIN(INDEX($L:$L,MATCH(BH$2,$P:$P,0)))) * 3963.1</f>
        <v>3383.5284714430304</v>
      </c>
      <c r="BI13" s="238">
        <f t="shared" si="33"/>
        <v>3270.5430657574643</v>
      </c>
      <c r="BJ13" s="238">
        <f t="shared" si="33"/>
        <v>3736.5679223044713</v>
      </c>
      <c r="BK13" s="238">
        <f t="shared" si="33"/>
        <v>3366.7493095846417</v>
      </c>
      <c r="BL13" s="238">
        <f t="shared" si="33"/>
        <v>3826.9751779277753</v>
      </c>
      <c r="BM13" s="238">
        <f t="shared" si="33"/>
        <v>3819.3398420457306</v>
      </c>
      <c r="BN13" s="238">
        <f t="shared" si="33"/>
        <v>3530.5547754566742</v>
      </c>
      <c r="BO13" s="238">
        <f t="shared" si="33"/>
        <v>3535.697283454118</v>
      </c>
      <c r="BP13" s="238">
        <f t="shared" si="33"/>
        <v>3375.2546394444676</v>
      </c>
      <c r="BQ13" s="238">
        <f t="shared" si="33"/>
        <v>109.25233671099943</v>
      </c>
      <c r="BR13" s="238">
        <f t="shared" si="33"/>
        <v>308.5858242005138</v>
      </c>
      <c r="BS13" s="238">
        <f t="shared" si="33"/>
        <v>338.37662153097551</v>
      </c>
      <c r="BT13" s="238">
        <f t="shared" si="33"/>
        <v>976.20332852479225</v>
      </c>
      <c r="BU13" s="238">
        <f t="shared" si="33"/>
        <v>377.59277201617095</v>
      </c>
      <c r="BV13" s="238">
        <f t="shared" si="33"/>
        <v>4737.0557090037109</v>
      </c>
      <c r="BW13" s="238">
        <f t="shared" si="33"/>
        <v>338.37662153097551</v>
      </c>
      <c r="BX13" s="238">
        <f t="shared" si="33"/>
        <v>2640.4248085347031</v>
      </c>
      <c r="BY13" s="238">
        <f t="shared" si="33"/>
        <v>77.053832089550326</v>
      </c>
      <c r="BZ13" s="238">
        <f t="shared" si="33"/>
        <v>2641.3860029902103</v>
      </c>
      <c r="CA13" s="238">
        <f t="shared" si="33"/>
        <v>94.930946047336008</v>
      </c>
      <c r="CB13" s="238">
        <f t="shared" si="33"/>
        <v>75.342110053138171</v>
      </c>
      <c r="CC13" s="238">
        <f t="shared" si="33"/>
        <v>3581.0020136710896</v>
      </c>
      <c r="CD13" s="238">
        <f t="shared" si="33"/>
        <v>7756.7166584573542</v>
      </c>
      <c r="CE13" s="238">
        <f t="shared" si="33"/>
        <v>799.99246407831015</v>
      </c>
      <c r="CF13" s="238">
        <f t="shared" si="33"/>
        <v>318.28268677777214</v>
      </c>
      <c r="CG13" s="238">
        <f t="shared" si="33"/>
        <v>2640.5302114881656</v>
      </c>
    </row>
    <row r="14" spans="1:85">
      <c r="A14" s="234" t="s">
        <v>36</v>
      </c>
      <c r="B14" s="41" t="s">
        <v>271</v>
      </c>
      <c r="C14" s="42" t="s">
        <v>37</v>
      </c>
      <c r="D14" s="42" t="s">
        <v>134</v>
      </c>
      <c r="E14" s="42" t="s">
        <v>67</v>
      </c>
      <c r="F14" s="42" t="s">
        <v>71</v>
      </c>
      <c r="G14" s="42" t="s">
        <v>81</v>
      </c>
      <c r="H14" s="69" t="s">
        <v>270</v>
      </c>
      <c r="I14" s="234" t="s">
        <v>13</v>
      </c>
      <c r="J14" s="240">
        <v>41.574572000000003</v>
      </c>
      <c r="K14" s="239">
        <v>-72.119434999999996</v>
      </c>
      <c r="L14" s="237">
        <f t="shared" si="0"/>
        <v>0.72561316650744401</v>
      </c>
      <c r="M14" s="237">
        <f t="shared" si="0"/>
        <v>-1.2587215954280366</v>
      </c>
      <c r="N14" s="236"/>
      <c r="O14" s="236"/>
      <c r="P14" s="112" t="str">
        <f t="shared" si="3"/>
        <v>NOR1</v>
      </c>
      <c r="Q14" s="238">
        <f t="shared" si="4"/>
        <v>330.93975029135635</v>
      </c>
      <c r="R14" s="238">
        <f t="shared" si="12"/>
        <v>1479.1084724144939</v>
      </c>
      <c r="S14" s="238">
        <f t="shared" si="12"/>
        <v>1479.1084724144939</v>
      </c>
      <c r="T14" s="238">
        <f t="shared" si="15"/>
        <v>1625.4386469943543</v>
      </c>
      <c r="U14" s="238">
        <f t="shared" si="22"/>
        <v>799.40292678957962</v>
      </c>
      <c r="V14" s="238">
        <f t="shared" si="22"/>
        <v>799.40292678957962</v>
      </c>
      <c r="W14" s="238">
        <f t="shared" si="22"/>
        <v>799.40292678957962</v>
      </c>
      <c r="X14" s="238">
        <f t="shared" si="25"/>
        <v>33.662889419079974</v>
      </c>
      <c r="Y14" s="238">
        <f t="shared" si="28"/>
        <v>229.89373225725279</v>
      </c>
      <c r="Z14" s="238">
        <f t="shared" si="31"/>
        <v>33.993039886920613</v>
      </c>
      <c r="AA14" s="238">
        <f t="shared" ref="AA14:AA45" si="34">ACOS(COS($L14)*COS($M14)*COS(INDEX($L:$L,MATCH(AA$2,$P:$P,0)))*COS(INDEX($M:$M,MATCH(AA$2,$P:$P,0))) + COS($L14)*SIN($M14)*COS(INDEX($L:$L,MATCH(AA$2,$P:$P,0)))*SIN(INDEX($M:$M,MATCH(AA$2,$P:$P,0))) + SIN($L14)*SIN(INDEX($L:$L,MATCH(AA$2,$P:$P,0)))) * 3963.1</f>
        <v>5.9054791927337645E-5</v>
      </c>
      <c r="AB14" s="238"/>
      <c r="AC14" s="238">
        <f t="shared" ref="AC14:BH14" si="35">ACOS(COS($L14)*COS($M14)*COS(INDEX($L:$L,MATCH(AC$2,$P:$P,0)))*COS(INDEX($M:$M,MATCH(AC$2,$P:$P,0))) + COS($L14)*SIN($M14)*COS(INDEX($L:$L,MATCH(AC$2,$P:$P,0)))*SIN(INDEX($M:$M,MATCH(AC$2,$P:$P,0))) + SIN($L14)*SIN(INDEX($L:$L,MATCH(AC$2,$P:$P,0)))) * 3963.1</f>
        <v>414.43287663608072</v>
      </c>
      <c r="AD14" s="238">
        <f t="shared" si="35"/>
        <v>396.37425832192753</v>
      </c>
      <c r="AE14" s="238">
        <f t="shared" si="35"/>
        <v>1713.2654268978556</v>
      </c>
      <c r="AF14" s="238">
        <f t="shared" si="35"/>
        <v>6737.4096339849357</v>
      </c>
      <c r="AG14" s="238">
        <f t="shared" si="35"/>
        <v>9475.2921355706712</v>
      </c>
      <c r="AH14" s="238">
        <f t="shared" si="35"/>
        <v>9336.6075877260209</v>
      </c>
      <c r="AI14" s="238">
        <f t="shared" si="35"/>
        <v>9334.4864342557612</v>
      </c>
      <c r="AJ14" s="238">
        <f t="shared" si="35"/>
        <v>9334.4864342557612</v>
      </c>
      <c r="AK14" s="238">
        <f t="shared" si="35"/>
        <v>9334.4864342557612</v>
      </c>
      <c r="AL14" s="238">
        <f t="shared" si="35"/>
        <v>9347.3144882998313</v>
      </c>
      <c r="AM14" s="238">
        <f t="shared" si="35"/>
        <v>8007.4408348752067</v>
      </c>
      <c r="AN14" s="238">
        <f t="shared" si="35"/>
        <v>8007.4408348752067</v>
      </c>
      <c r="AO14" s="238">
        <f t="shared" si="35"/>
        <v>6892.8773180523449</v>
      </c>
      <c r="AP14" s="238">
        <f t="shared" si="35"/>
        <v>10468.1607671659</v>
      </c>
      <c r="AQ14" s="238">
        <f t="shared" si="35"/>
        <v>10049.516698187907</v>
      </c>
      <c r="AR14" s="238">
        <f t="shared" si="35"/>
        <v>11653.106759511827</v>
      </c>
      <c r="AS14" s="238">
        <f t="shared" si="35"/>
        <v>11652.508728277413</v>
      </c>
      <c r="AT14" s="238">
        <f t="shared" si="35"/>
        <v>11651.657470762329</v>
      </c>
      <c r="AU14" s="238">
        <f t="shared" si="35"/>
        <v>3378.8459647506129</v>
      </c>
      <c r="AV14" s="238">
        <f t="shared" si="35"/>
        <v>3654.4055065613506</v>
      </c>
      <c r="AW14" s="238">
        <f t="shared" si="35"/>
        <v>3646.2316367190338</v>
      </c>
      <c r="AX14" s="238">
        <f t="shared" si="35"/>
        <v>3741.7343144838628</v>
      </c>
      <c r="AY14" s="238">
        <f t="shared" si="35"/>
        <v>3519.8198428839123</v>
      </c>
      <c r="AZ14" s="238">
        <f t="shared" si="35"/>
        <v>3740.7803089313552</v>
      </c>
      <c r="BA14" s="238">
        <f t="shared" si="35"/>
        <v>3740.640820034017</v>
      </c>
      <c r="BB14" s="238">
        <f t="shared" si="35"/>
        <v>3845.3073293251337</v>
      </c>
      <c r="BC14" s="238">
        <f t="shared" si="35"/>
        <v>5306.7392501250997</v>
      </c>
      <c r="BD14" s="238">
        <f t="shared" si="35"/>
        <v>3513.0321161282095</v>
      </c>
      <c r="BE14" s="238">
        <f t="shared" si="35"/>
        <v>3355.9008059628418</v>
      </c>
      <c r="BF14" s="238">
        <f t="shared" si="35"/>
        <v>3742.922257692408</v>
      </c>
      <c r="BG14" s="238">
        <f t="shared" si="35"/>
        <v>3736.7943533068378</v>
      </c>
      <c r="BH14" s="238">
        <f t="shared" si="35"/>
        <v>3383.5284714430304</v>
      </c>
      <c r="BI14" s="238">
        <f t="shared" ref="BI14:CG14" si="36">ACOS(COS($L14)*COS($M14)*COS(INDEX($L:$L,MATCH(BI$2,$P:$P,0)))*COS(INDEX($M:$M,MATCH(BI$2,$P:$P,0))) + COS($L14)*SIN($M14)*COS(INDEX($L:$L,MATCH(BI$2,$P:$P,0)))*SIN(INDEX($M:$M,MATCH(BI$2,$P:$P,0))) + SIN($L14)*SIN(INDEX($L:$L,MATCH(BI$2,$P:$P,0)))) * 3963.1</f>
        <v>3270.5430657574643</v>
      </c>
      <c r="BJ14" s="238">
        <f t="shared" si="36"/>
        <v>3736.5679223044713</v>
      </c>
      <c r="BK14" s="238">
        <f t="shared" si="36"/>
        <v>3366.7493095846417</v>
      </c>
      <c r="BL14" s="238">
        <f t="shared" si="36"/>
        <v>3826.9751779277753</v>
      </c>
      <c r="BM14" s="238">
        <f t="shared" si="36"/>
        <v>3819.3398420457306</v>
      </c>
      <c r="BN14" s="238">
        <f t="shared" si="36"/>
        <v>3530.5547754566742</v>
      </c>
      <c r="BO14" s="238">
        <f t="shared" si="36"/>
        <v>3535.697283454118</v>
      </c>
      <c r="BP14" s="238">
        <f t="shared" si="36"/>
        <v>3375.2546394444676</v>
      </c>
      <c r="BQ14" s="238">
        <f t="shared" si="36"/>
        <v>109.25233671099943</v>
      </c>
      <c r="BR14" s="238">
        <f t="shared" si="36"/>
        <v>308.5858242005138</v>
      </c>
      <c r="BS14" s="238">
        <f t="shared" si="36"/>
        <v>338.37662153097551</v>
      </c>
      <c r="BT14" s="238">
        <f t="shared" si="36"/>
        <v>976.20332852479225</v>
      </c>
      <c r="BU14" s="238">
        <f t="shared" si="36"/>
        <v>377.59277201617095</v>
      </c>
      <c r="BV14" s="238">
        <f t="shared" si="36"/>
        <v>4737.0557090037109</v>
      </c>
      <c r="BW14" s="238">
        <f t="shared" si="36"/>
        <v>338.37662153097551</v>
      </c>
      <c r="BX14" s="238">
        <f t="shared" si="36"/>
        <v>2640.4248085347031</v>
      </c>
      <c r="BY14" s="238">
        <f t="shared" si="36"/>
        <v>77.053832089550326</v>
      </c>
      <c r="BZ14" s="238">
        <f t="shared" si="36"/>
        <v>2641.3860029902103</v>
      </c>
      <c r="CA14" s="238">
        <f t="shared" si="36"/>
        <v>94.930946047336008</v>
      </c>
      <c r="CB14" s="238">
        <f t="shared" si="36"/>
        <v>75.342110053138171</v>
      </c>
      <c r="CC14" s="238">
        <f t="shared" si="36"/>
        <v>3581.0020136710896</v>
      </c>
      <c r="CD14" s="238">
        <f t="shared" si="36"/>
        <v>7756.7166584573542</v>
      </c>
      <c r="CE14" s="238">
        <f t="shared" si="36"/>
        <v>799.99246407831015</v>
      </c>
      <c r="CF14" s="238">
        <f t="shared" si="36"/>
        <v>318.28268677777214</v>
      </c>
      <c r="CG14" s="238">
        <f t="shared" si="36"/>
        <v>2640.5302114881656</v>
      </c>
    </row>
    <row r="15" spans="1:85">
      <c r="A15" s="234" t="s">
        <v>36</v>
      </c>
      <c r="B15" s="41" t="s">
        <v>273</v>
      </c>
      <c r="C15" s="42" t="s">
        <v>78</v>
      </c>
      <c r="D15" s="42" t="s">
        <v>161</v>
      </c>
      <c r="E15" s="42" t="s">
        <v>78</v>
      </c>
      <c r="F15" s="42" t="s">
        <v>82</v>
      </c>
      <c r="G15" s="42" t="s">
        <v>79</v>
      </c>
      <c r="H15" s="72" t="s">
        <v>274</v>
      </c>
      <c r="I15" s="234" t="s">
        <v>13</v>
      </c>
      <c r="J15" s="240">
        <v>43.745950999999998</v>
      </c>
      <c r="K15" s="236">
        <v>-79.717296000000005</v>
      </c>
      <c r="L15" s="237">
        <f t="shared" si="0"/>
        <v>0.76351087936610584</v>
      </c>
      <c r="M15" s="237">
        <f t="shared" si="0"/>
        <v>-1.3913292859869058</v>
      </c>
      <c r="N15" s="236"/>
      <c r="O15" s="236"/>
      <c r="P15" s="112" t="str">
        <f t="shared" si="3"/>
        <v>BRDC</v>
      </c>
      <c r="Q15" s="238">
        <f t="shared" si="4"/>
        <v>353.420383264495</v>
      </c>
      <c r="R15" s="238">
        <f t="shared" si="12"/>
        <v>1185.8225725821935</v>
      </c>
      <c r="S15" s="238">
        <f t="shared" si="12"/>
        <v>1185.8225725821935</v>
      </c>
      <c r="T15" s="238">
        <f t="shared" si="15"/>
        <v>1359.1953020647525</v>
      </c>
      <c r="U15" s="238">
        <f t="shared" si="22"/>
        <v>421.62377163911066</v>
      </c>
      <c r="V15" s="238">
        <f t="shared" si="22"/>
        <v>421.62377163911066</v>
      </c>
      <c r="W15" s="238">
        <f t="shared" si="22"/>
        <v>421.62377163911066</v>
      </c>
      <c r="X15" s="238">
        <f t="shared" si="25"/>
        <v>386.40913970609233</v>
      </c>
      <c r="Y15" s="238">
        <f t="shared" si="28"/>
        <v>346.02692254183239</v>
      </c>
      <c r="Z15" s="238">
        <f t="shared" si="31"/>
        <v>380.88269049592861</v>
      </c>
      <c r="AA15" s="238">
        <f t="shared" si="34"/>
        <v>414.43287663607634</v>
      </c>
      <c r="AB15" s="238">
        <f t="shared" ref="AB15:AB46" si="37">ACOS(COS($L15)*COS($M15)*COS(INDEX($L:$L,MATCH(AB$2,$P:$P,0)))*COS(INDEX($M:$M,MATCH(AB$2,$P:$P,0))) + COS($L15)*SIN($M15)*COS(INDEX($L:$L,MATCH(AB$2,$P:$P,0)))*SIN(INDEX($M:$M,MATCH(AB$2,$P:$P,0))) + SIN($L15)*SIN(INDEX($L:$L,MATCH(AB$2,$P:$P,0)))) * 3963.1</f>
        <v>414.43287663607634</v>
      </c>
      <c r="AC15" s="238"/>
      <c r="AD15" s="238">
        <f t="shared" ref="AD15:BI15" si="38">ACOS(COS($L15)*COS($M15)*COS(INDEX($L:$L,MATCH(AD$2,$P:$P,0)))*COS(INDEX($M:$M,MATCH(AD$2,$P:$P,0))) + COS($L15)*SIN($M15)*COS(INDEX($L:$L,MATCH(AD$2,$P:$P,0)))*SIN(INDEX($M:$M,MATCH(AD$2,$P:$P,0))) + SIN($L15)*SIN(INDEX($L:$L,MATCH(AD$2,$P:$P,0)))) * 3963.1</f>
        <v>18.09458200350743</v>
      </c>
      <c r="AE15" s="238">
        <f t="shared" si="38"/>
        <v>1322.8175747105149</v>
      </c>
      <c r="AF15" s="238">
        <f t="shared" si="38"/>
        <v>6421.6343503855496</v>
      </c>
      <c r="AG15" s="238">
        <f t="shared" si="38"/>
        <v>9328.3140233491176</v>
      </c>
      <c r="AH15" s="238">
        <f t="shared" si="38"/>
        <v>9211.7031581601041</v>
      </c>
      <c r="AI15" s="238">
        <f t="shared" si="38"/>
        <v>9208.0886274875902</v>
      </c>
      <c r="AJ15" s="238">
        <f t="shared" si="38"/>
        <v>9208.0886274875902</v>
      </c>
      <c r="AK15" s="238">
        <f t="shared" si="38"/>
        <v>9208.0886274875902</v>
      </c>
      <c r="AL15" s="238">
        <f t="shared" si="38"/>
        <v>9220.7993310262773</v>
      </c>
      <c r="AM15" s="238">
        <f t="shared" si="38"/>
        <v>7791.1287191776428</v>
      </c>
      <c r="AN15" s="238">
        <f t="shared" si="38"/>
        <v>7791.1287191776428</v>
      </c>
      <c r="AO15" s="238">
        <f t="shared" si="38"/>
        <v>6590.6527157088831</v>
      </c>
      <c r="AP15" s="238">
        <f t="shared" si="38"/>
        <v>10097.537142438741</v>
      </c>
      <c r="AQ15" s="238">
        <f t="shared" si="38"/>
        <v>9670.1090731822878</v>
      </c>
      <c r="AR15" s="238">
        <f t="shared" si="38"/>
        <v>11276.777941331478</v>
      </c>
      <c r="AS15" s="238">
        <f t="shared" si="38"/>
        <v>11275.866985171257</v>
      </c>
      <c r="AT15" s="238">
        <f t="shared" si="38"/>
        <v>11274.984831471891</v>
      </c>
      <c r="AU15" s="238">
        <f t="shared" si="38"/>
        <v>3590.9311687678965</v>
      </c>
      <c r="AV15" s="238">
        <f t="shared" si="38"/>
        <v>3867.2384581582933</v>
      </c>
      <c r="AW15" s="238">
        <f t="shared" si="38"/>
        <v>3858.9474460582787</v>
      </c>
      <c r="AX15" s="238">
        <f t="shared" si="38"/>
        <v>3897.6835484290318</v>
      </c>
      <c r="AY15" s="238">
        <f t="shared" si="38"/>
        <v>3744.5489388345691</v>
      </c>
      <c r="AZ15" s="238">
        <f t="shared" si="38"/>
        <v>3944.3493148901734</v>
      </c>
      <c r="BA15" s="238">
        <f t="shared" si="38"/>
        <v>3944.2105240418973</v>
      </c>
      <c r="BB15" s="238">
        <f t="shared" si="38"/>
        <v>4063.1501634499964</v>
      </c>
      <c r="BC15" s="238">
        <f t="shared" si="38"/>
        <v>5712.7364299417668</v>
      </c>
      <c r="BD15" s="238">
        <f t="shared" si="38"/>
        <v>3738.7828314051162</v>
      </c>
      <c r="BE15" s="238">
        <f t="shared" si="38"/>
        <v>3567.2822828106082</v>
      </c>
      <c r="BF15" s="238">
        <f t="shared" si="38"/>
        <v>3946.6184721263171</v>
      </c>
      <c r="BG15" s="238">
        <f t="shared" si="38"/>
        <v>3892.4276103998563</v>
      </c>
      <c r="BH15" s="238">
        <f t="shared" si="38"/>
        <v>3595.625242086337</v>
      </c>
      <c r="BI15" s="238">
        <f t="shared" si="38"/>
        <v>3471.747675646568</v>
      </c>
      <c r="BJ15" s="238">
        <f t="shared" ref="BJ15:CG15" si="39">ACOS(COS($L15)*COS($M15)*COS(INDEX($L:$L,MATCH(BJ$2,$P:$P,0)))*COS(INDEX($M:$M,MATCH(BJ$2,$P:$P,0))) + COS($L15)*SIN($M15)*COS(INDEX($L:$L,MATCH(BJ$2,$P:$P,0)))*SIN(INDEX($M:$M,MATCH(BJ$2,$P:$P,0))) + SIN($L15)*SIN(INDEX($L:$L,MATCH(BJ$2,$P:$P,0)))) * 3963.1</f>
        <v>3892.7130237134543</v>
      </c>
      <c r="BK15" s="238">
        <f t="shared" si="39"/>
        <v>3579.3489214072351</v>
      </c>
      <c r="BL15" s="238">
        <f t="shared" si="39"/>
        <v>3945.2794156575173</v>
      </c>
      <c r="BM15" s="238">
        <f t="shared" si="39"/>
        <v>3937.2106100991418</v>
      </c>
      <c r="BN15" s="238">
        <f t="shared" si="39"/>
        <v>3726.0657243992732</v>
      </c>
      <c r="BO15" s="238">
        <f t="shared" si="39"/>
        <v>3731.4668100654426</v>
      </c>
      <c r="BP15" s="238">
        <f t="shared" si="39"/>
        <v>3588.7985058993218</v>
      </c>
      <c r="BQ15" s="238">
        <f t="shared" si="39"/>
        <v>312.20139921282316</v>
      </c>
      <c r="BR15" s="238">
        <f t="shared" si="39"/>
        <v>280.71618417333809</v>
      </c>
      <c r="BS15" s="238">
        <f t="shared" si="39"/>
        <v>356.59640272148954</v>
      </c>
      <c r="BT15" s="238">
        <f t="shared" si="39"/>
        <v>649.80397154163791</v>
      </c>
      <c r="BU15" s="238">
        <f t="shared" si="39"/>
        <v>376.881594240727</v>
      </c>
      <c r="BV15" s="238">
        <f t="shared" si="39"/>
        <v>5050.5937630060762</v>
      </c>
      <c r="BW15" s="238">
        <f t="shared" si="39"/>
        <v>356.59640272148954</v>
      </c>
      <c r="BX15" s="238">
        <f t="shared" si="39"/>
        <v>2238.5374738883893</v>
      </c>
      <c r="BY15" s="238">
        <f t="shared" si="39"/>
        <v>446.40345908515383</v>
      </c>
      <c r="BZ15" s="238">
        <f t="shared" si="39"/>
        <v>2239.4905218222384</v>
      </c>
      <c r="CA15" s="238">
        <f t="shared" si="39"/>
        <v>353.35828635836396</v>
      </c>
      <c r="CB15" s="238">
        <f t="shared" si="39"/>
        <v>442.86614967165741</v>
      </c>
      <c r="CC15" s="238">
        <f t="shared" si="39"/>
        <v>3775.5257703203515</v>
      </c>
      <c r="CD15" s="238">
        <f t="shared" si="39"/>
        <v>8170.7142037324847</v>
      </c>
      <c r="CE15" s="238">
        <f t="shared" si="39"/>
        <v>421.74782009430197</v>
      </c>
      <c r="CF15" s="238">
        <f t="shared" si="39"/>
        <v>362.88198025304109</v>
      </c>
      <c r="CG15" s="238">
        <f t="shared" si="39"/>
        <v>2238.6418351559669</v>
      </c>
    </row>
    <row r="16" spans="1:85">
      <c r="A16" s="234" t="s">
        <v>36</v>
      </c>
      <c r="B16" s="41" t="s">
        <v>275</v>
      </c>
      <c r="C16" s="202" t="s">
        <v>217</v>
      </c>
      <c r="D16" s="42" t="s">
        <v>518</v>
      </c>
      <c r="E16" s="42" t="s">
        <v>217</v>
      </c>
      <c r="F16" s="42" t="s">
        <v>82</v>
      </c>
      <c r="G16" s="42" t="s">
        <v>79</v>
      </c>
      <c r="H16" s="42" t="s">
        <v>276</v>
      </c>
      <c r="I16" s="234" t="s">
        <v>13</v>
      </c>
      <c r="J16" s="240">
        <v>43.646768999999999</v>
      </c>
      <c r="K16" s="236">
        <v>-79.382490000000004</v>
      </c>
      <c r="L16" s="237">
        <f t="shared" si="0"/>
        <v>0.76177982690739288</v>
      </c>
      <c r="M16" s="237">
        <f t="shared" si="0"/>
        <v>-1.3854858189314736</v>
      </c>
      <c r="N16" s="67"/>
      <c r="O16" s="236"/>
      <c r="P16" s="112" t="str">
        <f t="shared" si="3"/>
        <v>TODC</v>
      </c>
      <c r="Q16" s="238">
        <f t="shared" si="4"/>
        <v>341.29523734860777</v>
      </c>
      <c r="R16" s="238">
        <f t="shared" si="12"/>
        <v>1196.3034420813619</v>
      </c>
      <c r="S16" s="238">
        <f t="shared" si="12"/>
        <v>1196.3034420813619</v>
      </c>
      <c r="T16" s="238">
        <f t="shared" si="15"/>
        <v>1368.4156219480287</v>
      </c>
      <c r="U16" s="238">
        <f t="shared" si="22"/>
        <v>436.11174327065703</v>
      </c>
      <c r="V16" s="238">
        <f t="shared" si="22"/>
        <v>436.11174327065703</v>
      </c>
      <c r="W16" s="238">
        <f t="shared" si="22"/>
        <v>436.11174327065703</v>
      </c>
      <c r="X16" s="238">
        <f t="shared" si="25"/>
        <v>368.31668786995539</v>
      </c>
      <c r="Y16" s="238">
        <f t="shared" si="28"/>
        <v>330.51420790102117</v>
      </c>
      <c r="Z16" s="238">
        <f t="shared" si="31"/>
        <v>362.80987917367366</v>
      </c>
      <c r="AA16" s="238">
        <f t="shared" si="34"/>
        <v>396.37425832192753</v>
      </c>
      <c r="AB16" s="238">
        <f t="shared" si="37"/>
        <v>396.37425832192753</v>
      </c>
      <c r="AC16" s="238">
        <f t="shared" ref="AC16:AC47" si="40">ACOS(COS($L16)*COS($M16)*COS(INDEX($L:$L,MATCH(AC$2,$P:$P,0)))*COS(INDEX($M:$M,MATCH(AC$2,$P:$P,0))) + COS($L16)*SIN($M16)*COS(INDEX($L:$L,MATCH(AC$2,$P:$P,0)))*SIN(INDEX($M:$M,MATCH(AC$2,$P:$P,0))) + SIN($L16)*SIN(INDEX($L:$L,MATCH(AC$2,$P:$P,0)))) * 3963.1</f>
        <v>18.094582003410629</v>
      </c>
      <c r="AD16" s="238"/>
      <c r="AE16" s="238">
        <f t="shared" ref="AE16:BJ16" si="41">ACOS(COS($L16)*COS($M16)*COS(INDEX($L:$L,MATCH(AE$2,$P:$P,0)))*COS(INDEX($M:$M,MATCH(AE$2,$P:$P,0))) + COS($L16)*SIN($M16)*COS(INDEX($L:$L,MATCH(AE$2,$P:$P,0)))*SIN(INDEX($M:$M,MATCH(AE$2,$P:$P,0))) + SIN($L16)*SIN(INDEX($L:$L,MATCH(AE$2,$P:$P,0)))) * 3963.1</f>
        <v>1339.1294599860139</v>
      </c>
      <c r="AF16" s="238">
        <f t="shared" si="41"/>
        <v>6436.1447303827399</v>
      </c>
      <c r="AG16" s="238">
        <f t="shared" si="41"/>
        <v>9336.5406236300278</v>
      </c>
      <c r="AH16" s="238">
        <f t="shared" si="41"/>
        <v>9218.9751106601143</v>
      </c>
      <c r="AI16" s="238">
        <f t="shared" si="41"/>
        <v>9215.4210834282039</v>
      </c>
      <c r="AJ16" s="238">
        <f t="shared" si="41"/>
        <v>9215.4210834282039</v>
      </c>
      <c r="AK16" s="238">
        <f t="shared" si="41"/>
        <v>9215.4210834282039</v>
      </c>
      <c r="AL16" s="238">
        <f t="shared" si="41"/>
        <v>9228.141504059533</v>
      </c>
      <c r="AM16" s="238">
        <f t="shared" si="41"/>
        <v>7801.7828543863207</v>
      </c>
      <c r="AN16" s="238">
        <f t="shared" si="41"/>
        <v>7801.7828543863207</v>
      </c>
      <c r="AO16" s="238">
        <f t="shared" si="41"/>
        <v>6604.6333185823132</v>
      </c>
      <c r="AP16" s="238">
        <f t="shared" si="41"/>
        <v>10113.498664267929</v>
      </c>
      <c r="AQ16" s="238">
        <f t="shared" si="41"/>
        <v>9686.3978295846955</v>
      </c>
      <c r="AR16" s="238">
        <f t="shared" si="41"/>
        <v>11294.099893902849</v>
      </c>
      <c r="AS16" s="238">
        <f t="shared" si="41"/>
        <v>11293.196466871024</v>
      </c>
      <c r="AT16" s="238">
        <f t="shared" si="41"/>
        <v>11292.314740008074</v>
      </c>
      <c r="AU16" s="238">
        <f t="shared" si="41"/>
        <v>3582.0912504809835</v>
      </c>
      <c r="AV16" s="238">
        <f t="shared" si="41"/>
        <v>3858.4400828437861</v>
      </c>
      <c r="AW16" s="238">
        <f t="shared" si="41"/>
        <v>3850.1520774287728</v>
      </c>
      <c r="AX16" s="238">
        <f t="shared" si="41"/>
        <v>3891.3799106005167</v>
      </c>
      <c r="AY16" s="238">
        <f t="shared" si="41"/>
        <v>3735.1993332709981</v>
      </c>
      <c r="AZ16" s="238">
        <f t="shared" si="41"/>
        <v>3935.9760085687626</v>
      </c>
      <c r="BA16" s="238">
        <f t="shared" si="41"/>
        <v>3935.8371517154214</v>
      </c>
      <c r="BB16" s="238">
        <f t="shared" si="41"/>
        <v>4054.180203098892</v>
      </c>
      <c r="BC16" s="238">
        <f t="shared" si="41"/>
        <v>5695.2599525884398</v>
      </c>
      <c r="BD16" s="238">
        <f t="shared" si="41"/>
        <v>3729.3871458263143</v>
      </c>
      <c r="BE16" s="238">
        <f t="shared" si="41"/>
        <v>3558.4662402866593</v>
      </c>
      <c r="BF16" s="238">
        <f t="shared" si="41"/>
        <v>3938.2401756306394</v>
      </c>
      <c r="BG16" s="238">
        <f t="shared" si="41"/>
        <v>3886.136249383675</v>
      </c>
      <c r="BH16" s="238">
        <f t="shared" si="41"/>
        <v>3586.7861481447508</v>
      </c>
      <c r="BI16" s="238">
        <f t="shared" si="41"/>
        <v>3463.345393268849</v>
      </c>
      <c r="BJ16" s="238">
        <f t="shared" si="41"/>
        <v>3886.3993823424644</v>
      </c>
      <c r="BK16" s="238">
        <f t="shared" ref="BK16:CG16" si="42">ACOS(COS($L16)*COS($M16)*COS(INDEX($L:$L,MATCH(BK$2,$P:$P,0)))*COS(INDEX($M:$M,MATCH(BK$2,$P:$P,0))) + COS($L16)*SIN($M16)*COS(INDEX($L:$L,MATCH(BK$2,$P:$P,0)))*SIN(INDEX($M:$M,MATCH(BK$2,$P:$P,0))) + SIN($L16)*SIN(INDEX($L:$L,MATCH(BK$2,$P:$P,0)))) * 3963.1</f>
        <v>3570.4833412160556</v>
      </c>
      <c r="BL16" s="238">
        <f t="shared" si="42"/>
        <v>3940.6350993928286</v>
      </c>
      <c r="BM16" s="238">
        <f t="shared" si="42"/>
        <v>3932.5827833473504</v>
      </c>
      <c r="BN16" s="238">
        <f t="shared" si="42"/>
        <v>3717.9859262881605</v>
      </c>
      <c r="BO16" s="238">
        <f t="shared" si="42"/>
        <v>3723.3772572035537</v>
      </c>
      <c r="BP16" s="238">
        <f t="shared" si="42"/>
        <v>3579.8945227411114</v>
      </c>
      <c r="BQ16" s="238">
        <f t="shared" si="42"/>
        <v>294.38028800579934</v>
      </c>
      <c r="BR16" s="238">
        <f t="shared" si="42"/>
        <v>268.14191761495107</v>
      </c>
      <c r="BS16" s="238">
        <f t="shared" si="42"/>
        <v>344.73406082929182</v>
      </c>
      <c r="BT16" s="238">
        <f t="shared" si="42"/>
        <v>661.19063415937171</v>
      </c>
      <c r="BU16" s="238">
        <f t="shared" si="42"/>
        <v>366.35669990161227</v>
      </c>
      <c r="BV16" s="238">
        <f t="shared" si="42"/>
        <v>5036.0812647373896</v>
      </c>
      <c r="BW16" s="238">
        <f t="shared" si="42"/>
        <v>344.73406082929182</v>
      </c>
      <c r="BX16" s="238">
        <f t="shared" si="42"/>
        <v>2255.677860270438</v>
      </c>
      <c r="BY16" s="238">
        <f t="shared" si="42"/>
        <v>428.78460417069056</v>
      </c>
      <c r="BZ16" s="238">
        <f t="shared" si="42"/>
        <v>2256.6314626447202</v>
      </c>
      <c r="CA16" s="238">
        <f t="shared" si="42"/>
        <v>335.42166966743667</v>
      </c>
      <c r="CB16" s="238">
        <f t="shared" si="42"/>
        <v>425.24686026223213</v>
      </c>
      <c r="CC16" s="238">
        <f t="shared" si="42"/>
        <v>3767.5028759018064</v>
      </c>
      <c r="CD16" s="238">
        <f t="shared" si="42"/>
        <v>8152.6215591199834</v>
      </c>
      <c r="CE16" s="238">
        <f t="shared" si="42"/>
        <v>436.2767060431168</v>
      </c>
      <c r="CF16" s="238">
        <f t="shared" si="42"/>
        <v>350.16161979981376</v>
      </c>
      <c r="CG16" s="238">
        <f t="shared" si="42"/>
        <v>2255.7822914449321</v>
      </c>
    </row>
    <row r="17" spans="1:85">
      <c r="A17" s="234" t="s">
        <v>36</v>
      </c>
      <c r="B17" s="41" t="s">
        <v>277</v>
      </c>
      <c r="C17" s="42" t="s">
        <v>278</v>
      </c>
      <c r="D17" s="41" t="s">
        <v>197</v>
      </c>
      <c r="E17" s="42" t="s">
        <v>198</v>
      </c>
      <c r="F17" s="42" t="s">
        <v>80</v>
      </c>
      <c r="G17" s="42" t="s">
        <v>81</v>
      </c>
      <c r="H17" s="42">
        <v>80014</v>
      </c>
      <c r="I17" s="234" t="s">
        <v>13</v>
      </c>
      <c r="J17" s="240">
        <v>39.661693</v>
      </c>
      <c r="K17" s="236">
        <v>-104.849963</v>
      </c>
      <c r="L17" s="237">
        <f t="shared" si="0"/>
        <v>0.69222712976518741</v>
      </c>
      <c r="M17" s="237">
        <f t="shared" si="0"/>
        <v>-1.8299770749442312</v>
      </c>
      <c r="N17" s="67"/>
      <c r="O17" s="236"/>
      <c r="P17" s="112" t="str">
        <f t="shared" si="3"/>
        <v>DDC</v>
      </c>
      <c r="Q17" s="238">
        <f t="shared" si="4"/>
        <v>1466.1096373076423</v>
      </c>
      <c r="R17" s="238">
        <f t="shared" si="12"/>
        <v>635.26218252074011</v>
      </c>
      <c r="S17" s="238">
        <f t="shared" si="12"/>
        <v>635.26218252074011</v>
      </c>
      <c r="T17" s="238">
        <f t="shared" si="15"/>
        <v>768.41196032565858</v>
      </c>
      <c r="U17" s="238">
        <f t="shared" si="22"/>
        <v>913.86250209108982</v>
      </c>
      <c r="V17" s="238">
        <f t="shared" si="22"/>
        <v>913.86250209108982</v>
      </c>
      <c r="W17" s="238">
        <f t="shared" si="22"/>
        <v>913.86250209108982</v>
      </c>
      <c r="X17" s="238">
        <f t="shared" si="25"/>
        <v>1680.7855227046441</v>
      </c>
      <c r="Y17" s="238">
        <f t="shared" si="28"/>
        <v>1542.1424445460796</v>
      </c>
      <c r="Z17" s="238">
        <f t="shared" si="31"/>
        <v>1679.6411949285498</v>
      </c>
      <c r="AA17" s="238">
        <f t="shared" si="34"/>
        <v>1713.2654268978556</v>
      </c>
      <c r="AB17" s="238">
        <f t="shared" si="37"/>
        <v>1713.2654268978556</v>
      </c>
      <c r="AC17" s="238">
        <f t="shared" si="40"/>
        <v>1322.8175747105122</v>
      </c>
      <c r="AD17" s="238">
        <f t="shared" ref="AD17:AD48" si="43">ACOS(COS($L17)*COS($M17)*COS(INDEX($L:$L,MATCH(AD$2,$P:$P,0)))*COS(INDEX($M:$M,MATCH(AD$2,$P:$P,0))) + COS($L17)*SIN($M17)*COS(INDEX($L:$L,MATCH(AD$2,$P:$P,0)))*SIN(INDEX($M:$M,MATCH(AD$2,$P:$P,0))) + SIN($L17)*SIN(INDEX($L:$L,MATCH(AD$2,$P:$P,0)))) * 3963.1</f>
        <v>1339.1294599860139</v>
      </c>
      <c r="AE17" s="238"/>
      <c r="AF17" s="238">
        <f t="shared" ref="AF17:BK17" si="44">ACOS(COS($L17)*COS($M17)*COS(INDEX($L:$L,MATCH(AF$2,$P:$P,0)))*COS(INDEX($M:$M,MATCH(AF$2,$P:$P,0))) + COS($L17)*SIN($M17)*COS(INDEX($L:$L,MATCH(AF$2,$P:$P,0)))*SIN(INDEX($M:$M,MATCH(AF$2,$P:$P,0))) + SIN($L17)*SIN(INDEX($L:$L,MATCH(AF$2,$P:$P,0)))) * 3963.1</f>
        <v>5811.0073536418568</v>
      </c>
      <c r="AG17" s="238">
        <f t="shared" si="44"/>
        <v>9087.2261907753327</v>
      </c>
      <c r="AH17" s="238">
        <f t="shared" si="44"/>
        <v>9054.6867093350247</v>
      </c>
      <c r="AI17" s="238">
        <f t="shared" si="44"/>
        <v>9046.8628051677406</v>
      </c>
      <c r="AJ17" s="238">
        <f t="shared" si="44"/>
        <v>9046.8628051677406</v>
      </c>
      <c r="AK17" s="238">
        <f t="shared" si="44"/>
        <v>9046.8628051677406</v>
      </c>
      <c r="AL17" s="238">
        <f t="shared" si="44"/>
        <v>9057.5699627106624</v>
      </c>
      <c r="AM17" s="238">
        <f t="shared" si="44"/>
        <v>7472.5961121856471</v>
      </c>
      <c r="AN17" s="238">
        <f t="shared" si="44"/>
        <v>7472.5961121856471</v>
      </c>
      <c r="AO17" s="238">
        <f t="shared" si="44"/>
        <v>6027.8232838403546</v>
      </c>
      <c r="AP17" s="238">
        <f t="shared" si="44"/>
        <v>8775.3889123076315</v>
      </c>
      <c r="AQ17" s="238">
        <f t="shared" si="44"/>
        <v>8347.2920613787755</v>
      </c>
      <c r="AR17" s="238">
        <f t="shared" si="44"/>
        <v>10128.175241017019</v>
      </c>
      <c r="AS17" s="238">
        <f t="shared" si="44"/>
        <v>10126.678580321339</v>
      </c>
      <c r="AT17" s="238">
        <f t="shared" si="44"/>
        <v>10125.832938813421</v>
      </c>
      <c r="AU17" s="238">
        <f t="shared" si="44"/>
        <v>4718.1406167971672</v>
      </c>
      <c r="AV17" s="238">
        <f t="shared" si="44"/>
        <v>4987.0780923964976</v>
      </c>
      <c r="AW17" s="238">
        <f t="shared" si="44"/>
        <v>4978.8314347116293</v>
      </c>
      <c r="AX17" s="238">
        <f t="shared" si="44"/>
        <v>4907.3767139843158</v>
      </c>
      <c r="AY17" s="238">
        <f t="shared" si="44"/>
        <v>4888.853309225804</v>
      </c>
      <c r="AZ17" s="238">
        <f t="shared" si="44"/>
        <v>5044.8850066368841</v>
      </c>
      <c r="BA17" s="238">
        <f t="shared" si="44"/>
        <v>5044.7519956607885</v>
      </c>
      <c r="BB17" s="238">
        <f t="shared" si="44"/>
        <v>5186.2141797003969</v>
      </c>
      <c r="BC17" s="238">
        <f t="shared" si="44"/>
        <v>7012.2978777098369</v>
      </c>
      <c r="BD17" s="238">
        <f t="shared" si="44"/>
        <v>4884.9949167632431</v>
      </c>
      <c r="BE17" s="238">
        <f t="shared" si="44"/>
        <v>4694.0419901826181</v>
      </c>
      <c r="BF17" s="238">
        <f t="shared" si="44"/>
        <v>5047.3162526176957</v>
      </c>
      <c r="BG17" s="238">
        <f t="shared" si="44"/>
        <v>4901.7054847241161</v>
      </c>
      <c r="BH17" s="238">
        <f t="shared" si="44"/>
        <v>4722.703085013226</v>
      </c>
      <c r="BI17" s="238">
        <f t="shared" si="44"/>
        <v>4584.0661108281156</v>
      </c>
      <c r="BJ17" s="238">
        <f t="shared" si="44"/>
        <v>4903.019619907066</v>
      </c>
      <c r="BK17" s="238">
        <f t="shared" si="44"/>
        <v>4707.8219970274031</v>
      </c>
      <c r="BL17" s="238">
        <f t="shared" ref="BL17:CG17" si="45">ACOS(COS($L17)*COS($M17)*COS(INDEX($L:$L,MATCH(BL$2,$P:$P,0)))*COS(INDEX($M:$M,MATCH(BL$2,$P:$P,0))) + COS($L17)*SIN($M17)*COS(INDEX($L:$L,MATCH(BL$2,$P:$P,0)))*SIN(INDEX($M:$M,MATCH(BL$2,$P:$P,0))) + SIN($L17)*SIN(INDEX($L:$L,MATCH(BL$2,$P:$P,0)))) * 3963.1</f>
        <v>4873.2236535367965</v>
      </c>
      <c r="BM17" s="238">
        <f t="shared" si="45"/>
        <v>4864.6204032321421</v>
      </c>
      <c r="BN17" s="238">
        <f t="shared" si="45"/>
        <v>4819.1296926851246</v>
      </c>
      <c r="BO17" s="238">
        <f t="shared" si="45"/>
        <v>4824.814629792314</v>
      </c>
      <c r="BP17" s="238">
        <f t="shared" si="45"/>
        <v>4718.5975721823952</v>
      </c>
      <c r="BQ17" s="238">
        <f t="shared" si="45"/>
        <v>1624.9618588537815</v>
      </c>
      <c r="BR17" s="238">
        <f t="shared" si="45"/>
        <v>1440.3370166576897</v>
      </c>
      <c r="BS17" s="238">
        <f t="shared" si="45"/>
        <v>1461.7561141195911</v>
      </c>
      <c r="BT17" s="238">
        <f t="shared" si="45"/>
        <v>788.29896443234838</v>
      </c>
      <c r="BU17" s="238">
        <f t="shared" si="45"/>
        <v>1440.4776118998795</v>
      </c>
      <c r="BV17" s="238">
        <f t="shared" si="45"/>
        <v>5704.2455502251823</v>
      </c>
      <c r="BW17" s="238">
        <f t="shared" si="45"/>
        <v>1461.7561141195911</v>
      </c>
      <c r="BX17" s="238">
        <f t="shared" si="45"/>
        <v>938.41222299994126</v>
      </c>
      <c r="BY17" s="238">
        <f t="shared" si="45"/>
        <v>1760.6593298726086</v>
      </c>
      <c r="BZ17" s="238">
        <f t="shared" si="45"/>
        <v>939.38629077024427</v>
      </c>
      <c r="CA17" s="238">
        <f t="shared" si="45"/>
        <v>1629.6129594323584</v>
      </c>
      <c r="CB17" s="238">
        <f t="shared" si="45"/>
        <v>1757.1631374213673</v>
      </c>
      <c r="CC17" s="238">
        <f t="shared" si="45"/>
        <v>4865.0220165107139</v>
      </c>
      <c r="CD17" s="238">
        <f t="shared" si="45"/>
        <v>9339.0694497861587</v>
      </c>
      <c r="CE17" s="238">
        <f t="shared" si="45"/>
        <v>913.27576270765974</v>
      </c>
      <c r="CF17" s="238">
        <f t="shared" si="45"/>
        <v>1484.4629649577084</v>
      </c>
      <c r="CG17" s="238">
        <f t="shared" si="45"/>
        <v>938.51946384631924</v>
      </c>
    </row>
    <row r="18" spans="1:85" ht="24">
      <c r="A18" s="241" t="s">
        <v>36</v>
      </c>
      <c r="B18" s="74" t="s">
        <v>279</v>
      </c>
      <c r="C18" s="75" t="s">
        <v>63</v>
      </c>
      <c r="D18" s="75" t="s">
        <v>522</v>
      </c>
      <c r="E18" s="77" t="s">
        <v>63</v>
      </c>
      <c r="F18" s="77" t="s">
        <v>63</v>
      </c>
      <c r="G18" s="77" t="s">
        <v>104</v>
      </c>
      <c r="H18" s="77"/>
      <c r="I18" s="241" t="s">
        <v>16</v>
      </c>
      <c r="J18" s="240">
        <v>35.677202999999999</v>
      </c>
      <c r="K18" s="236">
        <v>139.78231099999999</v>
      </c>
      <c r="L18" s="237">
        <f t="shared" si="0"/>
        <v>0.62268466025239844</v>
      </c>
      <c r="M18" s="237">
        <f t="shared" si="0"/>
        <v>2.4396615629966871</v>
      </c>
      <c r="N18" s="67"/>
      <c r="O18" s="236"/>
      <c r="P18" s="112" t="str">
        <f t="shared" si="3"/>
        <v>TDC</v>
      </c>
      <c r="Q18" s="238">
        <f t="shared" si="4"/>
        <v>6769.4873967691346</v>
      </c>
      <c r="R18" s="238">
        <f t="shared" si="12"/>
        <v>6446.153344676507</v>
      </c>
      <c r="S18" s="238">
        <f t="shared" si="12"/>
        <v>6446.153344676507</v>
      </c>
      <c r="T18" s="238">
        <f t="shared" si="15"/>
        <v>6558.0119550812815</v>
      </c>
      <c r="U18" s="238">
        <f t="shared" si="22"/>
        <v>6306.1111006481196</v>
      </c>
      <c r="V18" s="238">
        <f t="shared" si="22"/>
        <v>6306.1111006481196</v>
      </c>
      <c r="W18" s="238">
        <f t="shared" si="22"/>
        <v>6306.1111006481196</v>
      </c>
      <c r="X18" s="238">
        <f t="shared" si="25"/>
        <v>6727.4958355284807</v>
      </c>
      <c r="Y18" s="238">
        <f t="shared" si="28"/>
        <v>6765.4376938788437</v>
      </c>
      <c r="Z18" s="238">
        <f t="shared" si="31"/>
        <v>6715.294250081226</v>
      </c>
      <c r="AA18" s="238">
        <f t="shared" si="34"/>
        <v>6737.4096339849357</v>
      </c>
      <c r="AB18" s="238">
        <f t="shared" si="37"/>
        <v>6737.4096339849357</v>
      </c>
      <c r="AC18" s="238">
        <f t="shared" si="40"/>
        <v>6421.6343503855496</v>
      </c>
      <c r="AD18" s="238">
        <f t="shared" si="43"/>
        <v>6436.1447303827399</v>
      </c>
      <c r="AE18" s="238">
        <f t="shared" ref="AE18:AE49" si="46">ACOS(COS($L18)*COS($M18)*COS(INDEX($L:$L,MATCH(AE$2,$P:$P,0)))*COS(INDEX($M:$M,MATCH(AE$2,$P:$P,0))) + COS($L18)*SIN($M18)*COS(INDEX($L:$L,MATCH(AE$2,$P:$P,0)))*SIN(INDEX($M:$M,MATCH(AE$2,$P:$P,0))) + SIN($L18)*SIN(INDEX($L:$L,MATCH(AE$2,$P:$P,0)))) * 3963.1</f>
        <v>5811.0073536418558</v>
      </c>
      <c r="AF18" s="238"/>
      <c r="AG18" s="238">
        <f t="shared" ref="AG18:BL18" si="47">ACOS(COS($L18)*COS($M18)*COS(INDEX($L:$L,MATCH(AG$2,$P:$P,0)))*COS(INDEX($M:$M,MATCH(AG$2,$P:$P,0))) + COS($L18)*SIN($M18)*COS(INDEX($L:$L,MATCH(AG$2,$P:$P,0)))*SIN(INDEX($M:$M,MATCH(AG$2,$P:$P,0))) + SIN($L18)*SIN(INDEX($L:$L,MATCH(AG$2,$P:$P,0)))) * 3963.1</f>
        <v>3313.5303333555894</v>
      </c>
      <c r="AH18" s="238">
        <f t="shared" si="47"/>
        <v>3327.3796993690003</v>
      </c>
      <c r="AI18" s="238">
        <f t="shared" si="47"/>
        <v>3317.706928860759</v>
      </c>
      <c r="AJ18" s="238">
        <f t="shared" si="47"/>
        <v>3317.706928860759</v>
      </c>
      <c r="AK18" s="238">
        <f t="shared" si="47"/>
        <v>3317.706928860759</v>
      </c>
      <c r="AL18" s="238">
        <f t="shared" si="47"/>
        <v>3326.1503610088766</v>
      </c>
      <c r="AM18" s="238">
        <f t="shared" si="47"/>
        <v>1790.6106699551228</v>
      </c>
      <c r="AN18" s="238">
        <f t="shared" si="47"/>
        <v>1790.6106699551228</v>
      </c>
      <c r="AO18" s="238">
        <f t="shared" si="47"/>
        <v>252.46233390784693</v>
      </c>
      <c r="AP18" s="238">
        <f t="shared" si="47"/>
        <v>5100.8612506515465</v>
      </c>
      <c r="AQ18" s="238">
        <f t="shared" si="47"/>
        <v>4866.4187771056495</v>
      </c>
      <c r="AR18" s="238">
        <f t="shared" si="47"/>
        <v>4928.9681804364081</v>
      </c>
      <c r="AS18" s="238">
        <f t="shared" si="47"/>
        <v>4928.7171780389281</v>
      </c>
      <c r="AT18" s="238">
        <f t="shared" si="47"/>
        <v>4927.9283642743112</v>
      </c>
      <c r="AU18" s="238">
        <f t="shared" si="47"/>
        <v>5947.6297150800738</v>
      </c>
      <c r="AV18" s="238">
        <f t="shared" si="47"/>
        <v>5906.4350976808046</v>
      </c>
      <c r="AW18" s="238">
        <f t="shared" si="47"/>
        <v>5906.7869497713136</v>
      </c>
      <c r="AX18" s="238">
        <f t="shared" si="47"/>
        <v>5408.2562758577633</v>
      </c>
      <c r="AY18" s="238">
        <f t="shared" si="47"/>
        <v>6033.296687590062</v>
      </c>
      <c r="AZ18" s="238">
        <f t="shared" si="47"/>
        <v>5809.4527959713087</v>
      </c>
      <c r="BA18" s="238">
        <f t="shared" si="47"/>
        <v>5809.4844104871627</v>
      </c>
      <c r="BB18" s="238">
        <f t="shared" si="47"/>
        <v>5920.5516098421576</v>
      </c>
      <c r="BC18" s="238">
        <f t="shared" si="47"/>
        <v>8876.9395205733545</v>
      </c>
      <c r="BD18" s="238">
        <f t="shared" si="47"/>
        <v>6043.3656646587606</v>
      </c>
      <c r="BE18" s="238">
        <f t="shared" si="47"/>
        <v>5945.8307520554681</v>
      </c>
      <c r="BF18" s="238">
        <f t="shared" si="47"/>
        <v>5810.183275383607</v>
      </c>
      <c r="BG18" s="238">
        <f t="shared" si="47"/>
        <v>5406.9855604696941</v>
      </c>
      <c r="BH18" s="238">
        <f t="shared" si="47"/>
        <v>5946.9021046392172</v>
      </c>
      <c r="BI18" s="238">
        <f t="shared" si="47"/>
        <v>5879.1440436353005</v>
      </c>
      <c r="BJ18" s="238">
        <f t="shared" si="47"/>
        <v>5411.1675360973304</v>
      </c>
      <c r="BK18" s="238">
        <f t="shared" si="47"/>
        <v>5954.0487680360857</v>
      </c>
      <c r="BL18" s="238">
        <f t="shared" si="47"/>
        <v>5087.0008568759476</v>
      </c>
      <c r="BM18" s="238">
        <f t="shared" ref="BM18:CG18" si="48">ACOS(COS($L18)*COS($M18)*COS(INDEX($L:$L,MATCH(BM$2,$P:$P,0)))*COS(INDEX($M:$M,MATCH(BM$2,$P:$P,0))) + COS($L18)*SIN($M18)*COS(INDEX($L:$L,MATCH(BM$2,$P:$P,0)))*SIN(INDEX($M:$M,MATCH(BM$2,$P:$P,0))) + SIN($L18)*SIN(INDEX($L:$L,MATCH(BM$2,$P:$P,0)))) * 3963.1</f>
        <v>5086.0389500328047</v>
      </c>
      <c r="BN18" s="238">
        <f t="shared" si="48"/>
        <v>5780.7675498002018</v>
      </c>
      <c r="BO18" s="238">
        <f t="shared" si="48"/>
        <v>5781.8862895526427</v>
      </c>
      <c r="BP18" s="238">
        <f t="shared" si="48"/>
        <v>5960.4557843182292</v>
      </c>
      <c r="BQ18" s="238">
        <f t="shared" si="48"/>
        <v>6636.6346325099512</v>
      </c>
      <c r="BR18" s="238">
        <f t="shared" si="48"/>
        <v>6699.6346531205927</v>
      </c>
      <c r="BS18" s="238">
        <f t="shared" si="48"/>
        <v>6771.3298711675834</v>
      </c>
      <c r="BT18" s="238">
        <f t="shared" si="48"/>
        <v>6399.7711089873092</v>
      </c>
      <c r="BU18" s="238">
        <f t="shared" si="48"/>
        <v>6782.6398586853284</v>
      </c>
      <c r="BV18" s="238">
        <f t="shared" si="48"/>
        <v>11472.225813732197</v>
      </c>
      <c r="BW18" s="238">
        <f t="shared" si="48"/>
        <v>6771.3298711675834</v>
      </c>
      <c r="BX18" s="238">
        <f t="shared" si="48"/>
        <v>5176.9038900106643</v>
      </c>
      <c r="BY18" s="238">
        <f t="shared" si="48"/>
        <v>6709.9716473994959</v>
      </c>
      <c r="BZ18" s="238">
        <f t="shared" si="48"/>
        <v>5176.2305342286227</v>
      </c>
      <c r="CA18" s="238">
        <f t="shared" si="48"/>
        <v>6729.4963827749098</v>
      </c>
      <c r="CB18" s="238">
        <f t="shared" si="48"/>
        <v>6707.7459788222523</v>
      </c>
      <c r="CC18" s="238">
        <f t="shared" si="48"/>
        <v>5762.3424505671437</v>
      </c>
      <c r="CD18" s="238">
        <f t="shared" si="48"/>
        <v>9163.0706573950592</v>
      </c>
      <c r="CE18" s="238">
        <f t="shared" si="48"/>
        <v>6304.5189506277829</v>
      </c>
      <c r="CF18" s="238">
        <f t="shared" si="48"/>
        <v>6781.2817332429713</v>
      </c>
      <c r="CG18" s="238">
        <f t="shared" si="48"/>
        <v>5176.8272860685265</v>
      </c>
    </row>
    <row r="19" spans="1:85">
      <c r="A19" s="241" t="s">
        <v>36</v>
      </c>
      <c r="B19" s="74" t="s">
        <v>596</v>
      </c>
      <c r="C19" s="77" t="s">
        <v>603</v>
      </c>
      <c r="D19" s="77" t="s">
        <v>519</v>
      </c>
      <c r="E19" s="77" t="s">
        <v>7</v>
      </c>
      <c r="F19" s="77" t="s">
        <v>7</v>
      </c>
      <c r="G19" s="77" t="s">
        <v>7</v>
      </c>
      <c r="H19" s="77"/>
      <c r="I19" s="241" t="s">
        <v>16</v>
      </c>
      <c r="J19" s="235">
        <v>1.2803020000000001</v>
      </c>
      <c r="K19" s="236">
        <v>103.82083900000001</v>
      </c>
      <c r="L19" s="237">
        <f t="shared" si="0"/>
        <v>2.2345485319868442E-2</v>
      </c>
      <c r="M19" s="237">
        <f t="shared" si="0"/>
        <v>1.8120154727329374</v>
      </c>
      <c r="N19" s="236"/>
      <c r="O19" s="236"/>
      <c r="P19" s="112" t="str">
        <f t="shared" si="3"/>
        <v>HBDC</v>
      </c>
      <c r="Q19" s="238">
        <f t="shared" si="4"/>
        <v>9666.6778812316697</v>
      </c>
      <c r="R19" s="238">
        <f t="shared" si="12"/>
        <v>9717.3459315521141</v>
      </c>
      <c r="S19" s="238">
        <f t="shared" si="12"/>
        <v>9717.3459315521141</v>
      </c>
      <c r="T19" s="238">
        <f t="shared" si="15"/>
        <v>9850.8555306341659</v>
      </c>
      <c r="U19" s="238">
        <f t="shared" si="22"/>
        <v>9382.1625652916973</v>
      </c>
      <c r="V19" s="238">
        <f t="shared" si="22"/>
        <v>9382.1625652916973</v>
      </c>
      <c r="W19" s="238">
        <f t="shared" si="22"/>
        <v>9382.1625652916973</v>
      </c>
      <c r="X19" s="238">
        <f t="shared" si="25"/>
        <v>9483.5817003964166</v>
      </c>
      <c r="Y19" s="238">
        <f t="shared" si="28"/>
        <v>9614.8683159538814</v>
      </c>
      <c r="Z19" s="238">
        <f t="shared" si="31"/>
        <v>9469.8484887463146</v>
      </c>
      <c r="AA19" s="238">
        <f t="shared" si="34"/>
        <v>9475.2921355706712</v>
      </c>
      <c r="AB19" s="238">
        <f t="shared" si="37"/>
        <v>9475.2921355706712</v>
      </c>
      <c r="AC19" s="238">
        <f t="shared" si="40"/>
        <v>9328.3140233491176</v>
      </c>
      <c r="AD19" s="238">
        <f t="shared" si="43"/>
        <v>9336.5406236300278</v>
      </c>
      <c r="AE19" s="238">
        <f t="shared" si="46"/>
        <v>9087.2261907753327</v>
      </c>
      <c r="AF19" s="238">
        <f t="shared" ref="AF19:AF50" si="49">ACOS(COS($L19)*COS($M19)*COS(INDEX($L:$L,MATCH(AF$2,$P:$P,0)))*COS(INDEX($M:$M,MATCH(AF$2,$P:$P,0))) + COS($L19)*SIN($M19)*COS(INDEX($L:$L,MATCH(AF$2,$P:$P,0)))*SIN(INDEX($M:$M,MATCH(AF$2,$P:$P,0))) + SIN($L19)*SIN(INDEX($L:$L,MATCH(AF$2,$P:$P,0)))) * 3963.1</f>
        <v>3313.5303333555894</v>
      </c>
      <c r="AG19" s="238"/>
      <c r="AH19" s="238">
        <f t="shared" ref="AH19:BM19" si="50">ACOS(COS($L19)*COS($M19)*COS(INDEX($L:$L,MATCH(AH$2,$P:$P,0)))*COS(INDEX($M:$M,MATCH(AH$2,$P:$P,0))) + COS($L19)*SIN($M19)*COS(INDEX($L:$L,MATCH(AH$2,$P:$P,0)))*SIN(INDEX($M:$M,MATCH(AH$2,$P:$P,0))) + SIN($L19)*SIN(INDEX($L:$L,MATCH(AH$2,$P:$P,0)))) * 3963.1</f>
        <v>203.33177333591155</v>
      </c>
      <c r="AI19" s="238">
        <f t="shared" si="50"/>
        <v>197.14669189694845</v>
      </c>
      <c r="AJ19" s="238">
        <f t="shared" si="50"/>
        <v>197.14669189694845</v>
      </c>
      <c r="AK19" s="238">
        <f t="shared" si="50"/>
        <v>197.14669189694845</v>
      </c>
      <c r="AL19" s="238">
        <f t="shared" si="50"/>
        <v>188.06480185169133</v>
      </c>
      <c r="AM19" s="238">
        <f t="shared" si="50"/>
        <v>1618.7487138036129</v>
      </c>
      <c r="AN19" s="238">
        <f t="shared" si="50"/>
        <v>1618.7487138036129</v>
      </c>
      <c r="AO19" s="238">
        <f t="shared" si="50"/>
        <v>3082.2998749545113</v>
      </c>
      <c r="AP19" s="238">
        <f t="shared" si="50"/>
        <v>3778.979420472006</v>
      </c>
      <c r="AQ19" s="238">
        <f t="shared" si="50"/>
        <v>3916.9006241668039</v>
      </c>
      <c r="AR19" s="238">
        <f t="shared" si="50"/>
        <v>2429.0762130790376</v>
      </c>
      <c r="AS19" s="238">
        <f t="shared" si="50"/>
        <v>2430.1312585236078</v>
      </c>
      <c r="AT19" s="238">
        <f t="shared" si="50"/>
        <v>2429.8106438168043</v>
      </c>
      <c r="AU19" s="238">
        <f t="shared" si="50"/>
        <v>6730.4047158106359</v>
      </c>
      <c r="AV19" s="238">
        <f t="shared" si="50"/>
        <v>6502.6117774102649</v>
      </c>
      <c r="AW19" s="238">
        <f t="shared" si="50"/>
        <v>6508.941157316508</v>
      </c>
      <c r="AX19" s="238">
        <f t="shared" si="50"/>
        <v>6198.37566441744</v>
      </c>
      <c r="AY19" s="238">
        <f t="shared" si="50"/>
        <v>6669.4723271991143</v>
      </c>
      <c r="AZ19" s="238">
        <f t="shared" si="50"/>
        <v>6388.4094695841459</v>
      </c>
      <c r="BA19" s="238">
        <f t="shared" si="50"/>
        <v>6388.5306819462658</v>
      </c>
      <c r="BB19" s="238">
        <f t="shared" si="50"/>
        <v>6366.0768559013113</v>
      </c>
      <c r="BC19" s="238">
        <f t="shared" si="50"/>
        <v>7180.955123282818</v>
      </c>
      <c r="BD19" s="238">
        <f t="shared" si="50"/>
        <v>6679.8634700431785</v>
      </c>
      <c r="BE19" s="238">
        <f t="shared" si="50"/>
        <v>6746.6354715811813</v>
      </c>
      <c r="BF19" s="238">
        <f t="shared" si="50"/>
        <v>6387.1567357647691</v>
      </c>
      <c r="BG19" s="238">
        <f t="shared" si="50"/>
        <v>6201.6123063682644</v>
      </c>
      <c r="BH19" s="238">
        <f t="shared" si="50"/>
        <v>6726.5306570916464</v>
      </c>
      <c r="BI19" s="238">
        <f t="shared" si="50"/>
        <v>6776.6897109709189</v>
      </c>
      <c r="BJ19" s="238">
        <f t="shared" si="50"/>
        <v>6203.6347936420079</v>
      </c>
      <c r="BK19" s="238">
        <f t="shared" si="50"/>
        <v>6742.7386363634678</v>
      </c>
      <c r="BL19" s="238">
        <f t="shared" si="50"/>
        <v>5997.719125607513</v>
      </c>
      <c r="BM19" s="238">
        <f t="shared" si="50"/>
        <v>6003.335896105651</v>
      </c>
      <c r="BN19" s="238">
        <f t="shared" ref="BN19:CG19" si="51">ACOS(COS($L19)*COS($M19)*COS(INDEX($L:$L,MATCH(BN$2,$P:$P,0)))*COS(INDEX($M:$M,MATCH(BN$2,$P:$P,0))) + COS($L19)*SIN($M19)*COS(INDEX($L:$L,MATCH(BN$2,$P:$P,0)))*SIN(INDEX($M:$M,MATCH(BN$2,$P:$P,0))) + SIN($L19)*SIN(INDEX($L:$L,MATCH(BN$2,$P:$P,0)))) * 3963.1</f>
        <v>6532.8335866498373</v>
      </c>
      <c r="BO19" s="238">
        <f t="shared" si="51"/>
        <v>6529.5073693148888</v>
      </c>
      <c r="BP19" s="238">
        <f t="shared" si="51"/>
        <v>6739.6728475342106</v>
      </c>
      <c r="BQ19" s="238">
        <f t="shared" si="51"/>
        <v>9410.5940981090116</v>
      </c>
      <c r="BR19" s="238">
        <f t="shared" si="51"/>
        <v>9593.9212296983296</v>
      </c>
      <c r="BS19" s="238">
        <f t="shared" si="51"/>
        <v>9671.7117194668717</v>
      </c>
      <c r="BT19" s="238">
        <f t="shared" si="51"/>
        <v>9549.4834001924137</v>
      </c>
      <c r="BU19" s="238">
        <f t="shared" si="51"/>
        <v>9699.4331220863151</v>
      </c>
      <c r="BV19" s="238">
        <f t="shared" si="51"/>
        <v>9996.3772662558567</v>
      </c>
      <c r="BW19" s="238">
        <f t="shared" si="51"/>
        <v>9671.7117194668717</v>
      </c>
      <c r="BX19" s="238">
        <f t="shared" si="51"/>
        <v>8487.7899989502057</v>
      </c>
      <c r="BY19" s="238">
        <f t="shared" si="51"/>
        <v>9413.9502256508258</v>
      </c>
      <c r="BZ19" s="238">
        <f t="shared" si="51"/>
        <v>8487.0923939488548</v>
      </c>
      <c r="CA19" s="238">
        <f t="shared" si="51"/>
        <v>9517.2784653788349</v>
      </c>
      <c r="CB19" s="238">
        <f t="shared" si="51"/>
        <v>9413.5300350447415</v>
      </c>
      <c r="CC19" s="238">
        <f t="shared" si="51"/>
        <v>6485.7491234697382</v>
      </c>
      <c r="CD19" s="238">
        <f t="shared" si="51"/>
        <v>6005.5664645397301</v>
      </c>
      <c r="CE19" s="238">
        <f t="shared" si="51"/>
        <v>9380.5544725409909</v>
      </c>
      <c r="CF19" s="238">
        <f t="shared" si="51"/>
        <v>9670.4938915030689</v>
      </c>
      <c r="CG19" s="238">
        <f t="shared" si="51"/>
        <v>8487.7108082013619</v>
      </c>
    </row>
    <row r="20" spans="1:85" ht="36">
      <c r="A20" s="242" t="s">
        <v>36</v>
      </c>
      <c r="B20" s="208" t="s">
        <v>648</v>
      </c>
      <c r="C20" s="243" t="s">
        <v>650</v>
      </c>
      <c r="D20" s="212" t="s">
        <v>684</v>
      </c>
      <c r="E20" s="212" t="s">
        <v>649</v>
      </c>
      <c r="F20" s="244" t="s">
        <v>685</v>
      </c>
      <c r="G20" s="244" t="s">
        <v>101</v>
      </c>
      <c r="H20" s="74">
        <v>40000</v>
      </c>
      <c r="I20" s="242" t="s">
        <v>16</v>
      </c>
      <c r="J20" s="240">
        <v>3.065124</v>
      </c>
      <c r="K20" s="236">
        <v>101.483289</v>
      </c>
      <c r="L20" s="237">
        <f t="shared" si="0"/>
        <v>5.3496505781898671E-2</v>
      </c>
      <c r="M20" s="237">
        <f t="shared" si="0"/>
        <v>1.7712175288029437</v>
      </c>
      <c r="N20" s="236"/>
      <c r="O20" s="236"/>
      <c r="P20" s="112" t="str">
        <f t="shared" si="3"/>
        <v>HDC</v>
      </c>
      <c r="Q20" s="238">
        <f t="shared" si="4"/>
        <v>9543.3148657315633</v>
      </c>
      <c r="R20" s="238">
        <f t="shared" si="12"/>
        <v>9677.2999587897084</v>
      </c>
      <c r="S20" s="238">
        <f t="shared" si="12"/>
        <v>9677.2999587897084</v>
      </c>
      <c r="T20" s="238">
        <f t="shared" si="15"/>
        <v>9822.5678423530317</v>
      </c>
      <c r="U20" s="238">
        <f t="shared" si="22"/>
        <v>9291.2724119235463</v>
      </c>
      <c r="V20" s="238">
        <f t="shared" si="22"/>
        <v>9291.2724119235463</v>
      </c>
      <c r="W20" s="238">
        <f t="shared" si="22"/>
        <v>9291.2724119235463</v>
      </c>
      <c r="X20" s="238">
        <f t="shared" si="25"/>
        <v>9346.6580182759863</v>
      </c>
      <c r="Y20" s="238">
        <f t="shared" si="28"/>
        <v>9486.3183934976132</v>
      </c>
      <c r="Z20" s="238">
        <f t="shared" si="31"/>
        <v>9332.9926295116857</v>
      </c>
      <c r="AA20" s="238">
        <f t="shared" si="34"/>
        <v>9336.6075877260209</v>
      </c>
      <c r="AB20" s="238">
        <f t="shared" si="37"/>
        <v>9336.6075877260209</v>
      </c>
      <c r="AC20" s="238">
        <f t="shared" si="40"/>
        <v>9211.7031581601041</v>
      </c>
      <c r="AD20" s="238">
        <f t="shared" si="43"/>
        <v>9218.9751106601143</v>
      </c>
      <c r="AE20" s="238">
        <f t="shared" si="46"/>
        <v>9054.6867093350247</v>
      </c>
      <c r="AF20" s="238">
        <f t="shared" si="49"/>
        <v>3327.3796993690003</v>
      </c>
      <c r="AG20" s="238"/>
      <c r="AH20" s="238"/>
      <c r="AI20" s="238">
        <f t="shared" ref="AI20:BN20" si="52">ACOS(COS($L20)*COS($M20)*COS(INDEX($L:$L,MATCH(AI$2,$P:$P,0)))*COS(INDEX($M:$M,MATCH(AI$2,$P:$P,0))) + COS($L20)*SIN($M20)*COS(INDEX($L:$L,MATCH(AI$2,$P:$P,0)))*SIN(INDEX($M:$M,MATCH(AI$2,$P:$P,0))) + SIN($L20)*SIN(INDEX($L:$L,MATCH(AI$2,$P:$P,0)))) * 3963.1</f>
        <v>11.149184117318685</v>
      </c>
      <c r="AJ20" s="238">
        <f t="shared" si="52"/>
        <v>11.149184117318685</v>
      </c>
      <c r="AK20" s="238">
        <f t="shared" si="52"/>
        <v>11.149184117318685</v>
      </c>
      <c r="AL20" s="238">
        <f t="shared" si="52"/>
        <v>15.267617925978737</v>
      </c>
      <c r="AM20" s="238">
        <f t="shared" si="52"/>
        <v>1586.1381937878341</v>
      </c>
      <c r="AN20" s="238">
        <f t="shared" si="52"/>
        <v>1586.1381937878341</v>
      </c>
      <c r="AO20" s="238">
        <f t="shared" si="52"/>
        <v>3089.5509109227305</v>
      </c>
      <c r="AP20" s="238">
        <f t="shared" si="52"/>
        <v>3977.3740760321889</v>
      </c>
      <c r="AQ20" s="238">
        <f t="shared" si="52"/>
        <v>4119.2943456866915</v>
      </c>
      <c r="AR20" s="238">
        <f t="shared" si="52"/>
        <v>2598.4540058955658</v>
      </c>
      <c r="AS20" s="238">
        <f t="shared" si="52"/>
        <v>2599.5828779069052</v>
      </c>
      <c r="AT20" s="238">
        <f t="shared" si="52"/>
        <v>2599.3021869118365</v>
      </c>
      <c r="AU20" s="238">
        <f t="shared" si="52"/>
        <v>6533.7422420502535</v>
      </c>
      <c r="AV20" s="238">
        <f t="shared" si="52"/>
        <v>6304.0720691946399</v>
      </c>
      <c r="AW20" s="238">
        <f t="shared" si="52"/>
        <v>6310.4609835333131</v>
      </c>
      <c r="AX20" s="238">
        <f t="shared" si="52"/>
        <v>6005.2628348278704</v>
      </c>
      <c r="AY20" s="238">
        <f t="shared" si="52"/>
        <v>6470.7229154723464</v>
      </c>
      <c r="AZ20" s="238">
        <f t="shared" si="52"/>
        <v>6190.1742768727181</v>
      </c>
      <c r="BA20" s="238">
        <f t="shared" si="52"/>
        <v>6190.2962696458553</v>
      </c>
      <c r="BB20" s="238">
        <f t="shared" si="52"/>
        <v>6166.0705778143592</v>
      </c>
      <c r="BC20" s="238">
        <f t="shared" si="52"/>
        <v>7018.3604515188517</v>
      </c>
      <c r="BD20" s="238">
        <f t="shared" si="52"/>
        <v>6481.0690980794161</v>
      </c>
      <c r="BE20" s="238">
        <f t="shared" si="52"/>
        <v>6550.207045002132</v>
      </c>
      <c r="BF20" s="238">
        <f t="shared" si="52"/>
        <v>6188.8970665691722</v>
      </c>
      <c r="BG20" s="238">
        <f t="shared" si="52"/>
        <v>6008.5758818221157</v>
      </c>
      <c r="BH20" s="238">
        <f t="shared" si="52"/>
        <v>6529.8337550808565</v>
      </c>
      <c r="BI20" s="238">
        <f t="shared" si="52"/>
        <v>6581.9596530345225</v>
      </c>
      <c r="BJ20" s="238">
        <f t="shared" si="52"/>
        <v>6010.5363396103858</v>
      </c>
      <c r="BK20" s="238">
        <f t="shared" si="52"/>
        <v>6546.112091440672</v>
      </c>
      <c r="BL20" s="238">
        <f t="shared" si="52"/>
        <v>5809.0875416552999</v>
      </c>
      <c r="BM20" s="238">
        <f t="shared" si="52"/>
        <v>5814.8298795993569</v>
      </c>
      <c r="BN20" s="238">
        <f t="shared" si="52"/>
        <v>6336.7635328100669</v>
      </c>
      <c r="BO20" s="238">
        <f t="shared" ref="BO20:CG20" si="53">ACOS(COS($L20)*COS($M20)*COS(INDEX($L:$L,MATCH(BO$2,$P:$P,0)))*COS(INDEX($M:$M,MATCH(BO$2,$P:$P,0))) + COS($L20)*SIN($M20)*COS(INDEX($L:$L,MATCH(BO$2,$P:$P,0)))*SIN(INDEX($M:$M,MATCH(BO$2,$P:$P,0))) + SIN($L20)*SIN(INDEX($L:$L,MATCH(BO$2,$P:$P,0)))) * 3963.1</f>
        <v>6333.3742557017704</v>
      </c>
      <c r="BP20" s="238">
        <f t="shared" si="53"/>
        <v>6542.8936029419847</v>
      </c>
      <c r="BQ20" s="238">
        <f t="shared" si="53"/>
        <v>9276.790191455606</v>
      </c>
      <c r="BR20" s="238">
        <f t="shared" si="53"/>
        <v>9471.415746529774</v>
      </c>
      <c r="BS20" s="238">
        <f t="shared" si="53"/>
        <v>9548.6862795990019</v>
      </c>
      <c r="BT20" s="238">
        <f t="shared" si="53"/>
        <v>9471.7812771431236</v>
      </c>
      <c r="BU20" s="238">
        <f t="shared" si="53"/>
        <v>9578.1503795243807</v>
      </c>
      <c r="BV20" s="238">
        <f t="shared" si="53"/>
        <v>9944.3645271047699</v>
      </c>
      <c r="BW20" s="238">
        <f t="shared" si="53"/>
        <v>9548.6862795990019</v>
      </c>
      <c r="BX20" s="238">
        <f t="shared" si="53"/>
        <v>8502.8285635764478</v>
      </c>
      <c r="BY20" s="238">
        <f t="shared" si="53"/>
        <v>9272.8740862079921</v>
      </c>
      <c r="BZ20" s="238">
        <f t="shared" si="53"/>
        <v>8502.1736809294107</v>
      </c>
      <c r="CA20" s="238">
        <f t="shared" si="53"/>
        <v>9383.2189645512626</v>
      </c>
      <c r="CB20" s="238">
        <f t="shared" si="53"/>
        <v>9272.6383530063231</v>
      </c>
      <c r="CC20" s="238">
        <f t="shared" si="53"/>
        <v>6289.4276136148465</v>
      </c>
      <c r="CD20" s="238">
        <f t="shared" si="53"/>
        <v>5941.236896217395</v>
      </c>
      <c r="CE20" s="238">
        <f t="shared" si="53"/>
        <v>9289.6833427322508</v>
      </c>
      <c r="CF20" s="238">
        <f t="shared" si="53"/>
        <v>9546.0134141102935</v>
      </c>
      <c r="CG20" s="238">
        <f t="shared" si="53"/>
        <v>8502.7539435830386</v>
      </c>
    </row>
    <row r="21" spans="1:85">
      <c r="A21" s="241" t="s">
        <v>36</v>
      </c>
      <c r="B21" s="74" t="s">
        <v>282</v>
      </c>
      <c r="C21" s="77" t="s">
        <v>283</v>
      </c>
      <c r="D21" s="77" t="s">
        <v>187</v>
      </c>
      <c r="E21" s="77" t="s">
        <v>186</v>
      </c>
      <c r="F21" s="77" t="s">
        <v>193</v>
      </c>
      <c r="G21" s="77" t="s">
        <v>101</v>
      </c>
      <c r="H21" s="77" t="s">
        <v>686</v>
      </c>
      <c r="I21" s="241" t="s">
        <v>16</v>
      </c>
      <c r="J21" s="235">
        <v>3.1140015000000001</v>
      </c>
      <c r="K21" s="236">
        <v>101.63711050000001</v>
      </c>
      <c r="L21" s="237">
        <f t="shared" si="0"/>
        <v>5.4349579087042202E-2</v>
      </c>
      <c r="M21" s="237">
        <f t="shared" si="0"/>
        <v>1.7739022204383004</v>
      </c>
      <c r="N21" s="236"/>
      <c r="O21" s="236"/>
      <c r="P21" s="112" t="str">
        <f t="shared" si="3"/>
        <v>KLDC1</v>
      </c>
      <c r="Q21" s="238">
        <f t="shared" si="4"/>
        <v>9540.1663201934462</v>
      </c>
      <c r="R21" s="238">
        <f t="shared" si="12"/>
        <v>9669.8425771390503</v>
      </c>
      <c r="S21" s="238">
        <f t="shared" si="12"/>
        <v>9669.8425771390503</v>
      </c>
      <c r="T21" s="238">
        <f t="shared" si="15"/>
        <v>9814.657575586667</v>
      </c>
      <c r="U21" s="238">
        <f t="shared" si="22"/>
        <v>9286.1750519849829</v>
      </c>
      <c r="V21" s="238">
        <f t="shared" si="22"/>
        <v>9286.1750519849829</v>
      </c>
      <c r="W21" s="238">
        <f t="shared" si="22"/>
        <v>9286.1750519849829</v>
      </c>
      <c r="X21" s="238">
        <f t="shared" si="25"/>
        <v>9344.4113587406373</v>
      </c>
      <c r="Y21" s="238">
        <f t="shared" si="28"/>
        <v>9483.506348478626</v>
      </c>
      <c r="Z21" s="238">
        <f t="shared" si="31"/>
        <v>9330.739778382338</v>
      </c>
      <c r="AA21" s="238">
        <f t="shared" si="34"/>
        <v>9334.4864342557612</v>
      </c>
      <c r="AB21" s="238">
        <f t="shared" si="37"/>
        <v>9334.4864342557612</v>
      </c>
      <c r="AC21" s="238">
        <f t="shared" si="40"/>
        <v>9208.0886274875902</v>
      </c>
      <c r="AD21" s="238">
        <f t="shared" si="43"/>
        <v>9215.4210834282057</v>
      </c>
      <c r="AE21" s="238">
        <f t="shared" si="46"/>
        <v>9046.8628051677406</v>
      </c>
      <c r="AF21" s="238">
        <f t="shared" si="49"/>
        <v>3317.706928860759</v>
      </c>
      <c r="AG21" s="238">
        <f t="shared" ref="AG21:AH40" si="54">ACOS(COS($L21)*COS($M21)*COS(INDEX($L:$L,MATCH(AG$2,$P:$P,0)))*COS(INDEX($M:$M,MATCH(AG$2,$P:$P,0))) + COS($L21)*SIN($M21)*COS(INDEX($L:$L,MATCH(AG$2,$P:$P,0)))*SIN(INDEX($M:$M,MATCH(AG$2,$P:$P,0))) + SIN($L21)*SIN(INDEX($L:$L,MATCH(AG$2,$P:$P,0)))) * 3963.1</f>
        <v>197.14669189694845</v>
      </c>
      <c r="AH21" s="238">
        <f t="shared" si="54"/>
        <v>11.149184117318685</v>
      </c>
      <c r="AI21" s="238"/>
      <c r="AJ21" s="238"/>
      <c r="AK21" s="238"/>
      <c r="AL21" s="238">
        <f t="shared" ref="AL21:AU23" si="55">ACOS(COS($L21)*COS($M21)*COS(INDEX($L:$L,MATCH(AL$2,$P:$P,0)))*COS(INDEX($M:$M,MATCH(AL$2,$P:$P,0))) + COS($L21)*SIN($M21)*COS(INDEX($L:$L,MATCH(AL$2,$P:$P,0)))*SIN(INDEX($M:$M,MATCH(AL$2,$P:$P,0))) + SIN($L21)*SIN(INDEX($L:$L,MATCH(AL$2,$P:$P,0)))) * 3963.1</f>
        <v>12.828128795226615</v>
      </c>
      <c r="AM21" s="238">
        <f t="shared" si="55"/>
        <v>1577.7177354660644</v>
      </c>
      <c r="AN21" s="238">
        <f t="shared" si="55"/>
        <v>1577.7177354660644</v>
      </c>
      <c r="AO21" s="238">
        <f t="shared" si="55"/>
        <v>3080.046788719751</v>
      </c>
      <c r="AP21" s="238">
        <f t="shared" si="55"/>
        <v>3973.1033595988606</v>
      </c>
      <c r="AQ21" s="238">
        <f t="shared" si="55"/>
        <v>4113.7959370765948</v>
      </c>
      <c r="AR21" s="238">
        <f t="shared" si="55"/>
        <v>2597.9873101579001</v>
      </c>
      <c r="AS21" s="238">
        <f t="shared" si="55"/>
        <v>2599.1091864132313</v>
      </c>
      <c r="AT21" s="238">
        <f t="shared" si="55"/>
        <v>2598.8246205426731</v>
      </c>
      <c r="AU21" s="238">
        <f t="shared" si="55"/>
        <v>6537.6146873624875</v>
      </c>
      <c r="AV21" s="238">
        <f t="shared" ref="AV21:BE23" si="56">ACOS(COS($L21)*COS($M21)*COS(INDEX($L:$L,MATCH(AV$2,$P:$P,0)))*COS(INDEX($M:$M,MATCH(AV$2,$P:$P,0))) + COS($L21)*SIN($M21)*COS(INDEX($L:$L,MATCH(AV$2,$P:$P,0)))*SIN(INDEX($M:$M,MATCH(AV$2,$P:$P,0))) + SIN($L21)*SIN(INDEX($L:$L,MATCH(AV$2,$P:$P,0)))) * 3963.1</f>
        <v>6308.3487804932702</v>
      </c>
      <c r="AW21" s="238">
        <f t="shared" si="56"/>
        <v>6314.7238485805028</v>
      </c>
      <c r="AX21" s="238">
        <f t="shared" si="56"/>
        <v>6008.4767523215851</v>
      </c>
      <c r="AY21" s="238">
        <f t="shared" si="56"/>
        <v>6475.0510648882791</v>
      </c>
      <c r="AZ21" s="238">
        <f t="shared" si="56"/>
        <v>6194.3792828198229</v>
      </c>
      <c r="BA21" s="238">
        <f t="shared" si="56"/>
        <v>6194.5010989051798</v>
      </c>
      <c r="BB21" s="238">
        <f t="shared" si="56"/>
        <v>6170.7179428985055</v>
      </c>
      <c r="BC21" s="238">
        <f t="shared" si="56"/>
        <v>7028.9467722208265</v>
      </c>
      <c r="BD21" s="238">
        <f t="shared" si="56"/>
        <v>6485.4081232511789</v>
      </c>
      <c r="BE21" s="238">
        <f t="shared" si="56"/>
        <v>6554.0328169064533</v>
      </c>
      <c r="BF21" s="238">
        <f t="shared" ref="BF21:BO23" si="57">ACOS(COS($L21)*COS($M21)*COS(INDEX($L:$L,MATCH(BF$2,$P:$P,0)))*COS(INDEX($M:$M,MATCH(BF$2,$P:$P,0))) + COS($L21)*SIN($M21)*COS(INDEX($L:$L,MATCH(BF$2,$P:$P,0)))*SIN(INDEX($M:$M,MATCH(BF$2,$P:$P,0))) + SIN($L21)*SIN(INDEX($L:$L,MATCH(BF$2,$P:$P,0)))) * 3963.1</f>
        <v>6193.1076496043834</v>
      </c>
      <c r="BG21" s="238">
        <f t="shared" si="57"/>
        <v>6011.7770523853433</v>
      </c>
      <c r="BH21" s="238">
        <f t="shared" si="57"/>
        <v>6533.7131076484093</v>
      </c>
      <c r="BI21" s="238">
        <f t="shared" si="57"/>
        <v>6585.4646695020265</v>
      </c>
      <c r="BJ21" s="238">
        <f t="shared" si="57"/>
        <v>6013.7479394869451</v>
      </c>
      <c r="BK21" s="238">
        <f t="shared" si="57"/>
        <v>6549.9774609818805</v>
      </c>
      <c r="BL21" s="238">
        <f t="shared" si="57"/>
        <v>5811.6048079699103</v>
      </c>
      <c r="BM21" s="238">
        <f t="shared" si="57"/>
        <v>5817.3293045683922</v>
      </c>
      <c r="BN21" s="238">
        <f t="shared" si="57"/>
        <v>6340.5157242208434</v>
      </c>
      <c r="BO21" s="238">
        <f t="shared" si="57"/>
        <v>6337.1387021193896</v>
      </c>
      <c r="BP21" s="238">
        <f t="shared" ref="BP21:BY23" si="58">ACOS(COS($L21)*COS($M21)*COS(INDEX($L:$L,MATCH(BP$2,$P:$P,0)))*COS(INDEX($M:$M,MATCH(BP$2,$P:$P,0))) + COS($L21)*SIN($M21)*COS(INDEX($L:$L,MATCH(BP$2,$P:$P,0)))*SIN(INDEX($M:$M,MATCH(BP$2,$P:$P,0))) + SIN($L21)*SIN(INDEX($L:$L,MATCH(BP$2,$P:$P,0)))) * 3963.1</f>
        <v>6546.7898490144644</v>
      </c>
      <c r="BQ21" s="238">
        <f t="shared" si="58"/>
        <v>9274.3164270900943</v>
      </c>
      <c r="BR21" s="238">
        <f t="shared" si="58"/>
        <v>9468.2033456145291</v>
      </c>
      <c r="BS21" s="238">
        <f t="shared" si="58"/>
        <v>9545.5164397878725</v>
      </c>
      <c r="BT21" s="238">
        <f t="shared" si="58"/>
        <v>9466.0178938550362</v>
      </c>
      <c r="BU21" s="238">
        <f t="shared" si="58"/>
        <v>9574.87161250182</v>
      </c>
      <c r="BV21" s="238">
        <f t="shared" si="58"/>
        <v>9954.9517793063187</v>
      </c>
      <c r="BW21" s="238">
        <f t="shared" si="58"/>
        <v>9545.5164397878725</v>
      </c>
      <c r="BX21" s="238">
        <f t="shared" si="58"/>
        <v>8493.3415062194108</v>
      </c>
      <c r="BY21" s="238">
        <f t="shared" si="58"/>
        <v>9270.9213694537593</v>
      </c>
      <c r="BZ21" s="238">
        <f t="shared" ref="BZ21:CG23" si="59">ACOS(COS($L21)*COS($M21)*COS(INDEX($L:$L,MATCH(BZ$2,$P:$P,0)))*COS(INDEX($M:$M,MATCH(BZ$2,$P:$P,0))) + COS($L21)*SIN($M21)*COS(INDEX($L:$L,MATCH(BZ$2,$P:$P,0)))*SIN(INDEX($M:$M,MATCH(BZ$2,$P:$P,0))) + SIN($L21)*SIN(INDEX($L:$L,MATCH(BZ$2,$P:$P,0)))) * 3963.1</f>
        <v>8492.6853545286067</v>
      </c>
      <c r="CA21" s="238">
        <f t="shared" si="59"/>
        <v>9380.7736885882969</v>
      </c>
      <c r="CB21" s="238">
        <f t="shared" si="59"/>
        <v>9270.6720372158943</v>
      </c>
      <c r="CC21" s="238">
        <f t="shared" si="59"/>
        <v>6293.2284837311499</v>
      </c>
      <c r="CD21" s="238">
        <f t="shared" si="59"/>
        <v>5951.9182432979114</v>
      </c>
      <c r="CE21" s="238">
        <f t="shared" si="59"/>
        <v>9284.5847870290891</v>
      </c>
      <c r="CF21" s="238">
        <f t="shared" si="59"/>
        <v>9542.9380934990313</v>
      </c>
      <c r="CG21" s="238">
        <f t="shared" si="59"/>
        <v>8493.2667501967026</v>
      </c>
    </row>
    <row r="22" spans="1:85">
      <c r="A22" s="241" t="s">
        <v>36</v>
      </c>
      <c r="B22" s="74" t="s">
        <v>284</v>
      </c>
      <c r="C22" s="77" t="s">
        <v>285</v>
      </c>
      <c r="D22" s="77" t="s">
        <v>187</v>
      </c>
      <c r="E22" s="77" t="s">
        <v>186</v>
      </c>
      <c r="F22" s="77" t="s">
        <v>193</v>
      </c>
      <c r="G22" s="77" t="s">
        <v>101</v>
      </c>
      <c r="H22" s="77"/>
      <c r="I22" s="241" t="s">
        <v>16</v>
      </c>
      <c r="J22" s="235">
        <v>3.1140015000000001</v>
      </c>
      <c r="K22" s="236">
        <v>101.63711050000001</v>
      </c>
      <c r="L22" s="237">
        <f t="shared" si="0"/>
        <v>5.4349579087042202E-2</v>
      </c>
      <c r="M22" s="237">
        <f t="shared" si="0"/>
        <v>1.7739022204383004</v>
      </c>
      <c r="N22" s="236"/>
      <c r="O22" s="236"/>
      <c r="P22" s="112" t="str">
        <f t="shared" si="3"/>
        <v>KLDC2</v>
      </c>
      <c r="Q22" s="238">
        <f t="shared" si="4"/>
        <v>9540.1663201934462</v>
      </c>
      <c r="R22" s="238">
        <f t="shared" si="12"/>
        <v>9669.8425771390503</v>
      </c>
      <c r="S22" s="238">
        <f t="shared" si="12"/>
        <v>9669.8425771390503</v>
      </c>
      <c r="T22" s="238">
        <f t="shared" si="15"/>
        <v>9814.657575586667</v>
      </c>
      <c r="U22" s="238">
        <f t="shared" si="22"/>
        <v>9286.1750519849829</v>
      </c>
      <c r="V22" s="238">
        <f t="shared" si="22"/>
        <v>9286.1750519849829</v>
      </c>
      <c r="W22" s="238">
        <f t="shared" si="22"/>
        <v>9286.1750519849829</v>
      </c>
      <c r="X22" s="238">
        <f t="shared" si="25"/>
        <v>9344.4113587406373</v>
      </c>
      <c r="Y22" s="238">
        <f t="shared" si="28"/>
        <v>9483.506348478626</v>
      </c>
      <c r="Z22" s="238">
        <f t="shared" si="31"/>
        <v>9330.739778382338</v>
      </c>
      <c r="AA22" s="238">
        <f t="shared" si="34"/>
        <v>9334.4864342557612</v>
      </c>
      <c r="AB22" s="238">
        <f t="shared" si="37"/>
        <v>9334.4864342557612</v>
      </c>
      <c r="AC22" s="238">
        <f t="shared" si="40"/>
        <v>9208.0886274875902</v>
      </c>
      <c r="AD22" s="238">
        <f t="shared" si="43"/>
        <v>9215.4210834282057</v>
      </c>
      <c r="AE22" s="238">
        <f t="shared" si="46"/>
        <v>9046.8628051677406</v>
      </c>
      <c r="AF22" s="238">
        <f t="shared" si="49"/>
        <v>3317.706928860759</v>
      </c>
      <c r="AG22" s="238">
        <f t="shared" si="54"/>
        <v>197.14669189694845</v>
      </c>
      <c r="AH22" s="238">
        <f t="shared" si="54"/>
        <v>11.149184117318685</v>
      </c>
      <c r="AI22" s="238"/>
      <c r="AJ22" s="238"/>
      <c r="AK22" s="238"/>
      <c r="AL22" s="238">
        <f t="shared" si="55"/>
        <v>12.828128795226615</v>
      </c>
      <c r="AM22" s="238">
        <f t="shared" si="55"/>
        <v>1577.7177354660644</v>
      </c>
      <c r="AN22" s="238">
        <f t="shared" si="55"/>
        <v>1577.7177354660644</v>
      </c>
      <c r="AO22" s="238">
        <f t="shared" si="55"/>
        <v>3080.046788719751</v>
      </c>
      <c r="AP22" s="238">
        <f t="shared" si="55"/>
        <v>3973.1033595988606</v>
      </c>
      <c r="AQ22" s="238">
        <f t="shared" si="55"/>
        <v>4113.7959370765948</v>
      </c>
      <c r="AR22" s="238">
        <f t="shared" si="55"/>
        <v>2597.9873101579001</v>
      </c>
      <c r="AS22" s="238">
        <f t="shared" si="55"/>
        <v>2599.1091864132313</v>
      </c>
      <c r="AT22" s="238">
        <f t="shared" si="55"/>
        <v>2598.8246205426731</v>
      </c>
      <c r="AU22" s="238">
        <f t="shared" si="55"/>
        <v>6537.6146873624875</v>
      </c>
      <c r="AV22" s="238">
        <f t="shared" si="56"/>
        <v>6308.3487804932702</v>
      </c>
      <c r="AW22" s="238">
        <f t="shared" si="56"/>
        <v>6314.7238485805028</v>
      </c>
      <c r="AX22" s="238">
        <f t="shared" si="56"/>
        <v>6008.4767523215851</v>
      </c>
      <c r="AY22" s="238">
        <f t="shared" si="56"/>
        <v>6475.0510648882791</v>
      </c>
      <c r="AZ22" s="238">
        <f t="shared" si="56"/>
        <v>6194.3792828198229</v>
      </c>
      <c r="BA22" s="238">
        <f t="shared" si="56"/>
        <v>6194.5010989051798</v>
      </c>
      <c r="BB22" s="238">
        <f t="shared" si="56"/>
        <v>6170.7179428985055</v>
      </c>
      <c r="BC22" s="238">
        <f t="shared" si="56"/>
        <v>7028.9467722208265</v>
      </c>
      <c r="BD22" s="238">
        <f t="shared" si="56"/>
        <v>6485.4081232511789</v>
      </c>
      <c r="BE22" s="238">
        <f t="shared" si="56"/>
        <v>6554.0328169064533</v>
      </c>
      <c r="BF22" s="238">
        <f t="shared" si="57"/>
        <v>6193.1076496043834</v>
      </c>
      <c r="BG22" s="238">
        <f t="shared" si="57"/>
        <v>6011.7770523853433</v>
      </c>
      <c r="BH22" s="238">
        <f t="shared" si="57"/>
        <v>6533.7131076484093</v>
      </c>
      <c r="BI22" s="238">
        <f t="shared" si="57"/>
        <v>6585.4646695020265</v>
      </c>
      <c r="BJ22" s="238">
        <f t="shared" si="57"/>
        <v>6013.7479394869451</v>
      </c>
      <c r="BK22" s="238">
        <f t="shared" si="57"/>
        <v>6549.9774609818805</v>
      </c>
      <c r="BL22" s="238">
        <f t="shared" si="57"/>
        <v>5811.6048079699103</v>
      </c>
      <c r="BM22" s="238">
        <f t="shared" si="57"/>
        <v>5817.3293045683922</v>
      </c>
      <c r="BN22" s="238">
        <f t="shared" si="57"/>
        <v>6340.5157242208434</v>
      </c>
      <c r="BO22" s="238">
        <f t="shared" si="57"/>
        <v>6337.1387021193896</v>
      </c>
      <c r="BP22" s="238">
        <f t="shared" si="58"/>
        <v>6546.7898490144644</v>
      </c>
      <c r="BQ22" s="238">
        <f t="shared" si="58"/>
        <v>9274.3164270900943</v>
      </c>
      <c r="BR22" s="238">
        <f t="shared" si="58"/>
        <v>9468.2033456145291</v>
      </c>
      <c r="BS22" s="238">
        <f t="shared" si="58"/>
        <v>9545.5164397878725</v>
      </c>
      <c r="BT22" s="238">
        <f t="shared" si="58"/>
        <v>9466.0178938550362</v>
      </c>
      <c r="BU22" s="238">
        <f t="shared" si="58"/>
        <v>9574.87161250182</v>
      </c>
      <c r="BV22" s="238">
        <f t="shared" si="58"/>
        <v>9954.9517793063187</v>
      </c>
      <c r="BW22" s="238">
        <f t="shared" si="58"/>
        <v>9545.5164397878725</v>
      </c>
      <c r="BX22" s="238">
        <f t="shared" si="58"/>
        <v>8493.3415062194108</v>
      </c>
      <c r="BY22" s="238">
        <f t="shared" si="58"/>
        <v>9270.9213694537593</v>
      </c>
      <c r="BZ22" s="238">
        <f t="shared" si="59"/>
        <v>8492.6853545286067</v>
      </c>
      <c r="CA22" s="238">
        <f t="shared" si="59"/>
        <v>9380.7736885882969</v>
      </c>
      <c r="CB22" s="238">
        <f t="shared" si="59"/>
        <v>9270.6720372158943</v>
      </c>
      <c r="CC22" s="238">
        <f t="shared" si="59"/>
        <v>6293.2284837311499</v>
      </c>
      <c r="CD22" s="238">
        <f t="shared" si="59"/>
        <v>5951.9182432979114</v>
      </c>
      <c r="CE22" s="238">
        <f t="shared" si="59"/>
        <v>9284.5847870290891</v>
      </c>
      <c r="CF22" s="238">
        <f t="shared" si="59"/>
        <v>9542.9380934990313</v>
      </c>
      <c r="CG22" s="238">
        <f t="shared" si="59"/>
        <v>8493.2667501967026</v>
      </c>
    </row>
    <row r="23" spans="1:85">
      <c r="A23" s="241" t="s">
        <v>36</v>
      </c>
      <c r="B23" s="74" t="s">
        <v>287</v>
      </c>
      <c r="C23" s="245" t="s">
        <v>288</v>
      </c>
      <c r="D23" s="77" t="s">
        <v>187</v>
      </c>
      <c r="E23" s="77" t="s">
        <v>186</v>
      </c>
      <c r="F23" s="77" t="s">
        <v>193</v>
      </c>
      <c r="G23" s="77" t="s">
        <v>101</v>
      </c>
      <c r="H23" s="77"/>
      <c r="I23" s="241" t="s">
        <v>16</v>
      </c>
      <c r="J23" s="235">
        <v>3.1140015000000001</v>
      </c>
      <c r="K23" s="236">
        <v>101.63711050000001</v>
      </c>
      <c r="L23" s="237">
        <f t="shared" si="0"/>
        <v>5.4349579087042202E-2</v>
      </c>
      <c r="M23" s="237">
        <f t="shared" si="0"/>
        <v>1.7739022204383004</v>
      </c>
      <c r="N23" s="236"/>
      <c r="O23" s="236"/>
      <c r="P23" s="112" t="str">
        <f t="shared" si="3"/>
        <v>KLDC3</v>
      </c>
      <c r="Q23" s="238">
        <f t="shared" si="4"/>
        <v>9540.1663201934462</v>
      </c>
      <c r="R23" s="238">
        <f t="shared" si="12"/>
        <v>9669.8425771390503</v>
      </c>
      <c r="S23" s="238">
        <f t="shared" si="12"/>
        <v>9669.8425771390503</v>
      </c>
      <c r="T23" s="238">
        <f t="shared" si="15"/>
        <v>9814.657575586667</v>
      </c>
      <c r="U23" s="238">
        <f t="shared" si="22"/>
        <v>9286.1750519849829</v>
      </c>
      <c r="V23" s="238">
        <f t="shared" si="22"/>
        <v>9286.1750519849829</v>
      </c>
      <c r="W23" s="238">
        <f t="shared" si="22"/>
        <v>9286.1750519849829</v>
      </c>
      <c r="X23" s="238">
        <f t="shared" si="25"/>
        <v>9344.4113587406373</v>
      </c>
      <c r="Y23" s="238">
        <f t="shared" si="28"/>
        <v>9483.506348478626</v>
      </c>
      <c r="Z23" s="238">
        <f t="shared" si="31"/>
        <v>9330.739778382338</v>
      </c>
      <c r="AA23" s="238">
        <f t="shared" si="34"/>
        <v>9334.4864342557612</v>
      </c>
      <c r="AB23" s="238">
        <f t="shared" si="37"/>
        <v>9334.4864342557612</v>
      </c>
      <c r="AC23" s="238">
        <f t="shared" si="40"/>
        <v>9208.0886274875902</v>
      </c>
      <c r="AD23" s="238">
        <f t="shared" si="43"/>
        <v>9215.4210834282057</v>
      </c>
      <c r="AE23" s="238">
        <f t="shared" si="46"/>
        <v>9046.8628051677406</v>
      </c>
      <c r="AF23" s="238">
        <f t="shared" si="49"/>
        <v>3317.706928860759</v>
      </c>
      <c r="AG23" s="238">
        <f t="shared" si="54"/>
        <v>197.14669189694845</v>
      </c>
      <c r="AH23" s="238">
        <f t="shared" si="54"/>
        <v>11.149184117318685</v>
      </c>
      <c r="AI23" s="238"/>
      <c r="AJ23" s="238"/>
      <c r="AK23" s="238"/>
      <c r="AL23" s="238">
        <f t="shared" si="55"/>
        <v>12.828128795226615</v>
      </c>
      <c r="AM23" s="238">
        <f t="shared" si="55"/>
        <v>1577.7177354660644</v>
      </c>
      <c r="AN23" s="238">
        <f t="shared" si="55"/>
        <v>1577.7177354660644</v>
      </c>
      <c r="AO23" s="238">
        <f t="shared" si="55"/>
        <v>3080.046788719751</v>
      </c>
      <c r="AP23" s="238">
        <f t="shared" si="55"/>
        <v>3973.1033595988606</v>
      </c>
      <c r="AQ23" s="238">
        <f t="shared" si="55"/>
        <v>4113.7959370765948</v>
      </c>
      <c r="AR23" s="238">
        <f t="shared" si="55"/>
        <v>2597.9873101579001</v>
      </c>
      <c r="AS23" s="238">
        <f t="shared" si="55"/>
        <v>2599.1091864132313</v>
      </c>
      <c r="AT23" s="238">
        <f t="shared" si="55"/>
        <v>2598.8246205426731</v>
      </c>
      <c r="AU23" s="238">
        <f t="shared" si="55"/>
        <v>6537.6146873624875</v>
      </c>
      <c r="AV23" s="238">
        <f t="shared" si="56"/>
        <v>6308.3487804932702</v>
      </c>
      <c r="AW23" s="238">
        <f t="shared" si="56"/>
        <v>6314.7238485805028</v>
      </c>
      <c r="AX23" s="238">
        <f t="shared" si="56"/>
        <v>6008.4767523215851</v>
      </c>
      <c r="AY23" s="238">
        <f t="shared" si="56"/>
        <v>6475.0510648882791</v>
      </c>
      <c r="AZ23" s="238">
        <f t="shared" si="56"/>
        <v>6194.3792828198229</v>
      </c>
      <c r="BA23" s="238">
        <f t="shared" si="56"/>
        <v>6194.5010989051798</v>
      </c>
      <c r="BB23" s="238">
        <f t="shared" si="56"/>
        <v>6170.7179428985055</v>
      </c>
      <c r="BC23" s="238">
        <f t="shared" si="56"/>
        <v>7028.9467722208265</v>
      </c>
      <c r="BD23" s="238">
        <f t="shared" si="56"/>
        <v>6485.4081232511789</v>
      </c>
      <c r="BE23" s="238">
        <f t="shared" si="56"/>
        <v>6554.0328169064533</v>
      </c>
      <c r="BF23" s="238">
        <f t="shared" si="57"/>
        <v>6193.1076496043834</v>
      </c>
      <c r="BG23" s="238">
        <f t="shared" si="57"/>
        <v>6011.7770523853433</v>
      </c>
      <c r="BH23" s="238">
        <f t="shared" si="57"/>
        <v>6533.7131076484093</v>
      </c>
      <c r="BI23" s="238">
        <f t="shared" si="57"/>
        <v>6585.4646695020265</v>
      </c>
      <c r="BJ23" s="238">
        <f t="shared" si="57"/>
        <v>6013.7479394869451</v>
      </c>
      <c r="BK23" s="238">
        <f t="shared" si="57"/>
        <v>6549.9774609818805</v>
      </c>
      <c r="BL23" s="238">
        <f t="shared" si="57"/>
        <v>5811.6048079699103</v>
      </c>
      <c r="BM23" s="238">
        <f t="shared" si="57"/>
        <v>5817.3293045683922</v>
      </c>
      <c r="BN23" s="238">
        <f t="shared" si="57"/>
        <v>6340.5157242208434</v>
      </c>
      <c r="BO23" s="238">
        <f t="shared" si="57"/>
        <v>6337.1387021193896</v>
      </c>
      <c r="BP23" s="238">
        <f t="shared" si="58"/>
        <v>6546.7898490144644</v>
      </c>
      <c r="BQ23" s="238">
        <f t="shared" si="58"/>
        <v>9274.3164270900943</v>
      </c>
      <c r="BR23" s="238">
        <f t="shared" si="58"/>
        <v>9468.2033456145291</v>
      </c>
      <c r="BS23" s="238">
        <f t="shared" si="58"/>
        <v>9545.5164397878725</v>
      </c>
      <c r="BT23" s="238">
        <f t="shared" si="58"/>
        <v>9466.0178938550362</v>
      </c>
      <c r="BU23" s="238">
        <f t="shared" si="58"/>
        <v>9574.87161250182</v>
      </c>
      <c r="BV23" s="238">
        <f t="shared" si="58"/>
        <v>9954.9517793063187</v>
      </c>
      <c r="BW23" s="238">
        <f t="shared" si="58"/>
        <v>9545.5164397878725</v>
      </c>
      <c r="BX23" s="238">
        <f t="shared" si="58"/>
        <v>8493.3415062194108</v>
      </c>
      <c r="BY23" s="238">
        <f t="shared" si="58"/>
        <v>9270.9213694537593</v>
      </c>
      <c r="BZ23" s="238">
        <f t="shared" si="59"/>
        <v>8492.6853545286067</v>
      </c>
      <c r="CA23" s="238">
        <f t="shared" si="59"/>
        <v>9380.7736885882969</v>
      </c>
      <c r="CB23" s="238">
        <f t="shared" si="59"/>
        <v>9270.6720372158943</v>
      </c>
      <c r="CC23" s="238">
        <f t="shared" si="59"/>
        <v>6293.2284837311499</v>
      </c>
      <c r="CD23" s="238">
        <f t="shared" si="59"/>
        <v>5951.9182432979114</v>
      </c>
      <c r="CE23" s="238">
        <f t="shared" si="59"/>
        <v>9284.5847870290891</v>
      </c>
      <c r="CF23" s="238">
        <f t="shared" si="59"/>
        <v>9542.9380934990313</v>
      </c>
      <c r="CG23" s="238">
        <f t="shared" si="59"/>
        <v>8493.2667501967026</v>
      </c>
    </row>
    <row r="24" spans="1:85" ht="24">
      <c r="A24" s="241" t="s">
        <v>36</v>
      </c>
      <c r="B24" s="74" t="s">
        <v>289</v>
      </c>
      <c r="C24" s="77" t="s">
        <v>103</v>
      </c>
      <c r="D24" s="77" t="s">
        <v>520</v>
      </c>
      <c r="E24" s="77" t="s">
        <v>103</v>
      </c>
      <c r="F24" s="77" t="s">
        <v>193</v>
      </c>
      <c r="G24" s="77" t="s">
        <v>101</v>
      </c>
      <c r="H24" s="77"/>
      <c r="I24" s="241" t="s">
        <v>16</v>
      </c>
      <c r="J24" s="240">
        <v>2.9296989999999998</v>
      </c>
      <c r="K24" s="236">
        <v>101.65783</v>
      </c>
      <c r="L24" s="237">
        <f t="shared" si="0"/>
        <v>5.1132893642385352E-2</v>
      </c>
      <c r="M24" s="237">
        <f t="shared" si="0"/>
        <v>1.7742638439326672</v>
      </c>
      <c r="N24" s="236"/>
      <c r="O24" s="236"/>
      <c r="P24" s="112" t="str">
        <f t="shared" si="3"/>
        <v>CYDC</v>
      </c>
      <c r="Q24" s="238">
        <f t="shared" si="4"/>
        <v>9552.9404923963448</v>
      </c>
      <c r="R24" s="238">
        <f t="shared" si="12"/>
        <v>9680.8538889053434</v>
      </c>
      <c r="S24" s="238">
        <f t="shared" si="12"/>
        <v>9680.8538889053434</v>
      </c>
      <c r="T24" s="238">
        <f t="shared" si="15"/>
        <v>9825.2811990937589</v>
      </c>
      <c r="U24" s="238">
        <f t="shared" si="22"/>
        <v>9298.5025654957954</v>
      </c>
      <c r="V24" s="238">
        <f t="shared" si="22"/>
        <v>9298.5025654957954</v>
      </c>
      <c r="W24" s="238">
        <f t="shared" si="22"/>
        <v>9298.5025654957954</v>
      </c>
      <c r="X24" s="238">
        <f t="shared" si="25"/>
        <v>9357.2390679518103</v>
      </c>
      <c r="Y24" s="238">
        <f t="shared" si="28"/>
        <v>9496.3111325303944</v>
      </c>
      <c r="Z24" s="238">
        <f t="shared" si="31"/>
        <v>9343.5674276855316</v>
      </c>
      <c r="AA24" s="238">
        <f t="shared" si="34"/>
        <v>9347.3144882998331</v>
      </c>
      <c r="AB24" s="238">
        <f t="shared" si="37"/>
        <v>9347.3144882998331</v>
      </c>
      <c r="AC24" s="238">
        <f t="shared" si="40"/>
        <v>9220.7993310262773</v>
      </c>
      <c r="AD24" s="238">
        <f t="shared" si="43"/>
        <v>9228.141504059533</v>
      </c>
      <c r="AE24" s="238">
        <f t="shared" si="46"/>
        <v>9057.5699627106624</v>
      </c>
      <c r="AF24" s="238">
        <f t="shared" si="49"/>
        <v>3326.1503610088766</v>
      </c>
      <c r="AG24" s="238">
        <f t="shared" si="54"/>
        <v>188.06480185170102</v>
      </c>
      <c r="AH24" s="238">
        <f t="shared" si="54"/>
        <v>15.267617925978737</v>
      </c>
      <c r="AI24" s="238">
        <f t="shared" ref="AI24:AK43" si="60">ACOS(COS($L24)*COS($M24)*COS(INDEX($L:$L,MATCH(AI$2,$P:$P,0)))*COS(INDEX($M:$M,MATCH(AI$2,$P:$P,0))) + COS($L24)*SIN($M24)*COS(INDEX($L:$L,MATCH(AI$2,$P:$P,0)))*SIN(INDEX($M:$M,MATCH(AI$2,$P:$P,0))) + SIN($L24)*SIN(INDEX($L:$L,MATCH(AI$2,$P:$P,0)))) * 3963.1</f>
        <v>12.828128795226615</v>
      </c>
      <c r="AJ24" s="238">
        <f t="shared" si="60"/>
        <v>12.828128795226615</v>
      </c>
      <c r="AK24" s="238">
        <f t="shared" si="60"/>
        <v>12.828128795226615</v>
      </c>
      <c r="AL24" s="238"/>
      <c r="AM24" s="238">
        <f t="shared" ref="AM24:CG24" si="61">ACOS(COS($L24)*COS($M24)*COS(INDEX($L:$L,MATCH(AM$2,$P:$P,0)))*COS(INDEX($M:$M,MATCH(AM$2,$P:$P,0))) + COS($L24)*SIN($M24)*COS(INDEX($L:$L,MATCH(AM$2,$P:$P,0)))*SIN(INDEX($M:$M,MATCH(AM$2,$P:$P,0))) + SIN($L24)*SIN(INDEX($L:$L,MATCH(AM$2,$P:$P,0)))) * 3963.1</f>
        <v>1587.8886733977049</v>
      </c>
      <c r="AN24" s="238">
        <f t="shared" si="61"/>
        <v>1587.8886733977049</v>
      </c>
      <c r="AO24" s="238">
        <f t="shared" si="61"/>
        <v>3088.7749629032814</v>
      </c>
      <c r="AP24" s="238">
        <f t="shared" si="61"/>
        <v>3962.4371713701616</v>
      </c>
      <c r="AQ24" s="238">
        <f t="shared" si="61"/>
        <v>4104.0829429321848</v>
      </c>
      <c r="AR24" s="238">
        <f t="shared" si="61"/>
        <v>2585.5170007805277</v>
      </c>
      <c r="AS24" s="238">
        <f t="shared" si="61"/>
        <v>2586.6407754379065</v>
      </c>
      <c r="AT24" s="238">
        <f t="shared" si="61"/>
        <v>2586.357261318602</v>
      </c>
      <c r="AU24" s="238">
        <f t="shared" si="61"/>
        <v>6548.5449946570998</v>
      </c>
      <c r="AV24" s="238">
        <f t="shared" si="61"/>
        <v>6319.0090572843001</v>
      </c>
      <c r="AW24" s="238">
        <f t="shared" si="61"/>
        <v>6325.3937140926128</v>
      </c>
      <c r="AX24" s="238">
        <f t="shared" si="61"/>
        <v>6019.8035505549478</v>
      </c>
      <c r="AY24" s="238">
        <f t="shared" si="61"/>
        <v>6485.6756389645043</v>
      </c>
      <c r="AZ24" s="238">
        <f t="shared" si="61"/>
        <v>6205.0888434099379</v>
      </c>
      <c r="BA24" s="238">
        <f t="shared" si="61"/>
        <v>6205.2107804141933</v>
      </c>
      <c r="BB24" s="238">
        <f t="shared" si="61"/>
        <v>6181.1122780638461</v>
      </c>
      <c r="BC24" s="238">
        <f t="shared" si="61"/>
        <v>7030.5163643785836</v>
      </c>
      <c r="BD24" s="238">
        <f t="shared" si="61"/>
        <v>6496.0250867742679</v>
      </c>
      <c r="BE24" s="238">
        <f t="shared" si="61"/>
        <v>6564.9929848884258</v>
      </c>
      <c r="BF24" s="238">
        <f t="shared" si="61"/>
        <v>6203.8133932771998</v>
      </c>
      <c r="BG24" s="238">
        <f t="shared" si="61"/>
        <v>6023.1110337217269</v>
      </c>
      <c r="BH24" s="238">
        <f t="shared" si="61"/>
        <v>6544.63897197593</v>
      </c>
      <c r="BI24" s="238">
        <f t="shared" si="61"/>
        <v>6596.6228531138286</v>
      </c>
      <c r="BJ24" s="238">
        <f t="shared" si="61"/>
        <v>6025.0760493082744</v>
      </c>
      <c r="BK24" s="238">
        <f t="shared" si="61"/>
        <v>6560.9123203167583</v>
      </c>
      <c r="BL24" s="238">
        <f t="shared" si="61"/>
        <v>5823.2968829197616</v>
      </c>
      <c r="BM24" s="238">
        <f t="shared" si="61"/>
        <v>5829.0300357012093</v>
      </c>
      <c r="BN24" s="238">
        <f t="shared" si="61"/>
        <v>6351.5222309268529</v>
      </c>
      <c r="BO24" s="238">
        <f t="shared" si="61"/>
        <v>6348.1375051083305</v>
      </c>
      <c r="BP24" s="238">
        <f t="shared" si="61"/>
        <v>6557.7048403273939</v>
      </c>
      <c r="BQ24" s="238">
        <f t="shared" si="61"/>
        <v>9287.1391959492375</v>
      </c>
      <c r="BR24" s="238">
        <f t="shared" si="61"/>
        <v>9480.9703311232461</v>
      </c>
      <c r="BS24" s="238">
        <f t="shared" si="61"/>
        <v>9558.2882372336735</v>
      </c>
      <c r="BT24" s="238">
        <f t="shared" si="61"/>
        <v>9478.0729637147851</v>
      </c>
      <c r="BU24" s="238">
        <f t="shared" si="61"/>
        <v>9587.6304368311739</v>
      </c>
      <c r="BV24" s="238">
        <f t="shared" si="61"/>
        <v>9948.6046800349777</v>
      </c>
      <c r="BW24" s="238">
        <f t="shared" si="61"/>
        <v>9558.2882372336735</v>
      </c>
      <c r="BX24" s="238">
        <f t="shared" si="61"/>
        <v>8502.0671203915153</v>
      </c>
      <c r="BY24" s="238">
        <f t="shared" si="61"/>
        <v>9283.747220721898</v>
      </c>
      <c r="BZ24" s="238">
        <f t="shared" si="61"/>
        <v>8501.4089349298501</v>
      </c>
      <c r="CA24" s="238">
        <f t="shared" si="61"/>
        <v>9393.5973603593902</v>
      </c>
      <c r="CB24" s="238">
        <f t="shared" si="61"/>
        <v>9283.4981784681459</v>
      </c>
      <c r="CC24" s="238">
        <f t="shared" si="61"/>
        <v>6304.2042549976086</v>
      </c>
      <c r="CD24" s="238">
        <f t="shared" si="61"/>
        <v>5945.9172914609617</v>
      </c>
      <c r="CE24" s="238">
        <f t="shared" si="61"/>
        <v>9296.9118768321841</v>
      </c>
      <c r="CF24" s="238">
        <f t="shared" si="61"/>
        <v>9555.7200132319522</v>
      </c>
      <c r="CG24" s="238">
        <f t="shared" si="61"/>
        <v>8501.9921464505223</v>
      </c>
    </row>
    <row r="25" spans="1:85">
      <c r="A25" s="241" t="s">
        <v>36</v>
      </c>
      <c r="B25" s="74" t="s">
        <v>290</v>
      </c>
      <c r="C25" s="77" t="s">
        <v>135</v>
      </c>
      <c r="D25" s="77" t="s">
        <v>165</v>
      </c>
      <c r="E25" s="77" t="s">
        <v>194</v>
      </c>
      <c r="F25" s="77" t="s">
        <v>195</v>
      </c>
      <c r="G25" s="77" t="s">
        <v>102</v>
      </c>
      <c r="H25" s="77"/>
      <c r="I25" s="241" t="s">
        <v>16</v>
      </c>
      <c r="J25" s="235">
        <v>22.3908875161232</v>
      </c>
      <c r="K25" s="236">
        <v>114.208939969539</v>
      </c>
      <c r="L25" s="237">
        <f t="shared" si="0"/>
        <v>0.39079470960004475</v>
      </c>
      <c r="M25" s="237">
        <f t="shared" si="0"/>
        <v>1.9933220376810079</v>
      </c>
      <c r="N25" s="236"/>
      <c r="O25" s="236"/>
      <c r="P25" s="112" t="str">
        <f t="shared" si="3"/>
        <v>STDC1</v>
      </c>
      <c r="Q25" s="238">
        <f t="shared" si="4"/>
        <v>8141.763665901256</v>
      </c>
      <c r="R25" s="238">
        <f t="shared" si="12"/>
        <v>8100.1216816875667</v>
      </c>
      <c r="S25" s="238">
        <f t="shared" si="12"/>
        <v>8100.1216816875667</v>
      </c>
      <c r="T25" s="238">
        <f t="shared" si="15"/>
        <v>8239.1480675156272</v>
      </c>
      <c r="U25" s="238">
        <f t="shared" si="22"/>
        <v>7792.1844534171432</v>
      </c>
      <c r="V25" s="238">
        <f t="shared" si="22"/>
        <v>7792.1844534171432</v>
      </c>
      <c r="W25" s="238">
        <f t="shared" si="22"/>
        <v>7792.1844534171432</v>
      </c>
      <c r="X25" s="238">
        <f t="shared" si="25"/>
        <v>8008.5792830664222</v>
      </c>
      <c r="Y25" s="238">
        <f t="shared" si="28"/>
        <v>8106.9052640363589</v>
      </c>
      <c r="Z25" s="238">
        <f t="shared" si="31"/>
        <v>7994.9719760697917</v>
      </c>
      <c r="AA25" s="238">
        <f t="shared" si="34"/>
        <v>8007.4408348752067</v>
      </c>
      <c r="AB25" s="238">
        <f t="shared" si="37"/>
        <v>8007.4408348752067</v>
      </c>
      <c r="AC25" s="238">
        <f t="shared" si="40"/>
        <v>7791.1287191776419</v>
      </c>
      <c r="AD25" s="238">
        <f t="shared" si="43"/>
        <v>7801.7828543863207</v>
      </c>
      <c r="AE25" s="238">
        <f t="shared" si="46"/>
        <v>7472.5961121856471</v>
      </c>
      <c r="AF25" s="238">
        <f t="shared" si="49"/>
        <v>1790.6106699551228</v>
      </c>
      <c r="AG25" s="238">
        <f t="shared" si="54"/>
        <v>1618.7487138036129</v>
      </c>
      <c r="AH25" s="238">
        <f t="shared" si="54"/>
        <v>1586.1381937878341</v>
      </c>
      <c r="AI25" s="238">
        <f t="shared" si="60"/>
        <v>1577.7177354660644</v>
      </c>
      <c r="AJ25" s="238">
        <f t="shared" si="60"/>
        <v>1577.7177354660644</v>
      </c>
      <c r="AK25" s="238">
        <f t="shared" si="60"/>
        <v>1577.7177354660644</v>
      </c>
      <c r="AL25" s="238">
        <f t="shared" ref="AL25:AL71" si="62">ACOS(COS($L25)*COS($M25)*COS(INDEX($L:$L,MATCH(AL$2,$P:$P,0)))*COS(INDEX($M:$M,MATCH(AL$2,$P:$P,0))) + COS($L25)*SIN($M25)*COS(INDEX($L:$L,MATCH(AL$2,$P:$P,0)))*SIN(INDEX($M:$M,MATCH(AL$2,$P:$P,0))) + SIN($L25)*SIN(INDEX($L:$L,MATCH(AL$2,$P:$P,0)))) * 3963.1</f>
        <v>1587.888673397704</v>
      </c>
      <c r="AM25" s="238"/>
      <c r="AN25" s="238"/>
      <c r="AO25" s="238">
        <f t="shared" ref="AO25:AX26" si="63">ACOS(COS($L25)*COS($M25)*COS(INDEX($L:$L,MATCH(AO$2,$P:$P,0)))*COS(INDEX($M:$M,MATCH(AO$2,$P:$P,0))) + COS($L25)*SIN($M25)*COS(INDEX($L:$L,MATCH(AO$2,$P:$P,0)))*SIN(INDEX($M:$M,MATCH(AO$2,$P:$P,0))) + SIN($L25)*SIN(INDEX($L:$L,MATCH(AO$2,$P:$P,0)))) * 3963.1</f>
        <v>1541.8824764904848</v>
      </c>
      <c r="AP25" s="238">
        <f t="shared" si="63"/>
        <v>4629.4720880808945</v>
      </c>
      <c r="AQ25" s="238">
        <f t="shared" si="63"/>
        <v>4589.0445929606203</v>
      </c>
      <c r="AR25" s="238">
        <f t="shared" si="63"/>
        <v>3759.9943296914121</v>
      </c>
      <c r="AS25" s="238">
        <f t="shared" si="63"/>
        <v>3760.4703202248861</v>
      </c>
      <c r="AT25" s="238">
        <f t="shared" si="63"/>
        <v>3759.893614538943</v>
      </c>
      <c r="AU25" s="238">
        <f t="shared" si="63"/>
        <v>5969.8336040273671</v>
      </c>
      <c r="AV25" s="238">
        <f t="shared" si="63"/>
        <v>5813.1189836370513</v>
      </c>
      <c r="AW25" s="238">
        <f t="shared" si="63"/>
        <v>5817.0717349885344</v>
      </c>
      <c r="AX25" s="238">
        <f t="shared" si="63"/>
        <v>5387.5311900694987</v>
      </c>
      <c r="AY25" s="238">
        <f t="shared" ref="AY25:BH26" si="64">ACOS(COS($L25)*COS($M25)*COS(INDEX($L:$L,MATCH(AY$2,$P:$P,0)))*COS(INDEX($M:$M,MATCH(AY$2,$P:$P,0))) + COS($L25)*SIN($M25)*COS(INDEX($L:$L,MATCH(AY$2,$P:$P,0)))*SIN(INDEX($M:$M,MATCH(AY$2,$P:$P,0))) + SIN($L25)*SIN(INDEX($L:$L,MATCH(AY$2,$P:$P,0)))) * 3963.1</f>
        <v>5975.2742140754699</v>
      </c>
      <c r="AZ25" s="238">
        <f t="shared" si="64"/>
        <v>5697.0916857435714</v>
      </c>
      <c r="BA25" s="238">
        <f t="shared" si="64"/>
        <v>5697.1797073585967</v>
      </c>
      <c r="BB25" s="238">
        <f t="shared" si="64"/>
        <v>5738.9427069232988</v>
      </c>
      <c r="BC25" s="238">
        <f t="shared" si="64"/>
        <v>7766.3798056905216</v>
      </c>
      <c r="BD25" s="238">
        <f t="shared" si="64"/>
        <v>5986.4405164854788</v>
      </c>
      <c r="BE25" s="238">
        <f t="shared" si="64"/>
        <v>5978.7296910668465</v>
      </c>
      <c r="BF25" s="238">
        <f t="shared" si="64"/>
        <v>5696.7030751619113</v>
      </c>
      <c r="BG25" s="238">
        <f t="shared" si="64"/>
        <v>5388.9007743363218</v>
      </c>
      <c r="BH25" s="238">
        <f t="shared" si="64"/>
        <v>5967.1489688021265</v>
      </c>
      <c r="BI25" s="238">
        <f t="shared" ref="BI25:BR26" si="65">ACOS(COS($L25)*COS($M25)*COS(INDEX($L:$L,MATCH(BI$2,$P:$P,0)))*COS(INDEX($M:$M,MATCH(BI$2,$P:$P,0))) + COS($L25)*SIN($M25)*COS(INDEX($L:$L,MATCH(BI$2,$P:$P,0)))*SIN(INDEX($M:$M,MATCH(BI$2,$P:$P,0))) + SIN($L25)*SIN(INDEX($L:$L,MATCH(BI$2,$P:$P,0)))) * 3963.1</f>
        <v>5964.6784264185289</v>
      </c>
      <c r="BJ25" s="238">
        <f t="shared" si="65"/>
        <v>5392.1335189032461</v>
      </c>
      <c r="BK25" s="238">
        <f t="shared" si="65"/>
        <v>5980.3754487121669</v>
      </c>
      <c r="BL25" s="238">
        <f t="shared" si="65"/>
        <v>5112.2185408541618</v>
      </c>
      <c r="BM25" s="238">
        <f t="shared" si="65"/>
        <v>5115.2607175790181</v>
      </c>
      <c r="BN25" s="238">
        <f t="shared" si="65"/>
        <v>5769.79339070276</v>
      </c>
      <c r="BO25" s="238">
        <f t="shared" si="65"/>
        <v>5768.3296249602527</v>
      </c>
      <c r="BP25" s="238">
        <f t="shared" si="65"/>
        <v>5981.6465451582017</v>
      </c>
      <c r="BQ25" s="238">
        <f t="shared" si="65"/>
        <v>7925.8189160849024</v>
      </c>
      <c r="BR25" s="238">
        <f t="shared" si="65"/>
        <v>8068.0815030725362</v>
      </c>
      <c r="BS25" s="238">
        <f t="shared" ref="BS25:CG26" si="66">ACOS(COS($L25)*COS($M25)*COS(INDEX($L:$L,MATCH(BS$2,$P:$P,0)))*COS(INDEX($M:$M,MATCH(BS$2,$P:$P,0))) + COS($L25)*SIN($M25)*COS(INDEX($L:$L,MATCH(BS$2,$P:$P,0)))*SIN(INDEX($M:$M,MATCH(BS$2,$P:$P,0))) + SIN($L25)*SIN(INDEX($L:$L,MATCH(BS$2,$P:$P,0)))) * 3963.1</f>
        <v>8145.72306739743</v>
      </c>
      <c r="BT25" s="238">
        <f t="shared" si="66"/>
        <v>7943.066186712419</v>
      </c>
      <c r="BU25" s="238">
        <f t="shared" si="66"/>
        <v>8167.9905172442623</v>
      </c>
      <c r="BV25" s="238">
        <f t="shared" si="66"/>
        <v>11263.78301306371</v>
      </c>
      <c r="BW25" s="238">
        <f t="shared" si="66"/>
        <v>8145.72306739743</v>
      </c>
      <c r="BX25" s="238">
        <f t="shared" si="66"/>
        <v>6933.3038206986839</v>
      </c>
      <c r="BY25" s="238">
        <f t="shared" si="66"/>
        <v>7957.7569040399212</v>
      </c>
      <c r="BZ25" s="238">
        <f t="shared" si="66"/>
        <v>6932.6955337533218</v>
      </c>
      <c r="CA25" s="238">
        <f t="shared" si="66"/>
        <v>8030.6272312244819</v>
      </c>
      <c r="CB25" s="238">
        <f t="shared" si="66"/>
        <v>7956.572067298097</v>
      </c>
      <c r="CC25" s="238">
        <f t="shared" si="66"/>
        <v>5732.4593367180287</v>
      </c>
      <c r="CD25" s="238">
        <f t="shared" si="66"/>
        <v>7385.5717996184494</v>
      </c>
      <c r="CE25" s="238">
        <f t="shared" si="66"/>
        <v>7790.5608075584969</v>
      </c>
      <c r="CF25" s="238">
        <f t="shared" si="66"/>
        <v>8148.7426314537224</v>
      </c>
      <c r="CG25" s="238">
        <f t="shared" si="66"/>
        <v>6933.2342002395526</v>
      </c>
    </row>
    <row r="26" spans="1:85">
      <c r="A26" s="241" t="s">
        <v>36</v>
      </c>
      <c r="B26" s="74" t="s">
        <v>291</v>
      </c>
      <c r="C26" s="245" t="s">
        <v>136</v>
      </c>
      <c r="D26" s="77" t="s">
        <v>165</v>
      </c>
      <c r="E26" s="77" t="s">
        <v>194</v>
      </c>
      <c r="F26" s="77" t="s">
        <v>195</v>
      </c>
      <c r="G26" s="77" t="s">
        <v>102</v>
      </c>
      <c r="H26" s="77"/>
      <c r="I26" s="241" t="s">
        <v>16</v>
      </c>
      <c r="J26" s="235">
        <v>22.3908875161232</v>
      </c>
      <c r="K26" s="236">
        <v>114.208939969539</v>
      </c>
      <c r="L26" s="237">
        <f t="shared" si="0"/>
        <v>0.39079470960004475</v>
      </c>
      <c r="M26" s="237">
        <f t="shared" si="0"/>
        <v>1.9933220376810079</v>
      </c>
      <c r="N26" s="236"/>
      <c r="O26" s="236"/>
      <c r="P26" s="112" t="str">
        <f t="shared" si="3"/>
        <v>STDC2</v>
      </c>
      <c r="Q26" s="238">
        <f t="shared" si="4"/>
        <v>8141.763665901256</v>
      </c>
      <c r="R26" s="238">
        <f t="shared" ref="R26:S45" si="67">ACOS(COS($L26)*COS($M26)*COS(INDEX($L:$L,MATCH(R$2,$P:$P,0)))*COS(INDEX($M:$M,MATCH(R$2,$P:$P,0))) + COS($L26)*SIN($M26)*COS(INDEX($L:$L,MATCH(R$2,$P:$P,0)))*SIN(INDEX($M:$M,MATCH(R$2,$P:$P,0))) + SIN($L26)*SIN(INDEX($L:$L,MATCH(R$2,$P:$P,0)))) * 3963.1</f>
        <v>8100.1216816875667</v>
      </c>
      <c r="S26" s="238">
        <f t="shared" si="67"/>
        <v>8100.1216816875667</v>
      </c>
      <c r="T26" s="238">
        <f t="shared" si="15"/>
        <v>8239.1480675156272</v>
      </c>
      <c r="U26" s="238">
        <f t="shared" si="22"/>
        <v>7792.1844534171432</v>
      </c>
      <c r="V26" s="238">
        <f t="shared" si="22"/>
        <v>7792.1844534171432</v>
      </c>
      <c r="W26" s="238">
        <f t="shared" si="22"/>
        <v>7792.1844534171432</v>
      </c>
      <c r="X26" s="238">
        <f t="shared" si="25"/>
        <v>8008.5792830664222</v>
      </c>
      <c r="Y26" s="238">
        <f t="shared" si="28"/>
        <v>8106.9052640363589</v>
      </c>
      <c r="Z26" s="238">
        <f t="shared" si="31"/>
        <v>7994.9719760697917</v>
      </c>
      <c r="AA26" s="238">
        <f t="shared" si="34"/>
        <v>8007.4408348752067</v>
      </c>
      <c r="AB26" s="238">
        <f t="shared" si="37"/>
        <v>8007.4408348752067</v>
      </c>
      <c r="AC26" s="238">
        <f t="shared" si="40"/>
        <v>7791.1287191776419</v>
      </c>
      <c r="AD26" s="238">
        <f t="shared" si="43"/>
        <v>7801.7828543863207</v>
      </c>
      <c r="AE26" s="238">
        <f t="shared" si="46"/>
        <v>7472.5961121856471</v>
      </c>
      <c r="AF26" s="238">
        <f t="shared" si="49"/>
        <v>1790.6106699551228</v>
      </c>
      <c r="AG26" s="238">
        <f t="shared" si="54"/>
        <v>1618.7487138036129</v>
      </c>
      <c r="AH26" s="238">
        <f t="shared" si="54"/>
        <v>1586.1381937878341</v>
      </c>
      <c r="AI26" s="238">
        <f t="shared" si="60"/>
        <v>1577.7177354660644</v>
      </c>
      <c r="AJ26" s="238">
        <f t="shared" si="60"/>
        <v>1577.7177354660644</v>
      </c>
      <c r="AK26" s="238">
        <f t="shared" si="60"/>
        <v>1577.7177354660644</v>
      </c>
      <c r="AL26" s="238">
        <f t="shared" si="62"/>
        <v>1587.888673397704</v>
      </c>
      <c r="AM26" s="238"/>
      <c r="AN26" s="238"/>
      <c r="AO26" s="238">
        <f t="shared" si="63"/>
        <v>1541.8824764904848</v>
      </c>
      <c r="AP26" s="238">
        <f t="shared" si="63"/>
        <v>4629.4720880808945</v>
      </c>
      <c r="AQ26" s="238">
        <f t="shared" si="63"/>
        <v>4589.0445929606203</v>
      </c>
      <c r="AR26" s="238">
        <f t="shared" si="63"/>
        <v>3759.9943296914121</v>
      </c>
      <c r="AS26" s="238">
        <f t="shared" si="63"/>
        <v>3760.4703202248861</v>
      </c>
      <c r="AT26" s="238">
        <f t="shared" si="63"/>
        <v>3759.893614538943</v>
      </c>
      <c r="AU26" s="238">
        <f t="shared" si="63"/>
        <v>5969.8336040273671</v>
      </c>
      <c r="AV26" s="238">
        <f t="shared" si="63"/>
        <v>5813.1189836370513</v>
      </c>
      <c r="AW26" s="238">
        <f t="shared" si="63"/>
        <v>5817.0717349885344</v>
      </c>
      <c r="AX26" s="238">
        <f t="shared" si="63"/>
        <v>5387.5311900694987</v>
      </c>
      <c r="AY26" s="238">
        <f t="shared" si="64"/>
        <v>5975.2742140754699</v>
      </c>
      <c r="AZ26" s="238">
        <f t="shared" si="64"/>
        <v>5697.0916857435714</v>
      </c>
      <c r="BA26" s="238">
        <f t="shared" si="64"/>
        <v>5697.1797073585967</v>
      </c>
      <c r="BB26" s="238">
        <f t="shared" si="64"/>
        <v>5738.9427069232988</v>
      </c>
      <c r="BC26" s="238">
        <f t="shared" si="64"/>
        <v>7766.3798056905216</v>
      </c>
      <c r="BD26" s="238">
        <f t="shared" si="64"/>
        <v>5986.4405164854788</v>
      </c>
      <c r="BE26" s="238">
        <f t="shared" si="64"/>
        <v>5978.7296910668465</v>
      </c>
      <c r="BF26" s="238">
        <f t="shared" si="64"/>
        <v>5696.7030751619113</v>
      </c>
      <c r="BG26" s="238">
        <f t="shared" si="64"/>
        <v>5388.9007743363218</v>
      </c>
      <c r="BH26" s="238">
        <f t="shared" si="64"/>
        <v>5967.1489688021265</v>
      </c>
      <c r="BI26" s="238">
        <f t="shared" si="65"/>
        <v>5964.6784264185289</v>
      </c>
      <c r="BJ26" s="238">
        <f t="shared" si="65"/>
        <v>5392.1335189032461</v>
      </c>
      <c r="BK26" s="238">
        <f t="shared" si="65"/>
        <v>5980.3754487121669</v>
      </c>
      <c r="BL26" s="238">
        <f t="shared" si="65"/>
        <v>5112.2185408541618</v>
      </c>
      <c r="BM26" s="238">
        <f t="shared" si="65"/>
        <v>5115.2607175790181</v>
      </c>
      <c r="BN26" s="238">
        <f t="shared" si="65"/>
        <v>5769.79339070276</v>
      </c>
      <c r="BO26" s="238">
        <f t="shared" si="65"/>
        <v>5768.3296249602527</v>
      </c>
      <c r="BP26" s="238">
        <f t="shared" si="65"/>
        <v>5981.6465451582017</v>
      </c>
      <c r="BQ26" s="238">
        <f t="shared" si="65"/>
        <v>7925.8189160849024</v>
      </c>
      <c r="BR26" s="238">
        <f t="shared" si="65"/>
        <v>8068.0815030725362</v>
      </c>
      <c r="BS26" s="238">
        <f t="shared" si="66"/>
        <v>8145.72306739743</v>
      </c>
      <c r="BT26" s="238">
        <f t="shared" si="66"/>
        <v>7943.066186712419</v>
      </c>
      <c r="BU26" s="238">
        <f t="shared" si="66"/>
        <v>8167.9905172442623</v>
      </c>
      <c r="BV26" s="238">
        <f t="shared" si="66"/>
        <v>11263.78301306371</v>
      </c>
      <c r="BW26" s="238">
        <f t="shared" si="66"/>
        <v>8145.72306739743</v>
      </c>
      <c r="BX26" s="238">
        <f t="shared" si="66"/>
        <v>6933.3038206986839</v>
      </c>
      <c r="BY26" s="238">
        <f t="shared" si="66"/>
        <v>7957.7569040399212</v>
      </c>
      <c r="BZ26" s="238">
        <f t="shared" si="66"/>
        <v>6932.6955337533218</v>
      </c>
      <c r="CA26" s="238">
        <f t="shared" si="66"/>
        <v>8030.6272312244819</v>
      </c>
      <c r="CB26" s="238">
        <f t="shared" si="66"/>
        <v>7956.572067298097</v>
      </c>
      <c r="CC26" s="238">
        <f t="shared" si="66"/>
        <v>5732.4593367180287</v>
      </c>
      <c r="CD26" s="238">
        <f t="shared" si="66"/>
        <v>7385.5717996184494</v>
      </c>
      <c r="CE26" s="238">
        <f t="shared" si="66"/>
        <v>7790.5608075584969</v>
      </c>
      <c r="CF26" s="238">
        <f t="shared" si="66"/>
        <v>8148.7426314537224</v>
      </c>
      <c r="CG26" s="238">
        <f t="shared" si="66"/>
        <v>6933.2342002395526</v>
      </c>
    </row>
    <row r="27" spans="1:85" ht="24">
      <c r="A27" s="74" t="s">
        <v>36</v>
      </c>
      <c r="B27" s="74" t="s">
        <v>292</v>
      </c>
      <c r="C27" s="75" t="s">
        <v>523</v>
      </c>
      <c r="D27" s="75" t="s">
        <v>687</v>
      </c>
      <c r="E27" s="77" t="s">
        <v>64</v>
      </c>
      <c r="F27" s="77" t="s">
        <v>64</v>
      </c>
      <c r="G27" s="77" t="s">
        <v>104</v>
      </c>
      <c r="H27" s="77"/>
      <c r="I27" s="74" t="s">
        <v>16</v>
      </c>
      <c r="J27" s="240">
        <v>34.673118000000002</v>
      </c>
      <c r="K27" s="236">
        <v>135.488811</v>
      </c>
      <c r="L27" s="237">
        <f t="shared" si="0"/>
        <v>0.60516007103251124</v>
      </c>
      <c r="M27" s="237">
        <f t="shared" si="0"/>
        <v>2.3647258515623109</v>
      </c>
      <c r="N27" s="67"/>
      <c r="O27" s="236"/>
      <c r="P27" s="112" t="str">
        <f t="shared" si="3"/>
        <v>ODC</v>
      </c>
      <c r="Q27" s="238">
        <f t="shared" si="4"/>
        <v>6941.0737345423831</v>
      </c>
      <c r="R27" s="238">
        <f t="shared" si="67"/>
        <v>6663.0272705655507</v>
      </c>
      <c r="S27" s="238">
        <f t="shared" si="67"/>
        <v>6663.0272705655507</v>
      </c>
      <c r="T27" s="238">
        <f t="shared" si="15"/>
        <v>6780.1327412862611</v>
      </c>
      <c r="U27" s="238">
        <f t="shared" si="22"/>
        <v>6493.5363349451291</v>
      </c>
      <c r="V27" s="238">
        <f t="shared" si="22"/>
        <v>6493.5363349451291</v>
      </c>
      <c r="W27" s="238">
        <f t="shared" si="22"/>
        <v>6493.5363349451291</v>
      </c>
      <c r="X27" s="238">
        <f t="shared" si="25"/>
        <v>6884.6027695469465</v>
      </c>
      <c r="Y27" s="238">
        <f t="shared" si="28"/>
        <v>6932.1860454678972</v>
      </c>
      <c r="Z27" s="238">
        <f t="shared" si="31"/>
        <v>6872.0960099875147</v>
      </c>
      <c r="AA27" s="238">
        <f t="shared" si="34"/>
        <v>6892.8773180523449</v>
      </c>
      <c r="AB27" s="238">
        <f t="shared" si="37"/>
        <v>6892.8773180523449</v>
      </c>
      <c r="AC27" s="238">
        <f t="shared" si="40"/>
        <v>6590.6527157088831</v>
      </c>
      <c r="AD27" s="238">
        <f t="shared" si="43"/>
        <v>6604.6333185823132</v>
      </c>
      <c r="AE27" s="238">
        <f t="shared" si="46"/>
        <v>6027.8232838403546</v>
      </c>
      <c r="AF27" s="238">
        <f t="shared" si="49"/>
        <v>252.46233390783286</v>
      </c>
      <c r="AG27" s="238">
        <f t="shared" si="54"/>
        <v>3082.2998749545113</v>
      </c>
      <c r="AH27" s="238">
        <f t="shared" si="54"/>
        <v>3089.5509109227305</v>
      </c>
      <c r="AI27" s="238">
        <f t="shared" si="60"/>
        <v>3080.0467887197506</v>
      </c>
      <c r="AJ27" s="238">
        <f t="shared" si="60"/>
        <v>3080.0467887197506</v>
      </c>
      <c r="AK27" s="238">
        <f t="shared" si="60"/>
        <v>3080.0467887197506</v>
      </c>
      <c r="AL27" s="238">
        <f t="shared" si="62"/>
        <v>3088.774962903281</v>
      </c>
      <c r="AM27" s="238">
        <f t="shared" ref="AM27:AN46" si="68">ACOS(COS($L27)*COS($M27)*COS(INDEX($L:$L,MATCH(AM$2,$P:$P,0)))*COS(INDEX($M:$M,MATCH(AM$2,$P:$P,0))) + COS($L27)*SIN($M27)*COS(INDEX($L:$L,MATCH(AM$2,$P:$P,0)))*SIN(INDEX($M:$M,MATCH(AM$2,$P:$P,0))) + SIN($L27)*SIN(INDEX($L:$L,MATCH(AM$2,$P:$P,0)))) * 3963.1</f>
        <v>1541.8824764904848</v>
      </c>
      <c r="AN27" s="238">
        <f t="shared" si="68"/>
        <v>1541.8824764904848</v>
      </c>
      <c r="AO27" s="238"/>
      <c r="AP27" s="238">
        <f t="shared" ref="AP27:CG27" si="69">ACOS(COS($L27)*COS($M27)*COS(INDEX($L:$L,MATCH(AP$2,$P:$P,0)))*COS(INDEX($M:$M,MATCH(AP$2,$P:$P,0))) + COS($L27)*SIN($M27)*COS(INDEX($L:$L,MATCH(AP$2,$P:$P,0)))*SIN(INDEX($M:$M,MATCH(AP$2,$P:$P,0))) + SIN($L27)*SIN(INDEX($L:$L,MATCH(AP$2,$P:$P,0)))) * 3963.1</f>
        <v>5057.9227400291738</v>
      </c>
      <c r="AQ27" s="238">
        <f t="shared" si="69"/>
        <v>4848.5745087832765</v>
      </c>
      <c r="AR27" s="238">
        <f t="shared" si="69"/>
        <v>4782.2253295439386</v>
      </c>
      <c r="AS27" s="238">
        <f t="shared" si="69"/>
        <v>4782.0778557872954</v>
      </c>
      <c r="AT27" s="238">
        <f t="shared" si="69"/>
        <v>4781.3125854573473</v>
      </c>
      <c r="AU27" s="238">
        <f t="shared" si="69"/>
        <v>5907.0530939882565</v>
      </c>
      <c r="AV27" s="238">
        <f t="shared" si="69"/>
        <v>5848.8152244447683</v>
      </c>
      <c r="AW27" s="238">
        <f t="shared" si="69"/>
        <v>5849.6832979577493</v>
      </c>
      <c r="AX27" s="238">
        <f t="shared" si="69"/>
        <v>5354.6752992682459</v>
      </c>
      <c r="AY27" s="238">
        <f t="shared" si="69"/>
        <v>5982.28064781376</v>
      </c>
      <c r="AZ27" s="238">
        <f t="shared" si="69"/>
        <v>5747.9268322736107</v>
      </c>
      <c r="BA27" s="238">
        <f t="shared" si="69"/>
        <v>5747.966828114957</v>
      </c>
      <c r="BB27" s="238">
        <f t="shared" si="69"/>
        <v>5850.6230997157691</v>
      </c>
      <c r="BC27" s="238">
        <f t="shared" si="69"/>
        <v>8708.8849839820577</v>
      </c>
      <c r="BD27" s="238">
        <f t="shared" si="69"/>
        <v>5992.6314352791642</v>
      </c>
      <c r="BE27" s="238">
        <f t="shared" si="69"/>
        <v>5906.7727952709729</v>
      </c>
      <c r="BF27" s="238">
        <f t="shared" si="69"/>
        <v>5748.5079128531488</v>
      </c>
      <c r="BG27" s="238">
        <f t="shared" si="69"/>
        <v>5353.7652192270662</v>
      </c>
      <c r="BH27" s="238">
        <f t="shared" si="69"/>
        <v>5906.0345409488891</v>
      </c>
      <c r="BI27" s="238">
        <f t="shared" si="69"/>
        <v>5846.8579514962476</v>
      </c>
      <c r="BJ27" s="238">
        <f t="shared" si="69"/>
        <v>5357.8657381024259</v>
      </c>
      <c r="BK27" s="238">
        <f t="shared" si="69"/>
        <v>5914.1464881695229</v>
      </c>
      <c r="BL27" s="238">
        <f t="shared" si="69"/>
        <v>5035.7530337755652</v>
      </c>
      <c r="BM27" s="238">
        <f t="shared" si="69"/>
        <v>5035.3529687578639</v>
      </c>
      <c r="BN27" s="238">
        <f t="shared" si="69"/>
        <v>5733.3287934503733</v>
      </c>
      <c r="BO27" s="238">
        <f t="shared" si="69"/>
        <v>5734.09148574959</v>
      </c>
      <c r="BP27" s="238">
        <f t="shared" si="69"/>
        <v>5919.8939071062932</v>
      </c>
      <c r="BQ27" s="238">
        <f t="shared" si="69"/>
        <v>6794.3579202555165</v>
      </c>
      <c r="BR27" s="238">
        <f t="shared" si="69"/>
        <v>6870.1871547139554</v>
      </c>
      <c r="BS27" s="238">
        <f t="shared" si="69"/>
        <v>6943.2591124792625</v>
      </c>
      <c r="BT27" s="238">
        <f t="shared" si="69"/>
        <v>6597.1960596050922</v>
      </c>
      <c r="BU27" s="238">
        <f t="shared" si="69"/>
        <v>6956.3553827939877</v>
      </c>
      <c r="BV27" s="238">
        <f t="shared" si="69"/>
        <v>11620.090949028468</v>
      </c>
      <c r="BW27" s="238">
        <f t="shared" si="69"/>
        <v>6943.2591124792625</v>
      </c>
      <c r="BX27" s="238">
        <f t="shared" si="69"/>
        <v>5413.2981548966209</v>
      </c>
      <c r="BY27" s="238">
        <f t="shared" si="69"/>
        <v>6861.7983515236001</v>
      </c>
      <c r="BZ27" s="238">
        <f t="shared" si="69"/>
        <v>5412.6411830216657</v>
      </c>
      <c r="CA27" s="238">
        <f t="shared" si="69"/>
        <v>6889.7273377168895</v>
      </c>
      <c r="CB27" s="238">
        <f t="shared" si="69"/>
        <v>6859.7169067732948</v>
      </c>
      <c r="CC27" s="238">
        <f t="shared" si="69"/>
        <v>5711.9646559082585</v>
      </c>
      <c r="CD27" s="238">
        <f t="shared" si="69"/>
        <v>8910.6562728395857</v>
      </c>
      <c r="CE27" s="238">
        <f t="shared" si="69"/>
        <v>6491.9315235353706</v>
      </c>
      <c r="CF27" s="238">
        <f t="shared" si="69"/>
        <v>6952.1882108769578</v>
      </c>
      <c r="CG27" s="238">
        <f t="shared" si="69"/>
        <v>5413.2233056452342</v>
      </c>
    </row>
    <row r="28" spans="1:85">
      <c r="A28" s="246" t="s">
        <v>36</v>
      </c>
      <c r="B28" s="58" t="s">
        <v>293</v>
      </c>
      <c r="C28" s="59" t="s">
        <v>159</v>
      </c>
      <c r="D28" s="59" t="s">
        <v>688</v>
      </c>
      <c r="E28" s="59" t="s">
        <v>166</v>
      </c>
      <c r="F28" s="59" t="s">
        <v>168</v>
      </c>
      <c r="G28" s="59" t="s">
        <v>15</v>
      </c>
      <c r="H28" s="59"/>
      <c r="I28" s="246" t="s">
        <v>15</v>
      </c>
      <c r="J28" s="235">
        <v>-37.900630999999997</v>
      </c>
      <c r="K28" s="236">
        <v>145.13547500000001</v>
      </c>
      <c r="L28" s="237">
        <f t="shared" si="0"/>
        <v>-0.66149079953343093</v>
      </c>
      <c r="M28" s="237">
        <f t="shared" si="0"/>
        <v>2.5330919001959176</v>
      </c>
      <c r="N28" s="236"/>
      <c r="O28" s="236"/>
      <c r="P28" s="112" t="str">
        <f t="shared" si="3"/>
        <v>CLDC</v>
      </c>
      <c r="Q28" s="238">
        <f t="shared" si="4"/>
        <v>10167.424893328325</v>
      </c>
      <c r="R28" s="238">
        <f t="shared" si="67"/>
        <v>9003.6247927032691</v>
      </c>
      <c r="S28" s="238">
        <f t="shared" si="67"/>
        <v>9003.6247927032691</v>
      </c>
      <c r="T28" s="238">
        <f t="shared" si="15"/>
        <v>8877.9992229106574</v>
      </c>
      <c r="U28" s="238">
        <f t="shared" si="22"/>
        <v>9680.9523433886661</v>
      </c>
      <c r="V28" s="238">
        <f t="shared" si="22"/>
        <v>9680.9523433886661</v>
      </c>
      <c r="W28" s="238">
        <f t="shared" si="22"/>
        <v>9680.9523433886661</v>
      </c>
      <c r="X28" s="238">
        <f t="shared" si="25"/>
        <v>10434.557510566634</v>
      </c>
      <c r="Y28" s="238">
        <f t="shared" si="28"/>
        <v>10262.322171640722</v>
      </c>
      <c r="Z28" s="238">
        <f t="shared" si="31"/>
        <v>10436.192447707772</v>
      </c>
      <c r="AA28" s="238">
        <f t="shared" si="34"/>
        <v>10468.1607671659</v>
      </c>
      <c r="AB28" s="238">
        <f t="shared" si="37"/>
        <v>10468.1607671659</v>
      </c>
      <c r="AC28" s="238">
        <f t="shared" si="40"/>
        <v>10097.537142438741</v>
      </c>
      <c r="AD28" s="238">
        <f t="shared" si="43"/>
        <v>10113.498664267929</v>
      </c>
      <c r="AE28" s="238">
        <f t="shared" si="46"/>
        <v>8775.3889123076315</v>
      </c>
      <c r="AF28" s="238">
        <f t="shared" si="49"/>
        <v>5100.8612506515465</v>
      </c>
      <c r="AG28" s="238">
        <f t="shared" si="54"/>
        <v>3778.979420472006</v>
      </c>
      <c r="AH28" s="238">
        <f t="shared" si="54"/>
        <v>3977.3740760321889</v>
      </c>
      <c r="AI28" s="238">
        <f t="shared" si="60"/>
        <v>3973.1033595988606</v>
      </c>
      <c r="AJ28" s="238">
        <f t="shared" si="60"/>
        <v>3973.1033595988606</v>
      </c>
      <c r="AK28" s="238">
        <f t="shared" si="60"/>
        <v>3973.1033595988606</v>
      </c>
      <c r="AL28" s="238">
        <f t="shared" si="62"/>
        <v>3962.4371713701616</v>
      </c>
      <c r="AM28" s="238">
        <f t="shared" si="68"/>
        <v>4629.4720880808945</v>
      </c>
      <c r="AN28" s="238">
        <f t="shared" si="68"/>
        <v>4629.4720880808945</v>
      </c>
      <c r="AO28" s="238">
        <f t="shared" ref="AO28:AO71" si="70">ACOS(COS($L28)*COS($M28)*COS(INDEX($L:$L,MATCH(AO$2,$P:$P,0)))*COS(INDEX($M:$M,MATCH(AO$2,$P:$P,0))) + COS($L28)*SIN($M28)*COS(INDEX($L:$L,MATCH(AO$2,$P:$P,0)))*SIN(INDEX($M:$M,MATCH(AO$2,$P:$P,0))) + SIN($L28)*SIN(INDEX($L:$L,MATCH(AO$2,$P:$P,0)))) * 3963.1</f>
        <v>5057.9227400291738</v>
      </c>
      <c r="AP28" s="238"/>
      <c r="AQ28" s="238">
        <f t="shared" ref="AQ28:CG28" si="71">ACOS(COS($L28)*COS($M28)*COS(INDEX($L:$L,MATCH(AQ$2,$P:$P,0)))*COS(INDEX($M:$M,MATCH(AQ$2,$P:$P,0))) + COS($L28)*SIN($M28)*COS(INDEX($L:$L,MATCH(AQ$2,$P:$P,0)))*SIN(INDEX($M:$M,MATCH(AQ$2,$P:$P,0))) + SIN($L28)*SIN(INDEX($L:$L,MATCH(AQ$2,$P:$P,0)))) * 3963.1</f>
        <v>437.66287800660376</v>
      </c>
      <c r="AR28" s="238">
        <f t="shared" si="71"/>
        <v>1705.1229548114879</v>
      </c>
      <c r="AS28" s="238">
        <f t="shared" si="71"/>
        <v>1703.2589511910885</v>
      </c>
      <c r="AT28" s="238">
        <f t="shared" si="71"/>
        <v>1702.8781622245729</v>
      </c>
      <c r="AU28" s="238">
        <f t="shared" si="71"/>
        <v>10505.704524903436</v>
      </c>
      <c r="AV28" s="238">
        <f t="shared" si="71"/>
        <v>10281.445990056145</v>
      </c>
      <c r="AW28" s="238">
        <f t="shared" si="71"/>
        <v>10287.827203550838</v>
      </c>
      <c r="AX28" s="238">
        <f t="shared" si="71"/>
        <v>9953.2870778506458</v>
      </c>
      <c r="AY28" s="238">
        <f t="shared" si="71"/>
        <v>10448.016405769371</v>
      </c>
      <c r="AZ28" s="238">
        <f t="shared" si="71"/>
        <v>10167.388805764087</v>
      </c>
      <c r="BA28" s="238">
        <f t="shared" si="71"/>
        <v>10167.510034651814</v>
      </c>
      <c r="BB28" s="238">
        <f t="shared" si="71"/>
        <v>10139.505594229846</v>
      </c>
      <c r="BC28" s="238">
        <f t="shared" si="71"/>
        <v>9016.1331842315994</v>
      </c>
      <c r="BD28" s="238">
        <f t="shared" si="71"/>
        <v>10458.322754700592</v>
      </c>
      <c r="BE28" s="238">
        <f t="shared" si="71"/>
        <v>10520.817797048701</v>
      </c>
      <c r="BF28" s="238">
        <f t="shared" si="71"/>
        <v>10166.134652451616</v>
      </c>
      <c r="BG28" s="238">
        <f t="shared" si="71"/>
        <v>9955.8751874938189</v>
      </c>
      <c r="BH28" s="238">
        <f t="shared" si="71"/>
        <v>10501.986026907149</v>
      </c>
      <c r="BI28" s="238">
        <f t="shared" si="71"/>
        <v>10539.587617427431</v>
      </c>
      <c r="BJ28" s="238">
        <f t="shared" si="71"/>
        <v>9958.380603611995</v>
      </c>
      <c r="BK28" s="238">
        <f t="shared" si="71"/>
        <v>10517.855341886789</v>
      </c>
      <c r="BL28" s="238">
        <f t="shared" si="71"/>
        <v>9713.6296022853567</v>
      </c>
      <c r="BM28" s="238">
        <f t="shared" si="71"/>
        <v>9717.8054776395657</v>
      </c>
      <c r="BN28" s="238">
        <f t="shared" si="71"/>
        <v>10305.806801293937</v>
      </c>
      <c r="BO28" s="238">
        <f t="shared" si="71"/>
        <v>10302.807241559833</v>
      </c>
      <c r="BP28" s="238">
        <f t="shared" si="71"/>
        <v>10515.447983896751</v>
      </c>
      <c r="BQ28" s="238">
        <f t="shared" si="71"/>
        <v>10391.839438886456</v>
      </c>
      <c r="BR28" s="238">
        <f t="shared" si="71"/>
        <v>10167.37959687341</v>
      </c>
      <c r="BS28" s="238">
        <f t="shared" si="71"/>
        <v>10161.038849293678</v>
      </c>
      <c r="BT28" s="238">
        <f t="shared" si="71"/>
        <v>9492.0559828107653</v>
      </c>
      <c r="BU28" s="238">
        <f t="shared" si="71"/>
        <v>10127.978028311241</v>
      </c>
      <c r="BV28" s="238">
        <f t="shared" si="71"/>
        <v>8169.1562073088426</v>
      </c>
      <c r="BW28" s="238">
        <f t="shared" si="71"/>
        <v>10161.038849293678</v>
      </c>
      <c r="BX28" s="238">
        <f t="shared" si="71"/>
        <v>7875.8729284204965</v>
      </c>
      <c r="BY28" s="238">
        <f t="shared" si="71"/>
        <v>10525.407419451241</v>
      </c>
      <c r="BZ28" s="238">
        <f t="shared" si="71"/>
        <v>7874.9446669380459</v>
      </c>
      <c r="CA28" s="238">
        <f t="shared" si="71"/>
        <v>10376.687204771231</v>
      </c>
      <c r="CB28" s="238">
        <f t="shared" si="71"/>
        <v>10522.027326853004</v>
      </c>
      <c r="CC28" s="238">
        <f t="shared" si="71"/>
        <v>10260.052536809999</v>
      </c>
      <c r="CD28" s="238">
        <f t="shared" si="71"/>
        <v>6416.2379174382813</v>
      </c>
      <c r="CE28" s="238">
        <f t="shared" si="71"/>
        <v>9680.5989902044839</v>
      </c>
      <c r="CF28" s="238">
        <f t="shared" si="71"/>
        <v>10184.410604265247</v>
      </c>
      <c r="CG28" s="238">
        <f t="shared" si="71"/>
        <v>7875.7716120663026</v>
      </c>
    </row>
    <row r="29" spans="1:85">
      <c r="A29" s="246" t="s">
        <v>36</v>
      </c>
      <c r="B29" s="58" t="s">
        <v>294</v>
      </c>
      <c r="C29" s="247" t="s">
        <v>158</v>
      </c>
      <c r="D29" s="59" t="s">
        <v>157</v>
      </c>
      <c r="E29" s="59" t="s">
        <v>19</v>
      </c>
      <c r="F29" s="59" t="s">
        <v>167</v>
      </c>
      <c r="G29" s="59" t="s">
        <v>15</v>
      </c>
      <c r="H29" s="59"/>
      <c r="I29" s="246" t="s">
        <v>15</v>
      </c>
      <c r="J29" s="235">
        <v>-33.869763323078601</v>
      </c>
      <c r="K29" s="236">
        <v>151.15960000000001</v>
      </c>
      <c r="L29" s="237">
        <f t="shared" si="0"/>
        <v>-0.59113888685893756</v>
      </c>
      <c r="M29" s="237">
        <f t="shared" si="0"/>
        <v>2.6382327159976207</v>
      </c>
      <c r="N29" s="236"/>
      <c r="O29" s="236"/>
      <c r="P29" s="112" t="str">
        <f t="shared" si="3"/>
        <v>PYDC</v>
      </c>
      <c r="Q29" s="238">
        <f t="shared" si="4"/>
        <v>9758.3172590762006</v>
      </c>
      <c r="R29" s="238">
        <f t="shared" si="67"/>
        <v>8599.1823165325368</v>
      </c>
      <c r="S29" s="238">
        <f t="shared" si="67"/>
        <v>8599.1823165325368</v>
      </c>
      <c r="T29" s="238">
        <f t="shared" si="15"/>
        <v>8482.5292659704173</v>
      </c>
      <c r="U29" s="238">
        <f t="shared" si="22"/>
        <v>9256.4123226972151</v>
      </c>
      <c r="V29" s="238">
        <f t="shared" si="22"/>
        <v>9256.4123226972151</v>
      </c>
      <c r="W29" s="238">
        <f t="shared" si="22"/>
        <v>9256.4123226972151</v>
      </c>
      <c r="X29" s="238">
        <f t="shared" si="25"/>
        <v>10016.099225389971</v>
      </c>
      <c r="Y29" s="238">
        <f t="shared" si="28"/>
        <v>9850.6527828078742</v>
      </c>
      <c r="Z29" s="238">
        <f t="shared" si="31"/>
        <v>10016.906643452747</v>
      </c>
      <c r="AA29" s="238">
        <f t="shared" si="34"/>
        <v>10049.516698187907</v>
      </c>
      <c r="AB29" s="238">
        <f t="shared" si="37"/>
        <v>10049.516698187907</v>
      </c>
      <c r="AC29" s="238">
        <f t="shared" si="40"/>
        <v>9670.1090731822878</v>
      </c>
      <c r="AD29" s="238">
        <f t="shared" si="43"/>
        <v>9686.3978295846955</v>
      </c>
      <c r="AE29" s="238">
        <f t="shared" si="46"/>
        <v>8347.2920613787755</v>
      </c>
      <c r="AF29" s="238">
        <f t="shared" si="49"/>
        <v>4866.4187771056495</v>
      </c>
      <c r="AG29" s="238">
        <f t="shared" si="54"/>
        <v>3916.9006241668039</v>
      </c>
      <c r="AH29" s="238">
        <f t="shared" si="54"/>
        <v>4119.2943456866924</v>
      </c>
      <c r="AI29" s="238">
        <f t="shared" si="60"/>
        <v>4113.7959370765948</v>
      </c>
      <c r="AJ29" s="238">
        <f t="shared" si="60"/>
        <v>4113.7959370765948</v>
      </c>
      <c r="AK29" s="238">
        <f t="shared" si="60"/>
        <v>4113.7959370765948</v>
      </c>
      <c r="AL29" s="238">
        <f t="shared" si="62"/>
        <v>4104.0829429321848</v>
      </c>
      <c r="AM29" s="238">
        <f t="shared" si="68"/>
        <v>4589.0445929606203</v>
      </c>
      <c r="AN29" s="238">
        <f t="shared" si="68"/>
        <v>4589.0445929606203</v>
      </c>
      <c r="AO29" s="238">
        <f t="shared" si="70"/>
        <v>4848.5745087832756</v>
      </c>
      <c r="AP29" s="238">
        <f t="shared" ref="AP29:AP71" si="72">ACOS(COS($L29)*COS($M29)*COS(INDEX($L:$L,MATCH(AP$2,$P:$P,0)))*COS(INDEX($M:$M,MATCH(AP$2,$P:$P,0))) + COS($L29)*SIN($M29)*COS(INDEX($L:$L,MATCH(AP$2,$P:$P,0)))*SIN(INDEX($M:$M,MATCH(AP$2,$P:$P,0))) + SIN($L29)*SIN(INDEX($L:$L,MATCH(AP$2,$P:$P,0)))) * 3963.1</f>
        <v>437.66287800660376</v>
      </c>
      <c r="AQ29" s="238"/>
      <c r="AR29" s="238">
        <f t="shared" ref="AR29:CG29" si="73">ACOS(COS($L29)*COS($M29)*COS(INDEX($L:$L,MATCH(AR$2,$P:$P,0)))*COS(INDEX($M:$M,MATCH(AR$2,$P:$P,0))) + COS($L29)*SIN($M29)*COS(INDEX($L:$L,MATCH(AR$2,$P:$P,0)))*SIN(INDEX($M:$M,MATCH(AR$2,$P:$P,0))) + SIN($L29)*SIN(INDEX($L:$L,MATCH(AR$2,$P:$P,0)))) * 3963.1</f>
        <v>2046.4175523883075</v>
      </c>
      <c r="AS29" s="238">
        <f t="shared" si="73"/>
        <v>2044.5283226657143</v>
      </c>
      <c r="AT29" s="238">
        <f t="shared" si="73"/>
        <v>2044.0302009939735</v>
      </c>
      <c r="AU29" s="238">
        <f t="shared" si="73"/>
        <v>10554.236919539635</v>
      </c>
      <c r="AV29" s="238">
        <f t="shared" si="73"/>
        <v>10371.468376737943</v>
      </c>
      <c r="AW29" s="238">
        <f t="shared" si="73"/>
        <v>10376.583718421509</v>
      </c>
      <c r="AX29" s="238">
        <f t="shared" si="73"/>
        <v>9974.7309733174352</v>
      </c>
      <c r="AY29" s="238">
        <f t="shared" si="73"/>
        <v>10538.536269171089</v>
      </c>
      <c r="AZ29" s="238">
        <f t="shared" si="73"/>
        <v>10254.287679671073</v>
      </c>
      <c r="BA29" s="238">
        <f t="shared" si="73"/>
        <v>10254.392560884258</v>
      </c>
      <c r="BB29" s="238">
        <f t="shared" si="73"/>
        <v>10260.901667790322</v>
      </c>
      <c r="BC29" s="238">
        <f t="shared" si="73"/>
        <v>9452.8117803458172</v>
      </c>
      <c r="BD29" s="238">
        <f t="shared" si="73"/>
        <v>10549.5489610616</v>
      </c>
      <c r="BE29" s="238">
        <f t="shared" si="73"/>
        <v>10564.522153864638</v>
      </c>
      <c r="BF29" s="238">
        <f t="shared" si="73"/>
        <v>10253.491691370542</v>
      </c>
      <c r="BG29" s="238">
        <f t="shared" si="73"/>
        <v>9976.3095689682268</v>
      </c>
      <c r="BH29" s="238">
        <f t="shared" si="73"/>
        <v>10551.291970268925</v>
      </c>
      <c r="BI29" s="238">
        <f t="shared" si="73"/>
        <v>10553.696932906651</v>
      </c>
      <c r="BJ29" s="238">
        <f t="shared" si="73"/>
        <v>9979.433260926844</v>
      </c>
      <c r="BK29" s="238">
        <f t="shared" si="73"/>
        <v>10565.221927573753</v>
      </c>
      <c r="BL29" s="238">
        <f t="shared" si="73"/>
        <v>9700.2835208684683</v>
      </c>
      <c r="BM29" s="238">
        <f t="shared" si="73"/>
        <v>9703.0923135455887</v>
      </c>
      <c r="BN29" s="238">
        <f t="shared" si="73"/>
        <v>10352.589149445874</v>
      </c>
      <c r="BO29" s="238">
        <f t="shared" si="73"/>
        <v>10350.702805408217</v>
      </c>
      <c r="BP29" s="238">
        <f t="shared" si="73"/>
        <v>10565.669784937909</v>
      </c>
      <c r="BQ29" s="238">
        <f t="shared" si="73"/>
        <v>9968.8655275607671</v>
      </c>
      <c r="BR29" s="238">
        <f t="shared" si="73"/>
        <v>9753.5450840983794</v>
      </c>
      <c r="BS29" s="238">
        <f t="shared" si="73"/>
        <v>9752.2126555372834</v>
      </c>
      <c r="BT29" s="238">
        <f t="shared" si="73"/>
        <v>9075.5689162710751</v>
      </c>
      <c r="BU29" s="238">
        <f t="shared" si="73"/>
        <v>9720.7364097487061</v>
      </c>
      <c r="BV29" s="238">
        <f t="shared" si="73"/>
        <v>8341.9785743315097</v>
      </c>
      <c r="BW29" s="238">
        <f t="shared" si="73"/>
        <v>9752.2126555372834</v>
      </c>
      <c r="BX29" s="238">
        <f t="shared" si="73"/>
        <v>7442.2489721698657</v>
      </c>
      <c r="BY29" s="238">
        <f t="shared" si="73"/>
        <v>10103.587877415177</v>
      </c>
      <c r="BZ29" s="238">
        <f t="shared" si="73"/>
        <v>7441.3160637106012</v>
      </c>
      <c r="CA29" s="238">
        <f t="shared" si="73"/>
        <v>9959.7848773400765</v>
      </c>
      <c r="CB29" s="238">
        <f t="shared" si="73"/>
        <v>10100.153297145516</v>
      </c>
      <c r="CC29" s="238">
        <f t="shared" si="73"/>
        <v>10312.530033381749</v>
      </c>
      <c r="CD29" s="238">
        <f t="shared" si="73"/>
        <v>6846.623923516926</v>
      </c>
      <c r="CE29" s="238">
        <f t="shared" si="73"/>
        <v>9255.9968611332442</v>
      </c>
      <c r="CF29" s="238">
        <f t="shared" si="73"/>
        <v>9775.7330628514592</v>
      </c>
      <c r="CG29" s="238">
        <f t="shared" si="73"/>
        <v>7442.1470931161666</v>
      </c>
    </row>
    <row r="30" spans="1:85">
      <c r="A30" s="246" t="s">
        <v>36</v>
      </c>
      <c r="B30" s="58" t="s">
        <v>295</v>
      </c>
      <c r="C30" s="59" t="s">
        <v>642</v>
      </c>
      <c r="D30" s="59" t="s">
        <v>170</v>
      </c>
      <c r="E30" s="59" t="s">
        <v>105</v>
      </c>
      <c r="F30" s="59" t="s">
        <v>169</v>
      </c>
      <c r="G30" s="59" t="s">
        <v>15</v>
      </c>
      <c r="H30" s="59"/>
      <c r="I30" s="246" t="s">
        <v>15</v>
      </c>
      <c r="J30" s="235">
        <v>-31.946650000000002</v>
      </c>
      <c r="K30" s="236">
        <v>115.820431</v>
      </c>
      <c r="L30" s="237">
        <f t="shared" si="0"/>
        <v>-0.5575742274822465</v>
      </c>
      <c r="M30" s="237">
        <f t="shared" si="0"/>
        <v>2.0214478620289085</v>
      </c>
      <c r="N30" s="236"/>
      <c r="O30" s="236"/>
      <c r="P30" s="112" t="str">
        <f t="shared" si="3"/>
        <v>SUDC</v>
      </c>
      <c r="Q30" s="238">
        <f t="shared" si="4"/>
        <v>11564.9392226215</v>
      </c>
      <c r="R30" s="238">
        <f t="shared" si="67"/>
        <v>10546.961879024759</v>
      </c>
      <c r="S30" s="238">
        <f t="shared" si="67"/>
        <v>10546.961879024759</v>
      </c>
      <c r="T30" s="238">
        <f t="shared" si="15"/>
        <v>10469.210948740931</v>
      </c>
      <c r="U30" s="238">
        <f t="shared" ref="U30:W49" si="74">ACOS(COS($L30)*COS($M30)*COS(INDEX($L:$L,MATCH(U$2,$P:$P,0)))*COS(INDEX($M:$M,MATCH(U$2,$P:$P,0))) + COS($L30)*SIN($M30)*COS(INDEX($L:$L,MATCH(U$2,$P:$P,0)))*SIN(INDEX($M:$M,MATCH(U$2,$P:$P,0))) + SIN($L30)*SIN(INDEX($L:$L,MATCH(U$2,$P:$P,0)))) * 3963.1</f>
        <v>10990.799730898025</v>
      </c>
      <c r="V30" s="238">
        <f t="shared" si="74"/>
        <v>10990.799730898025</v>
      </c>
      <c r="W30" s="238">
        <f t="shared" si="74"/>
        <v>10990.799730898025</v>
      </c>
      <c r="X30" s="238">
        <f t="shared" si="25"/>
        <v>11637.094515461838</v>
      </c>
      <c r="Y30" s="238">
        <f t="shared" si="28"/>
        <v>11609.418070624128</v>
      </c>
      <c r="Z30" s="238">
        <f t="shared" si="31"/>
        <v>11626.479443410488</v>
      </c>
      <c r="AA30" s="238">
        <f t="shared" si="34"/>
        <v>11653.106759511831</v>
      </c>
      <c r="AB30" s="238">
        <f t="shared" si="37"/>
        <v>11653.106759511831</v>
      </c>
      <c r="AC30" s="238">
        <f t="shared" si="40"/>
        <v>11276.77794133148</v>
      </c>
      <c r="AD30" s="238">
        <f t="shared" si="43"/>
        <v>11294.099893902849</v>
      </c>
      <c r="AE30" s="238">
        <f t="shared" si="46"/>
        <v>10128.175241017019</v>
      </c>
      <c r="AF30" s="238">
        <f t="shared" si="49"/>
        <v>4928.9681804364081</v>
      </c>
      <c r="AG30" s="238">
        <f t="shared" si="54"/>
        <v>2429.0762130790363</v>
      </c>
      <c r="AH30" s="238">
        <f t="shared" si="54"/>
        <v>2598.4540058955649</v>
      </c>
      <c r="AI30" s="238">
        <f t="shared" si="60"/>
        <v>2597.9873101579001</v>
      </c>
      <c r="AJ30" s="238">
        <f t="shared" si="60"/>
        <v>2597.9873101579001</v>
      </c>
      <c r="AK30" s="238">
        <f t="shared" si="60"/>
        <v>2597.9873101579001</v>
      </c>
      <c r="AL30" s="238">
        <f t="shared" si="62"/>
        <v>2585.5170007805277</v>
      </c>
      <c r="AM30" s="238">
        <f t="shared" si="68"/>
        <v>3759.9943296914112</v>
      </c>
      <c r="AN30" s="238">
        <f t="shared" si="68"/>
        <v>3759.9943296914112</v>
      </c>
      <c r="AO30" s="238">
        <f t="shared" si="70"/>
        <v>4782.2253295439386</v>
      </c>
      <c r="AP30" s="238">
        <f t="shared" si="72"/>
        <v>1705.1229548114864</v>
      </c>
      <c r="AQ30" s="238">
        <f t="shared" ref="AQ30:AQ71" si="75">ACOS(COS($L30)*COS($M30)*COS(INDEX($L:$L,MATCH(AQ$2,$P:$P,0)))*COS(INDEX($M:$M,MATCH(AQ$2,$P:$P,0))) + COS($L30)*SIN($M30)*COS(INDEX($L:$L,MATCH(AQ$2,$P:$P,0)))*SIN(INDEX($M:$M,MATCH(AQ$2,$P:$P,0))) + SIN($L30)*SIN(INDEX($L:$L,MATCH(AQ$2,$P:$P,0)))) * 3963.1</f>
        <v>2046.4175523883075</v>
      </c>
      <c r="AR30" s="238"/>
      <c r="AS30" s="238">
        <f t="shared" ref="AS30:CG30" si="76">ACOS(COS($L30)*COS($M30)*COS(INDEX($L:$L,MATCH(AS$2,$P:$P,0)))*COS(INDEX($M:$M,MATCH(AS$2,$P:$P,0))) + COS($L30)*SIN($M30)*COS(INDEX($L:$L,MATCH(AS$2,$P:$P,0)))*SIN(INDEX($M:$M,MATCH(AS$2,$P:$P,0))) + SIN($L30)*SIN(INDEX($L:$L,MATCH(AS$2,$P:$P,0)))) * 3963.1</f>
        <v>1.8893558716317416</v>
      </c>
      <c r="AT30" s="238">
        <f t="shared" si="76"/>
        <v>2.5041993507671512</v>
      </c>
      <c r="AU30" s="238">
        <f t="shared" si="76"/>
        <v>8979.1277171865477</v>
      </c>
      <c r="AV30" s="238">
        <f t="shared" si="76"/>
        <v>8718.2013618453202</v>
      </c>
      <c r="AW30" s="238">
        <f t="shared" si="76"/>
        <v>8725.747082879363</v>
      </c>
      <c r="AX30" s="238">
        <f t="shared" si="76"/>
        <v>8514.4955468823537</v>
      </c>
      <c r="AY30" s="238">
        <f t="shared" si="76"/>
        <v>8873.6403694045548</v>
      </c>
      <c r="AZ30" s="238">
        <f t="shared" si="76"/>
        <v>8615.0607984033959</v>
      </c>
      <c r="BA30" s="238">
        <f t="shared" si="76"/>
        <v>8615.1957929012715</v>
      </c>
      <c r="BB30" s="238">
        <f t="shared" si="76"/>
        <v>8546.8533721366548</v>
      </c>
      <c r="BC30" s="238">
        <f t="shared" si="76"/>
        <v>7725.4986897093358</v>
      </c>
      <c r="BD30" s="238">
        <f t="shared" si="76"/>
        <v>8882.4633424420153</v>
      </c>
      <c r="BE30" s="238">
        <f t="shared" si="76"/>
        <v>8999.3594984927859</v>
      </c>
      <c r="BF30" s="238">
        <f t="shared" si="76"/>
        <v>8613.2909919698013</v>
      </c>
      <c r="BG30" s="238">
        <f t="shared" si="76"/>
        <v>8518.598779033915</v>
      </c>
      <c r="BH30" s="238">
        <f t="shared" si="76"/>
        <v>8974.7030508261232</v>
      </c>
      <c r="BI30" s="238">
        <f t="shared" si="76"/>
        <v>9057.9683088294551</v>
      </c>
      <c r="BJ30" s="238">
        <f t="shared" si="76"/>
        <v>8519.8363645094851</v>
      </c>
      <c r="BK30" s="238">
        <f t="shared" si="76"/>
        <v>8991.7723944538175</v>
      </c>
      <c r="BL30" s="238">
        <f t="shared" si="76"/>
        <v>8360.167095581819</v>
      </c>
      <c r="BM30" s="238">
        <f t="shared" si="76"/>
        <v>8366.6976862807223</v>
      </c>
      <c r="BN30" s="238">
        <f t="shared" si="76"/>
        <v>8798.3374993754405</v>
      </c>
      <c r="BO30" s="238">
        <f t="shared" si="76"/>
        <v>8793.9907701964112</v>
      </c>
      <c r="BP30" s="238">
        <f t="shared" si="76"/>
        <v>8985.803987647867</v>
      </c>
      <c r="BQ30" s="238">
        <f t="shared" si="76"/>
        <v>11546.137587902422</v>
      </c>
      <c r="BR30" s="238">
        <f t="shared" si="76"/>
        <v>11515.692496741131</v>
      </c>
      <c r="BS30" s="238">
        <f t="shared" si="76"/>
        <v>11562.709277084854</v>
      </c>
      <c r="BT30" s="238">
        <f t="shared" si="76"/>
        <v>10916.467736419118</v>
      </c>
      <c r="BU30" s="238">
        <f t="shared" si="76"/>
        <v>11551.49920808167</v>
      </c>
      <c r="BV30" s="238">
        <f t="shared" si="76"/>
        <v>8493.859282878735</v>
      </c>
      <c r="BW30" s="238">
        <f t="shared" si="76"/>
        <v>11562.709277084854</v>
      </c>
      <c r="BX30" s="238">
        <f t="shared" si="76"/>
        <v>9192.0324214243155</v>
      </c>
      <c r="BY30" s="238">
        <f t="shared" si="76"/>
        <v>11635.540303749136</v>
      </c>
      <c r="BZ30" s="238">
        <f t="shared" si="76"/>
        <v>9191.0578153832648</v>
      </c>
      <c r="CA30" s="238">
        <f t="shared" si="76"/>
        <v>11623.577394338925</v>
      </c>
      <c r="CB30" s="238">
        <f t="shared" si="76"/>
        <v>11633.073804281261</v>
      </c>
      <c r="CC30" s="238">
        <f t="shared" si="76"/>
        <v>8748.0816043809209</v>
      </c>
      <c r="CD30" s="238">
        <f t="shared" si="76"/>
        <v>5405.1191807763862</v>
      </c>
      <c r="CE30" s="238">
        <f t="shared" si="76"/>
        <v>10989.641952203525</v>
      </c>
      <c r="CF30" s="238">
        <f t="shared" si="76"/>
        <v>11582.292362012286</v>
      </c>
      <c r="CG30" s="238">
        <f t="shared" si="76"/>
        <v>9191.9249215351938</v>
      </c>
    </row>
    <row r="31" spans="1:85">
      <c r="A31" s="246" t="s">
        <v>36</v>
      </c>
      <c r="B31" s="58" t="s">
        <v>525</v>
      </c>
      <c r="C31" s="59" t="s">
        <v>227</v>
      </c>
      <c r="D31" s="59" t="s">
        <v>228</v>
      </c>
      <c r="E31" s="59" t="s">
        <v>105</v>
      </c>
      <c r="F31" s="59" t="s">
        <v>169</v>
      </c>
      <c r="G31" s="59" t="s">
        <v>15</v>
      </c>
      <c r="H31" s="59"/>
      <c r="I31" s="246" t="s">
        <v>15</v>
      </c>
      <c r="J31" s="240">
        <v>-31.952673999999998</v>
      </c>
      <c r="K31" s="236">
        <v>115.85183000000001</v>
      </c>
      <c r="L31" s="237">
        <f t="shared" si="0"/>
        <v>-0.55767936611638658</v>
      </c>
      <c r="M31" s="237">
        <f t="shared" si="0"/>
        <v>2.0219958779607423</v>
      </c>
      <c r="N31" s="67"/>
      <c r="O31" s="236"/>
      <c r="P31" s="112" t="str">
        <f t="shared" si="3"/>
        <v>PEDC1</v>
      </c>
      <c r="Q31" s="238">
        <f t="shared" si="4"/>
        <v>11563.712705625789</v>
      </c>
      <c r="R31" s="238">
        <f t="shared" si="67"/>
        <v>10545.235079714397</v>
      </c>
      <c r="S31" s="238">
        <f t="shared" si="67"/>
        <v>10545.235079714397</v>
      </c>
      <c r="T31" s="238">
        <f t="shared" si="15"/>
        <v>10467.416381627316</v>
      </c>
      <c r="U31" s="238">
        <f t="shared" si="74"/>
        <v>10989.519542642269</v>
      </c>
      <c r="V31" s="238">
        <f t="shared" si="74"/>
        <v>10989.519542642269</v>
      </c>
      <c r="W31" s="238">
        <f t="shared" si="74"/>
        <v>10989.519542642269</v>
      </c>
      <c r="X31" s="238">
        <f t="shared" si="25"/>
        <v>11636.430615693132</v>
      </c>
      <c r="Y31" s="238">
        <f t="shared" si="28"/>
        <v>11608.350755678237</v>
      </c>
      <c r="Z31" s="238">
        <f t="shared" si="31"/>
        <v>11625.834654808808</v>
      </c>
      <c r="AA31" s="238">
        <f t="shared" si="34"/>
        <v>11652.508728277409</v>
      </c>
      <c r="AB31" s="238">
        <f t="shared" si="37"/>
        <v>11652.508728277409</v>
      </c>
      <c r="AC31" s="238">
        <f t="shared" si="40"/>
        <v>11275.866985171257</v>
      </c>
      <c r="AD31" s="238">
        <f t="shared" si="43"/>
        <v>11293.196466871021</v>
      </c>
      <c r="AE31" s="238">
        <f t="shared" si="46"/>
        <v>10126.678580321339</v>
      </c>
      <c r="AF31" s="238">
        <f t="shared" si="49"/>
        <v>4928.717178038929</v>
      </c>
      <c r="AG31" s="238">
        <f t="shared" si="54"/>
        <v>2430.1312585236078</v>
      </c>
      <c r="AH31" s="238">
        <f t="shared" si="54"/>
        <v>2599.5828779069052</v>
      </c>
      <c r="AI31" s="238">
        <f t="shared" si="60"/>
        <v>2599.1091864132313</v>
      </c>
      <c r="AJ31" s="238">
        <f t="shared" si="60"/>
        <v>2599.1091864132313</v>
      </c>
      <c r="AK31" s="238">
        <f t="shared" si="60"/>
        <v>2599.1091864132313</v>
      </c>
      <c r="AL31" s="238">
        <f t="shared" si="62"/>
        <v>2586.6407754379065</v>
      </c>
      <c r="AM31" s="238">
        <f t="shared" si="68"/>
        <v>3760.4703202248861</v>
      </c>
      <c r="AN31" s="238">
        <f t="shared" si="68"/>
        <v>3760.4703202248861</v>
      </c>
      <c r="AO31" s="238">
        <f t="shared" si="70"/>
        <v>4782.0778557872954</v>
      </c>
      <c r="AP31" s="238">
        <f t="shared" si="72"/>
        <v>1703.2589511910885</v>
      </c>
      <c r="AQ31" s="238">
        <f t="shared" si="75"/>
        <v>2044.5283226657161</v>
      </c>
      <c r="AR31" s="238">
        <f t="shared" ref="AR31:AR71" si="77">ACOS(COS($L31)*COS($M31)*COS(INDEX($L:$L,MATCH(AR$2,$P:$P,0)))*COS(INDEX($M:$M,MATCH(AR$2,$P:$P,0))) + COS($L31)*SIN($M31)*COS(INDEX($L:$L,MATCH(AR$2,$P:$P,0)))*SIN(INDEX($M:$M,MATCH(AR$2,$P:$P,0))) + SIN($L31)*SIN(INDEX($L:$L,MATCH(AR$2,$P:$P,0)))) * 3963.1</f>
        <v>1.8893558734770701</v>
      </c>
      <c r="AS31" s="238"/>
      <c r="AT31" s="238">
        <f t="shared" ref="AT31:CG31" si="78">ACOS(COS($L31)*COS($M31)*COS(INDEX($L:$L,MATCH(AT$2,$P:$P,0)))*COS(INDEX($M:$M,MATCH(AT$2,$P:$P,0))) + COS($L31)*SIN($M31)*COS(INDEX($L:$L,MATCH(AT$2,$P:$P,0)))*SIN(INDEX($M:$M,MATCH(AT$2,$P:$P,0))) + SIN($L31)*SIN(INDEX($L:$L,MATCH(AT$2,$P:$P,0)))) * 3963.1</f>
        <v>0.88696576382984804</v>
      </c>
      <c r="AU31" s="238">
        <f t="shared" si="78"/>
        <v>8980.7653012806386</v>
      </c>
      <c r="AV31" s="238">
        <f t="shared" si="78"/>
        <v>8719.8658104003043</v>
      </c>
      <c r="AW31" s="238">
        <f t="shared" si="78"/>
        <v>8727.4105561900742</v>
      </c>
      <c r="AX31" s="238">
        <f t="shared" si="78"/>
        <v>8516.0187438117991</v>
      </c>
      <c r="AY31" s="238">
        <f t="shared" si="78"/>
        <v>8875.3224123519431</v>
      </c>
      <c r="AZ31" s="238">
        <f t="shared" si="78"/>
        <v>8616.7096065692131</v>
      </c>
      <c r="BA31" s="238">
        <f t="shared" si="78"/>
        <v>8616.8445911253239</v>
      </c>
      <c r="BB31" s="238">
        <f t="shared" si="78"/>
        <v>8548.544909133936</v>
      </c>
      <c r="BC31" s="238">
        <f t="shared" si="78"/>
        <v>7727.1804374835665</v>
      </c>
      <c r="BD31" s="238">
        <f t="shared" si="78"/>
        <v>8884.1472762445283</v>
      </c>
      <c r="BE31" s="238">
        <f t="shared" si="78"/>
        <v>9000.9930034808458</v>
      </c>
      <c r="BF31" s="238">
        <f t="shared" si="78"/>
        <v>8614.9402955358182</v>
      </c>
      <c r="BG31" s="238">
        <f t="shared" si="78"/>
        <v>8520.1206099228639</v>
      </c>
      <c r="BH31" s="238">
        <f t="shared" si="78"/>
        <v>8976.3411229574504</v>
      </c>
      <c r="BI31" s="238">
        <f t="shared" si="78"/>
        <v>9059.5661567937805</v>
      </c>
      <c r="BJ31" s="238">
        <f t="shared" si="78"/>
        <v>8521.3595969483868</v>
      </c>
      <c r="BK31" s="238">
        <f t="shared" si="78"/>
        <v>8993.4101110296087</v>
      </c>
      <c r="BL31" s="238">
        <f t="shared" si="78"/>
        <v>8361.5908976429528</v>
      </c>
      <c r="BM31" s="238">
        <f t="shared" si="78"/>
        <v>8368.1194152130738</v>
      </c>
      <c r="BN31" s="238">
        <f t="shared" si="78"/>
        <v>8799.9468670500737</v>
      </c>
      <c r="BO31" s="238">
        <f t="shared" si="78"/>
        <v>8795.6013074402326</v>
      </c>
      <c r="BP31" s="238">
        <f t="shared" si="78"/>
        <v>8987.4449595679216</v>
      </c>
      <c r="BQ31" s="238">
        <f t="shared" si="78"/>
        <v>11545.492768226602</v>
      </c>
      <c r="BR31" s="238">
        <f t="shared" si="78"/>
        <v>11514.555577053416</v>
      </c>
      <c r="BS31" s="238">
        <f t="shared" si="78"/>
        <v>11561.471062810087</v>
      </c>
      <c r="BT31" s="238">
        <f t="shared" si="78"/>
        <v>10914.968893592928</v>
      </c>
      <c r="BU31" s="238">
        <f t="shared" si="78"/>
        <v>11550.200555000652</v>
      </c>
      <c r="BV31" s="238">
        <f t="shared" si="78"/>
        <v>8494.0538096086912</v>
      </c>
      <c r="BW31" s="238">
        <f t="shared" si="78"/>
        <v>11561.471062810087</v>
      </c>
      <c r="BX31" s="238">
        <f t="shared" si="78"/>
        <v>9190.506681642637</v>
      </c>
      <c r="BY31" s="238">
        <f t="shared" si="78"/>
        <v>11635.11266772976</v>
      </c>
      <c r="BZ31" s="238">
        <f t="shared" si="78"/>
        <v>9189.5320677303116</v>
      </c>
      <c r="CA31" s="238">
        <f t="shared" si="78"/>
        <v>11622.783034282884</v>
      </c>
      <c r="CB31" s="238">
        <f t="shared" si="78"/>
        <v>11632.640418420799</v>
      </c>
      <c r="CC31" s="238">
        <f t="shared" si="78"/>
        <v>8749.6931942025294</v>
      </c>
      <c r="CD31" s="238">
        <f t="shared" si="78"/>
        <v>5406.4441064433977</v>
      </c>
      <c r="CE31" s="238">
        <f t="shared" si="78"/>
        <v>10988.362875929388</v>
      </c>
      <c r="CF31" s="238">
        <f t="shared" si="78"/>
        <v>11581.075720705481</v>
      </c>
      <c r="CG31" s="238">
        <f t="shared" si="78"/>
        <v>9190.3991821477703</v>
      </c>
    </row>
    <row r="32" spans="1:85">
      <c r="A32" s="246" t="s">
        <v>36</v>
      </c>
      <c r="B32" s="58" t="s">
        <v>526</v>
      </c>
      <c r="C32" s="59" t="s">
        <v>230</v>
      </c>
      <c r="D32" s="59" t="s">
        <v>689</v>
      </c>
      <c r="E32" s="59" t="s">
        <v>105</v>
      </c>
      <c r="F32" s="59" t="s">
        <v>169</v>
      </c>
      <c r="G32" s="59" t="s">
        <v>15</v>
      </c>
      <c r="H32" s="59"/>
      <c r="I32" s="246" t="s">
        <v>15</v>
      </c>
      <c r="J32" s="240">
        <v>-31.944022</v>
      </c>
      <c r="K32" s="236">
        <v>115.862984</v>
      </c>
      <c r="L32" s="237">
        <f t="shared" si="0"/>
        <v>-0.55752836022950403</v>
      </c>
      <c r="M32" s="237">
        <f t="shared" si="0"/>
        <v>2.0221905519855099</v>
      </c>
      <c r="N32" s="67"/>
      <c r="O32" s="236"/>
      <c r="P32" s="112" t="str">
        <f t="shared" si="3"/>
        <v>PEDC2</v>
      </c>
      <c r="Q32" s="238">
        <f t="shared" si="4"/>
        <v>11562.830100359597</v>
      </c>
      <c r="R32" s="238">
        <f t="shared" si="67"/>
        <v>10544.476598206193</v>
      </c>
      <c r="S32" s="238">
        <f t="shared" si="67"/>
        <v>10544.476598206193</v>
      </c>
      <c r="T32" s="238">
        <f t="shared" si="15"/>
        <v>10466.707426771089</v>
      </c>
      <c r="U32" s="238">
        <f t="shared" si="74"/>
        <v>10988.640867715008</v>
      </c>
      <c r="V32" s="238">
        <f t="shared" si="74"/>
        <v>10988.640867715008</v>
      </c>
      <c r="W32" s="238">
        <f t="shared" si="74"/>
        <v>10988.640867715008</v>
      </c>
      <c r="X32" s="238">
        <f t="shared" si="25"/>
        <v>11635.570739982109</v>
      </c>
      <c r="Y32" s="238">
        <f t="shared" si="28"/>
        <v>11607.463810453644</v>
      </c>
      <c r="Z32" s="238">
        <f t="shared" si="31"/>
        <v>11624.977176032571</v>
      </c>
      <c r="AA32" s="238">
        <f t="shared" si="34"/>
        <v>11651.657470762329</v>
      </c>
      <c r="AB32" s="238">
        <f t="shared" si="37"/>
        <v>11651.657470762329</v>
      </c>
      <c r="AC32" s="238">
        <f t="shared" si="40"/>
        <v>11274.984831471891</v>
      </c>
      <c r="AD32" s="238">
        <f t="shared" si="43"/>
        <v>11292.314740008074</v>
      </c>
      <c r="AE32" s="238">
        <f t="shared" si="46"/>
        <v>10125.832938813421</v>
      </c>
      <c r="AF32" s="238">
        <f t="shared" si="49"/>
        <v>4927.9283642743112</v>
      </c>
      <c r="AG32" s="238">
        <f t="shared" si="54"/>
        <v>2429.8106438168047</v>
      </c>
      <c r="AH32" s="238">
        <f t="shared" si="54"/>
        <v>2599.302186911837</v>
      </c>
      <c r="AI32" s="238">
        <f t="shared" si="60"/>
        <v>2598.8246205426731</v>
      </c>
      <c r="AJ32" s="238">
        <f t="shared" si="60"/>
        <v>2598.8246205426731</v>
      </c>
      <c r="AK32" s="238">
        <f t="shared" si="60"/>
        <v>2598.8246205426731</v>
      </c>
      <c r="AL32" s="238">
        <f t="shared" si="62"/>
        <v>2586.357261318602</v>
      </c>
      <c r="AM32" s="238">
        <f t="shared" si="68"/>
        <v>3759.8936145389421</v>
      </c>
      <c r="AN32" s="238">
        <f t="shared" si="68"/>
        <v>3759.8936145389421</v>
      </c>
      <c r="AO32" s="238">
        <f t="shared" si="70"/>
        <v>4781.3125854573473</v>
      </c>
      <c r="AP32" s="238">
        <f t="shared" si="72"/>
        <v>1702.8781622245729</v>
      </c>
      <c r="AQ32" s="238">
        <f t="shared" si="75"/>
        <v>2044.0302009939735</v>
      </c>
      <c r="AR32" s="238">
        <f t="shared" si="77"/>
        <v>2.5041993521601675</v>
      </c>
      <c r="AS32" s="238">
        <f t="shared" ref="AS32:AS71" si="79">ACOS(COS($L32)*COS($M32)*COS(INDEX($L:$L,MATCH(AS$2,$P:$P,0)))*COS(INDEX($M:$M,MATCH(AS$2,$P:$P,0))) + COS($L32)*SIN($M32)*COS(INDEX($L:$L,MATCH(AS$2,$P:$P,0)))*SIN(INDEX($M:$M,MATCH(AS$2,$P:$P,0))) + SIN($L32)*SIN(INDEX($L:$L,MATCH(AS$2,$P:$P,0)))) * 3963.1</f>
        <v>0.88696576382984804</v>
      </c>
      <c r="AT32" s="238"/>
      <c r="AU32" s="238">
        <f t="shared" ref="AU32:CG32" si="80">ACOS(COS($L32)*COS($M32)*COS(INDEX($L:$L,MATCH(AU$2,$P:$P,0)))*COS(INDEX($M:$M,MATCH(AU$2,$P:$P,0))) + COS($L32)*SIN($M32)*COS(INDEX($L:$L,MATCH(AU$2,$P:$P,0)))*SIN(INDEX($M:$M,MATCH(AU$2,$P:$P,0))) + SIN($L32)*SIN(INDEX($L:$L,MATCH(AU$2,$P:$P,0)))) * 3963.1</f>
        <v>8980.8412112672304</v>
      </c>
      <c r="AV32" s="238">
        <f t="shared" si="80"/>
        <v>8719.9675640862552</v>
      </c>
      <c r="AW32" s="238">
        <f t="shared" si="80"/>
        <v>8727.5113488993156</v>
      </c>
      <c r="AX32" s="238">
        <f t="shared" si="80"/>
        <v>8515.9963793421794</v>
      </c>
      <c r="AY32" s="238">
        <f t="shared" si="80"/>
        <v>8875.4418067073329</v>
      </c>
      <c r="AZ32" s="238">
        <f t="shared" si="80"/>
        <v>8616.7961792883252</v>
      </c>
      <c r="BA32" s="238">
        <f t="shared" si="80"/>
        <v>8616.9311543203276</v>
      </c>
      <c r="BB32" s="238">
        <f t="shared" si="80"/>
        <v>8548.6741261090483</v>
      </c>
      <c r="BC32" s="238">
        <f t="shared" si="80"/>
        <v>7727.9632306068333</v>
      </c>
      <c r="BD32" s="238">
        <f t="shared" si="80"/>
        <v>8884.2686054818223</v>
      </c>
      <c r="BE32" s="238">
        <f t="shared" si="80"/>
        <v>9001.065099213738</v>
      </c>
      <c r="BF32" s="238">
        <f t="shared" si="80"/>
        <v>8615.0273426919102</v>
      </c>
      <c r="BG32" s="238">
        <f t="shared" si="80"/>
        <v>8520.0971623335481</v>
      </c>
      <c r="BH32" s="238">
        <f t="shared" si="80"/>
        <v>8976.4174912863509</v>
      </c>
      <c r="BI32" s="238">
        <f t="shared" si="80"/>
        <v>9059.6059999469126</v>
      </c>
      <c r="BJ32" s="238">
        <f t="shared" si="80"/>
        <v>8521.3372602185791</v>
      </c>
      <c r="BK32" s="238">
        <f t="shared" si="80"/>
        <v>8993.4861441893099</v>
      </c>
      <c r="BL32" s="238">
        <f t="shared" si="80"/>
        <v>8361.4940539590825</v>
      </c>
      <c r="BM32" s="238">
        <f t="shared" si="80"/>
        <v>8368.0211006809623</v>
      </c>
      <c r="BN32" s="238">
        <f t="shared" si="80"/>
        <v>8799.9969494257275</v>
      </c>
      <c r="BO32" s="238">
        <f t="shared" si="80"/>
        <v>8795.6524377571968</v>
      </c>
      <c r="BP32" s="238">
        <f t="shared" si="80"/>
        <v>8987.5240561294686</v>
      </c>
      <c r="BQ32" s="238">
        <f t="shared" si="80"/>
        <v>11544.635310326252</v>
      </c>
      <c r="BR32" s="238">
        <f t="shared" si="80"/>
        <v>11513.669265800801</v>
      </c>
      <c r="BS32" s="238">
        <f t="shared" si="80"/>
        <v>11560.58920337215</v>
      </c>
      <c r="BT32" s="238">
        <f t="shared" si="80"/>
        <v>10914.123788656592</v>
      </c>
      <c r="BU32" s="238">
        <f t="shared" si="80"/>
        <v>11549.32361122289</v>
      </c>
      <c r="BV32" s="238">
        <f t="shared" si="80"/>
        <v>8494.8300206380663</v>
      </c>
      <c r="BW32" s="238">
        <f t="shared" si="80"/>
        <v>11560.58920337215</v>
      </c>
      <c r="BX32" s="238">
        <f t="shared" si="80"/>
        <v>9189.6681595600166</v>
      </c>
      <c r="BY32" s="238">
        <f t="shared" si="80"/>
        <v>11634.288453828653</v>
      </c>
      <c r="BZ32" s="238">
        <f t="shared" si="80"/>
        <v>9188.693547675568</v>
      </c>
      <c r="CA32" s="238">
        <f t="shared" si="80"/>
        <v>11621.909308947434</v>
      </c>
      <c r="CB32" s="238">
        <f t="shared" si="80"/>
        <v>11631.81518644833</v>
      </c>
      <c r="CC32" s="238">
        <f t="shared" si="80"/>
        <v>8749.7452727589534</v>
      </c>
      <c r="CD32" s="238">
        <f t="shared" si="80"/>
        <v>5407.3184140160047</v>
      </c>
      <c r="CE32" s="238">
        <f t="shared" si="80"/>
        <v>10987.484104519854</v>
      </c>
      <c r="CF32" s="238">
        <f t="shared" si="80"/>
        <v>11580.192536211505</v>
      </c>
      <c r="CG32" s="238">
        <f t="shared" si="80"/>
        <v>9189.5606599613693</v>
      </c>
    </row>
    <row r="33" spans="1:85">
      <c r="A33" s="248" t="s">
        <v>36</v>
      </c>
      <c r="B33" s="20" t="s">
        <v>296</v>
      </c>
      <c r="C33" s="249" t="s">
        <v>21</v>
      </c>
      <c r="D33" s="19" t="s">
        <v>177</v>
      </c>
      <c r="E33" s="19" t="s">
        <v>21</v>
      </c>
      <c r="F33" s="19" t="s">
        <v>89</v>
      </c>
      <c r="G33" s="19" t="s">
        <v>90</v>
      </c>
      <c r="H33" s="19" t="s">
        <v>690</v>
      </c>
      <c r="I33" s="248" t="s">
        <v>14</v>
      </c>
      <c r="J33" s="235">
        <v>51.305501</v>
      </c>
      <c r="K33" s="236">
        <v>0.44719700000000001</v>
      </c>
      <c r="L33" s="237">
        <f t="shared" si="0"/>
        <v>0.89544991683524322</v>
      </c>
      <c r="M33" s="237">
        <f t="shared" si="0"/>
        <v>7.8050600550410819E-3</v>
      </c>
      <c r="N33" s="236"/>
      <c r="O33" s="236"/>
      <c r="P33" s="112" t="str">
        <f t="shared" si="3"/>
        <v>ADC</v>
      </c>
      <c r="Q33" s="238">
        <f t="shared" si="4"/>
        <v>3708.0432668670132</v>
      </c>
      <c r="R33" s="238">
        <f t="shared" si="67"/>
        <v>4771.8553169826528</v>
      </c>
      <c r="S33" s="238">
        <f t="shared" si="67"/>
        <v>4771.8553169826528</v>
      </c>
      <c r="T33" s="238">
        <f t="shared" si="15"/>
        <v>4949.9627782031948</v>
      </c>
      <c r="U33" s="238">
        <f t="shared" si="74"/>
        <v>3981.0744661863328</v>
      </c>
      <c r="V33" s="238">
        <f t="shared" si="74"/>
        <v>3981.0744661863328</v>
      </c>
      <c r="W33" s="238">
        <f t="shared" si="74"/>
        <v>3981.0744661863328</v>
      </c>
      <c r="X33" s="238">
        <f t="shared" si="25"/>
        <v>3408.2996551247115</v>
      </c>
      <c r="Y33" s="238">
        <f t="shared" si="28"/>
        <v>3607.9894449291555</v>
      </c>
      <c r="Z33" s="238">
        <f t="shared" si="31"/>
        <v>3399.6068928217296</v>
      </c>
      <c r="AA33" s="238">
        <f t="shared" si="34"/>
        <v>3378.8459647506129</v>
      </c>
      <c r="AB33" s="238">
        <f t="shared" si="37"/>
        <v>3378.8459647506129</v>
      </c>
      <c r="AC33" s="238">
        <f t="shared" si="40"/>
        <v>3590.9311687678965</v>
      </c>
      <c r="AD33" s="238">
        <f t="shared" si="43"/>
        <v>3582.0912504809835</v>
      </c>
      <c r="AE33" s="238">
        <f t="shared" si="46"/>
        <v>4718.1406167971672</v>
      </c>
      <c r="AF33" s="238">
        <f t="shared" si="49"/>
        <v>5947.6297150800747</v>
      </c>
      <c r="AG33" s="238">
        <f t="shared" si="54"/>
        <v>6730.4047158106359</v>
      </c>
      <c r="AH33" s="238">
        <f t="shared" si="54"/>
        <v>6533.7422420502535</v>
      </c>
      <c r="AI33" s="238">
        <f t="shared" si="60"/>
        <v>6537.6146873624875</v>
      </c>
      <c r="AJ33" s="238">
        <f t="shared" si="60"/>
        <v>6537.6146873624875</v>
      </c>
      <c r="AK33" s="238">
        <f t="shared" si="60"/>
        <v>6537.6146873624875</v>
      </c>
      <c r="AL33" s="238">
        <f t="shared" si="62"/>
        <v>6548.5449946570998</v>
      </c>
      <c r="AM33" s="238">
        <f t="shared" si="68"/>
        <v>5969.8336040273671</v>
      </c>
      <c r="AN33" s="238">
        <f t="shared" si="68"/>
        <v>5969.8336040273671</v>
      </c>
      <c r="AO33" s="238">
        <f t="shared" si="70"/>
        <v>5907.0530939882565</v>
      </c>
      <c r="AP33" s="238">
        <f t="shared" si="72"/>
        <v>10505.704524903436</v>
      </c>
      <c r="AQ33" s="238">
        <f t="shared" si="75"/>
        <v>10554.236919539635</v>
      </c>
      <c r="AR33" s="238">
        <f t="shared" si="77"/>
        <v>8979.1277171865477</v>
      </c>
      <c r="AS33" s="238">
        <f t="shared" si="79"/>
        <v>8980.7653012806386</v>
      </c>
      <c r="AT33" s="238">
        <f t="shared" ref="AT33:AT71" si="81">ACOS(COS($L33)*COS($M33)*COS(INDEX($L:$L,MATCH(AT$2,$P:$P,0)))*COS(INDEX($M:$M,MATCH(AT$2,$P:$P,0))) + COS($L33)*SIN($M33)*COS(INDEX($L:$L,MATCH(AT$2,$P:$P,0)))*SIN(INDEX($M:$M,MATCH(AT$2,$P:$P,0))) + SIN($L33)*SIN(INDEX($L:$L,MATCH(AT$2,$P:$P,0)))) * 3963.1</f>
        <v>8980.8412112672304</v>
      </c>
      <c r="AU33" s="238"/>
      <c r="AV33" s="238">
        <f t="shared" ref="AV33:CG33" si="82">ACOS(COS($L33)*COS($M33)*COS(INDEX($L:$L,MATCH(AV$2,$P:$P,0)))*COS(INDEX($M:$M,MATCH(AV$2,$P:$P,0))) + COS($L33)*SIN($M33)*COS(INDEX($L:$L,MATCH(AV$2,$P:$P,0)))*SIN(INDEX($M:$M,MATCH(AV$2,$P:$P,0))) + SIN($L33)*SIN(INDEX($L:$L,MATCH(AV$2,$P:$P,0)))) * 3963.1</f>
        <v>276.45683837597659</v>
      </c>
      <c r="AW33" s="238">
        <f t="shared" si="82"/>
        <v>268.19079779221147</v>
      </c>
      <c r="AX33" s="238">
        <f t="shared" si="82"/>
        <v>583.53770110850712</v>
      </c>
      <c r="AY33" s="238">
        <f t="shared" si="82"/>
        <v>184.776075574624</v>
      </c>
      <c r="AZ33" s="238">
        <f t="shared" si="82"/>
        <v>366.03543001073143</v>
      </c>
      <c r="BA33" s="238">
        <f t="shared" si="82"/>
        <v>365.89759574709603</v>
      </c>
      <c r="BB33" s="238">
        <f t="shared" si="82"/>
        <v>472.91811436193387</v>
      </c>
      <c r="BC33" s="238">
        <f t="shared" si="82"/>
        <v>3548.8542550732927</v>
      </c>
      <c r="BD33" s="238">
        <f t="shared" si="82"/>
        <v>185.51514136804309</v>
      </c>
      <c r="BE33" s="238">
        <f t="shared" si="82"/>
        <v>24.099776647135364</v>
      </c>
      <c r="BF33" s="238">
        <f t="shared" si="82"/>
        <v>367.97493948876462</v>
      </c>
      <c r="BG33" s="238">
        <f t="shared" si="82"/>
        <v>582.56810395883065</v>
      </c>
      <c r="BH33" s="238">
        <f t="shared" si="82"/>
        <v>4.6973225469415603</v>
      </c>
      <c r="BI33" s="238">
        <f t="shared" si="82"/>
        <v>146.04235516525202</v>
      </c>
      <c r="BJ33" s="238">
        <f t="shared" si="82"/>
        <v>579.13182691444956</v>
      </c>
      <c r="BK33" s="238">
        <f t="shared" si="82"/>
        <v>12.65196430460886</v>
      </c>
      <c r="BL33" s="238">
        <f t="shared" si="82"/>
        <v>882.37996382109532</v>
      </c>
      <c r="BM33" s="238">
        <f t="shared" si="82"/>
        <v>881.41922743868145</v>
      </c>
      <c r="BN33" s="238">
        <f t="shared" si="82"/>
        <v>202.20575853577637</v>
      </c>
      <c r="BO33" s="238">
        <f t="shared" si="82"/>
        <v>204.53262481148829</v>
      </c>
      <c r="BP33" s="238">
        <f t="shared" si="82"/>
        <v>12.841950367561596</v>
      </c>
      <c r="BQ33" s="238">
        <f t="shared" si="82"/>
        <v>3400.5644357401779</v>
      </c>
      <c r="BR33" s="238">
        <f t="shared" si="82"/>
        <v>3672.1037975256099</v>
      </c>
      <c r="BS33" s="238">
        <f t="shared" si="82"/>
        <v>3715.5574526676783</v>
      </c>
      <c r="BT33" s="238">
        <f t="shared" si="82"/>
        <v>4233.5034825457005</v>
      </c>
      <c r="BU33" s="238">
        <f t="shared" si="82"/>
        <v>3755.2522328577206</v>
      </c>
      <c r="BV33" s="238">
        <f t="shared" si="82"/>
        <v>5890.7954510485843</v>
      </c>
      <c r="BW33" s="238">
        <f t="shared" si="82"/>
        <v>3715.5574526676783</v>
      </c>
      <c r="BX33" s="238">
        <f t="shared" si="82"/>
        <v>5396.9850211565299</v>
      </c>
      <c r="BY33" s="238">
        <f t="shared" si="82"/>
        <v>3302.7209958865674</v>
      </c>
      <c r="BZ33" s="238">
        <f t="shared" si="82"/>
        <v>5397.6785861203589</v>
      </c>
      <c r="CA33" s="238">
        <f t="shared" si="82"/>
        <v>3469.872400421626</v>
      </c>
      <c r="CB33" s="238">
        <f t="shared" si="82"/>
        <v>3304.9519632669317</v>
      </c>
      <c r="CC33" s="238">
        <f t="shared" si="82"/>
        <v>245.84466504871506</v>
      </c>
      <c r="CD33" s="238">
        <f t="shared" si="82"/>
        <v>5994.7979169865412</v>
      </c>
      <c r="CE33" s="238">
        <f t="shared" si="82"/>
        <v>3980.5930066633109</v>
      </c>
      <c r="CF33" s="238">
        <f t="shared" si="82"/>
        <v>3696.4950237273242</v>
      </c>
      <c r="CG33" s="238">
        <f t="shared" si="82"/>
        <v>5397.0591591943858</v>
      </c>
    </row>
    <row r="34" spans="1:85">
      <c r="A34" s="248" t="s">
        <v>36</v>
      </c>
      <c r="B34" s="20" t="s">
        <v>298</v>
      </c>
      <c r="C34" s="19" t="s">
        <v>299</v>
      </c>
      <c r="D34" s="19" t="s">
        <v>691</v>
      </c>
      <c r="E34" s="19" t="s">
        <v>88</v>
      </c>
      <c r="F34" s="19"/>
      <c r="G34" s="19" t="s">
        <v>88</v>
      </c>
      <c r="H34" s="19" t="s">
        <v>692</v>
      </c>
      <c r="I34" s="248" t="s">
        <v>14</v>
      </c>
      <c r="J34" s="235">
        <v>49.581870000000002</v>
      </c>
      <c r="K34" s="236">
        <v>6.1121869999999996</v>
      </c>
      <c r="L34" s="237">
        <f t="shared" si="0"/>
        <v>0.86536688079580093</v>
      </c>
      <c r="M34" s="237">
        <f t="shared" si="0"/>
        <v>0.10667778764759464</v>
      </c>
      <c r="N34" s="236"/>
      <c r="O34" s="236"/>
      <c r="P34" s="112" t="str">
        <f t="shared" si="3"/>
        <v>LXDC1</v>
      </c>
      <c r="Q34" s="238">
        <f t="shared" si="4"/>
        <v>3983.8185355265459</v>
      </c>
      <c r="R34" s="238">
        <f t="shared" si="67"/>
        <v>5047.7388772670174</v>
      </c>
      <c r="S34" s="238">
        <f t="shared" si="67"/>
        <v>5047.7388772670174</v>
      </c>
      <c r="T34" s="238">
        <f t="shared" si="15"/>
        <v>5226.2047389936188</v>
      </c>
      <c r="U34" s="238">
        <f t="shared" si="74"/>
        <v>4256.6139376430201</v>
      </c>
      <c r="V34" s="238">
        <f t="shared" si="74"/>
        <v>4256.6139376430201</v>
      </c>
      <c r="W34" s="238">
        <f t="shared" si="74"/>
        <v>4256.6139376430201</v>
      </c>
      <c r="X34" s="238">
        <f t="shared" si="25"/>
        <v>3683.9724054993494</v>
      </c>
      <c r="Y34" s="238">
        <f t="shared" si="28"/>
        <v>3883.6705131489434</v>
      </c>
      <c r="Z34" s="238">
        <f t="shared" si="31"/>
        <v>3675.3500788585693</v>
      </c>
      <c r="AA34" s="238">
        <f t="shared" si="34"/>
        <v>3654.4055065613506</v>
      </c>
      <c r="AB34" s="238">
        <f t="shared" si="37"/>
        <v>3654.4055065613506</v>
      </c>
      <c r="AC34" s="238">
        <f t="shared" si="40"/>
        <v>3867.2384581582933</v>
      </c>
      <c r="AD34" s="238">
        <f t="shared" si="43"/>
        <v>3858.4400828437861</v>
      </c>
      <c r="AE34" s="238">
        <f t="shared" si="46"/>
        <v>4987.0780923964976</v>
      </c>
      <c r="AF34" s="238">
        <f t="shared" si="49"/>
        <v>5906.4350976808046</v>
      </c>
      <c r="AG34" s="238">
        <f t="shared" si="54"/>
        <v>6502.6117774102649</v>
      </c>
      <c r="AH34" s="238">
        <f t="shared" si="54"/>
        <v>6304.072069194639</v>
      </c>
      <c r="AI34" s="238">
        <f t="shared" si="60"/>
        <v>6308.3487804932702</v>
      </c>
      <c r="AJ34" s="238">
        <f t="shared" si="60"/>
        <v>6308.3487804932702</v>
      </c>
      <c r="AK34" s="238">
        <f t="shared" si="60"/>
        <v>6308.3487804932702</v>
      </c>
      <c r="AL34" s="238">
        <f t="shared" si="62"/>
        <v>6319.0090572843001</v>
      </c>
      <c r="AM34" s="238">
        <f t="shared" si="68"/>
        <v>5813.1189836370513</v>
      </c>
      <c r="AN34" s="238">
        <f t="shared" si="68"/>
        <v>5813.1189836370513</v>
      </c>
      <c r="AO34" s="238">
        <f t="shared" si="70"/>
        <v>5848.8152244447683</v>
      </c>
      <c r="AP34" s="238">
        <f t="shared" si="72"/>
        <v>10281.445990056145</v>
      </c>
      <c r="AQ34" s="238">
        <f t="shared" si="75"/>
        <v>10371.468376737943</v>
      </c>
      <c r="AR34" s="238">
        <f t="shared" si="77"/>
        <v>8718.2013618453202</v>
      </c>
      <c r="AS34" s="238">
        <f t="shared" si="79"/>
        <v>8719.8658104003043</v>
      </c>
      <c r="AT34" s="238">
        <f t="shared" si="81"/>
        <v>8719.9675640862552</v>
      </c>
      <c r="AU34" s="238">
        <f t="shared" ref="AU34:AU71" si="83">ACOS(COS($L34)*COS($M34)*COS(INDEX($L:$L,MATCH(AU$2,$P:$P,0)))*COS(INDEX($M:$M,MATCH(AU$2,$P:$P,0))) + COS($L34)*SIN($M34)*COS(INDEX($L:$L,MATCH(AU$2,$P:$P,0)))*SIN(INDEX($M:$M,MATCH(AU$2,$P:$P,0))) + SIN($L34)*SIN(INDEX($L:$L,MATCH(AU$2,$P:$P,0)))) * 3963.1</f>
        <v>276.45683837597659</v>
      </c>
      <c r="AV34" s="238"/>
      <c r="AW34" s="238">
        <f t="shared" ref="AW34:CG34" si="84">ACOS(COS($L34)*COS($M34)*COS(INDEX($L:$L,MATCH(AW$2,$P:$P,0)))*COS(INDEX($M:$M,MATCH(AW$2,$P:$P,0))) + COS($L34)*SIN($M34)*COS(INDEX($L:$L,MATCH(AW$2,$P:$P,0)))*SIN(INDEX($M:$M,MATCH(AW$2,$P:$P,0))) + SIN($L34)*SIN(INDEX($L:$L,MATCH(AW$2,$P:$P,0)))) * 3963.1</f>
        <v>8.3129233041009645</v>
      </c>
      <c r="AX34" s="238">
        <f t="shared" si="84"/>
        <v>500.54296943367109</v>
      </c>
      <c r="AY34" s="238">
        <f t="shared" si="84"/>
        <v>167.84874692211477</v>
      </c>
      <c r="AZ34" s="238">
        <f t="shared" si="84"/>
        <v>117.21936508976076</v>
      </c>
      <c r="BA34" s="238">
        <f t="shared" si="84"/>
        <v>117.11685792293873</v>
      </c>
      <c r="BB34" s="238">
        <f t="shared" si="84"/>
        <v>199.15845540294021</v>
      </c>
      <c r="BC34" s="238">
        <f t="shared" si="84"/>
        <v>3448.6821151245504</v>
      </c>
      <c r="BD34" s="238">
        <f t="shared" si="84"/>
        <v>178.64661959517966</v>
      </c>
      <c r="BE34" s="238">
        <f t="shared" si="84"/>
        <v>299.98713294034803</v>
      </c>
      <c r="BF34" s="238">
        <f t="shared" si="84"/>
        <v>117.9788086388678</v>
      </c>
      <c r="BG34" s="238">
        <f t="shared" si="84"/>
        <v>502.38973942770349</v>
      </c>
      <c r="BH34" s="238">
        <f t="shared" si="84"/>
        <v>271.75954442001171</v>
      </c>
      <c r="BI34" s="238">
        <f t="shared" si="84"/>
        <v>403.04248099081292</v>
      </c>
      <c r="BJ34" s="238">
        <f t="shared" si="84"/>
        <v>498.10811262552045</v>
      </c>
      <c r="BK34" s="238">
        <f t="shared" si="84"/>
        <v>288.24481201454836</v>
      </c>
      <c r="BL34" s="238">
        <f t="shared" si="84"/>
        <v>822.80794831726962</v>
      </c>
      <c r="BM34" s="238">
        <f t="shared" si="84"/>
        <v>824.60669523170179</v>
      </c>
      <c r="BN34" s="238">
        <f t="shared" si="84"/>
        <v>202.43546929772629</v>
      </c>
      <c r="BO34" s="238">
        <f t="shared" si="84"/>
        <v>197.34687541988882</v>
      </c>
      <c r="BP34" s="238">
        <f t="shared" si="84"/>
        <v>279.31445511413989</v>
      </c>
      <c r="BQ34" s="238">
        <f t="shared" si="84"/>
        <v>3676.7310548369478</v>
      </c>
      <c r="BR34" s="238">
        <f t="shared" si="84"/>
        <v>3948.2087472976727</v>
      </c>
      <c r="BS34" s="238">
        <f t="shared" si="84"/>
        <v>3991.3300599038771</v>
      </c>
      <c r="BT34" s="238">
        <f t="shared" si="84"/>
        <v>4509.4302390772273</v>
      </c>
      <c r="BU34" s="238">
        <f t="shared" si="84"/>
        <v>4031.0010165958806</v>
      </c>
      <c r="BV34" s="238">
        <f t="shared" si="84"/>
        <v>5984.9093871327896</v>
      </c>
      <c r="BW34" s="238">
        <f t="shared" si="84"/>
        <v>3991.3300599038771</v>
      </c>
      <c r="BX34" s="238">
        <f t="shared" si="84"/>
        <v>5651.0432053277045</v>
      </c>
      <c r="BY34" s="238">
        <f t="shared" si="84"/>
        <v>3578.3674406880532</v>
      </c>
      <c r="BZ34" s="238">
        <f t="shared" si="84"/>
        <v>5651.7173536640985</v>
      </c>
      <c r="CA34" s="238">
        <f t="shared" si="84"/>
        <v>3745.6130231746638</v>
      </c>
      <c r="CB34" s="238">
        <f t="shared" si="84"/>
        <v>3580.6174520524332</v>
      </c>
      <c r="CC34" s="238">
        <f t="shared" si="84"/>
        <v>182.06909976445908</v>
      </c>
      <c r="CD34" s="238">
        <f t="shared" si="84"/>
        <v>5823.9868766436957</v>
      </c>
      <c r="CE34" s="238">
        <f t="shared" si="84"/>
        <v>4256.1222252898397</v>
      </c>
      <c r="CF34" s="238">
        <f t="shared" si="84"/>
        <v>3972.1831259334549</v>
      </c>
      <c r="CG34" s="238">
        <f t="shared" si="84"/>
        <v>5651.1151389181832</v>
      </c>
    </row>
    <row r="35" spans="1:85">
      <c r="A35" s="248" t="s">
        <v>36</v>
      </c>
      <c r="B35" s="20" t="s">
        <v>301</v>
      </c>
      <c r="C35" s="19" t="s">
        <v>693</v>
      </c>
      <c r="D35" s="19" t="s">
        <v>694</v>
      </c>
      <c r="E35" s="19" t="s">
        <v>695</v>
      </c>
      <c r="F35" s="19" t="s">
        <v>88</v>
      </c>
      <c r="G35" s="19" t="s">
        <v>88</v>
      </c>
      <c r="H35" s="19" t="s">
        <v>696</v>
      </c>
      <c r="I35" s="248" t="s">
        <v>14</v>
      </c>
      <c r="J35" s="235">
        <v>49.648448000000002</v>
      </c>
      <c r="K35" s="236">
        <v>5.9577600000000004</v>
      </c>
      <c r="L35" s="237">
        <f t="shared" ref="L35:M71" si="85">RADIANS(J35)</f>
        <v>0.86652888610519374</v>
      </c>
      <c r="M35" s="237">
        <f t="shared" si="85"/>
        <v>0.10398252804361738</v>
      </c>
      <c r="N35" s="236"/>
      <c r="O35" s="236"/>
      <c r="P35" s="112" t="str">
        <f t="shared" si="3"/>
        <v>LXDC2</v>
      </c>
      <c r="Q35" s="238">
        <f t="shared" si="4"/>
        <v>3975.630231398567</v>
      </c>
      <c r="R35" s="238">
        <f t="shared" si="67"/>
        <v>5039.432938942713</v>
      </c>
      <c r="S35" s="238">
        <f t="shared" si="67"/>
        <v>5039.432938942713</v>
      </c>
      <c r="T35" s="238">
        <f t="shared" si="15"/>
        <v>5217.9097105855863</v>
      </c>
      <c r="U35" s="238">
        <f t="shared" si="74"/>
        <v>4248.3035701681874</v>
      </c>
      <c r="V35" s="238">
        <f t="shared" si="74"/>
        <v>4248.3035701681874</v>
      </c>
      <c r="W35" s="238">
        <f t="shared" si="74"/>
        <v>4248.3035701681874</v>
      </c>
      <c r="X35" s="238">
        <f t="shared" si="25"/>
        <v>3675.7909381499608</v>
      </c>
      <c r="Y35" s="238">
        <f t="shared" si="28"/>
        <v>3875.4887495219427</v>
      </c>
      <c r="Z35" s="238">
        <f t="shared" si="31"/>
        <v>3667.1636790168177</v>
      </c>
      <c r="AA35" s="238">
        <f t="shared" si="34"/>
        <v>3646.2316367190338</v>
      </c>
      <c r="AB35" s="238">
        <f t="shared" si="37"/>
        <v>3646.2316367190338</v>
      </c>
      <c r="AC35" s="238">
        <f t="shared" si="40"/>
        <v>3858.9474460582787</v>
      </c>
      <c r="AD35" s="238">
        <f t="shared" si="43"/>
        <v>3850.1520774287728</v>
      </c>
      <c r="AE35" s="238">
        <f t="shared" si="46"/>
        <v>4978.8314347116293</v>
      </c>
      <c r="AF35" s="238">
        <f t="shared" si="49"/>
        <v>5906.7869497713136</v>
      </c>
      <c r="AG35" s="238">
        <f t="shared" si="54"/>
        <v>6508.941157316508</v>
      </c>
      <c r="AH35" s="238">
        <f t="shared" si="54"/>
        <v>6310.4609835333131</v>
      </c>
      <c r="AI35" s="238">
        <f t="shared" si="60"/>
        <v>6314.7238485805028</v>
      </c>
      <c r="AJ35" s="238">
        <f t="shared" si="60"/>
        <v>6314.7238485805028</v>
      </c>
      <c r="AK35" s="238">
        <f t="shared" si="60"/>
        <v>6314.7238485805028</v>
      </c>
      <c r="AL35" s="238">
        <f t="shared" si="62"/>
        <v>6325.3937140926128</v>
      </c>
      <c r="AM35" s="238">
        <f t="shared" si="68"/>
        <v>5817.0717349885344</v>
      </c>
      <c r="AN35" s="238">
        <f t="shared" si="68"/>
        <v>5817.0717349885344</v>
      </c>
      <c r="AO35" s="238">
        <f t="shared" si="70"/>
        <v>5849.6832979577484</v>
      </c>
      <c r="AP35" s="238">
        <f t="shared" si="72"/>
        <v>10287.827203550838</v>
      </c>
      <c r="AQ35" s="238">
        <f t="shared" si="75"/>
        <v>10376.583718421509</v>
      </c>
      <c r="AR35" s="238">
        <f t="shared" si="77"/>
        <v>8725.747082879363</v>
      </c>
      <c r="AS35" s="238">
        <f t="shared" si="79"/>
        <v>8727.4105561900742</v>
      </c>
      <c r="AT35" s="238">
        <f t="shared" si="81"/>
        <v>8727.5113488993156</v>
      </c>
      <c r="AU35" s="238">
        <f t="shared" si="83"/>
        <v>268.19079779221852</v>
      </c>
      <c r="AV35" s="238">
        <f t="shared" ref="AV35:AV71" si="86">ACOS(COS($L35)*COS($M35)*COS(INDEX($L:$L,MATCH(AV$2,$P:$P,0)))*COS(INDEX($M:$M,MATCH(AV$2,$P:$P,0))) + COS($L35)*SIN($M35)*COS(INDEX($L:$L,MATCH(AV$2,$P:$P,0)))*SIN(INDEX($M:$M,MATCH(AV$2,$P:$P,0))) + SIN($L35)*SIN(INDEX($L:$L,MATCH(AV$2,$P:$P,0)))) * 3963.1</f>
        <v>8.3129233041009645</v>
      </c>
      <c r="AW35" s="238"/>
      <c r="AX35" s="238">
        <f t="shared" ref="AX35:CG35" si="87">ACOS(COS($L35)*COS($M35)*COS(INDEX($L:$L,MATCH(AX$2,$P:$P,0)))*COS(INDEX($M:$M,MATCH(AX$2,$P:$P,0))) + COS($L35)*SIN($M35)*COS(INDEX($L:$L,MATCH(AX$2,$P:$P,0)))*SIN(INDEX($M:$M,MATCH(AX$2,$P:$P,0))) + SIN($L35)*SIN(INDEX($L:$L,MATCH(AX$2,$P:$P,0)))) * 3963.1</f>
        <v>500.16096333789375</v>
      </c>
      <c r="AY35" s="238">
        <f t="shared" si="87"/>
        <v>162.25157184236977</v>
      </c>
      <c r="AZ35" s="238">
        <f t="shared" si="87"/>
        <v>122.35229571674461</v>
      </c>
      <c r="BA35" s="238">
        <f t="shared" si="87"/>
        <v>122.24477305012769</v>
      </c>
      <c r="BB35" s="238">
        <f t="shared" si="87"/>
        <v>207.42208173891257</v>
      </c>
      <c r="BC35" s="238">
        <f t="shared" si="87"/>
        <v>3452.2920755456962</v>
      </c>
      <c r="BD35" s="238">
        <f t="shared" si="87"/>
        <v>173.14570165489658</v>
      </c>
      <c r="BE35" s="238">
        <f t="shared" si="87"/>
        <v>291.70620905673519</v>
      </c>
      <c r="BF35" s="238">
        <f t="shared" si="87"/>
        <v>123.23871890922828</v>
      </c>
      <c r="BG35" s="238">
        <f t="shared" si="87"/>
        <v>501.91676713160831</v>
      </c>
      <c r="BH35" s="238">
        <f t="shared" si="87"/>
        <v>263.49347535995571</v>
      </c>
      <c r="BI35" s="238">
        <f t="shared" si="87"/>
        <v>394.78486648690438</v>
      </c>
      <c r="BJ35" s="238">
        <f t="shared" si="87"/>
        <v>497.64714909017226</v>
      </c>
      <c r="BK35" s="238">
        <f t="shared" si="87"/>
        <v>279.99440527774465</v>
      </c>
      <c r="BL35" s="238">
        <f t="shared" si="87"/>
        <v>822.45939714241138</v>
      </c>
      <c r="BM35" s="238">
        <f t="shared" si="87"/>
        <v>824.1721471227346</v>
      </c>
      <c r="BN35" s="238">
        <f t="shared" si="87"/>
        <v>196.22742065128091</v>
      </c>
      <c r="BO35" s="238">
        <f t="shared" si="87"/>
        <v>191.21550137058992</v>
      </c>
      <c r="BP35" s="238">
        <f t="shared" si="87"/>
        <v>271.09739442499102</v>
      </c>
      <c r="BQ35" s="238">
        <f t="shared" si="87"/>
        <v>3668.5106604104649</v>
      </c>
      <c r="BR35" s="238">
        <f t="shared" si="87"/>
        <v>3939.9942313845368</v>
      </c>
      <c r="BS35" s="238">
        <f t="shared" si="87"/>
        <v>3983.1419568372494</v>
      </c>
      <c r="BT35" s="238">
        <f t="shared" si="87"/>
        <v>4501.1252859182514</v>
      </c>
      <c r="BU35" s="238">
        <f t="shared" si="87"/>
        <v>4022.8146718022217</v>
      </c>
      <c r="BV35" s="238">
        <f t="shared" si="87"/>
        <v>5982.8937376592021</v>
      </c>
      <c r="BW35" s="238">
        <f t="shared" si="87"/>
        <v>3983.1419568372494</v>
      </c>
      <c r="BX35" s="238">
        <f t="shared" si="87"/>
        <v>5643.0976437384634</v>
      </c>
      <c r="BY35" s="238">
        <f t="shared" si="87"/>
        <v>3570.1876163934753</v>
      </c>
      <c r="BZ35" s="238">
        <f t="shared" si="87"/>
        <v>5643.7722309479268</v>
      </c>
      <c r="CA35" s="238">
        <f t="shared" si="87"/>
        <v>3737.4268996260143</v>
      </c>
      <c r="CB35" s="238">
        <f t="shared" si="87"/>
        <v>3572.4363298843668</v>
      </c>
      <c r="CC35" s="238">
        <f t="shared" si="87"/>
        <v>177.40894814519038</v>
      </c>
      <c r="CD35" s="238">
        <f t="shared" si="87"/>
        <v>5829.763953314693</v>
      </c>
      <c r="CE35" s="238">
        <f t="shared" si="87"/>
        <v>4247.8117668882587</v>
      </c>
      <c r="CF35" s="238">
        <f t="shared" si="87"/>
        <v>3964.0009897921427</v>
      </c>
      <c r="CG35" s="238">
        <f t="shared" si="87"/>
        <v>5643.1696271126575</v>
      </c>
    </row>
    <row r="36" spans="1:85">
      <c r="A36" s="248" t="s">
        <v>36</v>
      </c>
      <c r="B36" s="20" t="s">
        <v>302</v>
      </c>
      <c r="C36" s="19" t="s">
        <v>93</v>
      </c>
      <c r="D36" s="19" t="s">
        <v>176</v>
      </c>
      <c r="E36" s="19" t="s">
        <v>93</v>
      </c>
      <c r="F36" s="19"/>
      <c r="G36" s="19" t="s">
        <v>94</v>
      </c>
      <c r="H36" s="19"/>
      <c r="I36" s="248" t="s">
        <v>14</v>
      </c>
      <c r="J36" s="235">
        <v>55.646551000000002</v>
      </c>
      <c r="K36" s="236">
        <v>12.635341</v>
      </c>
      <c r="L36" s="237">
        <f t="shared" si="85"/>
        <v>0.9712155323289432</v>
      </c>
      <c r="M36" s="237">
        <f t="shared" si="85"/>
        <v>0.22052830256223285</v>
      </c>
      <c r="N36" s="236"/>
      <c r="O36" s="236"/>
      <c r="P36" s="112" t="str">
        <f t="shared" si="3"/>
        <v>ENGDC</v>
      </c>
      <c r="Q36" s="238">
        <f t="shared" ref="Q36:Q71" si="88">ACOS(COS($L36)*COS($M36)*COS(INDEX($L:$L,MATCH(Q$2,$P:$P,0)))*COS(INDEX($M:$M,MATCH(Q$2,$P:$P,0))) + COS($L36)*SIN($M36)*COS(INDEX($L:$L,MATCH(Q$2,$P:$P,0)))*SIN(INDEX($M:$M,MATCH(Q$2,$P:$P,0))) + SIN($L36)*SIN(INDEX($L:$L,MATCH(Q$2,$P:$P,0)))) * 3963.1</f>
        <v>4062.6458041028295</v>
      </c>
      <c r="R36" s="238">
        <f t="shared" si="67"/>
        <v>5050.795078970631</v>
      </c>
      <c r="S36" s="238">
        <f t="shared" si="67"/>
        <v>5050.795078970631</v>
      </c>
      <c r="T36" s="238">
        <f t="shared" si="15"/>
        <v>5240.0133770159282</v>
      </c>
      <c r="U36" s="238">
        <f t="shared" si="74"/>
        <v>4259.0314500356171</v>
      </c>
      <c r="V36" s="238">
        <f t="shared" si="74"/>
        <v>4259.0314500356171</v>
      </c>
      <c r="W36" s="238">
        <f t="shared" si="74"/>
        <v>4259.0314500356171</v>
      </c>
      <c r="X36" s="238">
        <f t="shared" si="25"/>
        <v>3768.4722002959534</v>
      </c>
      <c r="Y36" s="238">
        <f t="shared" si="28"/>
        <v>3965.789693200652</v>
      </c>
      <c r="Z36" s="238">
        <f t="shared" si="31"/>
        <v>3758.3035432954157</v>
      </c>
      <c r="AA36" s="238">
        <f t="shared" si="34"/>
        <v>3741.7343144838628</v>
      </c>
      <c r="AB36" s="238">
        <f t="shared" si="37"/>
        <v>3741.7343144838628</v>
      </c>
      <c r="AC36" s="238">
        <f t="shared" si="40"/>
        <v>3897.6835484290318</v>
      </c>
      <c r="AD36" s="238">
        <f t="shared" si="43"/>
        <v>3891.3799106005167</v>
      </c>
      <c r="AE36" s="238">
        <f t="shared" si="46"/>
        <v>4907.3767139843148</v>
      </c>
      <c r="AF36" s="238">
        <f t="shared" si="49"/>
        <v>5408.2562758577633</v>
      </c>
      <c r="AG36" s="238">
        <f t="shared" si="54"/>
        <v>6198.37566441744</v>
      </c>
      <c r="AH36" s="238">
        <f t="shared" si="54"/>
        <v>6005.2628348278704</v>
      </c>
      <c r="AI36" s="238">
        <f t="shared" si="60"/>
        <v>6008.4767523215851</v>
      </c>
      <c r="AJ36" s="238">
        <f t="shared" si="60"/>
        <v>6008.4767523215851</v>
      </c>
      <c r="AK36" s="238">
        <f t="shared" si="60"/>
        <v>6008.4767523215851</v>
      </c>
      <c r="AL36" s="238">
        <f t="shared" si="62"/>
        <v>6019.8035505549478</v>
      </c>
      <c r="AM36" s="238">
        <f t="shared" si="68"/>
        <v>5387.5311900694987</v>
      </c>
      <c r="AN36" s="238">
        <f t="shared" si="68"/>
        <v>5387.5311900694987</v>
      </c>
      <c r="AO36" s="238">
        <f t="shared" si="70"/>
        <v>5354.6752992682459</v>
      </c>
      <c r="AP36" s="238">
        <f t="shared" si="72"/>
        <v>9953.2870778506458</v>
      </c>
      <c r="AQ36" s="238">
        <f t="shared" si="75"/>
        <v>9974.730973317437</v>
      </c>
      <c r="AR36" s="238">
        <f t="shared" si="77"/>
        <v>8514.4955468823537</v>
      </c>
      <c r="AS36" s="238">
        <f t="shared" si="79"/>
        <v>8516.0187438117991</v>
      </c>
      <c r="AT36" s="238">
        <f t="shared" si="81"/>
        <v>8515.9963793421812</v>
      </c>
      <c r="AU36" s="238">
        <f t="shared" si="83"/>
        <v>583.5377011085036</v>
      </c>
      <c r="AV36" s="238">
        <f t="shared" si="86"/>
        <v>500.54296943367109</v>
      </c>
      <c r="AW36" s="238">
        <f t="shared" ref="AW36:AW71" si="89">ACOS(COS($L36)*COS($M36)*COS(INDEX($L:$L,MATCH(AW$2,$P:$P,0)))*COS(INDEX($M:$M,MATCH(AW$2,$P:$P,0))) + COS($L36)*SIN($M36)*COS(INDEX($L:$L,MATCH(AW$2,$P:$P,0)))*SIN(INDEX($M:$M,MATCH(AW$2,$P:$P,0))) + SIN($L36)*SIN(INDEX($L:$L,MATCH(AW$2,$P:$P,0)))) * 3963.1</f>
        <v>500.16096333789375</v>
      </c>
      <c r="AX36" s="238"/>
      <c r="AY36" s="238">
        <f t="shared" ref="AY36:CG36" si="90">ACOS(COS($L36)*COS($M36)*COS(INDEX($L:$L,MATCH(AY$2,$P:$P,0)))*COS(INDEX($M:$M,MATCH(AY$2,$P:$P,0))) + COS($L36)*SIN($M36)*COS(INDEX($L:$L,MATCH(AY$2,$P:$P,0)))*SIN(INDEX($M:$M,MATCH(AY$2,$P:$P,0))) + SIN($L36)*SIN(INDEX($L:$L,MATCH(AY$2,$P:$P,0)))) * 3963.1</f>
        <v>627.95687259920317</v>
      </c>
      <c r="AZ36" s="238">
        <f t="shared" si="90"/>
        <v>417.02688953897285</v>
      </c>
      <c r="BA36" s="238">
        <f t="shared" si="90"/>
        <v>417.02052711634241</v>
      </c>
      <c r="BB36" s="238">
        <f t="shared" si="90"/>
        <v>568.18423267453193</v>
      </c>
      <c r="BC36" s="238">
        <f t="shared" si="90"/>
        <v>3914.2634165860768</v>
      </c>
      <c r="BD36" s="238">
        <f t="shared" si="90"/>
        <v>638.45220811924003</v>
      </c>
      <c r="BE36" s="238">
        <f t="shared" si="90"/>
        <v>591.40806815860208</v>
      </c>
      <c r="BF36" s="238">
        <f t="shared" si="90"/>
        <v>418.38062169777885</v>
      </c>
      <c r="BG36" s="238">
        <f t="shared" si="90"/>
        <v>5.7662927251412119</v>
      </c>
      <c r="BH36" s="238">
        <f t="shared" si="90"/>
        <v>581.12090161754065</v>
      </c>
      <c r="BI36" s="238">
        <f t="shared" si="90"/>
        <v>586.94149468038302</v>
      </c>
      <c r="BJ36" s="238">
        <f t="shared" si="90"/>
        <v>5.3418755794142028</v>
      </c>
      <c r="BK36" s="238">
        <f t="shared" si="90"/>
        <v>593.65510824493435</v>
      </c>
      <c r="BL36" s="238">
        <f t="shared" si="90"/>
        <v>322.29878825360623</v>
      </c>
      <c r="BM36" s="238">
        <f t="shared" si="90"/>
        <v>324.06954819502175</v>
      </c>
      <c r="BN36" s="238">
        <f t="shared" si="90"/>
        <v>388.09891465997731</v>
      </c>
      <c r="BO36" s="238">
        <f t="shared" si="90"/>
        <v>387.64870355316748</v>
      </c>
      <c r="BP36" s="238">
        <f t="shared" si="90"/>
        <v>595.66585903112559</v>
      </c>
      <c r="BQ36" s="238">
        <f t="shared" si="90"/>
        <v>3747.2730833638848</v>
      </c>
      <c r="BR36" s="238">
        <f t="shared" si="90"/>
        <v>4017.9390693536507</v>
      </c>
      <c r="BS36" s="238">
        <f t="shared" si="90"/>
        <v>4070.1453851911688</v>
      </c>
      <c r="BT36" s="238">
        <f t="shared" si="90"/>
        <v>4518.7983911415586</v>
      </c>
      <c r="BU36" s="238">
        <f t="shared" si="90"/>
        <v>4109.9916386715449</v>
      </c>
      <c r="BV36" s="238">
        <f t="shared" si="90"/>
        <v>6463.2709727798483</v>
      </c>
      <c r="BW36" s="238">
        <f t="shared" si="90"/>
        <v>4070.1453851911688</v>
      </c>
      <c r="BX36" s="238">
        <f t="shared" si="90"/>
        <v>5482.6901462388523</v>
      </c>
      <c r="BY36" s="238">
        <f t="shared" si="90"/>
        <v>3664.6821342401327</v>
      </c>
      <c r="BZ36" s="238">
        <f t="shared" si="90"/>
        <v>5483.2746776598578</v>
      </c>
      <c r="CA36" s="238">
        <f t="shared" si="90"/>
        <v>3827.8352190759374</v>
      </c>
      <c r="CB36" s="238">
        <f t="shared" si="90"/>
        <v>3666.4770886562769</v>
      </c>
      <c r="CC36" s="238">
        <f t="shared" si="90"/>
        <v>359.45210345215395</v>
      </c>
      <c r="CD36" s="238">
        <f t="shared" si="90"/>
        <v>6203.1926451888721</v>
      </c>
      <c r="CE36" s="238">
        <f t="shared" si="90"/>
        <v>4258.3228838233708</v>
      </c>
      <c r="CF36" s="238">
        <f t="shared" si="90"/>
        <v>4053.2136677863405</v>
      </c>
      <c r="CG36" s="238">
        <f t="shared" si="90"/>
        <v>5482.7519444218251</v>
      </c>
    </row>
    <row r="37" spans="1:85">
      <c r="A37" s="248" t="s">
        <v>36</v>
      </c>
      <c r="B37" s="20" t="s">
        <v>303</v>
      </c>
      <c r="C37" s="19" t="s">
        <v>304</v>
      </c>
      <c r="D37" s="19" t="s">
        <v>697</v>
      </c>
      <c r="E37" s="19" t="s">
        <v>171</v>
      </c>
      <c r="F37" s="19" t="s">
        <v>619</v>
      </c>
      <c r="G37" s="19" t="s">
        <v>95</v>
      </c>
      <c r="H37" s="19">
        <v>95700</v>
      </c>
      <c r="I37" s="248" t="s">
        <v>14</v>
      </c>
      <c r="J37" s="240">
        <v>48.982762999999998</v>
      </c>
      <c r="K37" s="236">
        <v>2.5069689999999998</v>
      </c>
      <c r="L37" s="237">
        <f t="shared" si="85"/>
        <v>0.85491049107405515</v>
      </c>
      <c r="M37" s="237">
        <f t="shared" si="85"/>
        <v>4.375486329542972E-2</v>
      </c>
      <c r="N37" s="67"/>
      <c r="O37" s="236"/>
      <c r="P37" s="112" t="str">
        <f t="shared" si="3"/>
        <v>PDC1</v>
      </c>
      <c r="Q37" s="238">
        <f t="shared" si="88"/>
        <v>3850.0670455796994</v>
      </c>
      <c r="R37" s="238">
        <f t="shared" si="67"/>
        <v>4928.1052923663628</v>
      </c>
      <c r="S37" s="238">
        <f t="shared" si="67"/>
        <v>4928.1052923663628</v>
      </c>
      <c r="T37" s="238">
        <f t="shared" si="15"/>
        <v>5103.6137908868068</v>
      </c>
      <c r="U37" s="238">
        <f t="shared" si="74"/>
        <v>4139.3453814800605</v>
      </c>
      <c r="V37" s="238">
        <f t="shared" si="74"/>
        <v>4139.3453814800605</v>
      </c>
      <c r="W37" s="238">
        <f t="shared" si="74"/>
        <v>4139.3453814800605</v>
      </c>
      <c r="X37" s="238">
        <f t="shared" si="25"/>
        <v>3549.889464764884</v>
      </c>
      <c r="Y37" s="238">
        <f t="shared" si="28"/>
        <v>3749.5070196282445</v>
      </c>
      <c r="Z37" s="238">
        <f t="shared" si="31"/>
        <v>3541.6180712406817</v>
      </c>
      <c r="AA37" s="238">
        <f t="shared" si="34"/>
        <v>3519.8198428839123</v>
      </c>
      <c r="AB37" s="238">
        <f t="shared" si="37"/>
        <v>3519.8198428839123</v>
      </c>
      <c r="AC37" s="238">
        <f t="shared" si="40"/>
        <v>3744.5489388345691</v>
      </c>
      <c r="AD37" s="238">
        <f t="shared" si="43"/>
        <v>3735.1993332709981</v>
      </c>
      <c r="AE37" s="238">
        <f t="shared" si="46"/>
        <v>4888.853309225804</v>
      </c>
      <c r="AF37" s="238">
        <f t="shared" si="49"/>
        <v>6033.296687590062</v>
      </c>
      <c r="AG37" s="238">
        <f t="shared" si="54"/>
        <v>6669.4723271991152</v>
      </c>
      <c r="AH37" s="238">
        <f t="shared" si="54"/>
        <v>6470.7229154723464</v>
      </c>
      <c r="AI37" s="238">
        <f t="shared" si="60"/>
        <v>6475.0510648882791</v>
      </c>
      <c r="AJ37" s="238">
        <f t="shared" si="60"/>
        <v>6475.0510648882791</v>
      </c>
      <c r="AK37" s="238">
        <f t="shared" si="60"/>
        <v>6475.0510648882791</v>
      </c>
      <c r="AL37" s="238">
        <f t="shared" si="62"/>
        <v>6485.6756389645043</v>
      </c>
      <c r="AM37" s="238">
        <f t="shared" si="68"/>
        <v>5975.2742140754699</v>
      </c>
      <c r="AN37" s="238">
        <f t="shared" si="68"/>
        <v>5975.2742140754699</v>
      </c>
      <c r="AO37" s="238">
        <f t="shared" si="70"/>
        <v>5982.28064781376</v>
      </c>
      <c r="AP37" s="238">
        <f t="shared" si="72"/>
        <v>10448.016405769371</v>
      </c>
      <c r="AQ37" s="238">
        <f t="shared" si="75"/>
        <v>10538.536269171089</v>
      </c>
      <c r="AR37" s="238">
        <f t="shared" si="77"/>
        <v>8873.6403694045548</v>
      </c>
      <c r="AS37" s="238">
        <f t="shared" si="79"/>
        <v>8875.3224123519431</v>
      </c>
      <c r="AT37" s="238">
        <f t="shared" si="81"/>
        <v>8875.4418067073329</v>
      </c>
      <c r="AU37" s="238">
        <f t="shared" si="83"/>
        <v>184.776075574624</v>
      </c>
      <c r="AV37" s="238">
        <f t="shared" si="86"/>
        <v>167.84874692211477</v>
      </c>
      <c r="AW37" s="238">
        <f t="shared" si="89"/>
        <v>162.25157184236977</v>
      </c>
      <c r="AX37" s="238">
        <f t="shared" ref="AX37:AX71" si="91">ACOS(COS($L37)*COS($M37)*COS(INDEX($L:$L,MATCH(AX$2,$P:$P,0)))*COS(INDEX($M:$M,MATCH(AX$2,$P:$P,0))) + COS($L37)*SIN($M37)*COS(INDEX($L:$L,MATCH(AX$2,$P:$P,0)))*SIN(INDEX($M:$M,MATCH(AX$2,$P:$P,0))) + SIN($L37)*SIN(INDEX($L:$L,MATCH(AX$2,$P:$P,0)))) * 3963.1</f>
        <v>627.95687259920317</v>
      </c>
      <c r="AY37" s="238"/>
      <c r="AZ37" s="238">
        <f t="shared" ref="AZ37:CG37" si="92">ACOS(COS($L37)*COS($M37)*COS(INDEX($L:$L,MATCH(AZ$2,$P:$P,0)))*COS(INDEX($M:$M,MATCH(AZ$2,$P:$P,0))) + COS($L37)*SIN($M37)*COS(INDEX($L:$L,MATCH(AZ$2,$P:$P,0)))*SIN(INDEX($M:$M,MATCH(AZ$2,$P:$P,0))) + SIN($L37)*SIN(INDEX($L:$L,MATCH(AZ$2,$P:$P,0)))) * 3963.1</f>
        <v>284.57769465288129</v>
      </c>
      <c r="BA37" s="238">
        <f t="shared" si="92"/>
        <v>284.46877837748571</v>
      </c>
      <c r="BB37" s="238">
        <f t="shared" si="92"/>
        <v>328.73396715246309</v>
      </c>
      <c r="BC37" s="238">
        <f t="shared" si="92"/>
        <v>3391.3938246846751</v>
      </c>
      <c r="BD37" s="238">
        <f t="shared" si="92"/>
        <v>11.166453413606545</v>
      </c>
      <c r="BE37" s="238">
        <f t="shared" si="92"/>
        <v>207.13660317419146</v>
      </c>
      <c r="BF37" s="238">
        <f t="shared" si="92"/>
        <v>285.48780414242441</v>
      </c>
      <c r="BG37" s="238">
        <f t="shared" si="92"/>
        <v>628.70011490897843</v>
      </c>
      <c r="BH37" s="238">
        <f t="shared" si="92"/>
        <v>181.01966607998463</v>
      </c>
      <c r="BI37" s="238">
        <f t="shared" si="92"/>
        <v>330.81544918374345</v>
      </c>
      <c r="BJ37" s="238">
        <f t="shared" si="92"/>
        <v>624.63734180489314</v>
      </c>
      <c r="BK37" s="238">
        <f t="shared" si="92"/>
        <v>191.77547385330973</v>
      </c>
      <c r="BL37" s="238">
        <f t="shared" si="92"/>
        <v>946.89610988934726</v>
      </c>
      <c r="BM37" s="238">
        <f t="shared" si="92"/>
        <v>947.58489508437117</v>
      </c>
      <c r="BN37" s="238">
        <f t="shared" si="92"/>
        <v>257.26688132934413</v>
      </c>
      <c r="BO37" s="238">
        <f t="shared" si="92"/>
        <v>255.14756641029186</v>
      </c>
      <c r="BP37" s="238">
        <f t="shared" si="92"/>
        <v>179.78920242067673</v>
      </c>
      <c r="BQ37" s="238">
        <f t="shared" si="92"/>
        <v>3545.6444087525565</v>
      </c>
      <c r="BR37" s="238">
        <f t="shared" si="92"/>
        <v>3816.4826940976459</v>
      </c>
      <c r="BS37" s="238">
        <f t="shared" si="92"/>
        <v>3857.5606424709272</v>
      </c>
      <c r="BT37" s="238">
        <f t="shared" si="92"/>
        <v>4389.7425228952179</v>
      </c>
      <c r="BU37" s="238">
        <f t="shared" si="92"/>
        <v>3897.0880080809688</v>
      </c>
      <c r="BV37" s="238">
        <f t="shared" si="92"/>
        <v>5838.6598368708537</v>
      </c>
      <c r="BW37" s="238">
        <f t="shared" si="92"/>
        <v>3857.5606424709272</v>
      </c>
      <c r="BX37" s="238">
        <f t="shared" si="92"/>
        <v>5577.1469947917367</v>
      </c>
      <c r="BY37" s="238">
        <f t="shared" si="92"/>
        <v>3444.2275290589764</v>
      </c>
      <c r="BZ37" s="238">
        <f t="shared" si="92"/>
        <v>5577.8477366458337</v>
      </c>
      <c r="CA37" s="238">
        <f t="shared" si="92"/>
        <v>3611.8245163864831</v>
      </c>
      <c r="CB37" s="238">
        <f t="shared" si="92"/>
        <v>3446.5660914481559</v>
      </c>
      <c r="CC37" s="238">
        <f t="shared" si="92"/>
        <v>270.95956222803369</v>
      </c>
      <c r="CD37" s="238">
        <f t="shared" si="92"/>
        <v>5816.7335879001312</v>
      </c>
      <c r="CE37" s="238">
        <f t="shared" si="92"/>
        <v>4138.9078339867074</v>
      </c>
      <c r="CF37" s="238">
        <f t="shared" si="92"/>
        <v>3838.002969698709</v>
      </c>
      <c r="CG37" s="238">
        <f t="shared" si="92"/>
        <v>5577.2219490157495</v>
      </c>
    </row>
    <row r="38" spans="1:85" ht="24">
      <c r="A38" s="248" t="s">
        <v>36</v>
      </c>
      <c r="B38" s="20" t="s">
        <v>305</v>
      </c>
      <c r="C38" s="19" t="s">
        <v>96</v>
      </c>
      <c r="D38" s="19" t="s">
        <v>698</v>
      </c>
      <c r="E38" s="19" t="s">
        <v>699</v>
      </c>
      <c r="F38" s="19" t="s">
        <v>624</v>
      </c>
      <c r="G38" s="19" t="s">
        <v>97</v>
      </c>
      <c r="H38" s="19" t="s">
        <v>700</v>
      </c>
      <c r="I38" s="248" t="s">
        <v>14</v>
      </c>
      <c r="J38" s="240">
        <v>50.128103000000003</v>
      </c>
      <c r="K38" s="236">
        <v>8.6005950000000002</v>
      </c>
      <c r="L38" s="237">
        <f t="shared" si="85"/>
        <v>0.87490044512884713</v>
      </c>
      <c r="M38" s="237">
        <f t="shared" si="85"/>
        <v>0.1501087003805617</v>
      </c>
      <c r="N38" s="67"/>
      <c r="O38" s="236"/>
      <c r="P38" s="112" t="str">
        <f t="shared" si="3"/>
        <v>FRDC1</v>
      </c>
      <c r="Q38" s="238">
        <f t="shared" si="88"/>
        <v>4069.3235046063983</v>
      </c>
      <c r="R38" s="238">
        <f t="shared" si="67"/>
        <v>5121.6594240077211</v>
      </c>
      <c r="S38" s="238">
        <f t="shared" si="67"/>
        <v>5121.6594240077211</v>
      </c>
      <c r="T38" s="238">
        <f t="shared" si="15"/>
        <v>5302.2879894498237</v>
      </c>
      <c r="U38" s="238">
        <f t="shared" si="74"/>
        <v>4329.3056351449759</v>
      </c>
      <c r="V38" s="238">
        <f t="shared" si="74"/>
        <v>4329.3056351449759</v>
      </c>
      <c r="W38" s="238">
        <f t="shared" si="74"/>
        <v>4329.3056351449759</v>
      </c>
      <c r="X38" s="238">
        <f t="shared" si="25"/>
        <v>3769.9375031638178</v>
      </c>
      <c r="Y38" s="238">
        <f t="shared" si="28"/>
        <v>3969.5610196648513</v>
      </c>
      <c r="Z38" s="238">
        <f t="shared" si="31"/>
        <v>3761.0502347544834</v>
      </c>
      <c r="AA38" s="238">
        <f t="shared" si="34"/>
        <v>3740.7803089313552</v>
      </c>
      <c r="AB38" s="238">
        <f t="shared" si="37"/>
        <v>3740.7803089313552</v>
      </c>
      <c r="AC38" s="238">
        <f t="shared" si="40"/>
        <v>3944.3493148901734</v>
      </c>
      <c r="AD38" s="238">
        <f t="shared" si="43"/>
        <v>3935.9760085687626</v>
      </c>
      <c r="AE38" s="238">
        <f t="shared" si="46"/>
        <v>5044.8850066368841</v>
      </c>
      <c r="AF38" s="238">
        <f t="shared" si="49"/>
        <v>5809.4527959713087</v>
      </c>
      <c r="AG38" s="238">
        <f t="shared" si="54"/>
        <v>6388.4094695841468</v>
      </c>
      <c r="AH38" s="238">
        <f t="shared" si="54"/>
        <v>6190.1742768727181</v>
      </c>
      <c r="AI38" s="238">
        <f t="shared" si="60"/>
        <v>6194.3792828198229</v>
      </c>
      <c r="AJ38" s="238">
        <f t="shared" si="60"/>
        <v>6194.3792828198229</v>
      </c>
      <c r="AK38" s="238">
        <f t="shared" si="60"/>
        <v>6194.3792828198229</v>
      </c>
      <c r="AL38" s="238">
        <f t="shared" si="62"/>
        <v>6205.0888434099379</v>
      </c>
      <c r="AM38" s="238">
        <f t="shared" si="68"/>
        <v>5697.0916857435714</v>
      </c>
      <c r="AN38" s="238">
        <f t="shared" si="68"/>
        <v>5697.0916857435714</v>
      </c>
      <c r="AO38" s="238">
        <f t="shared" si="70"/>
        <v>5747.9268322736107</v>
      </c>
      <c r="AP38" s="238">
        <f t="shared" si="72"/>
        <v>10167.388805764087</v>
      </c>
      <c r="AQ38" s="238">
        <f t="shared" si="75"/>
        <v>10254.287679671073</v>
      </c>
      <c r="AR38" s="238">
        <f t="shared" si="77"/>
        <v>8615.0607984033959</v>
      </c>
      <c r="AS38" s="238">
        <f t="shared" si="79"/>
        <v>8616.7096065692131</v>
      </c>
      <c r="AT38" s="238">
        <f t="shared" si="81"/>
        <v>8616.7961792883252</v>
      </c>
      <c r="AU38" s="238">
        <f t="shared" si="83"/>
        <v>366.03543001073143</v>
      </c>
      <c r="AV38" s="238">
        <f t="shared" si="86"/>
        <v>117.21936508976076</v>
      </c>
      <c r="AW38" s="238">
        <f t="shared" si="89"/>
        <v>122.35229571674461</v>
      </c>
      <c r="AX38" s="238">
        <f t="shared" si="91"/>
        <v>417.02688953897285</v>
      </c>
      <c r="AY38" s="238">
        <f t="shared" ref="AY38:AY71" si="93">ACOS(COS($L38)*COS($M38)*COS(INDEX($L:$L,MATCH(AY$2,$P:$P,0)))*COS(INDEX($M:$M,MATCH(AY$2,$P:$P,0))) + COS($L38)*SIN($M38)*COS(INDEX($L:$L,MATCH(AY$2,$P:$P,0)))*SIN(INDEX($M:$M,MATCH(AY$2,$P:$P,0))) + SIN($L38)*SIN(INDEX($L:$L,MATCH(AY$2,$P:$P,0)))) * 3963.1</f>
        <v>284.57769465288129</v>
      </c>
      <c r="AZ38" s="238"/>
      <c r="BA38" s="238"/>
      <c r="BB38" s="238">
        <f t="shared" ref="BB38:BK39" si="94">ACOS(COS($L38)*COS($M38)*COS(INDEX($L:$L,MATCH(BB$2,$P:$P,0)))*COS(INDEX($M:$M,MATCH(BB$2,$P:$P,0))) + COS($L38)*SIN($M38)*COS(INDEX($L:$L,MATCH(BB$2,$P:$P,0)))*SIN(INDEX($M:$M,MATCH(BB$2,$P:$P,0))) + SIN($L38)*SIN(INDEX($L:$L,MATCH(BB$2,$P:$P,0)))) * 3963.1</f>
        <v>172.98667022959043</v>
      </c>
      <c r="BC38" s="238">
        <f t="shared" si="94"/>
        <v>3504.399208119461</v>
      </c>
      <c r="BD38" s="238">
        <f t="shared" si="94"/>
        <v>295.49215767391769</v>
      </c>
      <c r="BE38" s="238">
        <f t="shared" si="94"/>
        <v>387.72120899846141</v>
      </c>
      <c r="BF38" s="238">
        <f t="shared" si="94"/>
        <v>2.4913144199519466</v>
      </c>
      <c r="BG38" s="238">
        <f t="shared" si="94"/>
        <v>419.82813522386346</v>
      </c>
      <c r="BH38" s="238">
        <f t="shared" si="94"/>
        <v>361.4688958541085</v>
      </c>
      <c r="BI38" s="238">
        <f t="shared" si="94"/>
        <v>472.65262845501167</v>
      </c>
      <c r="BJ38" s="238">
        <f t="shared" si="94"/>
        <v>415.49313950025834</v>
      </c>
      <c r="BK38" s="238">
        <f t="shared" si="94"/>
        <v>378.56526663463825</v>
      </c>
      <c r="BL38" s="238">
        <f t="shared" ref="BL38:BU39" si="95">ACOS(COS($L38)*COS($M38)*COS(INDEX($L:$L,MATCH(BL$2,$P:$P,0)))*COS(INDEX($M:$M,MATCH(BL$2,$P:$P,0))) + COS($L38)*SIN($M38)*COS(INDEX($L:$L,MATCH(BL$2,$P:$P,0)))*SIN(INDEX($M:$M,MATCH(BL$2,$P:$P,0))) + SIN($L38)*SIN(INDEX($L:$L,MATCH(BL$2,$P:$P,0)))) * 3963.1</f>
        <v>735.71123681383517</v>
      </c>
      <c r="BM38" s="238">
        <f t="shared" si="95"/>
        <v>738.36177551536025</v>
      </c>
      <c r="BN38" s="238">
        <f t="shared" si="95"/>
        <v>226.07613963271197</v>
      </c>
      <c r="BO38" s="238">
        <f t="shared" si="95"/>
        <v>220.36107626892326</v>
      </c>
      <c r="BP38" s="238">
        <f t="shared" si="95"/>
        <v>371.69029451577313</v>
      </c>
      <c r="BQ38" s="238">
        <f t="shared" si="95"/>
        <v>3760.3940887536182</v>
      </c>
      <c r="BR38" s="238">
        <f t="shared" si="95"/>
        <v>4032.1684565201886</v>
      </c>
      <c r="BS38" s="238">
        <f t="shared" si="95"/>
        <v>4076.8440958896908</v>
      </c>
      <c r="BT38" s="238">
        <f t="shared" si="95"/>
        <v>4583.7641985037963</v>
      </c>
      <c r="BU38" s="238">
        <f t="shared" si="95"/>
        <v>4116.6012355279518</v>
      </c>
      <c r="BV38" s="238">
        <f t="shared" ref="BV38:CG39" si="96">ACOS(COS($L38)*COS($M38)*COS(INDEX($L:$L,MATCH(BV$2,$P:$P,0)))*COS(INDEX($M:$M,MATCH(BV$2,$P:$P,0))) + COS($L38)*SIN($M38)*COS(INDEX($L:$L,MATCH(BV$2,$P:$P,0)))*SIN(INDEX($M:$M,MATCH(BV$2,$P:$P,0))) + SIN($L38)*SIN(INDEX($L:$L,MATCH(BV$2,$P:$P,0)))) * 3963.1</f>
        <v>6093.2077288552646</v>
      </c>
      <c r="BW38" s="238">
        <f t="shared" si="96"/>
        <v>4076.8440958896908</v>
      </c>
      <c r="BX38" s="238">
        <f t="shared" si="96"/>
        <v>5690.3065831581407</v>
      </c>
      <c r="BY38" s="238">
        <f t="shared" si="96"/>
        <v>3664.4530084978592</v>
      </c>
      <c r="BZ38" s="238">
        <f t="shared" si="96"/>
        <v>5690.960649245133</v>
      </c>
      <c r="CA38" s="238">
        <f t="shared" si="96"/>
        <v>3831.3070105868051</v>
      </c>
      <c r="CB38" s="238">
        <f t="shared" si="96"/>
        <v>3666.6330628921542</v>
      </c>
      <c r="CC38" s="238">
        <f t="shared" si="96"/>
        <v>183.04176396155185</v>
      </c>
      <c r="CD38" s="238">
        <f t="shared" si="96"/>
        <v>5843.3620547377159</v>
      </c>
      <c r="CE38" s="238">
        <f t="shared" si="96"/>
        <v>4328.7733794547939</v>
      </c>
      <c r="CF38" s="238">
        <f t="shared" si="96"/>
        <v>4058.0287565816852</v>
      </c>
      <c r="CG38" s="238">
        <f t="shared" si="96"/>
        <v>5690.3762400347232</v>
      </c>
    </row>
    <row r="39" spans="1:85" ht="24">
      <c r="A39" s="248" t="s">
        <v>36</v>
      </c>
      <c r="B39" s="20" t="s">
        <v>309</v>
      </c>
      <c r="C39" s="19" t="s">
        <v>96</v>
      </c>
      <c r="D39" s="19" t="s">
        <v>701</v>
      </c>
      <c r="E39" s="19" t="s">
        <v>699</v>
      </c>
      <c r="F39" s="19" t="s">
        <v>624</v>
      </c>
      <c r="G39" s="19" t="s">
        <v>97</v>
      </c>
      <c r="H39" s="19" t="s">
        <v>700</v>
      </c>
      <c r="I39" s="248" t="s">
        <v>14</v>
      </c>
      <c r="J39" s="240">
        <v>50.128950000000003</v>
      </c>
      <c r="K39" s="236">
        <v>8.5977399999999999</v>
      </c>
      <c r="L39" s="237">
        <f t="shared" si="85"/>
        <v>0.87491522806761157</v>
      </c>
      <c r="M39" s="237">
        <f t="shared" si="85"/>
        <v>0.15005887123041728</v>
      </c>
      <c r="N39" s="67"/>
      <c r="O39" s="236"/>
      <c r="P39" s="112" t="str">
        <f>B39</f>
        <v>FRDC2</v>
      </c>
      <c r="Q39" s="238">
        <f t="shared" si="88"/>
        <v>4069.1840091432387</v>
      </c>
      <c r="R39" s="238">
        <f t="shared" si="67"/>
        <v>5121.5212955989691</v>
      </c>
      <c r="S39" s="238">
        <f t="shared" si="67"/>
        <v>5121.5212955989691</v>
      </c>
      <c r="T39" s="238">
        <f t="shared" ref="T39:T71" si="97">ACOS(COS($L39)*COS($M39)*COS(INDEX($L:$L,MATCH(T$2,$P:$P,0)))*COS(INDEX($M:$M,MATCH(T$2,$P:$P,0))) + COS($L39)*SIN($M39)*COS(INDEX($L:$L,MATCH(T$2,$P:$P,0)))*SIN(INDEX($M:$M,MATCH(T$2,$P:$P,0))) + SIN($L39)*SIN(INDEX($L:$L,MATCH(T$2,$P:$P,0)))) * 3963.1</f>
        <v>5302.1494430439152</v>
      </c>
      <c r="U39" s="238">
        <f t="shared" si="74"/>
        <v>4329.1677229183488</v>
      </c>
      <c r="V39" s="238">
        <f t="shared" si="74"/>
        <v>4329.1677229183488</v>
      </c>
      <c r="W39" s="238">
        <f t="shared" si="74"/>
        <v>4329.1677229183488</v>
      </c>
      <c r="X39" s="238">
        <f t="shared" si="25"/>
        <v>3769.7980089309963</v>
      </c>
      <c r="Y39" s="238">
        <f t="shared" si="28"/>
        <v>3969.4215245300229</v>
      </c>
      <c r="Z39" s="238">
        <f t="shared" si="31"/>
        <v>3760.9107391249554</v>
      </c>
      <c r="AA39" s="238">
        <f t="shared" si="34"/>
        <v>3740.640820034017</v>
      </c>
      <c r="AB39" s="238">
        <f t="shared" si="37"/>
        <v>3740.640820034017</v>
      </c>
      <c r="AC39" s="238">
        <f t="shared" si="40"/>
        <v>3944.2105240418973</v>
      </c>
      <c r="AD39" s="238">
        <f t="shared" si="43"/>
        <v>3935.8371517154214</v>
      </c>
      <c r="AE39" s="238">
        <f t="shared" si="46"/>
        <v>5044.7519956607885</v>
      </c>
      <c r="AF39" s="238">
        <f t="shared" si="49"/>
        <v>5809.4844104871627</v>
      </c>
      <c r="AG39" s="238">
        <f t="shared" si="54"/>
        <v>6388.5306819462658</v>
      </c>
      <c r="AH39" s="238">
        <f t="shared" si="54"/>
        <v>6190.2962696458553</v>
      </c>
      <c r="AI39" s="238">
        <f t="shared" si="60"/>
        <v>6194.5010989051798</v>
      </c>
      <c r="AJ39" s="238">
        <f t="shared" si="60"/>
        <v>6194.5010989051798</v>
      </c>
      <c r="AK39" s="238">
        <f t="shared" si="60"/>
        <v>6194.5010989051798</v>
      </c>
      <c r="AL39" s="238">
        <f t="shared" si="62"/>
        <v>6205.2107804141933</v>
      </c>
      <c r="AM39" s="238">
        <f t="shared" si="68"/>
        <v>5697.1797073585967</v>
      </c>
      <c r="AN39" s="238">
        <f t="shared" si="68"/>
        <v>5697.1797073585967</v>
      </c>
      <c r="AO39" s="238">
        <f t="shared" si="70"/>
        <v>5747.966828114957</v>
      </c>
      <c r="AP39" s="238">
        <f t="shared" si="72"/>
        <v>10167.510034651816</v>
      </c>
      <c r="AQ39" s="238">
        <f t="shared" si="75"/>
        <v>10254.39256088426</v>
      </c>
      <c r="AR39" s="238">
        <f t="shared" si="77"/>
        <v>8615.1957929012715</v>
      </c>
      <c r="AS39" s="238">
        <f t="shared" si="79"/>
        <v>8616.8445911253239</v>
      </c>
      <c r="AT39" s="238">
        <f t="shared" si="81"/>
        <v>8616.9311543203276</v>
      </c>
      <c r="AU39" s="238">
        <f t="shared" si="83"/>
        <v>365.89759574709603</v>
      </c>
      <c r="AV39" s="238">
        <f t="shared" si="86"/>
        <v>117.11685792293873</v>
      </c>
      <c r="AW39" s="238">
        <f t="shared" si="89"/>
        <v>122.24477305012769</v>
      </c>
      <c r="AX39" s="238">
        <f t="shared" si="91"/>
        <v>417.02052711634241</v>
      </c>
      <c r="AY39" s="238">
        <f t="shared" si="93"/>
        <v>284.46877837748571</v>
      </c>
      <c r="AZ39" s="238"/>
      <c r="BA39" s="238"/>
      <c r="BB39" s="238">
        <f t="shared" si="94"/>
        <v>173.0707228417248</v>
      </c>
      <c r="BC39" s="238">
        <f t="shared" si="94"/>
        <v>3504.4322158457876</v>
      </c>
      <c r="BD39" s="238">
        <f t="shared" si="94"/>
        <v>295.38395423923271</v>
      </c>
      <c r="BE39" s="238">
        <f t="shared" si="94"/>
        <v>387.58282856057929</v>
      </c>
      <c r="BF39" s="238">
        <f t="shared" si="94"/>
        <v>2.6128809405052293</v>
      </c>
      <c r="BG39" s="238">
        <f t="shared" si="94"/>
        <v>419.82009145019288</v>
      </c>
      <c r="BH39" s="238">
        <f t="shared" si="94"/>
        <v>361.33112729344413</v>
      </c>
      <c r="BI39" s="238">
        <f t="shared" si="94"/>
        <v>472.51365439022209</v>
      </c>
      <c r="BJ39" s="238">
        <f t="shared" si="94"/>
        <v>415.48506151330434</v>
      </c>
      <c r="BK39" s="238">
        <f t="shared" si="94"/>
        <v>378.42753517837662</v>
      </c>
      <c r="BL39" s="238">
        <f t="shared" si="95"/>
        <v>735.71702557213246</v>
      </c>
      <c r="BM39" s="238">
        <f t="shared" si="95"/>
        <v>738.36599831431135</v>
      </c>
      <c r="BN39" s="238">
        <f t="shared" si="95"/>
        <v>225.94553699738836</v>
      </c>
      <c r="BO39" s="238">
        <f t="shared" si="95"/>
        <v>220.23038185775357</v>
      </c>
      <c r="BP39" s="238">
        <f t="shared" si="95"/>
        <v>371.55319981166832</v>
      </c>
      <c r="BQ39" s="238">
        <f t="shared" si="95"/>
        <v>3760.2546314891051</v>
      </c>
      <c r="BR39" s="238">
        <f t="shared" si="95"/>
        <v>4032.0289913144761</v>
      </c>
      <c r="BS39" s="238">
        <f t="shared" si="95"/>
        <v>4076.7046004016934</v>
      </c>
      <c r="BT39" s="238">
        <f t="shared" si="95"/>
        <v>4583.6259500059878</v>
      </c>
      <c r="BU39" s="238">
        <f t="shared" si="95"/>
        <v>4116.4617398371438</v>
      </c>
      <c r="BV39" s="238">
        <f t="shared" si="96"/>
        <v>6093.1491444325147</v>
      </c>
      <c r="BW39" s="238">
        <f t="shared" si="96"/>
        <v>4076.7046004016934</v>
      </c>
      <c r="BX39" s="238">
        <f t="shared" si="96"/>
        <v>5690.1830020746775</v>
      </c>
      <c r="BY39" s="238">
        <f t="shared" si="96"/>
        <v>3664.3135157774245</v>
      </c>
      <c r="BZ39" s="238">
        <f t="shared" si="96"/>
        <v>5690.8370800735056</v>
      </c>
      <c r="CA39" s="238">
        <f t="shared" si="96"/>
        <v>3831.1675148959648</v>
      </c>
      <c r="CB39" s="238">
        <f t="shared" si="96"/>
        <v>3666.4935694130459</v>
      </c>
      <c r="CC39" s="238">
        <f t="shared" si="96"/>
        <v>182.91878366332688</v>
      </c>
      <c r="CD39" s="238">
        <f t="shared" si="96"/>
        <v>5843.4382071002137</v>
      </c>
      <c r="CE39" s="238">
        <f t="shared" si="96"/>
        <v>4328.6354763952822</v>
      </c>
      <c r="CF39" s="238">
        <f t="shared" si="96"/>
        <v>4057.8892611311007</v>
      </c>
      <c r="CG39" s="238">
        <f t="shared" si="96"/>
        <v>5690.2526603004844</v>
      </c>
    </row>
    <row r="40" spans="1:85">
      <c r="A40" s="248" t="s">
        <v>36</v>
      </c>
      <c r="B40" s="20" t="s">
        <v>306</v>
      </c>
      <c r="C40" s="19" t="s">
        <v>127</v>
      </c>
      <c r="D40" s="19" t="s">
        <v>182</v>
      </c>
      <c r="E40" s="19" t="s">
        <v>183</v>
      </c>
      <c r="F40" s="19"/>
      <c r="G40" s="19" t="s">
        <v>97</v>
      </c>
      <c r="H40" s="19"/>
      <c r="I40" s="248" t="s">
        <v>14</v>
      </c>
      <c r="J40" s="235">
        <v>47.680909999999997</v>
      </c>
      <c r="K40" s="236">
        <v>9.3853200000000001</v>
      </c>
      <c r="L40" s="237">
        <f t="shared" si="85"/>
        <v>0.8321888698470894</v>
      </c>
      <c r="M40" s="237">
        <f t="shared" si="85"/>
        <v>0.16380473535327422</v>
      </c>
      <c r="N40" s="236"/>
      <c r="O40" s="236"/>
      <c r="P40" s="112" t="str">
        <f t="shared" si="3"/>
        <v>FDHDC</v>
      </c>
      <c r="Q40" s="238">
        <f t="shared" si="88"/>
        <v>4175.2102978065486</v>
      </c>
      <c r="R40" s="238">
        <f t="shared" si="67"/>
        <v>5244.6282680712966</v>
      </c>
      <c r="S40" s="238">
        <f t="shared" si="67"/>
        <v>5244.6282680712966</v>
      </c>
      <c r="T40" s="238">
        <f t="shared" si="97"/>
        <v>5422.2950695341415</v>
      </c>
      <c r="U40" s="238">
        <f t="shared" si="74"/>
        <v>4453.9808521572058</v>
      </c>
      <c r="V40" s="238">
        <f t="shared" si="74"/>
        <v>4453.9808521572058</v>
      </c>
      <c r="W40" s="238">
        <f t="shared" si="74"/>
        <v>4453.9808521572058</v>
      </c>
      <c r="X40" s="238">
        <f t="shared" si="25"/>
        <v>3875.1507556848642</v>
      </c>
      <c r="Y40" s="238">
        <f t="shared" si="28"/>
        <v>4074.8303276206734</v>
      </c>
      <c r="Z40" s="238">
        <f t="shared" si="31"/>
        <v>3866.7140008333727</v>
      </c>
      <c r="AA40" s="238">
        <f t="shared" si="34"/>
        <v>3845.3073293251337</v>
      </c>
      <c r="AB40" s="238">
        <f t="shared" si="37"/>
        <v>3845.3073293251337</v>
      </c>
      <c r="AC40" s="238">
        <f t="shared" si="40"/>
        <v>4063.1501634499964</v>
      </c>
      <c r="AD40" s="238">
        <f t="shared" si="43"/>
        <v>4054.180203098892</v>
      </c>
      <c r="AE40" s="238">
        <f t="shared" si="46"/>
        <v>5186.2141797003969</v>
      </c>
      <c r="AF40" s="238">
        <f t="shared" si="49"/>
        <v>5920.5516098421576</v>
      </c>
      <c r="AG40" s="238">
        <f t="shared" si="54"/>
        <v>6366.0768559013113</v>
      </c>
      <c r="AH40" s="238">
        <f t="shared" si="54"/>
        <v>6166.0705778143592</v>
      </c>
      <c r="AI40" s="238">
        <f t="shared" si="60"/>
        <v>6170.7179428985064</v>
      </c>
      <c r="AJ40" s="238">
        <f t="shared" si="60"/>
        <v>6170.7179428985064</v>
      </c>
      <c r="AK40" s="238">
        <f t="shared" si="60"/>
        <v>6170.7179428985064</v>
      </c>
      <c r="AL40" s="238">
        <f t="shared" si="62"/>
        <v>6181.1122780638461</v>
      </c>
      <c r="AM40" s="238">
        <f t="shared" si="68"/>
        <v>5738.9427069232988</v>
      </c>
      <c r="AN40" s="238">
        <f t="shared" si="68"/>
        <v>5738.9427069232988</v>
      </c>
      <c r="AO40" s="238">
        <f t="shared" si="70"/>
        <v>5850.6230997157691</v>
      </c>
      <c r="AP40" s="238">
        <f t="shared" si="72"/>
        <v>10139.505594229846</v>
      </c>
      <c r="AQ40" s="238">
        <f t="shared" si="75"/>
        <v>10260.901667790322</v>
      </c>
      <c r="AR40" s="238">
        <f t="shared" si="77"/>
        <v>8546.8533721366548</v>
      </c>
      <c r="AS40" s="238">
        <f t="shared" si="79"/>
        <v>8548.544909133936</v>
      </c>
      <c r="AT40" s="238">
        <f t="shared" si="81"/>
        <v>8548.6741261090483</v>
      </c>
      <c r="AU40" s="238">
        <f t="shared" si="83"/>
        <v>472.91811436193387</v>
      </c>
      <c r="AV40" s="238">
        <f t="shared" si="86"/>
        <v>199.15845540294021</v>
      </c>
      <c r="AW40" s="238">
        <f t="shared" si="89"/>
        <v>207.42208173890378</v>
      </c>
      <c r="AX40" s="238">
        <f t="shared" si="91"/>
        <v>568.1842326745284</v>
      </c>
      <c r="AY40" s="238">
        <f t="shared" si="93"/>
        <v>328.73396715246309</v>
      </c>
      <c r="AZ40" s="238">
        <f t="shared" ref="AZ40:BA71" si="98">ACOS(COS($L40)*COS($M40)*COS(INDEX($L:$L,MATCH(AZ$2,$P:$P,0)))*COS(INDEX($M:$M,MATCH(AZ$2,$P:$P,0))) + COS($L40)*SIN($M40)*COS(INDEX($L:$L,MATCH(AZ$2,$P:$P,0)))*SIN(INDEX($M:$M,MATCH(AZ$2,$P:$P,0))) + SIN($L40)*SIN(INDEX($L:$L,MATCH(AZ$2,$P:$P,0)))) * 3963.1</f>
        <v>172.98667022959043</v>
      </c>
      <c r="BA40" s="238">
        <f t="shared" si="98"/>
        <v>173.0707228417248</v>
      </c>
      <c r="BB40" s="238"/>
      <c r="BC40" s="238">
        <f t="shared" ref="BC40:CG40" si="99">ACOS(COS($L40)*COS($M40)*COS(INDEX($L:$L,MATCH(BC$2,$P:$P,0)))*COS(INDEX($M:$M,MATCH(BC$2,$P:$P,0))) + COS($L40)*SIN($M40)*COS(INDEX($L:$L,MATCH(BC$2,$P:$P,0)))*SIN(INDEX($M:$M,MATCH(BC$2,$P:$P,0))) + SIN($L40)*SIN(INDEX($L:$L,MATCH(BC$2,$P:$P,0)))) * 3963.1</f>
        <v>3346.0880133239712</v>
      </c>
      <c r="BD40" s="238">
        <f t="shared" si="99"/>
        <v>336.8296510558456</v>
      </c>
      <c r="BE40" s="238">
        <f t="shared" si="99"/>
        <v>496.80437487346001</v>
      </c>
      <c r="BF40" s="238">
        <f t="shared" si="99"/>
        <v>170.69306597031621</v>
      </c>
      <c r="BG40" s="238">
        <f t="shared" si="99"/>
        <v>571.80392416685004</v>
      </c>
      <c r="BH40" s="238">
        <f t="shared" si="99"/>
        <v>468.24171670983839</v>
      </c>
      <c r="BI40" s="238">
        <f t="shared" si="99"/>
        <v>602.20032527677029</v>
      </c>
      <c r="BJ40" s="238">
        <f t="shared" si="99"/>
        <v>567.54876782944234</v>
      </c>
      <c r="BK40" s="238">
        <f t="shared" si="99"/>
        <v>484.22965615503205</v>
      </c>
      <c r="BL40" s="238">
        <f t="shared" si="99"/>
        <v>876.19944096686811</v>
      </c>
      <c r="BM40" s="238">
        <f t="shared" si="99"/>
        <v>879.85965832646605</v>
      </c>
      <c r="BN40" s="238">
        <f t="shared" si="99"/>
        <v>383.48871473775387</v>
      </c>
      <c r="BO40" s="238">
        <f t="shared" si="99"/>
        <v>377.84426437295753</v>
      </c>
      <c r="BP40" s="238">
        <f t="shared" si="99"/>
        <v>474.51598754652002</v>
      </c>
      <c r="BQ40" s="238">
        <f t="shared" si="99"/>
        <v>3869.4087389236215</v>
      </c>
      <c r="BR40" s="238">
        <f t="shared" si="99"/>
        <v>4140.6192149318067</v>
      </c>
      <c r="BS40" s="238">
        <f t="shared" si="99"/>
        <v>4182.713205406254</v>
      </c>
      <c r="BT40" s="238">
        <f t="shared" si="99"/>
        <v>4706.2538292100398</v>
      </c>
      <c r="BU40" s="238">
        <f t="shared" si="99"/>
        <v>4222.3124061263634</v>
      </c>
      <c r="BV40" s="238">
        <f t="shared" si="99"/>
        <v>6011.7589520051233</v>
      </c>
      <c r="BW40" s="238">
        <f t="shared" si="99"/>
        <v>4182.713205406254</v>
      </c>
      <c r="BX40" s="238">
        <f t="shared" si="99"/>
        <v>5846.746319128807</v>
      </c>
      <c r="BY40" s="238">
        <f t="shared" si="99"/>
        <v>3769.5013077919953</v>
      </c>
      <c r="BZ40" s="238">
        <f t="shared" si="99"/>
        <v>5847.4138235303735</v>
      </c>
      <c r="CA40" s="238">
        <f t="shared" si="99"/>
        <v>3936.9561510353451</v>
      </c>
      <c r="CB40" s="238">
        <f t="shared" si="99"/>
        <v>3771.7991003042621</v>
      </c>
      <c r="CC40" s="238">
        <f t="shared" si="99"/>
        <v>347.71577140879452</v>
      </c>
      <c r="CD40" s="238">
        <f t="shared" si="99"/>
        <v>5670.7877088697296</v>
      </c>
      <c r="CE40" s="238">
        <f t="shared" si="99"/>
        <v>4453.500839769199</v>
      </c>
      <c r="CF40" s="238">
        <f t="shared" si="99"/>
        <v>4163.3443596115312</v>
      </c>
      <c r="CG40" s="238">
        <f t="shared" si="99"/>
        <v>5846.8174994026476</v>
      </c>
    </row>
    <row r="41" spans="1:85">
      <c r="A41" s="248" t="s">
        <v>36</v>
      </c>
      <c r="B41" s="20" t="s">
        <v>307</v>
      </c>
      <c r="C41" s="19" t="s">
        <v>99</v>
      </c>
      <c r="D41" s="19"/>
      <c r="E41" s="19" t="s">
        <v>99</v>
      </c>
      <c r="F41" s="19"/>
      <c r="G41" s="19" t="s">
        <v>100</v>
      </c>
      <c r="H41" s="19"/>
      <c r="I41" s="248" t="s">
        <v>14</v>
      </c>
      <c r="J41" s="240"/>
      <c r="K41" s="236"/>
      <c r="L41" s="237">
        <f t="shared" si="85"/>
        <v>0</v>
      </c>
      <c r="M41" s="237">
        <f t="shared" si="85"/>
        <v>0</v>
      </c>
      <c r="N41" s="236"/>
      <c r="O41" s="236"/>
      <c r="P41" s="112" t="str">
        <f t="shared" si="3"/>
        <v>AMDC1</v>
      </c>
      <c r="Q41" s="238">
        <f t="shared" si="88"/>
        <v>5547.7432305615248</v>
      </c>
      <c r="R41" s="238">
        <f t="shared" si="67"/>
        <v>6625.8344678228605</v>
      </c>
      <c r="S41" s="238">
        <f t="shared" si="67"/>
        <v>6625.8344678228605</v>
      </c>
      <c r="T41" s="238">
        <f t="shared" si="97"/>
        <v>6684.8942172639772</v>
      </c>
      <c r="U41" s="238">
        <f t="shared" si="74"/>
        <v>6102.5321924866439</v>
      </c>
      <c r="V41" s="238">
        <f t="shared" si="74"/>
        <v>6102.5321924866439</v>
      </c>
      <c r="W41" s="238">
        <f t="shared" si="74"/>
        <v>6102.5321924866439</v>
      </c>
      <c r="X41" s="238">
        <f t="shared" si="25"/>
        <v>5338.2461422478673</v>
      </c>
      <c r="Y41" s="238">
        <f t="shared" si="28"/>
        <v>5470.1564329708563</v>
      </c>
      <c r="Z41" s="238">
        <f t="shared" si="31"/>
        <v>5340.691005518187</v>
      </c>
      <c r="AA41" s="238">
        <f t="shared" si="34"/>
        <v>5306.7392501250997</v>
      </c>
      <c r="AB41" s="238">
        <f t="shared" si="37"/>
        <v>5306.7392501250997</v>
      </c>
      <c r="AC41" s="238">
        <f t="shared" si="40"/>
        <v>5712.7364299417668</v>
      </c>
      <c r="AD41" s="238">
        <f t="shared" si="43"/>
        <v>5695.2599525884398</v>
      </c>
      <c r="AE41" s="238">
        <f t="shared" si="46"/>
        <v>7012.2978777098369</v>
      </c>
      <c r="AF41" s="238">
        <f t="shared" si="49"/>
        <v>8876.9395205733545</v>
      </c>
      <c r="AG41" s="238">
        <f t="shared" ref="AG41:AH60" si="100">ACOS(COS($L41)*COS($M41)*COS(INDEX($L:$L,MATCH(AG$2,$P:$P,0)))*COS(INDEX($M:$M,MATCH(AG$2,$P:$P,0))) + COS($L41)*SIN($M41)*COS(INDEX($L:$L,MATCH(AG$2,$P:$P,0)))*SIN(INDEX($M:$M,MATCH(AG$2,$P:$P,0))) + SIN($L41)*SIN(INDEX($L:$L,MATCH(AG$2,$P:$P,0)))) * 3963.1</f>
        <v>7180.955123282818</v>
      </c>
      <c r="AH41" s="238">
        <f t="shared" si="100"/>
        <v>7018.3604515188517</v>
      </c>
      <c r="AI41" s="238">
        <f t="shared" si="60"/>
        <v>7028.9467722208265</v>
      </c>
      <c r="AJ41" s="238">
        <f t="shared" si="60"/>
        <v>7028.9467722208265</v>
      </c>
      <c r="AK41" s="238">
        <f t="shared" si="60"/>
        <v>7028.9467722208265</v>
      </c>
      <c r="AL41" s="238">
        <f t="shared" si="62"/>
        <v>7030.5163643785836</v>
      </c>
      <c r="AM41" s="238">
        <f t="shared" si="68"/>
        <v>7766.3798056905216</v>
      </c>
      <c r="AN41" s="238">
        <f t="shared" si="68"/>
        <v>7766.3798056905216</v>
      </c>
      <c r="AO41" s="238">
        <f t="shared" si="70"/>
        <v>8708.8849839820577</v>
      </c>
      <c r="AP41" s="238">
        <f t="shared" si="72"/>
        <v>9016.1331842315994</v>
      </c>
      <c r="AQ41" s="238">
        <f t="shared" si="75"/>
        <v>9452.8117803458172</v>
      </c>
      <c r="AR41" s="238">
        <f t="shared" si="77"/>
        <v>7725.4986897093358</v>
      </c>
      <c r="AS41" s="238">
        <f t="shared" si="79"/>
        <v>7727.1804374835665</v>
      </c>
      <c r="AT41" s="238">
        <f t="shared" si="81"/>
        <v>7727.9632306068333</v>
      </c>
      <c r="AU41" s="238">
        <f t="shared" si="83"/>
        <v>3548.8542550732927</v>
      </c>
      <c r="AV41" s="238">
        <f t="shared" si="86"/>
        <v>3448.6821151245504</v>
      </c>
      <c r="AW41" s="238">
        <f t="shared" si="89"/>
        <v>3452.2920755456962</v>
      </c>
      <c r="AX41" s="238">
        <f t="shared" si="91"/>
        <v>3914.2634165860768</v>
      </c>
      <c r="AY41" s="238">
        <f t="shared" si="93"/>
        <v>3391.3938246846751</v>
      </c>
      <c r="AZ41" s="238">
        <f t="shared" si="98"/>
        <v>3504.399208119461</v>
      </c>
      <c r="BA41" s="238">
        <f t="shared" si="98"/>
        <v>3504.4322158457876</v>
      </c>
      <c r="BB41" s="238">
        <f t="shared" ref="BB41:BB71" si="101">ACOS(COS($L41)*COS($M41)*COS(INDEX($L:$L,MATCH(BB$2,$P:$P,0)))*COS(INDEX($M:$M,MATCH(BB$2,$P:$P,0))) + COS($L41)*SIN($M41)*COS(INDEX($L:$L,MATCH(BB$2,$P:$P,0)))*SIN(INDEX($M:$M,MATCH(BB$2,$P:$P,0))) + SIN($L41)*SIN(INDEX($L:$L,MATCH(BB$2,$P:$P,0)))) * 3963.1</f>
        <v>3346.0880133239712</v>
      </c>
      <c r="BC41" s="238"/>
      <c r="BD41" s="238">
        <f t="shared" ref="BD41:CG41" si="102">ACOS(COS($L41)*COS($M41)*COS(INDEX($L:$L,MATCH(BD$2,$P:$P,0)))*COS(INDEX($M:$M,MATCH(BD$2,$P:$P,0))) + COS($L41)*SIN($M41)*COS(INDEX($L:$L,MATCH(BD$2,$P:$P,0)))*SIN(INDEX($M:$M,MATCH(BD$2,$P:$P,0))) + SIN($L41)*SIN(INDEX($L:$L,MATCH(BD$2,$P:$P,0)))) * 3963.1</f>
        <v>3385.124360465074</v>
      </c>
      <c r="BE41" s="238">
        <f t="shared" si="102"/>
        <v>3562.9793014297761</v>
      </c>
      <c r="BF41" s="238">
        <f t="shared" si="102"/>
        <v>3502.6741364214863</v>
      </c>
      <c r="BG41" s="238">
        <f t="shared" si="102"/>
        <v>3917.8909166968997</v>
      </c>
      <c r="BH41" s="238">
        <f t="shared" si="102"/>
        <v>3547.053874616086</v>
      </c>
      <c r="BI41" s="238">
        <f t="shared" si="102"/>
        <v>3675.2379894365999</v>
      </c>
      <c r="BJ41" s="238">
        <f t="shared" si="102"/>
        <v>3913.6337299483775</v>
      </c>
      <c r="BK41" s="238">
        <f t="shared" si="102"/>
        <v>3549.0896631949868</v>
      </c>
      <c r="BL41" s="238">
        <f t="shared" si="102"/>
        <v>4214.8952350957679</v>
      </c>
      <c r="BM41" s="238">
        <f t="shared" si="102"/>
        <v>4219.4432506839648</v>
      </c>
      <c r="BN41" s="238">
        <f t="shared" si="102"/>
        <v>3635.1059930720821</v>
      </c>
      <c r="BO41" s="238">
        <f t="shared" si="102"/>
        <v>3631.3857438435011</v>
      </c>
      <c r="BP41" s="238">
        <f t="shared" si="102"/>
        <v>3538.2540638336773</v>
      </c>
      <c r="BQ41" s="238">
        <f t="shared" si="102"/>
        <v>5401.9025927737839</v>
      </c>
      <c r="BR41" s="238">
        <f t="shared" si="102"/>
        <v>5571.9633460121722</v>
      </c>
      <c r="BS41" s="238">
        <f t="shared" si="102"/>
        <v>5552.3898574704308</v>
      </c>
      <c r="BT41" s="238">
        <f t="shared" si="102"/>
        <v>6236.0227561188958</v>
      </c>
      <c r="BU41" s="238">
        <f t="shared" si="102"/>
        <v>5575.7329873483941</v>
      </c>
      <c r="BV41" s="238">
        <f t="shared" si="102"/>
        <v>3544.9543542783299</v>
      </c>
      <c r="BW41" s="238">
        <f t="shared" si="102"/>
        <v>5552.3898574704308</v>
      </c>
      <c r="BX41" s="238">
        <f t="shared" si="102"/>
        <v>7946.3298866150844</v>
      </c>
      <c r="BY41" s="238">
        <f t="shared" si="102"/>
        <v>5266.6423946892892</v>
      </c>
      <c r="BZ41" s="238">
        <f t="shared" si="102"/>
        <v>7947.295116267499</v>
      </c>
      <c r="CA41" s="238">
        <f t="shared" si="102"/>
        <v>5386.3944912249544</v>
      </c>
      <c r="CB41" s="238">
        <f t="shared" si="102"/>
        <v>5270.1795477434616</v>
      </c>
      <c r="CC41" s="238">
        <f t="shared" si="102"/>
        <v>3628.348391149957</v>
      </c>
      <c r="CD41" s="238">
        <f t="shared" si="102"/>
        <v>2634.1230415096488</v>
      </c>
      <c r="CE41" s="238">
        <f t="shared" si="102"/>
        <v>6103.2602039455414</v>
      </c>
      <c r="CF41" s="238">
        <f t="shared" si="102"/>
        <v>5529.4042963022648</v>
      </c>
      <c r="CG41" s="238">
        <f t="shared" si="102"/>
        <v>7946.435822739837</v>
      </c>
    </row>
    <row r="42" spans="1:85">
      <c r="A42" s="248" t="s">
        <v>36</v>
      </c>
      <c r="B42" s="20" t="s">
        <v>308</v>
      </c>
      <c r="C42" s="19" t="s">
        <v>213</v>
      </c>
      <c r="D42" s="19" t="s">
        <v>702</v>
      </c>
      <c r="E42" s="19" t="s">
        <v>618</v>
      </c>
      <c r="F42" s="19" t="s">
        <v>619</v>
      </c>
      <c r="G42" s="19" t="s">
        <v>95</v>
      </c>
      <c r="H42" s="19">
        <v>92110</v>
      </c>
      <c r="I42" s="248" t="s">
        <v>14</v>
      </c>
      <c r="J42" s="240">
        <v>48.899681999999999</v>
      </c>
      <c r="K42" s="236">
        <v>2.2962340000000001</v>
      </c>
      <c r="L42" s="237">
        <f t="shared" si="85"/>
        <v>0.85346045407820581</v>
      </c>
      <c r="M42" s="237">
        <f t="shared" si="85"/>
        <v>4.0076843696239477E-2</v>
      </c>
      <c r="N42" s="67"/>
      <c r="O42" s="236"/>
      <c r="P42" s="112" t="str">
        <f t="shared" si="3"/>
        <v>PDC2</v>
      </c>
      <c r="Q42" s="238">
        <f t="shared" si="88"/>
        <v>3843.3379882715831</v>
      </c>
      <c r="R42" s="238">
        <f t="shared" si="67"/>
        <v>4922.5363415178235</v>
      </c>
      <c r="S42" s="238">
        <f t="shared" si="67"/>
        <v>4922.5363415178235</v>
      </c>
      <c r="T42" s="238">
        <f t="shared" si="97"/>
        <v>5097.7917811547168</v>
      </c>
      <c r="U42" s="238">
        <f t="shared" si="74"/>
        <v>4134.0096014000446</v>
      </c>
      <c r="V42" s="238">
        <f t="shared" si="74"/>
        <v>4134.0096014000446</v>
      </c>
      <c r="W42" s="238">
        <f t="shared" si="74"/>
        <v>4134.0096014000446</v>
      </c>
      <c r="X42" s="238">
        <f t="shared" si="25"/>
        <v>3543.1452263036913</v>
      </c>
      <c r="Y42" s="238">
        <f t="shared" si="28"/>
        <v>3742.7458954522058</v>
      </c>
      <c r="Z42" s="238">
        <f t="shared" si="31"/>
        <v>3534.905591780127</v>
      </c>
      <c r="AA42" s="238">
        <f t="shared" si="34"/>
        <v>3513.0321161282095</v>
      </c>
      <c r="AB42" s="238">
        <f t="shared" si="37"/>
        <v>3513.0321161282095</v>
      </c>
      <c r="AC42" s="238">
        <f t="shared" si="40"/>
        <v>3738.7828314051162</v>
      </c>
      <c r="AD42" s="238">
        <f t="shared" si="43"/>
        <v>3729.3871458263143</v>
      </c>
      <c r="AE42" s="238">
        <f t="shared" si="46"/>
        <v>4884.9949167632431</v>
      </c>
      <c r="AF42" s="238">
        <f t="shared" si="49"/>
        <v>6043.3656646587606</v>
      </c>
      <c r="AG42" s="238">
        <f t="shared" si="100"/>
        <v>6679.8634700431794</v>
      </c>
      <c r="AH42" s="238">
        <f t="shared" si="100"/>
        <v>6481.0690980794161</v>
      </c>
      <c r="AI42" s="238">
        <f t="shared" si="60"/>
        <v>6485.4081232511789</v>
      </c>
      <c r="AJ42" s="238">
        <f t="shared" si="60"/>
        <v>6485.4081232511789</v>
      </c>
      <c r="AK42" s="238">
        <f t="shared" si="60"/>
        <v>6485.4081232511789</v>
      </c>
      <c r="AL42" s="238">
        <f t="shared" si="62"/>
        <v>6496.0250867742679</v>
      </c>
      <c r="AM42" s="238">
        <f t="shared" si="68"/>
        <v>5986.4405164854788</v>
      </c>
      <c r="AN42" s="238">
        <f t="shared" si="68"/>
        <v>5986.4405164854788</v>
      </c>
      <c r="AO42" s="238">
        <f t="shared" si="70"/>
        <v>5992.6314352791642</v>
      </c>
      <c r="AP42" s="238">
        <f t="shared" si="72"/>
        <v>10458.322754700592</v>
      </c>
      <c r="AQ42" s="238">
        <f t="shared" si="75"/>
        <v>10549.5489610616</v>
      </c>
      <c r="AR42" s="238">
        <f t="shared" si="77"/>
        <v>8882.4633424420153</v>
      </c>
      <c r="AS42" s="238">
        <f t="shared" si="79"/>
        <v>8884.1472762445283</v>
      </c>
      <c r="AT42" s="238">
        <f t="shared" si="81"/>
        <v>8884.2686054818223</v>
      </c>
      <c r="AU42" s="238">
        <f t="shared" si="83"/>
        <v>185.5151413680519</v>
      </c>
      <c r="AV42" s="238">
        <f t="shared" si="86"/>
        <v>178.64661959517966</v>
      </c>
      <c r="AW42" s="238">
        <f t="shared" si="89"/>
        <v>173.14570165489658</v>
      </c>
      <c r="AX42" s="238">
        <f t="shared" si="91"/>
        <v>638.45220811924275</v>
      </c>
      <c r="AY42" s="238">
        <f t="shared" si="93"/>
        <v>11.166453413606545</v>
      </c>
      <c r="AZ42" s="238">
        <f t="shared" si="98"/>
        <v>295.49215767391769</v>
      </c>
      <c r="BA42" s="238">
        <f t="shared" si="98"/>
        <v>295.38395423923271</v>
      </c>
      <c r="BB42" s="238">
        <f t="shared" si="101"/>
        <v>336.8296510558456</v>
      </c>
      <c r="BC42" s="238">
        <f t="shared" ref="BC42:BC71" si="103">ACOS(COS($L42)*COS($M42)*COS(INDEX($L:$L,MATCH(BC$2,$P:$P,0)))*COS(INDEX($M:$M,MATCH(BC$2,$P:$P,0))) + COS($L42)*SIN($M42)*COS(INDEX($L:$L,MATCH(BC$2,$P:$P,0)))*SIN(INDEX($M:$M,MATCH(BC$2,$P:$P,0))) + SIN($L42)*SIN(INDEX($L:$L,MATCH(BC$2,$P:$P,0)))) * 3963.1</f>
        <v>3385.124360465074</v>
      </c>
      <c r="BD42" s="238"/>
      <c r="BE42" s="238">
        <f t="shared" ref="BE42:CG42" si="104">ACOS(COS($L42)*COS($M42)*COS(INDEX($L:$L,MATCH(BE$2,$P:$P,0)))*COS(INDEX($M:$M,MATCH(BE$2,$P:$P,0))) + COS($L42)*SIN($M42)*COS(INDEX($L:$L,MATCH(BE$2,$P:$P,0)))*SIN(INDEX($M:$M,MATCH(BE$2,$P:$P,0))) + SIN($L42)*SIN(INDEX($L:$L,MATCH(BE$2,$P:$P,0)))) * 3963.1</f>
        <v>207.32736102260725</v>
      </c>
      <c r="BF42" s="238">
        <f t="shared" si="104"/>
        <v>296.38303472942653</v>
      </c>
      <c r="BG42" s="238">
        <f t="shared" si="104"/>
        <v>639.16044531462592</v>
      </c>
      <c r="BH42" s="238">
        <f t="shared" si="104"/>
        <v>181.93698635896911</v>
      </c>
      <c r="BI42" s="238">
        <f t="shared" si="104"/>
        <v>331.44838955239243</v>
      </c>
      <c r="BJ42" s="238">
        <f t="shared" si="104"/>
        <v>635.10713175971023</v>
      </c>
      <c r="BK42" s="238">
        <f t="shared" si="104"/>
        <v>191.87825737975069</v>
      </c>
      <c r="BL42" s="238">
        <f t="shared" si="104"/>
        <v>957.13823267225803</v>
      </c>
      <c r="BM42" s="238">
        <f t="shared" si="104"/>
        <v>957.78592767977079</v>
      </c>
      <c r="BN42" s="238">
        <f t="shared" si="104"/>
        <v>266.31404943459108</v>
      </c>
      <c r="BO42" s="238">
        <f t="shared" si="104"/>
        <v>264.32722088913278</v>
      </c>
      <c r="BP42" s="238">
        <f t="shared" si="104"/>
        <v>179.81384402356389</v>
      </c>
      <c r="BQ42" s="238">
        <f t="shared" si="104"/>
        <v>3539.1660430015186</v>
      </c>
      <c r="BR42" s="238">
        <f t="shared" si="104"/>
        <v>3809.9343664512203</v>
      </c>
      <c r="BS42" s="238">
        <f t="shared" si="104"/>
        <v>3850.8296506864149</v>
      </c>
      <c r="BT42" s="238">
        <f t="shared" si="104"/>
        <v>4384.1938398441807</v>
      </c>
      <c r="BU42" s="238">
        <f t="shared" si="104"/>
        <v>3890.3424668407984</v>
      </c>
      <c r="BV42" s="238">
        <f t="shared" si="104"/>
        <v>5827.834612899901</v>
      </c>
      <c r="BW42" s="238">
        <f t="shared" si="104"/>
        <v>3850.8296506864149</v>
      </c>
      <c r="BX42" s="238">
        <f t="shared" si="104"/>
        <v>5575.0748492000184</v>
      </c>
      <c r="BY42" s="238">
        <f t="shared" si="104"/>
        <v>3437.4836447434386</v>
      </c>
      <c r="BZ42" s="238">
        <f t="shared" si="104"/>
        <v>5575.7774900100931</v>
      </c>
      <c r="CA42" s="238">
        <f t="shared" si="104"/>
        <v>3605.1034662167913</v>
      </c>
      <c r="CB42" s="238">
        <f t="shared" si="104"/>
        <v>3439.8300093599396</v>
      </c>
      <c r="CC42" s="238">
        <f t="shared" si="104"/>
        <v>281.04049997561941</v>
      </c>
      <c r="CD42" s="238">
        <f t="shared" si="104"/>
        <v>5813.3601744520638</v>
      </c>
      <c r="CE42" s="238">
        <f t="shared" si="104"/>
        <v>4133.5765411859265</v>
      </c>
      <c r="CF42" s="238">
        <f t="shared" si="104"/>
        <v>3831.2362906701296</v>
      </c>
      <c r="CG42" s="238">
        <f t="shared" si="104"/>
        <v>5575.1500193920156</v>
      </c>
    </row>
    <row r="43" spans="1:85">
      <c r="A43" s="248" t="s">
        <v>36</v>
      </c>
      <c r="B43" s="20" t="s">
        <v>310</v>
      </c>
      <c r="C43" s="19" t="s">
        <v>98</v>
      </c>
      <c r="D43" s="19" t="s">
        <v>703</v>
      </c>
      <c r="E43" s="19" t="s">
        <v>98</v>
      </c>
      <c r="F43" s="19" t="s">
        <v>636</v>
      </c>
      <c r="G43" s="19" t="s">
        <v>90</v>
      </c>
      <c r="H43" s="19" t="s">
        <v>704</v>
      </c>
      <c r="I43" s="248" t="s">
        <v>14</v>
      </c>
      <c r="J43" s="240">
        <v>51.511108999999998</v>
      </c>
      <c r="K43" s="236">
        <v>-3.7490000000000002E-3</v>
      </c>
      <c r="L43" s="237">
        <f t="shared" si="85"/>
        <v>0.89903845340368371</v>
      </c>
      <c r="M43" s="237">
        <f t="shared" si="85"/>
        <v>-6.5432393657267421E-5</v>
      </c>
      <c r="N43" s="67"/>
      <c r="O43" s="236"/>
      <c r="P43" s="112" t="str">
        <f t="shared" si="3"/>
        <v>LODC</v>
      </c>
      <c r="Q43" s="238">
        <f t="shared" si="88"/>
        <v>3685.0174500914204</v>
      </c>
      <c r="R43" s="238">
        <f t="shared" si="67"/>
        <v>4748.0711238340646</v>
      </c>
      <c r="S43" s="238">
        <f t="shared" si="67"/>
        <v>4748.0711238340646</v>
      </c>
      <c r="T43" s="238">
        <f t="shared" si="97"/>
        <v>4926.2848169818344</v>
      </c>
      <c r="U43" s="238">
        <f t="shared" si="74"/>
        <v>3957.2244916841337</v>
      </c>
      <c r="V43" s="238">
        <f t="shared" si="74"/>
        <v>3957.2244916841337</v>
      </c>
      <c r="W43" s="238">
        <f t="shared" si="74"/>
        <v>3957.2244916841337</v>
      </c>
      <c r="X43" s="238">
        <f t="shared" ref="X43:X71" si="105">ACOS(COS($L43)*COS($M43)*COS(INDEX($L:$L,MATCH(X$2,$P:$P,0)))*COS(INDEX($M:$M,MATCH(X$2,$P:$P,0))) + COS($L43)*SIN($M43)*COS(INDEX($L:$L,MATCH(X$2,$P:$P,0)))*SIN(INDEX($M:$M,MATCH(X$2,$P:$P,0))) + SIN($L43)*SIN(INDEX($L:$L,MATCH(X$2,$P:$P,0)))) * 3963.1</f>
        <v>3385.3145232931279</v>
      </c>
      <c r="Y43" s="238">
        <f t="shared" si="28"/>
        <v>3584.999211908897</v>
      </c>
      <c r="Z43" s="238">
        <f t="shared" si="31"/>
        <v>3376.5961128751742</v>
      </c>
      <c r="AA43" s="238">
        <f t="shared" si="34"/>
        <v>3355.9008059628418</v>
      </c>
      <c r="AB43" s="238">
        <f t="shared" si="37"/>
        <v>3355.9008059628418</v>
      </c>
      <c r="AC43" s="238">
        <f t="shared" si="40"/>
        <v>3567.2822828106082</v>
      </c>
      <c r="AD43" s="238">
        <f t="shared" si="43"/>
        <v>3558.4662402866593</v>
      </c>
      <c r="AE43" s="238">
        <f t="shared" si="46"/>
        <v>4694.0419901826181</v>
      </c>
      <c r="AF43" s="238">
        <f t="shared" si="49"/>
        <v>5945.8307520554681</v>
      </c>
      <c r="AG43" s="238">
        <f t="shared" si="100"/>
        <v>6746.6354715811813</v>
      </c>
      <c r="AH43" s="238">
        <f t="shared" si="100"/>
        <v>6550.207045002132</v>
      </c>
      <c r="AI43" s="238">
        <f t="shared" si="60"/>
        <v>6554.0328169064533</v>
      </c>
      <c r="AJ43" s="238">
        <f t="shared" si="60"/>
        <v>6554.0328169064533</v>
      </c>
      <c r="AK43" s="238">
        <f t="shared" si="60"/>
        <v>6554.0328169064533</v>
      </c>
      <c r="AL43" s="238">
        <f t="shared" si="62"/>
        <v>6564.9929848884258</v>
      </c>
      <c r="AM43" s="238">
        <f t="shared" si="68"/>
        <v>5978.7296910668465</v>
      </c>
      <c r="AN43" s="238">
        <f t="shared" si="68"/>
        <v>5978.7296910668465</v>
      </c>
      <c r="AO43" s="238">
        <f t="shared" si="70"/>
        <v>5906.7727952709729</v>
      </c>
      <c r="AP43" s="238">
        <f t="shared" si="72"/>
        <v>10520.817797048701</v>
      </c>
      <c r="AQ43" s="238">
        <f t="shared" si="75"/>
        <v>10564.522153864638</v>
      </c>
      <c r="AR43" s="238">
        <f t="shared" si="77"/>
        <v>8999.3594984927859</v>
      </c>
      <c r="AS43" s="238">
        <f t="shared" si="79"/>
        <v>9000.9930034808458</v>
      </c>
      <c r="AT43" s="238">
        <f t="shared" si="81"/>
        <v>9001.065099213738</v>
      </c>
      <c r="AU43" s="238">
        <f t="shared" si="83"/>
        <v>24.099776647135364</v>
      </c>
      <c r="AV43" s="238">
        <f t="shared" si="86"/>
        <v>299.98713294034189</v>
      </c>
      <c r="AW43" s="238">
        <f t="shared" si="89"/>
        <v>291.70620905673519</v>
      </c>
      <c r="AX43" s="238">
        <f t="shared" si="91"/>
        <v>591.40806815860208</v>
      </c>
      <c r="AY43" s="238">
        <f t="shared" si="93"/>
        <v>207.13660317419146</v>
      </c>
      <c r="AZ43" s="238">
        <f t="shared" si="98"/>
        <v>387.72120899846141</v>
      </c>
      <c r="BA43" s="238">
        <f t="shared" si="98"/>
        <v>387.58282856057929</v>
      </c>
      <c r="BB43" s="238">
        <f t="shared" si="101"/>
        <v>496.80437487346001</v>
      </c>
      <c r="BC43" s="238">
        <f t="shared" si="103"/>
        <v>3562.9793014297761</v>
      </c>
      <c r="BD43" s="238">
        <f t="shared" ref="BD43:BD71" si="106">ACOS(COS($L43)*COS($M43)*COS(INDEX($L:$L,MATCH(BD$2,$P:$P,0)))*COS(INDEX($M:$M,MATCH(BD$2,$P:$P,0))) + COS($L43)*SIN($M43)*COS(INDEX($L:$L,MATCH(BD$2,$P:$P,0)))*SIN(INDEX($M:$M,MATCH(BD$2,$P:$P,0))) + SIN($L43)*SIN(INDEX($L:$L,MATCH(BD$2,$P:$P,0)))) * 3963.1</f>
        <v>207.32736102260725</v>
      </c>
      <c r="BE43" s="238"/>
      <c r="BF43" s="238">
        <f t="shared" ref="BF43:CG43" si="107">ACOS(COS($L43)*COS($M43)*COS(INDEX($L:$L,MATCH(BF$2,$P:$P,0)))*COS(INDEX($M:$M,MATCH(BF$2,$P:$P,0))) + COS($L43)*SIN($M43)*COS(INDEX($L:$L,MATCH(BF$2,$P:$P,0)))*SIN(INDEX($M:$M,MATCH(BF$2,$P:$P,0))) + SIN($L43)*SIN(INDEX($L:$L,MATCH(BF$2,$P:$P,0)))) * 3963.1</f>
        <v>389.70337270861722</v>
      </c>
      <c r="BG43" s="238">
        <f t="shared" si="107"/>
        <v>590.21747113672347</v>
      </c>
      <c r="BH43" s="238">
        <f t="shared" si="107"/>
        <v>28.692945934603465</v>
      </c>
      <c r="BI43" s="238">
        <f t="shared" si="107"/>
        <v>124.36142351003075</v>
      </c>
      <c r="BJ43" s="238">
        <f t="shared" si="107"/>
        <v>586.88748491899128</v>
      </c>
      <c r="BK43" s="238">
        <f t="shared" si="107"/>
        <v>15.490957643844332</v>
      </c>
      <c r="BL43" s="238">
        <f t="shared" si="107"/>
        <v>886.1548039468754</v>
      </c>
      <c r="BM43" s="238">
        <f t="shared" si="107"/>
        <v>884.96086542010096</v>
      </c>
      <c r="BN43" s="238">
        <f t="shared" si="107"/>
        <v>215.27833021081543</v>
      </c>
      <c r="BO43" s="238">
        <f t="shared" si="107"/>
        <v>218.09525063931616</v>
      </c>
      <c r="BP43" s="238">
        <f t="shared" si="107"/>
        <v>27.591679148646101</v>
      </c>
      <c r="BQ43" s="238">
        <f t="shared" si="107"/>
        <v>3377.3695603686765</v>
      </c>
      <c r="BR43" s="238">
        <f t="shared" si="107"/>
        <v>3648.9385399083853</v>
      </c>
      <c r="BS43" s="238">
        <f t="shared" si="107"/>
        <v>3692.5325685383068</v>
      </c>
      <c r="BT43" s="238">
        <f t="shared" si="107"/>
        <v>4209.7280524551688</v>
      </c>
      <c r="BU43" s="238">
        <f t="shared" si="107"/>
        <v>3732.2358792865443</v>
      </c>
      <c r="BV43" s="238">
        <f t="shared" si="107"/>
        <v>5887.9686419657364</v>
      </c>
      <c r="BW43" s="238">
        <f t="shared" si="107"/>
        <v>3692.5325685383068</v>
      </c>
      <c r="BX43" s="238">
        <f t="shared" si="107"/>
        <v>5373.2789677848823</v>
      </c>
      <c r="BY43" s="238">
        <f t="shared" si="107"/>
        <v>3279.7464680952626</v>
      </c>
      <c r="BZ43" s="238">
        <f t="shared" si="107"/>
        <v>5373.9732997421943</v>
      </c>
      <c r="CA43" s="238">
        <f t="shared" si="107"/>
        <v>3446.8618402623483</v>
      </c>
      <c r="CB43" s="238">
        <f t="shared" si="107"/>
        <v>3281.9706100907797</v>
      </c>
      <c r="CC43" s="238">
        <f t="shared" si="107"/>
        <v>260.96169457122534</v>
      </c>
      <c r="CD43" s="238">
        <f t="shared" si="107"/>
        <v>6013.603069498412</v>
      </c>
      <c r="CE43" s="238">
        <f t="shared" si="107"/>
        <v>3956.7414246177282</v>
      </c>
      <c r="CF43" s="238">
        <f t="shared" si="107"/>
        <v>3673.5013822859273</v>
      </c>
      <c r="CG43" s="238">
        <f t="shared" si="107"/>
        <v>5373.3531929570081</v>
      </c>
    </row>
    <row r="44" spans="1:85">
      <c r="A44" s="248" t="s">
        <v>36</v>
      </c>
      <c r="B44" s="20" t="s">
        <v>311</v>
      </c>
      <c r="C44" s="19" t="s">
        <v>96</v>
      </c>
      <c r="D44" s="19" t="s">
        <v>705</v>
      </c>
      <c r="E44" s="19" t="s">
        <v>699</v>
      </c>
      <c r="F44" s="19" t="s">
        <v>624</v>
      </c>
      <c r="G44" s="19" t="s">
        <v>97</v>
      </c>
      <c r="H44" s="19">
        <v>60326</v>
      </c>
      <c r="I44" s="248" t="s">
        <v>14</v>
      </c>
      <c r="J44" s="240">
        <v>50.098601000000002</v>
      </c>
      <c r="K44" s="236">
        <v>8.6328150000000008</v>
      </c>
      <c r="L44" s="237">
        <f t="shared" si="85"/>
        <v>0.87438553809292374</v>
      </c>
      <c r="M44" s="237">
        <f t="shared" si="85"/>
        <v>0.15067104546555429</v>
      </c>
      <c r="N44" s="67"/>
      <c r="O44" s="236"/>
      <c r="P44" s="112" t="str">
        <f t="shared" si="3"/>
        <v>FRDC3</v>
      </c>
      <c r="Q44" s="238">
        <f t="shared" si="88"/>
        <v>4071.4805943331426</v>
      </c>
      <c r="R44" s="238">
        <f t="shared" si="67"/>
        <v>5123.9674271001631</v>
      </c>
      <c r="S44" s="238">
        <f t="shared" si="67"/>
        <v>5123.9674271001631</v>
      </c>
      <c r="T44" s="238">
        <f t="shared" si="97"/>
        <v>5304.5734144421449</v>
      </c>
      <c r="U44" s="238">
        <f t="shared" si="74"/>
        <v>4331.6235565939114</v>
      </c>
      <c r="V44" s="238">
        <f t="shared" si="74"/>
        <v>4331.6235565939114</v>
      </c>
      <c r="W44" s="238">
        <f t="shared" si="74"/>
        <v>4331.6235565939114</v>
      </c>
      <c r="X44" s="238">
        <f t="shared" si="105"/>
        <v>3772.0860706304934</v>
      </c>
      <c r="Y44" s="238">
        <f t="shared" ref="Y44:Y71" si="108">ACOS(COS($L44)*COS($M44)*COS(INDEX($L:$L,MATCH(Y$2,$P:$P,0)))*COS(INDEX($M:$M,MATCH(Y$2,$P:$P,0))) + COS($L44)*SIN($M44)*COS(INDEX($L:$L,MATCH(Y$2,$P:$P,0)))*SIN(INDEX($M:$M,MATCH(Y$2,$P:$P,0))) + SIN($L44)*SIN(INDEX($L:$L,MATCH(Y$2,$P:$P,0)))) * 3963.1</f>
        <v>3971.7116785452354</v>
      </c>
      <c r="Z44" s="238">
        <f t="shared" si="31"/>
        <v>3763.2029000288517</v>
      </c>
      <c r="AA44" s="238">
        <f t="shared" si="34"/>
        <v>3742.922257692408</v>
      </c>
      <c r="AB44" s="238">
        <f t="shared" si="37"/>
        <v>3742.922257692408</v>
      </c>
      <c r="AC44" s="238">
        <f t="shared" si="40"/>
        <v>3946.6184721263171</v>
      </c>
      <c r="AD44" s="238">
        <f t="shared" si="43"/>
        <v>3938.2401756306394</v>
      </c>
      <c r="AE44" s="238">
        <f t="shared" si="46"/>
        <v>5047.3162526176957</v>
      </c>
      <c r="AF44" s="238">
        <f t="shared" si="49"/>
        <v>5810.1832753836061</v>
      </c>
      <c r="AG44" s="238">
        <f t="shared" si="100"/>
        <v>6387.1567357647691</v>
      </c>
      <c r="AH44" s="238">
        <f t="shared" si="100"/>
        <v>6188.8970665691722</v>
      </c>
      <c r="AI44" s="238">
        <f t="shared" ref="AI44:AK63" si="109">ACOS(COS($L44)*COS($M44)*COS(INDEX($L:$L,MATCH(AI$2,$P:$P,0)))*COS(INDEX($M:$M,MATCH(AI$2,$P:$P,0))) + COS($L44)*SIN($M44)*COS(INDEX($L:$L,MATCH(AI$2,$P:$P,0)))*SIN(INDEX($M:$M,MATCH(AI$2,$P:$P,0))) + SIN($L44)*SIN(INDEX($L:$L,MATCH(AI$2,$P:$P,0)))) * 3963.1</f>
        <v>6193.1076496043834</v>
      </c>
      <c r="AJ44" s="238">
        <f t="shared" si="109"/>
        <v>6193.1076496043834</v>
      </c>
      <c r="AK44" s="238">
        <f t="shared" si="109"/>
        <v>6193.1076496043834</v>
      </c>
      <c r="AL44" s="238">
        <f t="shared" si="62"/>
        <v>6203.8133932771998</v>
      </c>
      <c r="AM44" s="238">
        <f t="shared" si="68"/>
        <v>5696.7030751619113</v>
      </c>
      <c r="AN44" s="238">
        <f t="shared" si="68"/>
        <v>5696.7030751619113</v>
      </c>
      <c r="AO44" s="238">
        <f t="shared" si="70"/>
        <v>5748.5079128531488</v>
      </c>
      <c r="AP44" s="238">
        <f t="shared" si="72"/>
        <v>10166.134652451616</v>
      </c>
      <c r="AQ44" s="238">
        <f t="shared" si="75"/>
        <v>10253.491691370542</v>
      </c>
      <c r="AR44" s="238">
        <f t="shared" si="77"/>
        <v>8613.2909919698013</v>
      </c>
      <c r="AS44" s="238">
        <f t="shared" si="79"/>
        <v>8614.9402955358182</v>
      </c>
      <c r="AT44" s="238">
        <f t="shared" si="81"/>
        <v>8615.0273426919102</v>
      </c>
      <c r="AU44" s="238">
        <f t="shared" si="83"/>
        <v>367.97493948876462</v>
      </c>
      <c r="AV44" s="238">
        <f t="shared" si="86"/>
        <v>117.97880863888277</v>
      </c>
      <c r="AW44" s="238">
        <f t="shared" si="89"/>
        <v>123.23871890922828</v>
      </c>
      <c r="AX44" s="238">
        <f t="shared" si="91"/>
        <v>418.38062169777885</v>
      </c>
      <c r="AY44" s="238">
        <f t="shared" si="93"/>
        <v>285.48780414241827</v>
      </c>
      <c r="AZ44" s="238">
        <f t="shared" si="98"/>
        <v>2.4913144199519466</v>
      </c>
      <c r="BA44" s="238">
        <f t="shared" si="98"/>
        <v>2.612880941172258</v>
      </c>
      <c r="BB44" s="238">
        <f t="shared" si="101"/>
        <v>170.69306597031621</v>
      </c>
      <c r="BC44" s="238">
        <f t="shared" si="103"/>
        <v>3502.6741364214863</v>
      </c>
      <c r="BD44" s="238">
        <f t="shared" si="106"/>
        <v>296.38303472942653</v>
      </c>
      <c r="BE44" s="238">
        <f t="shared" ref="BE44:BE71" si="110">ACOS(COS($L44)*COS($M44)*COS(INDEX($L:$L,MATCH(BE$2,$P:$P,0)))*COS(INDEX($M:$M,MATCH(BE$2,$P:$P,0))) + COS($L44)*SIN($M44)*COS(INDEX($L:$L,MATCH(BE$2,$P:$P,0)))*SIN(INDEX($M:$M,MATCH(BE$2,$P:$P,0))) + SIN($L44)*SIN(INDEX($L:$L,MATCH(BE$2,$P:$P,0)))) * 3963.1</f>
        <v>389.70337270861722</v>
      </c>
      <c r="BF44" s="238"/>
      <c r="BG44" s="238">
        <f t="shared" ref="BG44:CG44" si="111">ACOS(COS($L44)*COS($M44)*COS(INDEX($L:$L,MATCH(BG$2,$P:$P,0)))*COS(INDEX($M:$M,MATCH(BG$2,$P:$P,0))) + COS($L44)*SIN($M44)*COS(INDEX($L:$L,MATCH(BG$2,$P:$P,0)))*SIN(INDEX($M:$M,MATCH(BG$2,$P:$P,0))) + SIN($L44)*SIN(INDEX($L:$L,MATCH(BG$2,$P:$P,0)))) * 3963.1</f>
        <v>421.20693222948222</v>
      </c>
      <c r="BH44" s="238">
        <f t="shared" si="111"/>
        <v>363.40371298071483</v>
      </c>
      <c r="BI44" s="238">
        <f t="shared" si="111"/>
        <v>474.90817828494301</v>
      </c>
      <c r="BJ44" s="238">
        <f t="shared" si="111"/>
        <v>416.87250249830413</v>
      </c>
      <c r="BK44" s="238">
        <f t="shared" si="111"/>
        <v>380.49728524535522</v>
      </c>
      <c r="BL44" s="238">
        <f t="shared" si="111"/>
        <v>736.87542584796108</v>
      </c>
      <c r="BM44" s="238">
        <f t="shared" si="111"/>
        <v>739.55060044476795</v>
      </c>
      <c r="BN44" s="238">
        <f t="shared" si="111"/>
        <v>228.53305592749427</v>
      </c>
      <c r="BO44" s="238">
        <f t="shared" si="111"/>
        <v>222.81722689816138</v>
      </c>
      <c r="BP44" s="238">
        <f t="shared" si="111"/>
        <v>373.5799892126463</v>
      </c>
      <c r="BQ44" s="238">
        <f t="shared" si="111"/>
        <v>3762.5773532093604</v>
      </c>
      <c r="BR44" s="238">
        <f t="shared" si="111"/>
        <v>4034.3486212253688</v>
      </c>
      <c r="BS44" s="238">
        <f t="shared" si="111"/>
        <v>4079.0010779468062</v>
      </c>
      <c r="BT44" s="238">
        <f t="shared" si="111"/>
        <v>4586.0662601714375</v>
      </c>
      <c r="BU44" s="238">
        <f t="shared" si="111"/>
        <v>4118.7570543512793</v>
      </c>
      <c r="BV44" s="238">
        <f t="shared" si="111"/>
        <v>6092.9770053237171</v>
      </c>
      <c r="BW44" s="238">
        <f t="shared" si="111"/>
        <v>4079.0010779468062</v>
      </c>
      <c r="BX44" s="238">
        <f t="shared" si="111"/>
        <v>5692.7955048274789</v>
      </c>
      <c r="BY44" s="238">
        <f t="shared" si="111"/>
        <v>3666.5991650680094</v>
      </c>
      <c r="BZ44" s="238">
        <f t="shared" si="111"/>
        <v>5693.4495909638927</v>
      </c>
      <c r="CA44" s="238">
        <f t="shared" si="111"/>
        <v>3833.4601043044349</v>
      </c>
      <c r="CB44" s="238">
        <f t="shared" si="111"/>
        <v>3668.7803321111696</v>
      </c>
      <c r="CC44" s="238">
        <f t="shared" si="111"/>
        <v>185.5315895743544</v>
      </c>
      <c r="CD44" s="238">
        <f t="shared" si="111"/>
        <v>5841.1376873565823</v>
      </c>
      <c r="CE44" s="238">
        <f t="shared" si="111"/>
        <v>4331.0916994660574</v>
      </c>
      <c r="CF44" s="238">
        <f t="shared" si="111"/>
        <v>4060.180506169565</v>
      </c>
      <c r="CG44" s="238">
        <f t="shared" si="111"/>
        <v>5692.8651639795989</v>
      </c>
    </row>
    <row r="45" spans="1:85">
      <c r="A45" s="248" t="s">
        <v>36</v>
      </c>
      <c r="B45" s="20" t="s">
        <v>312</v>
      </c>
      <c r="C45" s="19" t="s">
        <v>173</v>
      </c>
      <c r="D45" s="19" t="s">
        <v>172</v>
      </c>
      <c r="E45" s="19" t="s">
        <v>93</v>
      </c>
      <c r="F45" s="19"/>
      <c r="G45" s="19" t="s">
        <v>94</v>
      </c>
      <c r="H45" s="19"/>
      <c r="I45" s="248" t="s">
        <v>14</v>
      </c>
      <c r="J45" s="235">
        <v>55.714095</v>
      </c>
      <c r="K45" s="236">
        <v>12.548676</v>
      </c>
      <c r="L45" s="237">
        <f t="shared" si="85"/>
        <v>0.97239439751891021</v>
      </c>
      <c r="M45" s="237">
        <f t="shared" si="85"/>
        <v>0.21901571296599195</v>
      </c>
      <c r="N45" s="236"/>
      <c r="O45" s="236"/>
      <c r="P45" s="112" t="str">
        <f t="shared" si="3"/>
        <v>LPADC</v>
      </c>
      <c r="Q45" s="238">
        <f t="shared" si="88"/>
        <v>4057.6342950710355</v>
      </c>
      <c r="R45" s="238">
        <f t="shared" si="67"/>
        <v>5045.3707086183349</v>
      </c>
      <c r="S45" s="238">
        <f t="shared" si="67"/>
        <v>5045.3707086183349</v>
      </c>
      <c r="T45" s="238">
        <f t="shared" si="97"/>
        <v>5234.625654581645</v>
      </c>
      <c r="U45" s="238">
        <f t="shared" si="74"/>
        <v>4253.6344092830041</v>
      </c>
      <c r="V45" s="238">
        <f t="shared" si="74"/>
        <v>4253.6344092830041</v>
      </c>
      <c r="W45" s="238">
        <f t="shared" si="74"/>
        <v>4253.6344092830041</v>
      </c>
      <c r="X45" s="238">
        <f t="shared" si="105"/>
        <v>3763.5134152917735</v>
      </c>
      <c r="Y45" s="238">
        <f t="shared" si="108"/>
        <v>3960.8034585756236</v>
      </c>
      <c r="Z45" s="238">
        <f t="shared" ref="Z45:Z71" si="112">ACOS(COS($L45)*COS($M45)*COS(INDEX($L:$L,MATCH(Z$2,$P:$P,0)))*COS(INDEX($M:$M,MATCH(Z$2,$P:$P,0))) + COS($L45)*SIN($M45)*COS(INDEX($L:$L,MATCH(Z$2,$P:$P,0)))*SIN(INDEX($M:$M,MATCH(Z$2,$P:$P,0))) + SIN($L45)*SIN(INDEX($L:$L,MATCH(Z$2,$P:$P,0)))) * 3963.1</f>
        <v>3753.3363133776129</v>
      </c>
      <c r="AA45" s="238">
        <f t="shared" si="34"/>
        <v>3736.7943533068378</v>
      </c>
      <c r="AB45" s="238">
        <f t="shared" si="37"/>
        <v>3736.7943533068378</v>
      </c>
      <c r="AC45" s="238">
        <f t="shared" si="40"/>
        <v>3892.4276103998563</v>
      </c>
      <c r="AD45" s="238">
        <f t="shared" si="43"/>
        <v>3886.136249383675</v>
      </c>
      <c r="AE45" s="238">
        <f t="shared" si="46"/>
        <v>4901.7054847241161</v>
      </c>
      <c r="AF45" s="238">
        <f t="shared" si="49"/>
        <v>5406.9855604696941</v>
      </c>
      <c r="AG45" s="238">
        <f t="shared" si="100"/>
        <v>6201.6123063682644</v>
      </c>
      <c r="AH45" s="238">
        <f t="shared" si="100"/>
        <v>6008.5758818221157</v>
      </c>
      <c r="AI45" s="238">
        <f t="shared" si="109"/>
        <v>6011.7770523853433</v>
      </c>
      <c r="AJ45" s="238">
        <f t="shared" si="109"/>
        <v>6011.7770523853433</v>
      </c>
      <c r="AK45" s="238">
        <f t="shared" si="109"/>
        <v>6011.7770523853433</v>
      </c>
      <c r="AL45" s="238">
        <f t="shared" si="62"/>
        <v>6023.1110337217269</v>
      </c>
      <c r="AM45" s="238">
        <f t="shared" si="68"/>
        <v>5388.9007743363218</v>
      </c>
      <c r="AN45" s="238">
        <f t="shared" si="68"/>
        <v>5388.9007743363218</v>
      </c>
      <c r="AO45" s="238">
        <f t="shared" si="70"/>
        <v>5353.7652192270662</v>
      </c>
      <c r="AP45" s="238">
        <f t="shared" si="72"/>
        <v>9955.8751874938189</v>
      </c>
      <c r="AQ45" s="238">
        <f t="shared" si="75"/>
        <v>9976.3095689682268</v>
      </c>
      <c r="AR45" s="238">
        <f t="shared" si="77"/>
        <v>8518.598779033915</v>
      </c>
      <c r="AS45" s="238">
        <f t="shared" si="79"/>
        <v>8520.1206099228639</v>
      </c>
      <c r="AT45" s="238">
        <f t="shared" si="81"/>
        <v>8520.0971623335481</v>
      </c>
      <c r="AU45" s="238">
        <f t="shared" si="83"/>
        <v>582.56810395882712</v>
      </c>
      <c r="AV45" s="238">
        <f t="shared" si="86"/>
        <v>502.38973942770349</v>
      </c>
      <c r="AW45" s="238">
        <f t="shared" si="89"/>
        <v>501.91676713160831</v>
      </c>
      <c r="AX45" s="238">
        <f t="shared" si="91"/>
        <v>5.7662927251412119</v>
      </c>
      <c r="AY45" s="238">
        <f t="shared" si="93"/>
        <v>628.70011490898105</v>
      </c>
      <c r="AZ45" s="238">
        <f t="shared" si="98"/>
        <v>419.82813522386346</v>
      </c>
      <c r="BA45" s="238">
        <f t="shared" si="98"/>
        <v>419.8200914501885</v>
      </c>
      <c r="BB45" s="238">
        <f t="shared" si="101"/>
        <v>571.80392416685004</v>
      </c>
      <c r="BC45" s="238">
        <f t="shared" si="103"/>
        <v>3917.8909166968997</v>
      </c>
      <c r="BD45" s="238">
        <f t="shared" si="106"/>
        <v>639.16044531462592</v>
      </c>
      <c r="BE45" s="238">
        <f t="shared" si="110"/>
        <v>590.21747113672347</v>
      </c>
      <c r="BF45" s="238">
        <f t="shared" ref="BF45:BF71" si="113">ACOS(COS($L45)*COS($M45)*COS(INDEX($L:$L,MATCH(BF$2,$P:$P,0)))*COS(INDEX($M:$M,MATCH(BF$2,$P:$P,0))) + COS($L45)*SIN($M45)*COS(INDEX($L:$L,MATCH(BF$2,$P:$P,0)))*SIN(INDEX($M:$M,MATCH(BF$2,$P:$P,0))) + SIN($L45)*SIN(INDEX($L:$L,MATCH(BF$2,$P:$P,0)))) * 3963.1</f>
        <v>421.20693222948222</v>
      </c>
      <c r="BG45" s="238"/>
      <c r="BH45" s="238">
        <f t="shared" ref="BH45:CG45" si="114">ACOS(COS($L45)*COS($M45)*COS(INDEX($L:$L,MATCH(BH$2,$P:$P,0)))*COS(INDEX($M:$M,MATCH(BH$2,$P:$P,0))) + COS($L45)*SIN($M45)*COS(INDEX($L:$L,MATCH(BH$2,$P:$P,0)))*SIN(INDEX($M:$M,MATCH(BH$2,$P:$P,0))) + SIN($L45)*SIN(INDEX($L:$L,MATCH(BH$2,$P:$P,0)))) * 3963.1</f>
        <v>580.19093418365048</v>
      </c>
      <c r="BI45" s="238">
        <f t="shared" si="114"/>
        <v>584.58832071908228</v>
      </c>
      <c r="BJ45" s="238">
        <f t="shared" si="114"/>
        <v>4.3362225351567218</v>
      </c>
      <c r="BK45" s="238">
        <f t="shared" si="114"/>
        <v>592.6114217919469</v>
      </c>
      <c r="BL45" s="238">
        <f t="shared" si="114"/>
        <v>320.63059187150071</v>
      </c>
      <c r="BM45" s="238">
        <f t="shared" si="114"/>
        <v>322.25657464575306</v>
      </c>
      <c r="BN45" s="238">
        <f t="shared" si="114"/>
        <v>387.76998162067861</v>
      </c>
      <c r="BO45" s="238">
        <f t="shared" si="114"/>
        <v>387.40480752433126</v>
      </c>
      <c r="BP45" s="238">
        <f t="shared" si="114"/>
        <v>594.73660288745214</v>
      </c>
      <c r="BQ45" s="238">
        <f t="shared" si="114"/>
        <v>3742.2348961858634</v>
      </c>
      <c r="BR45" s="238">
        <f t="shared" si="114"/>
        <v>4012.8788179320372</v>
      </c>
      <c r="BS45" s="238">
        <f t="shared" si="114"/>
        <v>4065.1333407362099</v>
      </c>
      <c r="BT45" s="238">
        <f t="shared" si="114"/>
        <v>4513.4192617309354</v>
      </c>
      <c r="BU45" s="238">
        <f t="shared" si="114"/>
        <v>4104.9781425616084</v>
      </c>
      <c r="BV45" s="238">
        <f t="shared" si="114"/>
        <v>6463.394141694941</v>
      </c>
      <c r="BW45" s="238">
        <f t="shared" si="114"/>
        <v>4065.1333407362099</v>
      </c>
      <c r="BX45" s="238">
        <f t="shared" si="114"/>
        <v>5476.9242695921248</v>
      </c>
      <c r="BY45" s="238">
        <f t="shared" si="114"/>
        <v>3659.7417356323149</v>
      </c>
      <c r="BZ45" s="238">
        <f t="shared" si="114"/>
        <v>5477.5088150090924</v>
      </c>
      <c r="CA45" s="238">
        <f t="shared" si="114"/>
        <v>3822.8588242116157</v>
      </c>
      <c r="CB45" s="238">
        <f t="shared" si="114"/>
        <v>3661.5338256723639</v>
      </c>
      <c r="CC45" s="238">
        <f t="shared" si="114"/>
        <v>359.77442781741217</v>
      </c>
      <c r="CD45" s="238">
        <f t="shared" si="114"/>
        <v>6208.1367697139995</v>
      </c>
      <c r="CE45" s="238">
        <f t="shared" si="114"/>
        <v>4252.9249907274316</v>
      </c>
      <c r="CF45" s="238">
        <f t="shared" si="114"/>
        <v>4048.2154873265627</v>
      </c>
      <c r="CG45" s="238">
        <f t="shared" si="114"/>
        <v>5476.9860693417086</v>
      </c>
    </row>
    <row r="46" spans="1:85">
      <c r="A46" s="248" t="s">
        <v>36</v>
      </c>
      <c r="B46" s="20" t="s">
        <v>313</v>
      </c>
      <c r="C46" s="19" t="s">
        <v>111</v>
      </c>
      <c r="D46" s="19" t="s">
        <v>163</v>
      </c>
      <c r="E46" s="19" t="s">
        <v>1</v>
      </c>
      <c r="F46" s="19" t="s">
        <v>89</v>
      </c>
      <c r="G46" s="19" t="s">
        <v>90</v>
      </c>
      <c r="H46" s="19" t="s">
        <v>314</v>
      </c>
      <c r="I46" s="248" t="s">
        <v>14</v>
      </c>
      <c r="J46" s="235">
        <v>51.278776549059998</v>
      </c>
      <c r="K46" s="236">
        <v>0.54703116416931097</v>
      </c>
      <c r="L46" s="237">
        <f t="shared" si="85"/>
        <v>0.89498348717555254</v>
      </c>
      <c r="M46" s="237">
        <f t="shared" si="85"/>
        <v>9.5474949257721084E-3</v>
      </c>
      <c r="N46" s="236"/>
      <c r="O46" s="236"/>
      <c r="P46" s="112" t="str">
        <f t="shared" si="3"/>
        <v>MDC</v>
      </c>
      <c r="Q46" s="238">
        <f t="shared" si="88"/>
        <v>3712.7295826599438</v>
      </c>
      <c r="R46" s="238">
        <f t="shared" ref="R46:S65" si="115">ACOS(COS($L46)*COS($M46)*COS(INDEX($L:$L,MATCH(R$2,$P:$P,0)))*COS(INDEX($M:$M,MATCH(R$2,$P:$P,0))) + COS($L46)*SIN($M46)*COS(INDEX($L:$L,MATCH(R$2,$P:$P,0)))*SIN(INDEX($M:$M,MATCH(R$2,$P:$P,0))) + SIN($L46)*SIN(INDEX($L:$L,MATCH(R$2,$P:$P,0)))) * 3963.1</f>
        <v>4776.5415719134571</v>
      </c>
      <c r="S46" s="238">
        <f t="shared" si="115"/>
        <v>4776.5415719134571</v>
      </c>
      <c r="T46" s="238">
        <f t="shared" si="97"/>
        <v>4954.6556969964822</v>
      </c>
      <c r="U46" s="238">
        <f t="shared" si="74"/>
        <v>3985.7541713951068</v>
      </c>
      <c r="V46" s="238">
        <f t="shared" si="74"/>
        <v>3985.7541713951068</v>
      </c>
      <c r="W46" s="238">
        <f t="shared" si="74"/>
        <v>3985.7541713951068</v>
      </c>
      <c r="X46" s="238">
        <f t="shared" si="105"/>
        <v>3412.9841208476737</v>
      </c>
      <c r="Y46" s="238">
        <f t="shared" si="108"/>
        <v>3612.6741258621651</v>
      </c>
      <c r="Z46" s="238">
        <f t="shared" si="112"/>
        <v>3404.2925630661043</v>
      </c>
      <c r="AA46" s="238">
        <f t="shared" ref="AA46:AA71" si="116">ACOS(COS($L46)*COS($M46)*COS(INDEX($L:$L,MATCH(AA$2,$P:$P,0)))*COS(INDEX($M:$M,MATCH(AA$2,$P:$P,0))) + COS($L46)*SIN($M46)*COS(INDEX($L:$L,MATCH(AA$2,$P:$P,0)))*SIN(INDEX($M:$M,MATCH(AA$2,$P:$P,0))) + SIN($L46)*SIN(INDEX($L:$L,MATCH(AA$2,$P:$P,0)))) * 3963.1</f>
        <v>3383.5284714430304</v>
      </c>
      <c r="AB46" s="238">
        <f t="shared" si="37"/>
        <v>3383.5284714430304</v>
      </c>
      <c r="AC46" s="238">
        <f t="shared" si="40"/>
        <v>3595.625242086337</v>
      </c>
      <c r="AD46" s="238">
        <f t="shared" si="43"/>
        <v>3586.7861481447508</v>
      </c>
      <c r="AE46" s="238">
        <f t="shared" si="46"/>
        <v>4722.703085013226</v>
      </c>
      <c r="AF46" s="238">
        <f t="shared" si="49"/>
        <v>5946.9021046392172</v>
      </c>
      <c r="AG46" s="238">
        <f t="shared" si="100"/>
        <v>6726.5306570916473</v>
      </c>
      <c r="AH46" s="238">
        <f t="shared" si="100"/>
        <v>6529.8337550808565</v>
      </c>
      <c r="AI46" s="238">
        <f t="shared" si="109"/>
        <v>6533.7131076484093</v>
      </c>
      <c r="AJ46" s="238">
        <f t="shared" si="109"/>
        <v>6533.7131076484093</v>
      </c>
      <c r="AK46" s="238">
        <f t="shared" si="109"/>
        <v>6533.7131076484093</v>
      </c>
      <c r="AL46" s="238">
        <f t="shared" si="62"/>
        <v>6544.63897197593</v>
      </c>
      <c r="AM46" s="238">
        <f t="shared" si="68"/>
        <v>5967.1489688021265</v>
      </c>
      <c r="AN46" s="238">
        <f t="shared" si="68"/>
        <v>5967.1489688021265</v>
      </c>
      <c r="AO46" s="238">
        <f t="shared" si="70"/>
        <v>5906.0345409488891</v>
      </c>
      <c r="AP46" s="238">
        <f t="shared" si="72"/>
        <v>10501.986026907149</v>
      </c>
      <c r="AQ46" s="238">
        <f t="shared" si="75"/>
        <v>10551.291970268925</v>
      </c>
      <c r="AR46" s="238">
        <f t="shared" si="77"/>
        <v>8974.7030508261232</v>
      </c>
      <c r="AS46" s="238">
        <f t="shared" si="79"/>
        <v>8976.3411229574504</v>
      </c>
      <c r="AT46" s="238">
        <f t="shared" si="81"/>
        <v>8976.4174912863509</v>
      </c>
      <c r="AU46" s="238">
        <f t="shared" si="83"/>
        <v>4.6973225465702066</v>
      </c>
      <c r="AV46" s="238">
        <f t="shared" si="86"/>
        <v>271.75954442001171</v>
      </c>
      <c r="AW46" s="238">
        <f t="shared" si="89"/>
        <v>263.49347535994866</v>
      </c>
      <c r="AX46" s="238">
        <f t="shared" si="91"/>
        <v>581.12090161754065</v>
      </c>
      <c r="AY46" s="238">
        <f t="shared" si="93"/>
        <v>181.01966607997582</v>
      </c>
      <c r="AZ46" s="238">
        <f t="shared" si="98"/>
        <v>361.4688958541085</v>
      </c>
      <c r="BA46" s="238">
        <f t="shared" si="98"/>
        <v>361.33112729343969</v>
      </c>
      <c r="BB46" s="238">
        <f t="shared" si="101"/>
        <v>468.24171670983486</v>
      </c>
      <c r="BC46" s="238">
        <f t="shared" si="103"/>
        <v>3547.053874616086</v>
      </c>
      <c r="BD46" s="238">
        <f t="shared" si="106"/>
        <v>181.93698635896911</v>
      </c>
      <c r="BE46" s="238">
        <f t="shared" si="110"/>
        <v>28.692945934603465</v>
      </c>
      <c r="BF46" s="238">
        <f t="shared" si="113"/>
        <v>363.40371298071483</v>
      </c>
      <c r="BG46" s="238">
        <f t="shared" ref="BG46:BG71" si="117">ACOS(COS($L46)*COS($M46)*COS(INDEX($L:$L,MATCH(BG$2,$P:$P,0)))*COS(INDEX($M:$M,MATCH(BG$2,$P:$P,0))) + COS($L46)*SIN($M46)*COS(INDEX($L:$L,MATCH(BG$2,$P:$P,0)))*SIN(INDEX($M:$M,MATCH(BG$2,$P:$P,0))) + SIN($L46)*SIN(INDEX($L:$L,MATCH(BG$2,$P:$P,0)))) * 3963.1</f>
        <v>580.19093418365048</v>
      </c>
      <c r="BH46" s="238"/>
      <c r="BI46" s="238">
        <f t="shared" ref="BI46:CG46" si="118">ACOS(COS($L46)*COS($M46)*COS(INDEX($L:$L,MATCH(BI$2,$P:$P,0)))*COS(INDEX($M:$M,MATCH(BI$2,$P:$P,0))) + COS($L46)*SIN($M46)*COS(INDEX($L:$L,MATCH(BI$2,$P:$P,0)))*SIN(INDEX($M:$M,MATCH(BI$2,$P:$P,0))) + SIN($L46)*SIN(INDEX($L:$L,MATCH(BI$2,$P:$P,0)))) * 3963.1</f>
        <v>149.82287355279126</v>
      </c>
      <c r="BJ46" s="238">
        <f t="shared" si="118"/>
        <v>576.73621505263554</v>
      </c>
      <c r="BK46" s="238">
        <f t="shared" si="118"/>
        <v>17.107732192873236</v>
      </c>
      <c r="BL46" s="238">
        <f t="shared" si="118"/>
        <v>880.67220026508733</v>
      </c>
      <c r="BM46" s="238">
        <f t="shared" si="118"/>
        <v>879.75459488440072</v>
      </c>
      <c r="BN46" s="238">
        <f t="shared" si="118"/>
        <v>199.01759292973045</v>
      </c>
      <c r="BO46" s="238">
        <f t="shared" si="118"/>
        <v>201.25563256660558</v>
      </c>
      <c r="BP46" s="238">
        <f t="shared" si="118"/>
        <v>14.545668926727323</v>
      </c>
      <c r="BQ46" s="238">
        <f t="shared" si="118"/>
        <v>3405.2572803404569</v>
      </c>
      <c r="BR46" s="238">
        <f t="shared" si="118"/>
        <v>3676.7956545971733</v>
      </c>
      <c r="BS46" s="238">
        <f t="shared" si="118"/>
        <v>3720.2437255220539</v>
      </c>
      <c r="BT46" s="238">
        <f t="shared" si="118"/>
        <v>4238.1904226150655</v>
      </c>
      <c r="BU46" s="238">
        <f t="shared" si="118"/>
        <v>3759.9381134288788</v>
      </c>
      <c r="BV46" s="238">
        <f t="shared" si="118"/>
        <v>5892.398937504604</v>
      </c>
      <c r="BW46" s="238">
        <f t="shared" si="118"/>
        <v>3720.2437255220539</v>
      </c>
      <c r="BX46" s="238">
        <f t="shared" si="118"/>
        <v>5401.2905285239585</v>
      </c>
      <c r="BY46" s="238">
        <f t="shared" si="118"/>
        <v>3307.4049672035198</v>
      </c>
      <c r="BZ46" s="238">
        <f t="shared" si="118"/>
        <v>5401.9837615252272</v>
      </c>
      <c r="CA46" s="238">
        <f t="shared" si="118"/>
        <v>3474.5580509825577</v>
      </c>
      <c r="CB46" s="238">
        <f t="shared" si="118"/>
        <v>3309.636263519666</v>
      </c>
      <c r="CC46" s="238">
        <f t="shared" si="118"/>
        <v>242.27028113898228</v>
      </c>
      <c r="CD46" s="238">
        <f t="shared" si="118"/>
        <v>5991.9011606562353</v>
      </c>
      <c r="CE46" s="238">
        <f t="shared" si="118"/>
        <v>3985.2725226840694</v>
      </c>
      <c r="CF46" s="238">
        <f t="shared" si="118"/>
        <v>3701.1798547041753</v>
      </c>
      <c r="CG46" s="238">
        <f t="shared" si="118"/>
        <v>5401.3646288416958</v>
      </c>
    </row>
    <row r="47" spans="1:85">
      <c r="A47" s="248" t="s">
        <v>36</v>
      </c>
      <c r="B47" s="20" t="s">
        <v>315</v>
      </c>
      <c r="C47" s="19" t="s">
        <v>706</v>
      </c>
      <c r="D47" s="19" t="s">
        <v>175</v>
      </c>
      <c r="E47" s="19" t="s">
        <v>92</v>
      </c>
      <c r="F47" s="19" t="s">
        <v>316</v>
      </c>
      <c r="G47" s="19" t="s">
        <v>90</v>
      </c>
      <c r="H47" s="19"/>
      <c r="I47" s="248" t="s">
        <v>14</v>
      </c>
      <c r="J47" s="235">
        <v>53.122880000000002</v>
      </c>
      <c r="K47" s="236">
        <v>-1.3073539999999999</v>
      </c>
      <c r="L47" s="237">
        <f t="shared" si="85"/>
        <v>0.92716916414184536</v>
      </c>
      <c r="M47" s="237">
        <f t="shared" si="85"/>
        <v>-2.2817631789117946E-2</v>
      </c>
      <c r="N47" s="236"/>
      <c r="O47" s="236"/>
      <c r="P47" s="112" t="str">
        <f t="shared" si="3"/>
        <v>NODC</v>
      </c>
      <c r="Q47" s="238">
        <f t="shared" si="88"/>
        <v>3598.4925582523174</v>
      </c>
      <c r="R47" s="238">
        <f t="shared" si="115"/>
        <v>4649.7137506249737</v>
      </c>
      <c r="S47" s="238">
        <f t="shared" si="115"/>
        <v>4649.7137506249737</v>
      </c>
      <c r="T47" s="238">
        <f t="shared" si="97"/>
        <v>4829.858729954527</v>
      </c>
      <c r="U47" s="238">
        <f t="shared" si="74"/>
        <v>3857.6999574405559</v>
      </c>
      <c r="V47" s="238">
        <f t="shared" si="74"/>
        <v>3857.6999574405559</v>
      </c>
      <c r="W47" s="238">
        <f t="shared" si="74"/>
        <v>3857.6999574405559</v>
      </c>
      <c r="X47" s="238">
        <f t="shared" si="105"/>
        <v>3299.4425477118316</v>
      </c>
      <c r="Y47" s="238">
        <f t="shared" si="108"/>
        <v>3498.9679527138933</v>
      </c>
      <c r="Z47" s="238">
        <f t="shared" si="112"/>
        <v>3290.4048711874434</v>
      </c>
      <c r="AA47" s="238">
        <f t="shared" si="116"/>
        <v>3270.5430657574643</v>
      </c>
      <c r="AB47" s="238">
        <f t="shared" ref="AB47:AB71" si="119">ACOS(COS($L47)*COS($M47)*COS(INDEX($L:$L,MATCH(AB$2,$P:$P,0)))*COS(INDEX($M:$M,MATCH(AB$2,$P:$P,0))) + COS($L47)*SIN($M47)*COS(INDEX($L:$L,MATCH(AB$2,$P:$P,0)))*SIN(INDEX($M:$M,MATCH(AB$2,$P:$P,0))) + SIN($L47)*SIN(INDEX($L:$L,MATCH(AB$2,$P:$P,0)))) * 3963.1</f>
        <v>3270.5430657574643</v>
      </c>
      <c r="AC47" s="238">
        <f t="shared" si="40"/>
        <v>3471.747675646568</v>
      </c>
      <c r="AD47" s="238">
        <f t="shared" si="43"/>
        <v>3463.345393268849</v>
      </c>
      <c r="AE47" s="238">
        <f t="shared" si="46"/>
        <v>4584.0661108281156</v>
      </c>
      <c r="AF47" s="238">
        <f t="shared" si="49"/>
        <v>5879.1440436352996</v>
      </c>
      <c r="AG47" s="238">
        <f t="shared" si="100"/>
        <v>6776.6897109709189</v>
      </c>
      <c r="AH47" s="238">
        <f t="shared" si="100"/>
        <v>6581.9596530345225</v>
      </c>
      <c r="AI47" s="238">
        <f t="shared" si="109"/>
        <v>6585.4646695020265</v>
      </c>
      <c r="AJ47" s="238">
        <f t="shared" si="109"/>
        <v>6585.4646695020265</v>
      </c>
      <c r="AK47" s="238">
        <f t="shared" si="109"/>
        <v>6585.4646695020265</v>
      </c>
      <c r="AL47" s="238">
        <f t="shared" si="62"/>
        <v>6596.6228531138277</v>
      </c>
      <c r="AM47" s="238">
        <f t="shared" ref="AM47:AN71" si="120">ACOS(COS($L47)*COS($M47)*COS(INDEX($L:$L,MATCH(AM$2,$P:$P,0)))*COS(INDEX($M:$M,MATCH(AM$2,$P:$P,0))) + COS($L47)*SIN($M47)*COS(INDEX($L:$L,MATCH(AM$2,$P:$P,0)))*SIN(INDEX($M:$M,MATCH(AM$2,$P:$P,0))) + SIN($L47)*SIN(INDEX($L:$L,MATCH(AM$2,$P:$P,0)))) * 3963.1</f>
        <v>5964.6784264185289</v>
      </c>
      <c r="AN47" s="238">
        <f t="shared" si="120"/>
        <v>5964.6784264185289</v>
      </c>
      <c r="AO47" s="238">
        <f t="shared" si="70"/>
        <v>5846.8579514962476</v>
      </c>
      <c r="AP47" s="238">
        <f t="shared" si="72"/>
        <v>10539.587617427431</v>
      </c>
      <c r="AQ47" s="238">
        <f t="shared" si="75"/>
        <v>10553.696932906651</v>
      </c>
      <c r="AR47" s="238">
        <f t="shared" si="77"/>
        <v>9057.9683088294551</v>
      </c>
      <c r="AS47" s="238">
        <f t="shared" si="79"/>
        <v>9059.5661567937805</v>
      </c>
      <c r="AT47" s="238">
        <f t="shared" si="81"/>
        <v>9059.6059999469126</v>
      </c>
      <c r="AU47" s="238">
        <f t="shared" si="83"/>
        <v>146.04235516526433</v>
      </c>
      <c r="AV47" s="238">
        <f t="shared" si="86"/>
        <v>403.04248099081735</v>
      </c>
      <c r="AW47" s="238">
        <f t="shared" si="89"/>
        <v>394.78486648690438</v>
      </c>
      <c r="AX47" s="238">
        <f t="shared" si="91"/>
        <v>586.94149468038302</v>
      </c>
      <c r="AY47" s="238">
        <f t="shared" si="93"/>
        <v>330.81544918374345</v>
      </c>
      <c r="AZ47" s="238">
        <f t="shared" si="98"/>
        <v>472.65262845501167</v>
      </c>
      <c r="BA47" s="238">
        <f t="shared" si="98"/>
        <v>472.51365439022209</v>
      </c>
      <c r="BB47" s="238">
        <f t="shared" si="101"/>
        <v>602.20032527677381</v>
      </c>
      <c r="BC47" s="238">
        <f t="shared" si="103"/>
        <v>3675.2379894365999</v>
      </c>
      <c r="BD47" s="238">
        <f t="shared" si="106"/>
        <v>331.44838955239243</v>
      </c>
      <c r="BE47" s="238">
        <f t="shared" si="110"/>
        <v>124.36142351004483</v>
      </c>
      <c r="BF47" s="238">
        <f t="shared" si="113"/>
        <v>474.90817828494738</v>
      </c>
      <c r="BG47" s="238">
        <f t="shared" si="117"/>
        <v>584.58832071908228</v>
      </c>
      <c r="BH47" s="238">
        <f t="shared" ref="BH47:BH71" si="121">ACOS(COS($L47)*COS($M47)*COS(INDEX($L:$L,MATCH(BH$2,$P:$P,0)))*COS(INDEX($M:$M,MATCH(BH$2,$P:$P,0))) + COS($L47)*SIN($M47)*COS(INDEX($L:$L,MATCH(BH$2,$P:$P,0)))*SIN(INDEX($M:$M,MATCH(BH$2,$P:$P,0))) + SIN($L47)*SIN(INDEX($L:$L,MATCH(BH$2,$P:$P,0)))) * 3963.1</f>
        <v>149.82287355279126</v>
      </c>
      <c r="BI47" s="238"/>
      <c r="BJ47" s="238">
        <f t="shared" ref="BJ47:CG47" si="122">ACOS(COS($L47)*COS($M47)*COS(INDEX($L:$L,MATCH(BJ$2,$P:$P,0)))*COS(INDEX($M:$M,MATCH(BJ$2,$P:$P,0))) + COS($L47)*SIN($M47)*COS(INDEX($L:$L,MATCH(BJ$2,$P:$P,0)))*SIN(INDEX($M:$M,MATCH(BJ$2,$P:$P,0))) + SIN($L47)*SIN(INDEX($L:$L,MATCH(BJ$2,$P:$P,0)))) * 3963.1</f>
        <v>581.9215189474038</v>
      </c>
      <c r="BK47" s="238">
        <f t="shared" si="122"/>
        <v>139.85195144550858</v>
      </c>
      <c r="BL47" s="238">
        <f t="shared" si="122"/>
        <v>854.84393288876038</v>
      </c>
      <c r="BM47" s="238">
        <f t="shared" si="122"/>
        <v>852.47093628443849</v>
      </c>
      <c r="BN47" s="238">
        <f t="shared" si="122"/>
        <v>262.03429445913235</v>
      </c>
      <c r="BO47" s="238">
        <f t="shared" si="122"/>
        <v>266.85194888121703</v>
      </c>
      <c r="BP47" s="238">
        <f t="shared" si="122"/>
        <v>151.95228292507656</v>
      </c>
      <c r="BQ47" s="238">
        <f t="shared" si="122"/>
        <v>3288.7721164654185</v>
      </c>
      <c r="BR47" s="238">
        <f t="shared" si="122"/>
        <v>3560.6176928195241</v>
      </c>
      <c r="BS47" s="238">
        <f t="shared" si="122"/>
        <v>3606.016251815111</v>
      </c>
      <c r="BT47" s="238">
        <f t="shared" si="122"/>
        <v>4111.6728030709974</v>
      </c>
      <c r="BU47" s="238">
        <f t="shared" si="122"/>
        <v>3645.8105161040189</v>
      </c>
      <c r="BV47" s="238">
        <f t="shared" si="122"/>
        <v>5933.6754665959979</v>
      </c>
      <c r="BW47" s="238">
        <f t="shared" si="122"/>
        <v>3606.016251815111</v>
      </c>
      <c r="BX47" s="238">
        <f t="shared" si="122"/>
        <v>5254.9388016182183</v>
      </c>
      <c r="BY47" s="238">
        <f t="shared" si="122"/>
        <v>3194.0616485831492</v>
      </c>
      <c r="BZ47" s="238">
        <f t="shared" si="122"/>
        <v>5255.6263228259322</v>
      </c>
      <c r="CA47" s="238">
        <f t="shared" si="122"/>
        <v>3360.6390213151813</v>
      </c>
      <c r="CB47" s="238">
        <f t="shared" si="122"/>
        <v>3196.1989355006081</v>
      </c>
      <c r="CC47" s="238">
        <f t="shared" si="122"/>
        <v>312.79087068887139</v>
      </c>
      <c r="CD47" s="238">
        <f t="shared" si="122"/>
        <v>6135.8892574329539</v>
      </c>
      <c r="CE47" s="238">
        <f t="shared" si="122"/>
        <v>3857.1819851500359</v>
      </c>
      <c r="CF47" s="238">
        <f t="shared" si="122"/>
        <v>3587.3876733915854</v>
      </c>
      <c r="CG47" s="238">
        <f t="shared" si="122"/>
        <v>5255.0122527366975</v>
      </c>
    </row>
    <row r="48" spans="1:85">
      <c r="A48" s="248" t="s">
        <v>36</v>
      </c>
      <c r="B48" s="20" t="s">
        <v>317</v>
      </c>
      <c r="C48" s="19" t="s">
        <v>184</v>
      </c>
      <c r="D48" s="19" t="s">
        <v>162</v>
      </c>
      <c r="E48" s="19" t="s">
        <v>93</v>
      </c>
      <c r="F48" s="19"/>
      <c r="G48" s="19" t="s">
        <v>94</v>
      </c>
      <c r="H48" s="19"/>
      <c r="I48" s="248" t="s">
        <v>14</v>
      </c>
      <c r="J48" s="235">
        <v>55.657753999999997</v>
      </c>
      <c r="K48" s="236">
        <v>12.49991</v>
      </c>
      <c r="L48" s="237">
        <f t="shared" si="85"/>
        <v>0.97141106156504398</v>
      </c>
      <c r="M48" s="237">
        <f t="shared" si="85"/>
        <v>0.2181645857029644</v>
      </c>
      <c r="N48" s="236"/>
      <c r="O48" s="236"/>
      <c r="P48" s="112" t="str">
        <f t="shared" si="3"/>
        <v>RTVDC</v>
      </c>
      <c r="Q48" s="238">
        <f t="shared" si="88"/>
        <v>4057.514220571531</v>
      </c>
      <c r="R48" s="238">
        <f t="shared" si="115"/>
        <v>5045.9912137641113</v>
      </c>
      <c r="S48" s="238">
        <f t="shared" si="115"/>
        <v>5045.9912137641113</v>
      </c>
      <c r="T48" s="238">
        <f t="shared" si="97"/>
        <v>5235.1675616811463</v>
      </c>
      <c r="U48" s="238">
        <f t="shared" si="74"/>
        <v>4254.1962947829797</v>
      </c>
      <c r="V48" s="238">
        <f t="shared" si="74"/>
        <v>4254.1962947829797</v>
      </c>
      <c r="W48" s="238">
        <f t="shared" si="74"/>
        <v>4254.1962947829797</v>
      </c>
      <c r="X48" s="238">
        <f t="shared" si="105"/>
        <v>3763.3145447174493</v>
      </c>
      <c r="Y48" s="238">
        <f t="shared" si="108"/>
        <v>3960.645284437378</v>
      </c>
      <c r="Z48" s="238">
        <f t="shared" si="112"/>
        <v>3753.1499127453994</v>
      </c>
      <c r="AA48" s="238">
        <f t="shared" si="116"/>
        <v>3736.5679223044713</v>
      </c>
      <c r="AB48" s="238">
        <f t="shared" si="119"/>
        <v>3736.5679223044713</v>
      </c>
      <c r="AC48" s="238">
        <f t="shared" ref="AC48:AC71" si="123">ACOS(COS($L48)*COS($M48)*COS(INDEX($L:$L,MATCH(AC$2,$P:$P,0)))*COS(INDEX($M:$M,MATCH(AC$2,$P:$P,0))) + COS($L48)*SIN($M48)*COS(INDEX($L:$L,MATCH(AC$2,$P:$P,0)))*SIN(INDEX($M:$M,MATCH(AC$2,$P:$P,0))) + SIN($L48)*SIN(INDEX($L:$L,MATCH(AC$2,$P:$P,0)))) * 3963.1</f>
        <v>3892.7130237134552</v>
      </c>
      <c r="AD48" s="238">
        <f t="shared" si="43"/>
        <v>3886.3993823424644</v>
      </c>
      <c r="AE48" s="238">
        <f t="shared" si="46"/>
        <v>4903.019619907066</v>
      </c>
      <c r="AF48" s="238">
        <f t="shared" si="49"/>
        <v>5411.1675360973304</v>
      </c>
      <c r="AG48" s="238">
        <f t="shared" si="100"/>
        <v>6203.6347936420079</v>
      </c>
      <c r="AH48" s="238">
        <f t="shared" si="100"/>
        <v>6010.5363396103858</v>
      </c>
      <c r="AI48" s="238">
        <f t="shared" si="109"/>
        <v>6013.7479394869451</v>
      </c>
      <c r="AJ48" s="238">
        <f t="shared" si="109"/>
        <v>6013.7479394869451</v>
      </c>
      <c r="AK48" s="238">
        <f t="shared" si="109"/>
        <v>6013.7479394869451</v>
      </c>
      <c r="AL48" s="238">
        <f t="shared" si="62"/>
        <v>6025.0760493082744</v>
      </c>
      <c r="AM48" s="238">
        <f t="shared" si="120"/>
        <v>5392.1335189032461</v>
      </c>
      <c r="AN48" s="238">
        <f t="shared" si="120"/>
        <v>5392.1335189032461</v>
      </c>
      <c r="AO48" s="238">
        <f t="shared" si="70"/>
        <v>5357.8657381024259</v>
      </c>
      <c r="AP48" s="238">
        <f t="shared" si="72"/>
        <v>9958.380603611995</v>
      </c>
      <c r="AQ48" s="238">
        <f t="shared" si="75"/>
        <v>9979.433260926844</v>
      </c>
      <c r="AR48" s="238">
        <f t="shared" si="77"/>
        <v>8519.8363645094851</v>
      </c>
      <c r="AS48" s="238">
        <f t="shared" si="79"/>
        <v>8521.3595969483868</v>
      </c>
      <c r="AT48" s="238">
        <f t="shared" si="81"/>
        <v>8521.3372602185791</v>
      </c>
      <c r="AU48" s="238">
        <f t="shared" si="83"/>
        <v>579.13182691444956</v>
      </c>
      <c r="AV48" s="238">
        <f t="shared" si="86"/>
        <v>498.10811262552045</v>
      </c>
      <c r="AW48" s="238">
        <f t="shared" si="89"/>
        <v>497.64714909017226</v>
      </c>
      <c r="AX48" s="238">
        <f t="shared" si="91"/>
        <v>5.3418755794142028</v>
      </c>
      <c r="AY48" s="238">
        <f t="shared" si="93"/>
        <v>624.63734180489314</v>
      </c>
      <c r="AZ48" s="238">
        <f t="shared" si="98"/>
        <v>415.49313950025834</v>
      </c>
      <c r="BA48" s="238">
        <f t="shared" si="98"/>
        <v>415.48506151330434</v>
      </c>
      <c r="BB48" s="238">
        <f t="shared" si="101"/>
        <v>567.54876782944234</v>
      </c>
      <c r="BC48" s="238">
        <f t="shared" si="103"/>
        <v>3913.6337299483775</v>
      </c>
      <c r="BD48" s="238">
        <f t="shared" si="106"/>
        <v>635.10713175971023</v>
      </c>
      <c r="BE48" s="238">
        <f t="shared" si="110"/>
        <v>586.88748491899128</v>
      </c>
      <c r="BF48" s="238">
        <f t="shared" si="113"/>
        <v>416.87250249830413</v>
      </c>
      <c r="BG48" s="238">
        <f t="shared" si="117"/>
        <v>4.3362225351567218</v>
      </c>
      <c r="BH48" s="238">
        <f t="shared" si="121"/>
        <v>576.73621505263293</v>
      </c>
      <c r="BI48" s="238">
        <f t="shared" ref="BI48:BI71" si="124">ACOS(COS($L48)*COS($M48)*COS(INDEX($L:$L,MATCH(BI$2,$P:$P,0)))*COS(INDEX($M:$M,MATCH(BI$2,$P:$P,0))) + COS($L48)*SIN($M48)*COS(INDEX($L:$L,MATCH(BI$2,$P:$P,0)))*SIN(INDEX($M:$M,MATCH(BI$2,$P:$P,0))) + SIN($L48)*SIN(INDEX($L:$L,MATCH(BI$2,$P:$P,0)))) * 3963.1</f>
        <v>581.9215189474038</v>
      </c>
      <c r="BJ48" s="238"/>
      <c r="BK48" s="238">
        <f t="shared" ref="BK48:CG48" si="125">ACOS(COS($L48)*COS($M48)*COS(INDEX($L:$L,MATCH(BK$2,$P:$P,0)))*COS(INDEX($M:$M,MATCH(BK$2,$P:$P,0))) + COS($L48)*SIN($M48)*COS(INDEX($L:$L,MATCH(BK$2,$P:$P,0)))*SIN(INDEX($M:$M,MATCH(BK$2,$P:$P,0))) + SIN($L48)*SIN(INDEX($L:$L,MATCH(BK$2,$P:$P,0)))) * 3963.1</f>
        <v>589.21019896025302</v>
      </c>
      <c r="BL48" s="238">
        <f t="shared" si="125"/>
        <v>324.87749320152568</v>
      </c>
      <c r="BM48" s="238">
        <f t="shared" si="125"/>
        <v>326.52501177410403</v>
      </c>
      <c r="BN48" s="238">
        <f t="shared" si="125"/>
        <v>384.05558867706822</v>
      </c>
      <c r="BO48" s="238">
        <f t="shared" si="125"/>
        <v>383.65760573245939</v>
      </c>
      <c r="BP48" s="238">
        <f t="shared" si="125"/>
        <v>591.28172565624686</v>
      </c>
      <c r="BQ48" s="238">
        <f t="shared" si="125"/>
        <v>3742.1558219407743</v>
      </c>
      <c r="BR48" s="238">
        <f t="shared" si="125"/>
        <v>4012.8340270791869</v>
      </c>
      <c r="BS48" s="238">
        <f t="shared" si="125"/>
        <v>4065.0140782929984</v>
      </c>
      <c r="BT48" s="238">
        <f t="shared" si="125"/>
        <v>4513.9435169091457</v>
      </c>
      <c r="BU48" s="238">
        <f t="shared" si="125"/>
        <v>4104.8610777473159</v>
      </c>
      <c r="BV48" s="238">
        <f t="shared" si="125"/>
        <v>6459.5247048468964</v>
      </c>
      <c r="BW48" s="238">
        <f t="shared" si="125"/>
        <v>4065.0140782929984</v>
      </c>
      <c r="BX48" s="238">
        <f t="shared" si="125"/>
        <v>5479.0096534330187</v>
      </c>
      <c r="BY48" s="238">
        <f t="shared" si="125"/>
        <v>3659.5159642006142</v>
      </c>
      <c r="BZ48" s="238">
        <f t="shared" si="125"/>
        <v>5479.5949604018724</v>
      </c>
      <c r="CA48" s="238">
        <f t="shared" si="125"/>
        <v>3822.6860040510451</v>
      </c>
      <c r="CB48" s="238">
        <f t="shared" si="125"/>
        <v>3661.3122304267163</v>
      </c>
      <c r="CC48" s="238">
        <f t="shared" si="125"/>
        <v>355.82969081319692</v>
      </c>
      <c r="CD48" s="238">
        <f t="shared" si="125"/>
        <v>6204.4189712709531</v>
      </c>
      <c r="CE48" s="238">
        <f t="shared" si="125"/>
        <v>4253.4886831251843</v>
      </c>
      <c r="CF48" s="238">
        <f t="shared" si="125"/>
        <v>4048.0752353364237</v>
      </c>
      <c r="CG48" s="238">
        <f t="shared" si="125"/>
        <v>5479.0715390618234</v>
      </c>
    </row>
    <row r="49" spans="1:85" ht="24">
      <c r="A49" s="248" t="s">
        <v>36</v>
      </c>
      <c r="B49" s="20" t="s">
        <v>318</v>
      </c>
      <c r="C49" s="19" t="s">
        <v>137</v>
      </c>
      <c r="D49" s="19" t="s">
        <v>319</v>
      </c>
      <c r="E49" s="19" t="s">
        <v>196</v>
      </c>
      <c r="F49" s="19" t="s">
        <v>89</v>
      </c>
      <c r="G49" s="19" t="s">
        <v>90</v>
      </c>
      <c r="H49" s="19" t="s">
        <v>320</v>
      </c>
      <c r="I49" s="248" t="s">
        <v>14</v>
      </c>
      <c r="J49" s="235">
        <v>51.310135000000002</v>
      </c>
      <c r="K49" s="236">
        <v>0.154693</v>
      </c>
      <c r="L49" s="237">
        <f t="shared" si="85"/>
        <v>0.89553079539278069</v>
      </c>
      <c r="M49" s="237">
        <f t="shared" si="85"/>
        <v>2.6999021797875881E-3</v>
      </c>
      <c r="N49" s="236"/>
      <c r="O49" s="236"/>
      <c r="P49" s="112" t="str">
        <f t="shared" si="3"/>
        <v>SDC</v>
      </c>
      <c r="Q49" s="238">
        <f t="shared" si="88"/>
        <v>3695.9878679628318</v>
      </c>
      <c r="R49" s="238">
        <f t="shared" si="115"/>
        <v>4760.437655916654</v>
      </c>
      <c r="S49" s="238">
        <f t="shared" si="115"/>
        <v>4760.437655916654</v>
      </c>
      <c r="T49" s="238">
        <f t="shared" si="97"/>
        <v>4938.4103213826538</v>
      </c>
      <c r="U49" s="238">
        <f t="shared" si="74"/>
        <v>3969.7577925815849</v>
      </c>
      <c r="V49" s="238">
        <f t="shared" si="74"/>
        <v>3969.7577925815849</v>
      </c>
      <c r="W49" s="238">
        <f t="shared" si="74"/>
        <v>3969.7577925815849</v>
      </c>
      <c r="X49" s="238">
        <f t="shared" si="105"/>
        <v>3396.2233665873432</v>
      </c>
      <c r="Y49" s="238">
        <f t="shared" si="108"/>
        <v>3595.9153725721203</v>
      </c>
      <c r="Z49" s="238">
        <f t="shared" si="112"/>
        <v>3387.5441184834426</v>
      </c>
      <c r="AA49" s="238">
        <f t="shared" si="116"/>
        <v>3366.7493095846417</v>
      </c>
      <c r="AB49" s="238">
        <f t="shared" si="119"/>
        <v>3366.7493095846417</v>
      </c>
      <c r="AC49" s="238">
        <f t="shared" si="123"/>
        <v>3579.3489214072351</v>
      </c>
      <c r="AD49" s="238">
        <f t="shared" ref="AD49:AD71" si="126">ACOS(COS($L49)*COS($M49)*COS(INDEX($L:$L,MATCH(AD$2,$P:$P,0)))*COS(INDEX($M:$M,MATCH(AD$2,$P:$P,0))) + COS($L49)*SIN($M49)*COS(INDEX($L:$L,MATCH(AD$2,$P:$P,0)))*SIN(INDEX($M:$M,MATCH(AD$2,$P:$P,0))) + SIN($L49)*SIN(INDEX($L:$L,MATCH(AD$2,$P:$P,0)))) * 3963.1</f>
        <v>3570.4833412160556</v>
      </c>
      <c r="AE49" s="238">
        <f t="shared" si="46"/>
        <v>4707.8219970274031</v>
      </c>
      <c r="AF49" s="238">
        <f t="shared" si="49"/>
        <v>5954.0487680360857</v>
      </c>
      <c r="AG49" s="238">
        <f t="shared" si="100"/>
        <v>6742.7386363634678</v>
      </c>
      <c r="AH49" s="238">
        <f t="shared" si="100"/>
        <v>6546.112091440672</v>
      </c>
      <c r="AI49" s="238">
        <f t="shared" si="109"/>
        <v>6549.9774609818805</v>
      </c>
      <c r="AJ49" s="238">
        <f t="shared" si="109"/>
        <v>6549.9774609818805</v>
      </c>
      <c r="AK49" s="238">
        <f t="shared" si="109"/>
        <v>6549.9774609818805</v>
      </c>
      <c r="AL49" s="238">
        <f t="shared" si="62"/>
        <v>6560.9123203167583</v>
      </c>
      <c r="AM49" s="238">
        <f t="shared" si="120"/>
        <v>5980.3754487121669</v>
      </c>
      <c r="AN49" s="238">
        <f t="shared" si="120"/>
        <v>5980.3754487121669</v>
      </c>
      <c r="AO49" s="238">
        <f t="shared" si="70"/>
        <v>5914.1464881695229</v>
      </c>
      <c r="AP49" s="238">
        <f t="shared" si="72"/>
        <v>10517.855341886789</v>
      </c>
      <c r="AQ49" s="238">
        <f t="shared" si="75"/>
        <v>10565.221927573753</v>
      </c>
      <c r="AR49" s="238">
        <f t="shared" si="77"/>
        <v>8991.7723944538175</v>
      </c>
      <c r="AS49" s="238">
        <f t="shared" si="79"/>
        <v>8993.4101110296087</v>
      </c>
      <c r="AT49" s="238">
        <f t="shared" si="81"/>
        <v>8993.4861441893099</v>
      </c>
      <c r="AU49" s="238">
        <f t="shared" si="83"/>
        <v>12.651964304884295</v>
      </c>
      <c r="AV49" s="238">
        <f t="shared" si="86"/>
        <v>288.24481201454836</v>
      </c>
      <c r="AW49" s="238">
        <f t="shared" si="89"/>
        <v>279.99440527774465</v>
      </c>
      <c r="AX49" s="238">
        <f t="shared" si="91"/>
        <v>593.65510824493708</v>
      </c>
      <c r="AY49" s="238">
        <f t="shared" si="93"/>
        <v>191.77547385330973</v>
      </c>
      <c r="AZ49" s="238">
        <f t="shared" si="98"/>
        <v>378.56526663463825</v>
      </c>
      <c r="BA49" s="238">
        <f t="shared" si="98"/>
        <v>378.42753517837662</v>
      </c>
      <c r="BB49" s="238">
        <f t="shared" si="101"/>
        <v>484.22965615503205</v>
      </c>
      <c r="BC49" s="238">
        <f t="shared" si="103"/>
        <v>3549.0896631949868</v>
      </c>
      <c r="BD49" s="238">
        <f t="shared" si="106"/>
        <v>191.87825737975069</v>
      </c>
      <c r="BE49" s="238">
        <f t="shared" si="110"/>
        <v>15.49095764395609</v>
      </c>
      <c r="BF49" s="238">
        <f t="shared" si="113"/>
        <v>380.49728524535959</v>
      </c>
      <c r="BG49" s="238">
        <f t="shared" si="117"/>
        <v>592.6114217919469</v>
      </c>
      <c r="BH49" s="238">
        <f t="shared" si="121"/>
        <v>17.107732192873236</v>
      </c>
      <c r="BI49" s="238">
        <f t="shared" si="124"/>
        <v>139.85195144550858</v>
      </c>
      <c r="BJ49" s="238">
        <f t="shared" ref="BJ49:BJ71" si="127">ACOS(COS($L49)*COS($M49)*COS(INDEX($L:$L,MATCH(BJ$2,$P:$P,0)))*COS(INDEX($M:$M,MATCH(BJ$2,$P:$P,0))) + COS($L49)*SIN($M49)*COS(INDEX($L:$L,MATCH(BJ$2,$P:$P,0)))*SIN(INDEX($M:$M,MATCH(BJ$2,$P:$P,0))) + SIN($L49)*SIN(INDEX($L:$L,MATCH(BJ$2,$P:$P,0)))) * 3963.1</f>
        <v>589.21019896025302</v>
      </c>
      <c r="BK49" s="238"/>
      <c r="BL49" s="238">
        <f t="shared" ref="BL49:CG49" si="128">ACOS(COS($L49)*COS($M49)*COS(INDEX($L:$L,MATCH(BL$2,$P:$P,0)))*COS(INDEX($M:$M,MATCH(BL$2,$P:$P,0))) + COS($L49)*SIN($M49)*COS(INDEX($L:$L,MATCH(BL$2,$P:$P,0)))*SIN(INDEX($M:$M,MATCH(BL$2,$P:$P,0))) + SIN($L49)*SIN(INDEX($L:$L,MATCH(BL$2,$P:$P,0)))) * 3963.1</f>
        <v>891.06030073075192</v>
      </c>
      <c r="BM49" s="238">
        <f t="shared" si="128"/>
        <v>890.0091954194769</v>
      </c>
      <c r="BN49" s="238">
        <f t="shared" si="128"/>
        <v>213.72171244433187</v>
      </c>
      <c r="BO49" s="238">
        <f t="shared" si="128"/>
        <v>216.1755731469656</v>
      </c>
      <c r="BP49" s="238">
        <f t="shared" si="128"/>
        <v>12.100728333847721</v>
      </c>
      <c r="BQ49" s="238">
        <f t="shared" si="128"/>
        <v>3388.6083789034296</v>
      </c>
      <c r="BR49" s="238">
        <f t="shared" si="128"/>
        <v>3660.1286690065381</v>
      </c>
      <c r="BS49" s="238">
        <f t="shared" si="128"/>
        <v>3703.5015356357826</v>
      </c>
      <c r="BT49" s="238">
        <f t="shared" si="128"/>
        <v>4222.0747171890198</v>
      </c>
      <c r="BU49" s="238">
        <f t="shared" si="128"/>
        <v>3743.1916571326069</v>
      </c>
      <c r="BV49" s="238">
        <f t="shared" si="128"/>
        <v>5882.4086262647406</v>
      </c>
      <c r="BW49" s="238">
        <f t="shared" si="128"/>
        <v>3703.5015356357826</v>
      </c>
      <c r="BX49" s="238">
        <f t="shared" si="128"/>
        <v>5388.0627455848989</v>
      </c>
      <c r="BY49" s="238">
        <f t="shared" si="128"/>
        <v>3290.6394660091128</v>
      </c>
      <c r="BZ49" s="238">
        <f t="shared" si="128"/>
        <v>5388.7578941690963</v>
      </c>
      <c r="CA49" s="238">
        <f t="shared" si="128"/>
        <v>3457.8093472943629</v>
      </c>
      <c r="CB49" s="238">
        <f t="shared" si="128"/>
        <v>3292.8739566450008</v>
      </c>
      <c r="CC49" s="238">
        <f t="shared" si="128"/>
        <v>257.87218111225428</v>
      </c>
      <c r="CD49" s="238">
        <f t="shared" si="128"/>
        <v>5998.3937674531562</v>
      </c>
      <c r="CE49" s="238">
        <f t="shared" si="128"/>
        <v>3969.2789646792376</v>
      </c>
      <c r="CF49" s="238">
        <f t="shared" si="128"/>
        <v>3684.4225490416102</v>
      </c>
      <c r="CG49" s="238">
        <f t="shared" si="128"/>
        <v>5388.1370635992944</v>
      </c>
    </row>
    <row r="50" spans="1:85">
      <c r="A50" s="248" t="s">
        <v>36</v>
      </c>
      <c r="B50" s="20" t="s">
        <v>640</v>
      </c>
      <c r="C50" s="19" t="s">
        <v>179</v>
      </c>
      <c r="D50" s="108" t="s">
        <v>707</v>
      </c>
      <c r="E50" s="19" t="s">
        <v>179</v>
      </c>
      <c r="F50" s="108" t="s">
        <v>179</v>
      </c>
      <c r="G50" s="19" t="s">
        <v>180</v>
      </c>
      <c r="H50" s="19"/>
      <c r="I50" s="248" t="s">
        <v>14</v>
      </c>
      <c r="J50" s="240">
        <v>59.263562</v>
      </c>
      <c r="K50" s="236">
        <v>18.104842999999999</v>
      </c>
      <c r="L50" s="237">
        <f t="shared" si="85"/>
        <v>1.0343442833597958</v>
      </c>
      <c r="M50" s="237">
        <f t="shared" si="85"/>
        <v>0.31598912090664771</v>
      </c>
      <c r="N50" s="67"/>
      <c r="O50" s="236"/>
      <c r="P50" s="112" t="str">
        <f t="shared" si="3"/>
        <v>STODC1</v>
      </c>
      <c r="Q50" s="238">
        <f t="shared" si="88"/>
        <v>4138.8871008724282</v>
      </c>
      <c r="R50" s="238">
        <f t="shared" si="115"/>
        <v>5068.9334067256241</v>
      </c>
      <c r="S50" s="238">
        <f t="shared" si="115"/>
        <v>5068.9334067256241</v>
      </c>
      <c r="T50" s="238">
        <f t="shared" si="97"/>
        <v>5263.3502861605366</v>
      </c>
      <c r="U50" s="238">
        <f t="shared" ref="U50:W71" si="129">ACOS(COS($L50)*COS($M50)*COS(INDEX($L:$L,MATCH(U$2,$P:$P,0)))*COS(INDEX($M:$M,MATCH(U$2,$P:$P,0))) + COS($L50)*SIN($M50)*COS(INDEX($L:$L,MATCH(U$2,$P:$P,0)))*SIN(INDEX($M:$M,MATCH(U$2,$P:$P,0))) + SIN($L50)*SIN(INDEX($L:$L,MATCH(U$2,$P:$P,0)))) * 3963.1</f>
        <v>4284.6165460756329</v>
      </c>
      <c r="V50" s="238">
        <f t="shared" si="129"/>
        <v>4284.6165460756329</v>
      </c>
      <c r="W50" s="238">
        <f t="shared" si="129"/>
        <v>4284.6165460756329</v>
      </c>
      <c r="X50" s="238">
        <f t="shared" si="105"/>
        <v>3851.6303018426142</v>
      </c>
      <c r="Y50" s="238">
        <f t="shared" si="108"/>
        <v>4045.1701356087769</v>
      </c>
      <c r="Z50" s="238">
        <f t="shared" si="112"/>
        <v>3840.6201434216982</v>
      </c>
      <c r="AA50" s="238">
        <f t="shared" si="116"/>
        <v>3826.9751779277753</v>
      </c>
      <c r="AB50" s="238">
        <f t="shared" si="119"/>
        <v>3826.9751779277753</v>
      </c>
      <c r="AC50" s="238">
        <f t="shared" si="123"/>
        <v>3945.2794156575173</v>
      </c>
      <c r="AD50" s="238">
        <f t="shared" si="126"/>
        <v>3940.6350993928286</v>
      </c>
      <c r="AE50" s="238">
        <f t="shared" ref="AE50:AE71" si="130">ACOS(COS($L50)*COS($M50)*COS(INDEX($L:$L,MATCH(AE$2,$P:$P,0)))*COS(INDEX($M:$M,MATCH(AE$2,$P:$P,0))) + COS($L50)*SIN($M50)*COS(INDEX($L:$L,MATCH(AE$2,$P:$P,0)))*SIN(INDEX($M:$M,MATCH(AE$2,$P:$P,0))) + SIN($L50)*SIN(INDEX($L:$L,MATCH(AE$2,$P:$P,0)))) * 3963.1</f>
        <v>4873.2236535367965</v>
      </c>
      <c r="AF50" s="238">
        <f t="shared" si="49"/>
        <v>5087.0008568759486</v>
      </c>
      <c r="AG50" s="238">
        <f t="shared" si="100"/>
        <v>5997.719125607513</v>
      </c>
      <c r="AH50" s="238">
        <f t="shared" si="100"/>
        <v>5809.0875416552999</v>
      </c>
      <c r="AI50" s="238">
        <f t="shared" si="109"/>
        <v>5811.6048079699103</v>
      </c>
      <c r="AJ50" s="238">
        <f t="shared" si="109"/>
        <v>5811.6048079699103</v>
      </c>
      <c r="AK50" s="238">
        <f t="shared" si="109"/>
        <v>5811.6048079699103</v>
      </c>
      <c r="AL50" s="238">
        <f t="shared" si="62"/>
        <v>5823.2968829197616</v>
      </c>
      <c r="AM50" s="238">
        <f t="shared" si="120"/>
        <v>5112.2185408541618</v>
      </c>
      <c r="AN50" s="238">
        <f t="shared" si="120"/>
        <v>5112.2185408541618</v>
      </c>
      <c r="AO50" s="238">
        <f t="shared" si="70"/>
        <v>5035.7530337755652</v>
      </c>
      <c r="AP50" s="238">
        <f t="shared" si="72"/>
        <v>9713.6296022853585</v>
      </c>
      <c r="AQ50" s="238">
        <f t="shared" si="75"/>
        <v>9700.2835208684683</v>
      </c>
      <c r="AR50" s="238">
        <f t="shared" si="77"/>
        <v>8360.167095581819</v>
      </c>
      <c r="AS50" s="238">
        <f t="shared" si="79"/>
        <v>8361.5908976429546</v>
      </c>
      <c r="AT50" s="238">
        <f t="shared" si="81"/>
        <v>8361.4940539590825</v>
      </c>
      <c r="AU50" s="238">
        <f t="shared" si="83"/>
        <v>882.37996382109532</v>
      </c>
      <c r="AV50" s="238">
        <f t="shared" si="86"/>
        <v>822.80794831726962</v>
      </c>
      <c r="AW50" s="238">
        <f t="shared" si="89"/>
        <v>822.45939714240956</v>
      </c>
      <c r="AX50" s="238">
        <f t="shared" si="91"/>
        <v>322.29878825360623</v>
      </c>
      <c r="AY50" s="238">
        <f t="shared" si="93"/>
        <v>946.89610988934726</v>
      </c>
      <c r="AZ50" s="238">
        <f t="shared" si="98"/>
        <v>735.71123681383517</v>
      </c>
      <c r="BA50" s="238">
        <f t="shared" si="98"/>
        <v>735.71702557213246</v>
      </c>
      <c r="BB50" s="238">
        <f t="shared" si="101"/>
        <v>876.19944096686811</v>
      </c>
      <c r="BC50" s="238">
        <f t="shared" si="103"/>
        <v>4214.8952350957679</v>
      </c>
      <c r="BD50" s="238">
        <f t="shared" si="106"/>
        <v>957.13823267225803</v>
      </c>
      <c r="BE50" s="238">
        <f t="shared" si="110"/>
        <v>886.1548039468754</v>
      </c>
      <c r="BF50" s="238">
        <f t="shared" si="113"/>
        <v>736.87542584796108</v>
      </c>
      <c r="BG50" s="238">
        <f t="shared" si="117"/>
        <v>320.63059187150071</v>
      </c>
      <c r="BH50" s="238">
        <f t="shared" si="121"/>
        <v>880.67220026508551</v>
      </c>
      <c r="BI50" s="238">
        <f t="shared" si="124"/>
        <v>854.84393288876038</v>
      </c>
      <c r="BJ50" s="238">
        <f t="shared" si="127"/>
        <v>324.87749320152039</v>
      </c>
      <c r="BK50" s="238">
        <f t="shared" ref="BK50:BK71" si="131">ACOS(COS($L50)*COS($M50)*COS(INDEX($L:$L,MATCH(BK$2,$P:$P,0)))*COS(INDEX($M:$M,MATCH(BK$2,$P:$P,0))) + COS($L50)*SIN($M50)*COS(INDEX($L:$L,MATCH(BK$2,$P:$P,0)))*SIN(INDEX($M:$M,MATCH(BK$2,$P:$P,0))) + SIN($L50)*SIN(INDEX($L:$L,MATCH(BK$2,$P:$P,0)))) * 3963.1</f>
        <v>891.06030073075192</v>
      </c>
      <c r="BL50" s="238"/>
      <c r="BM50" s="238">
        <f t="shared" ref="BM50:CG50" si="132">ACOS(COS($L50)*COS($M50)*COS(INDEX($L:$L,MATCH(BM$2,$P:$P,0)))*COS(INDEX($M:$M,MATCH(BM$2,$P:$P,0))) + COS($L50)*SIN($M50)*COS(INDEX($L:$L,MATCH(BM$2,$P:$P,0)))*SIN(INDEX($M:$M,MATCH(BM$2,$P:$P,0))) + SIN($L50)*SIN(INDEX($L:$L,MATCH(BM$2,$P:$P,0)))) * 3963.1</f>
        <v>8.6475411000709084</v>
      </c>
      <c r="BN50" s="238">
        <f t="shared" si="132"/>
        <v>698.57413559418376</v>
      </c>
      <c r="BO50" s="238">
        <f t="shared" si="132"/>
        <v>699.05976567239441</v>
      </c>
      <c r="BP50" s="238">
        <f t="shared" si="132"/>
        <v>895.04105937602219</v>
      </c>
      <c r="BQ50" s="238">
        <f t="shared" si="132"/>
        <v>3821.9723267092718</v>
      </c>
      <c r="BR50" s="238">
        <f t="shared" si="132"/>
        <v>4088.963840954746</v>
      </c>
      <c r="BS50" s="238">
        <f t="shared" si="132"/>
        <v>4146.296980869929</v>
      </c>
      <c r="BT50" s="238">
        <f t="shared" si="132"/>
        <v>4546.1196049967639</v>
      </c>
      <c r="BU50" s="238">
        <f t="shared" si="132"/>
        <v>4185.8194611175586</v>
      </c>
      <c r="BV50" s="238">
        <f t="shared" si="132"/>
        <v>6772.8730539012031</v>
      </c>
      <c r="BW50" s="238">
        <f t="shared" si="132"/>
        <v>4146.296980869929</v>
      </c>
      <c r="BX50" s="238">
        <f t="shared" si="132"/>
        <v>5385.4807867227091</v>
      </c>
      <c r="BY50" s="238">
        <f t="shared" si="132"/>
        <v>3750.2346827184092</v>
      </c>
      <c r="BZ50" s="238">
        <f t="shared" si="132"/>
        <v>5386.0018395819743</v>
      </c>
      <c r="CA50" s="238">
        <f t="shared" si="132"/>
        <v>3908.8680249257563</v>
      </c>
      <c r="CB50" s="238">
        <f t="shared" si="132"/>
        <v>3751.7245574156336</v>
      </c>
      <c r="CC50" s="238">
        <f t="shared" si="132"/>
        <v>676.25859191512643</v>
      </c>
      <c r="CD50" s="238">
        <f t="shared" si="132"/>
        <v>6443.6675122430825</v>
      </c>
      <c r="CE50" s="238">
        <f t="shared" si="132"/>
        <v>4283.7764667285319</v>
      </c>
      <c r="CF50" s="238">
        <f t="shared" si="132"/>
        <v>4130.940108299983</v>
      </c>
      <c r="CG50" s="238">
        <f t="shared" si="132"/>
        <v>5385.5354396779212</v>
      </c>
    </row>
    <row r="51" spans="1:85">
      <c r="A51" s="187" t="s">
        <v>36</v>
      </c>
      <c r="B51" s="189" t="s">
        <v>641</v>
      </c>
      <c r="C51" s="19" t="s">
        <v>179</v>
      </c>
      <c r="D51" s="108" t="s">
        <v>607</v>
      </c>
      <c r="E51" s="108" t="s">
        <v>179</v>
      </c>
      <c r="F51" s="108" t="s">
        <v>179</v>
      </c>
      <c r="G51" s="108" t="s">
        <v>180</v>
      </c>
      <c r="H51" s="186"/>
      <c r="I51" s="250" t="s">
        <v>14</v>
      </c>
      <c r="J51" s="240">
        <v>59.362698000000002</v>
      </c>
      <c r="K51" s="236">
        <v>17.955587999999999</v>
      </c>
      <c r="L51" s="237">
        <f t="shared" si="85"/>
        <v>1.0360745329670529</v>
      </c>
      <c r="M51" s="237">
        <f t="shared" si="85"/>
        <v>0.31338412973158358</v>
      </c>
      <c r="N51" s="67"/>
      <c r="O51" s="236"/>
      <c r="P51" s="112" t="str">
        <f t="shared" si="3"/>
        <v>STODC2</v>
      </c>
      <c r="Q51" s="238">
        <f t="shared" si="88"/>
        <v>4131.1213900050179</v>
      </c>
      <c r="R51" s="238">
        <f t="shared" si="115"/>
        <v>5060.5805328093375</v>
      </c>
      <c r="S51" s="238">
        <f t="shared" si="115"/>
        <v>5060.5805328093375</v>
      </c>
      <c r="T51" s="238">
        <f t="shared" si="97"/>
        <v>5255.0296022105385</v>
      </c>
      <c r="U51" s="238">
        <f t="shared" si="129"/>
        <v>4276.3413122401416</v>
      </c>
      <c r="V51" s="238">
        <f t="shared" si="129"/>
        <v>4276.3413122401416</v>
      </c>
      <c r="W51" s="238">
        <f t="shared" si="129"/>
        <v>4276.3413122401416</v>
      </c>
      <c r="X51" s="238">
        <f t="shared" si="105"/>
        <v>3843.9666294780732</v>
      </c>
      <c r="Y51" s="238">
        <f t="shared" si="108"/>
        <v>4037.4478593515332</v>
      </c>
      <c r="Z51" s="238">
        <f t="shared" si="112"/>
        <v>3832.9463858150934</v>
      </c>
      <c r="AA51" s="238">
        <f t="shared" si="116"/>
        <v>3819.3398420457302</v>
      </c>
      <c r="AB51" s="238">
        <f t="shared" si="119"/>
        <v>3819.3398420457302</v>
      </c>
      <c r="AC51" s="238">
        <f t="shared" si="123"/>
        <v>3937.2106100991418</v>
      </c>
      <c r="AD51" s="238">
        <f t="shared" si="126"/>
        <v>3932.5827833473504</v>
      </c>
      <c r="AE51" s="238">
        <f t="shared" si="130"/>
        <v>4864.6204032321421</v>
      </c>
      <c r="AF51" s="238">
        <f t="shared" ref="AF51:AF71" si="133">ACOS(COS($L51)*COS($M51)*COS(INDEX($L:$L,MATCH(AF$2,$P:$P,0)))*COS(INDEX($M:$M,MATCH(AF$2,$P:$P,0))) + COS($L51)*SIN($M51)*COS(INDEX($L:$L,MATCH(AF$2,$P:$P,0)))*SIN(INDEX($M:$M,MATCH(AF$2,$P:$P,0))) + SIN($L51)*SIN(INDEX($L:$L,MATCH(AF$2,$P:$P,0)))) * 3963.1</f>
        <v>5086.0389500328047</v>
      </c>
      <c r="AG51" s="238">
        <f t="shared" si="100"/>
        <v>6003.335896105651</v>
      </c>
      <c r="AH51" s="238">
        <f t="shared" si="100"/>
        <v>5814.8298795993569</v>
      </c>
      <c r="AI51" s="238">
        <f t="shared" si="109"/>
        <v>5817.3293045683922</v>
      </c>
      <c r="AJ51" s="238">
        <f t="shared" si="109"/>
        <v>5817.3293045683922</v>
      </c>
      <c r="AK51" s="238">
        <f t="shared" si="109"/>
        <v>5817.3293045683922</v>
      </c>
      <c r="AL51" s="238">
        <f t="shared" si="62"/>
        <v>5829.0300357012102</v>
      </c>
      <c r="AM51" s="238">
        <f t="shared" si="120"/>
        <v>5115.2607175790181</v>
      </c>
      <c r="AN51" s="238">
        <f t="shared" si="120"/>
        <v>5115.2607175790181</v>
      </c>
      <c r="AO51" s="238">
        <f t="shared" si="70"/>
        <v>5035.3529687578639</v>
      </c>
      <c r="AP51" s="238">
        <f t="shared" si="72"/>
        <v>9717.8054776395657</v>
      </c>
      <c r="AQ51" s="238">
        <f t="shared" si="75"/>
        <v>9703.0923135455887</v>
      </c>
      <c r="AR51" s="238">
        <f t="shared" si="77"/>
        <v>8366.6976862807223</v>
      </c>
      <c r="AS51" s="238">
        <f t="shared" si="79"/>
        <v>8368.1194152130738</v>
      </c>
      <c r="AT51" s="238">
        <f t="shared" si="81"/>
        <v>8368.0211006809623</v>
      </c>
      <c r="AU51" s="238">
        <f t="shared" si="83"/>
        <v>881.41922743868145</v>
      </c>
      <c r="AV51" s="238">
        <f t="shared" si="86"/>
        <v>824.60669523170179</v>
      </c>
      <c r="AW51" s="238">
        <f t="shared" si="89"/>
        <v>824.1721471227346</v>
      </c>
      <c r="AX51" s="238">
        <f t="shared" si="91"/>
        <v>324.06954819502175</v>
      </c>
      <c r="AY51" s="238">
        <f t="shared" si="93"/>
        <v>947.58489508437117</v>
      </c>
      <c r="AZ51" s="238">
        <f t="shared" si="98"/>
        <v>738.36177551536025</v>
      </c>
      <c r="BA51" s="238">
        <f t="shared" si="98"/>
        <v>738.36599831431135</v>
      </c>
      <c r="BB51" s="238">
        <f t="shared" si="101"/>
        <v>879.85965832646605</v>
      </c>
      <c r="BC51" s="238">
        <f t="shared" si="103"/>
        <v>4219.4432506839648</v>
      </c>
      <c r="BD51" s="238">
        <f t="shared" si="106"/>
        <v>957.78592767976909</v>
      </c>
      <c r="BE51" s="238">
        <f t="shared" si="110"/>
        <v>884.96086542010096</v>
      </c>
      <c r="BF51" s="238">
        <f t="shared" si="113"/>
        <v>739.55060044476795</v>
      </c>
      <c r="BG51" s="238">
        <f t="shared" si="117"/>
        <v>322.25657464575306</v>
      </c>
      <c r="BH51" s="238">
        <f t="shared" si="121"/>
        <v>879.75459488440254</v>
      </c>
      <c r="BI51" s="238">
        <f t="shared" si="124"/>
        <v>852.47093628443849</v>
      </c>
      <c r="BJ51" s="238">
        <f t="shared" si="127"/>
        <v>326.52501177410403</v>
      </c>
      <c r="BK51" s="238">
        <f t="shared" si="131"/>
        <v>890.0091954194769</v>
      </c>
      <c r="BL51" s="238">
        <f t="shared" ref="BL51:BL71" si="134">ACOS(COS($L51)*COS($M51)*COS(INDEX($L:$L,MATCH(BL$2,$P:$P,0)))*COS(INDEX($M:$M,MATCH(BL$2,$P:$P,0))) + COS($L51)*SIN($M51)*COS(INDEX($L:$L,MATCH(BL$2,$P:$P,0)))*SIN(INDEX($M:$M,MATCH(BL$2,$P:$P,0))) + SIN($L51)*SIN(INDEX($L:$L,MATCH(BL$2,$P:$P,0)))) * 3963.1</f>
        <v>8.6475411002724254</v>
      </c>
      <c r="BM51" s="238"/>
      <c r="BN51" s="238">
        <f t="shared" ref="BN51:CG51" si="135">ACOS(COS($L51)*COS($M51)*COS(INDEX($L:$L,MATCH(BN$2,$P:$P,0)))*COS(INDEX($M:$M,MATCH(BN$2,$P:$P,0))) + COS($L51)*SIN($M51)*COS(INDEX($L:$L,MATCH(BN$2,$P:$P,0)))*SIN(INDEX($M:$M,MATCH(BN$2,$P:$P,0))) + SIN($L51)*SIN(INDEX($L:$L,MATCH(BN$2,$P:$P,0)))) * 3963.1</f>
        <v>698.55774658659027</v>
      </c>
      <c r="BO51" s="238">
        <f t="shared" si="135"/>
        <v>699.11436033458926</v>
      </c>
      <c r="BP51" s="238">
        <f t="shared" si="135"/>
        <v>894.10067738075497</v>
      </c>
      <c r="BQ51" s="238">
        <f t="shared" si="135"/>
        <v>3814.2052167442971</v>
      </c>
      <c r="BR51" s="238">
        <f t="shared" si="135"/>
        <v>4081.1386978718879</v>
      </c>
      <c r="BS51" s="238">
        <f t="shared" si="135"/>
        <v>4138.5298022024062</v>
      </c>
      <c r="BT51" s="238">
        <f t="shared" si="135"/>
        <v>4537.8495301966059</v>
      </c>
      <c r="BU51" s="238">
        <f t="shared" si="135"/>
        <v>4178.0463506700771</v>
      </c>
      <c r="BV51" s="238">
        <f t="shared" si="135"/>
        <v>6772.0966570960472</v>
      </c>
      <c r="BW51" s="238">
        <f t="shared" si="135"/>
        <v>4138.5298022024062</v>
      </c>
      <c r="BX51" s="238">
        <f t="shared" si="135"/>
        <v>5376.8810954149876</v>
      </c>
      <c r="BY51" s="238">
        <f t="shared" si="135"/>
        <v>3742.608136815385</v>
      </c>
      <c r="BZ51" s="238">
        <f t="shared" si="135"/>
        <v>5377.4023416739137</v>
      </c>
      <c r="CA51" s="238">
        <f t="shared" si="135"/>
        <v>3901.1740221281466</v>
      </c>
      <c r="CB51" s="238">
        <f t="shared" si="135"/>
        <v>3744.0939434795955</v>
      </c>
      <c r="CC51" s="238">
        <f t="shared" si="135"/>
        <v>676.82003997174729</v>
      </c>
      <c r="CD51" s="238">
        <f t="shared" si="135"/>
        <v>6450.5612563394043</v>
      </c>
      <c r="CE51" s="238">
        <f t="shared" si="135"/>
        <v>4275.5002339242401</v>
      </c>
      <c r="CF51" s="238">
        <f t="shared" si="135"/>
        <v>4123.1928830231382</v>
      </c>
      <c r="CG51" s="238">
        <f t="shared" si="135"/>
        <v>5376.935770082504</v>
      </c>
    </row>
    <row r="52" spans="1:85" ht="24">
      <c r="A52" s="248" t="s">
        <v>36</v>
      </c>
      <c r="B52" s="20" t="s">
        <v>321</v>
      </c>
      <c r="C52" s="19" t="s">
        <v>99</v>
      </c>
      <c r="D52" s="19" t="s">
        <v>708</v>
      </c>
      <c r="E52" s="19" t="s">
        <v>99</v>
      </c>
      <c r="F52" s="19"/>
      <c r="G52" s="19" t="s">
        <v>100</v>
      </c>
      <c r="H52" s="19" t="s">
        <v>709</v>
      </c>
      <c r="I52" s="248" t="s">
        <v>14</v>
      </c>
      <c r="J52" s="240">
        <v>52.39676</v>
      </c>
      <c r="K52" s="236">
        <v>4.8387419999999999</v>
      </c>
      <c r="L52" s="237">
        <f t="shared" si="85"/>
        <v>0.91449597937726412</v>
      </c>
      <c r="M52" s="237">
        <f t="shared" si="85"/>
        <v>8.4451979554535456E-2</v>
      </c>
      <c r="N52" s="67"/>
      <c r="O52" s="236"/>
      <c r="P52" s="112" t="str">
        <f t="shared" si="3"/>
        <v>AMDC3</v>
      </c>
      <c r="Q52" s="238">
        <f t="shared" si="88"/>
        <v>3857.9908169130208</v>
      </c>
      <c r="R52" s="238">
        <f t="shared" si="115"/>
        <v>4901.0655394414025</v>
      </c>
      <c r="S52" s="238">
        <f t="shared" si="115"/>
        <v>4901.0655394414025</v>
      </c>
      <c r="T52" s="238">
        <f t="shared" si="97"/>
        <v>5082.9043799541951</v>
      </c>
      <c r="U52" s="238">
        <f t="shared" si="129"/>
        <v>4108.2582037275361</v>
      </c>
      <c r="V52" s="238">
        <f t="shared" si="129"/>
        <v>4108.2582037275361</v>
      </c>
      <c r="W52" s="238">
        <f t="shared" si="129"/>
        <v>4108.2582037275361</v>
      </c>
      <c r="X52" s="238">
        <f t="shared" si="105"/>
        <v>3559.2615579444055</v>
      </c>
      <c r="Y52" s="238">
        <f t="shared" si="108"/>
        <v>3758.6814695876042</v>
      </c>
      <c r="Z52" s="238">
        <f t="shared" si="112"/>
        <v>3550.1058237524644</v>
      </c>
      <c r="AA52" s="238">
        <f t="shared" si="116"/>
        <v>3530.5547754566742</v>
      </c>
      <c r="AB52" s="238">
        <f t="shared" si="119"/>
        <v>3530.5547754566742</v>
      </c>
      <c r="AC52" s="238">
        <f t="shared" si="123"/>
        <v>3726.0657243992732</v>
      </c>
      <c r="AD52" s="238">
        <f t="shared" si="126"/>
        <v>3717.9859262881605</v>
      </c>
      <c r="AE52" s="238">
        <f t="shared" si="130"/>
        <v>4819.1296926851246</v>
      </c>
      <c r="AF52" s="238">
        <f t="shared" si="133"/>
        <v>5780.7675498002018</v>
      </c>
      <c r="AG52" s="238">
        <f t="shared" si="100"/>
        <v>6532.8335866498364</v>
      </c>
      <c r="AH52" s="238">
        <f t="shared" si="100"/>
        <v>6336.7635328100669</v>
      </c>
      <c r="AI52" s="238">
        <f t="shared" si="109"/>
        <v>6340.5157242208434</v>
      </c>
      <c r="AJ52" s="238">
        <f t="shared" si="109"/>
        <v>6340.5157242208434</v>
      </c>
      <c r="AK52" s="238">
        <f t="shared" si="109"/>
        <v>6340.5157242208434</v>
      </c>
      <c r="AL52" s="238">
        <f t="shared" si="62"/>
        <v>6351.5222309268529</v>
      </c>
      <c r="AM52" s="238">
        <f t="shared" si="120"/>
        <v>5769.79339070276</v>
      </c>
      <c r="AN52" s="238">
        <f t="shared" si="120"/>
        <v>5769.79339070276</v>
      </c>
      <c r="AO52" s="238">
        <f t="shared" si="70"/>
        <v>5733.3287934503733</v>
      </c>
      <c r="AP52" s="238">
        <f t="shared" si="72"/>
        <v>10305.806801293937</v>
      </c>
      <c r="AQ52" s="238">
        <f t="shared" si="75"/>
        <v>10352.589149445874</v>
      </c>
      <c r="AR52" s="238">
        <f t="shared" si="77"/>
        <v>8798.3374993754405</v>
      </c>
      <c r="AS52" s="238">
        <f t="shared" si="79"/>
        <v>8799.9468670500737</v>
      </c>
      <c r="AT52" s="238">
        <f t="shared" si="81"/>
        <v>8799.9969494257275</v>
      </c>
      <c r="AU52" s="238">
        <f t="shared" si="83"/>
        <v>202.20575853579396</v>
      </c>
      <c r="AV52" s="238">
        <f t="shared" si="86"/>
        <v>202.435469297743</v>
      </c>
      <c r="AW52" s="238">
        <f t="shared" si="89"/>
        <v>196.22742065128091</v>
      </c>
      <c r="AX52" s="238">
        <f t="shared" si="91"/>
        <v>388.09891465997731</v>
      </c>
      <c r="AY52" s="238">
        <f t="shared" si="93"/>
        <v>257.26688132934413</v>
      </c>
      <c r="AZ52" s="238">
        <f t="shared" si="98"/>
        <v>226.07613963271987</v>
      </c>
      <c r="BA52" s="238">
        <f t="shared" si="98"/>
        <v>225.94553699738836</v>
      </c>
      <c r="BB52" s="238">
        <f t="shared" si="101"/>
        <v>383.4887147377583</v>
      </c>
      <c r="BC52" s="238">
        <f t="shared" si="103"/>
        <v>3635.1059930720821</v>
      </c>
      <c r="BD52" s="238">
        <f t="shared" si="106"/>
        <v>266.31404943459108</v>
      </c>
      <c r="BE52" s="238">
        <f t="shared" si="110"/>
        <v>215.27833021081543</v>
      </c>
      <c r="BF52" s="238">
        <f t="shared" si="113"/>
        <v>228.53305592749427</v>
      </c>
      <c r="BG52" s="238">
        <f t="shared" si="117"/>
        <v>387.76998162067861</v>
      </c>
      <c r="BH52" s="238">
        <f t="shared" si="121"/>
        <v>199.01759292973924</v>
      </c>
      <c r="BI52" s="238">
        <f t="shared" si="124"/>
        <v>262.03429445912616</v>
      </c>
      <c r="BJ52" s="238">
        <f t="shared" si="127"/>
        <v>384.05558867707259</v>
      </c>
      <c r="BK52" s="238">
        <f t="shared" si="131"/>
        <v>213.72171244433187</v>
      </c>
      <c r="BL52" s="238">
        <f t="shared" si="134"/>
        <v>698.57413559418376</v>
      </c>
      <c r="BM52" s="238">
        <f t="shared" ref="BM52:BM71" si="136">ACOS(COS($L52)*COS($M52)*COS(INDEX($L:$L,MATCH(BM$2,$P:$P,0)))*COS(INDEX($M:$M,MATCH(BM$2,$P:$P,0))) + COS($L52)*SIN($M52)*COS(INDEX($L:$L,MATCH(BM$2,$P:$P,0)))*SIN(INDEX($M:$M,MATCH(BM$2,$P:$P,0))) + SIN($L52)*SIN(INDEX($L:$L,MATCH(BM$2,$P:$P,0)))) * 3963.1</f>
        <v>698.55774658659027</v>
      </c>
      <c r="BN52" s="238"/>
      <c r="BO52" s="251">
        <f t="shared" ref="BO52:CG52" si="137">ACOS(COS($L52)*COS($M52)*COS(INDEX($L:$L,MATCH(BO$2,$P:$P,0)))*COS(INDEX($M:$M,MATCH(BO$2,$P:$P,0))) + COS($L52)*SIN($M52)*COS(INDEX($L:$L,MATCH(BO$2,$P:$P,0)))*SIN(INDEX($M:$M,MATCH(BO$2,$P:$P,0))) + SIN($L52)*SIN(INDEX($L:$L,MATCH(BO$2,$P:$P,0)))) * 3963.1</f>
        <v>5.7304235361721449</v>
      </c>
      <c r="BP52" s="238">
        <f t="shared" si="137"/>
        <v>213.26407874552427</v>
      </c>
      <c r="BQ52" s="238">
        <f t="shared" si="137"/>
        <v>3547.4493159186727</v>
      </c>
      <c r="BR52" s="238">
        <f t="shared" si="137"/>
        <v>3819.3471950880903</v>
      </c>
      <c r="BS52" s="238">
        <f t="shared" si="137"/>
        <v>3865.5162513658011</v>
      </c>
      <c r="BT52" s="238">
        <f t="shared" si="137"/>
        <v>4363.54096615857</v>
      </c>
      <c r="BU52" s="238">
        <f t="shared" si="137"/>
        <v>3905.3379844344004</v>
      </c>
      <c r="BV52" s="238">
        <f t="shared" si="137"/>
        <v>6076.5983639787109</v>
      </c>
      <c r="BW52" s="238">
        <f t="shared" si="137"/>
        <v>3865.5162513658011</v>
      </c>
      <c r="BX52" s="238">
        <f t="shared" si="137"/>
        <v>5465.9660216219818</v>
      </c>
      <c r="BY52" s="238">
        <f t="shared" si="137"/>
        <v>3453.9742852357595</v>
      </c>
      <c r="BZ52" s="238">
        <f t="shared" si="137"/>
        <v>5466.625243686457</v>
      </c>
      <c r="CA52" s="238">
        <f t="shared" si="137"/>
        <v>3620.3109827667422</v>
      </c>
      <c r="CB52" s="238">
        <f t="shared" si="137"/>
        <v>3456.0794767771108</v>
      </c>
      <c r="CC52" s="238">
        <f t="shared" si="137"/>
        <v>50.758498205545045</v>
      </c>
      <c r="CD52" s="238">
        <f t="shared" si="137"/>
        <v>6025.629867426931</v>
      </c>
      <c r="CE52" s="238">
        <f t="shared" si="137"/>
        <v>4107.7049930189241</v>
      </c>
      <c r="CF52" s="238">
        <f t="shared" si="137"/>
        <v>3847.0501123646973</v>
      </c>
      <c r="CG52" s="238">
        <f t="shared" si="137"/>
        <v>5466.0362623273977</v>
      </c>
    </row>
    <row r="53" spans="1:85" ht="24">
      <c r="A53" s="248" t="s">
        <v>36</v>
      </c>
      <c r="B53" s="20" t="s">
        <v>322</v>
      </c>
      <c r="C53" s="19" t="s">
        <v>99</v>
      </c>
      <c r="D53" s="19" t="s">
        <v>710</v>
      </c>
      <c r="E53" s="19" t="s">
        <v>99</v>
      </c>
      <c r="F53" s="19"/>
      <c r="G53" s="19" t="s">
        <v>100</v>
      </c>
      <c r="H53" s="19" t="s">
        <v>711</v>
      </c>
      <c r="I53" s="248" t="s">
        <v>14</v>
      </c>
      <c r="J53" s="240">
        <v>52.336523999999997</v>
      </c>
      <c r="K53" s="236">
        <v>4.9318929999999996</v>
      </c>
      <c r="L53" s="237">
        <f t="shared" si="85"/>
        <v>0.9134446628490327</v>
      </c>
      <c r="M53" s="237">
        <f t="shared" si="85"/>
        <v>8.6077771206060694E-2</v>
      </c>
      <c r="N53" s="67"/>
      <c r="O53" s="236"/>
      <c r="P53" s="112" t="str">
        <f t="shared" si="3"/>
        <v>AMDC4</v>
      </c>
      <c r="Q53" s="238">
        <f t="shared" si="88"/>
        <v>3863.1708108599664</v>
      </c>
      <c r="R53" s="238">
        <f t="shared" si="115"/>
        <v>4906.5485134545333</v>
      </c>
      <c r="S53" s="238">
        <f t="shared" si="115"/>
        <v>4906.5485134545333</v>
      </c>
      <c r="T53" s="238">
        <f t="shared" si="97"/>
        <v>5088.3473687370042</v>
      </c>
      <c r="U53" s="238">
        <f t="shared" si="129"/>
        <v>4113.7544098319713</v>
      </c>
      <c r="V53" s="238">
        <f t="shared" si="129"/>
        <v>4113.7544098319713</v>
      </c>
      <c r="W53" s="238">
        <f t="shared" si="129"/>
        <v>4113.7544098319713</v>
      </c>
      <c r="X53" s="238">
        <f t="shared" si="105"/>
        <v>3564.4183480669635</v>
      </c>
      <c r="Y53" s="238">
        <f t="shared" si="108"/>
        <v>3763.8465122920452</v>
      </c>
      <c r="Z53" s="238">
        <f t="shared" si="112"/>
        <v>3555.270873697697</v>
      </c>
      <c r="AA53" s="238">
        <f t="shared" si="116"/>
        <v>3535.697283454118</v>
      </c>
      <c r="AB53" s="238">
        <f t="shared" si="119"/>
        <v>3535.697283454118</v>
      </c>
      <c r="AC53" s="238">
        <f t="shared" si="123"/>
        <v>3731.4668100654435</v>
      </c>
      <c r="AD53" s="238">
        <f t="shared" si="126"/>
        <v>3723.3772572035537</v>
      </c>
      <c r="AE53" s="238">
        <f t="shared" si="130"/>
        <v>4824.814629792314</v>
      </c>
      <c r="AF53" s="238">
        <f t="shared" si="133"/>
        <v>5781.8862895526427</v>
      </c>
      <c r="AG53" s="238">
        <f t="shared" si="100"/>
        <v>6529.5073693148888</v>
      </c>
      <c r="AH53" s="238">
        <f t="shared" si="100"/>
        <v>6333.3742557017704</v>
      </c>
      <c r="AI53" s="238">
        <f t="shared" si="109"/>
        <v>6337.1387021193896</v>
      </c>
      <c r="AJ53" s="238">
        <f t="shared" si="109"/>
        <v>6337.1387021193896</v>
      </c>
      <c r="AK53" s="238">
        <f t="shared" si="109"/>
        <v>6337.1387021193896</v>
      </c>
      <c r="AL53" s="238">
        <f t="shared" si="62"/>
        <v>6348.1375051083305</v>
      </c>
      <c r="AM53" s="238">
        <f t="shared" si="120"/>
        <v>5768.3296249602527</v>
      </c>
      <c r="AN53" s="238">
        <f t="shared" si="120"/>
        <v>5768.3296249602527</v>
      </c>
      <c r="AO53" s="238">
        <f t="shared" si="70"/>
        <v>5734.09148574959</v>
      </c>
      <c r="AP53" s="238">
        <f t="shared" si="72"/>
        <v>10302.807241559833</v>
      </c>
      <c r="AQ53" s="238">
        <f t="shared" si="75"/>
        <v>10350.702805408217</v>
      </c>
      <c r="AR53" s="238">
        <f t="shared" si="77"/>
        <v>8793.9907701964112</v>
      </c>
      <c r="AS53" s="238">
        <f t="shared" si="79"/>
        <v>8795.6013074402326</v>
      </c>
      <c r="AT53" s="238">
        <f t="shared" si="81"/>
        <v>8795.6524377571968</v>
      </c>
      <c r="AU53" s="238">
        <f t="shared" si="83"/>
        <v>204.53262481148829</v>
      </c>
      <c r="AV53" s="238">
        <f t="shared" si="86"/>
        <v>197.34687541988882</v>
      </c>
      <c r="AW53" s="238">
        <f t="shared" si="89"/>
        <v>191.21550137059873</v>
      </c>
      <c r="AX53" s="238">
        <f t="shared" si="91"/>
        <v>387.64870355316748</v>
      </c>
      <c r="AY53" s="238">
        <f t="shared" si="93"/>
        <v>255.14756641029888</v>
      </c>
      <c r="AZ53" s="238">
        <f t="shared" si="98"/>
        <v>220.36107626893116</v>
      </c>
      <c r="BA53" s="238">
        <f t="shared" si="98"/>
        <v>220.23038185775357</v>
      </c>
      <c r="BB53" s="238">
        <f t="shared" si="101"/>
        <v>377.84426437295753</v>
      </c>
      <c r="BC53" s="238">
        <f t="shared" si="103"/>
        <v>3631.3857438435011</v>
      </c>
      <c r="BD53" s="238">
        <f t="shared" si="106"/>
        <v>264.32722088912573</v>
      </c>
      <c r="BE53" s="238">
        <f t="shared" si="110"/>
        <v>218.09525063931616</v>
      </c>
      <c r="BF53" s="238">
        <f t="shared" si="113"/>
        <v>222.81722689816843</v>
      </c>
      <c r="BG53" s="238">
        <f t="shared" si="117"/>
        <v>387.40480752433126</v>
      </c>
      <c r="BH53" s="238">
        <f t="shared" si="121"/>
        <v>201.25563256661439</v>
      </c>
      <c r="BI53" s="238">
        <f t="shared" si="124"/>
        <v>266.85194888121703</v>
      </c>
      <c r="BJ53" s="238">
        <f t="shared" si="127"/>
        <v>383.65760573245939</v>
      </c>
      <c r="BK53" s="238">
        <f t="shared" si="131"/>
        <v>216.1755731469656</v>
      </c>
      <c r="BL53" s="238">
        <f t="shared" si="134"/>
        <v>699.05976567239441</v>
      </c>
      <c r="BM53" s="238">
        <f t="shared" si="136"/>
        <v>699.11436033458926</v>
      </c>
      <c r="BN53" s="251">
        <f t="shared" ref="BN53:BN71" si="138">ACOS(COS($L53)*COS($M53)*COS(INDEX($L:$L,MATCH(BN$2,$P:$P,0)))*COS(INDEX($M:$M,MATCH(BN$2,$P:$P,0))) + COS($L53)*SIN($M53)*COS(INDEX($L:$L,MATCH(BN$2,$P:$P,0)))*SIN(INDEX($M:$M,MATCH(BN$2,$P:$P,0))) + SIN($L53)*SIN(INDEX($L:$L,MATCH(BN$2,$P:$P,0)))) * 3963.1</f>
        <v>5.7304235361721449</v>
      </c>
      <c r="BO53" s="238"/>
      <c r="BP53" s="238">
        <f t="shared" ref="BP53:CG53" si="139">ACOS(COS($L53)*COS($M53)*COS(INDEX($L:$L,MATCH(BP$2,$P:$P,0)))*COS(INDEX($M:$M,MATCH(BP$2,$P:$P,0))) + COS($L53)*SIN($M53)*COS(INDEX($L:$L,MATCH(BP$2,$P:$P,0)))*SIN(INDEX($M:$M,MATCH(BP$2,$P:$P,0))) + SIN($L53)*SIN(INDEX($L:$L,MATCH(BP$2,$P:$P,0)))) * 3963.1</f>
        <v>215.42244377863122</v>
      </c>
      <c r="BQ53" s="238">
        <f t="shared" si="139"/>
        <v>3552.6770182774485</v>
      </c>
      <c r="BR53" s="238">
        <f t="shared" si="139"/>
        <v>3824.5733037198611</v>
      </c>
      <c r="BS53" s="238">
        <f t="shared" si="139"/>
        <v>3870.6961605656334</v>
      </c>
      <c r="BT53" s="238">
        <f t="shared" si="139"/>
        <v>4369.0097146280696</v>
      </c>
      <c r="BU53" s="238">
        <f t="shared" si="139"/>
        <v>3910.5162349956786</v>
      </c>
      <c r="BV53" s="238">
        <f t="shared" si="139"/>
        <v>6076.5996889673625</v>
      </c>
      <c r="BW53" s="238">
        <f t="shared" si="139"/>
        <v>3870.6961605656334</v>
      </c>
      <c r="BX53" s="238">
        <f t="shared" si="139"/>
        <v>5471.6886107346136</v>
      </c>
      <c r="BY53" s="238">
        <f t="shared" si="139"/>
        <v>3459.123847400946</v>
      </c>
      <c r="BZ53" s="238">
        <f t="shared" si="139"/>
        <v>5472.3477774176936</v>
      </c>
      <c r="CA53" s="238">
        <f t="shared" si="139"/>
        <v>3625.4783306295744</v>
      </c>
      <c r="CB53" s="238">
        <f t="shared" si="139"/>
        <v>3461.2313908527408</v>
      </c>
      <c r="CC53" s="238">
        <f t="shared" si="139"/>
        <v>46.033151531801956</v>
      </c>
      <c r="CD53" s="238">
        <f t="shared" si="139"/>
        <v>6020.7737117737761</v>
      </c>
      <c r="CE53" s="238">
        <f t="shared" si="139"/>
        <v>4113.2019252791752</v>
      </c>
      <c r="CF53" s="238">
        <f t="shared" si="139"/>
        <v>3852.2190310722872</v>
      </c>
      <c r="CG53" s="238">
        <f t="shared" si="139"/>
        <v>5471.7588451734473</v>
      </c>
    </row>
    <row r="54" spans="1:85">
      <c r="A54" s="248" t="s">
        <v>36</v>
      </c>
      <c r="B54" s="20" t="s">
        <v>323</v>
      </c>
      <c r="C54" s="19" t="s">
        <v>112</v>
      </c>
      <c r="D54" s="19" t="s">
        <v>324</v>
      </c>
      <c r="E54" s="19" t="s">
        <v>2</v>
      </c>
      <c r="F54" s="19" t="s">
        <v>89</v>
      </c>
      <c r="G54" s="19" t="s">
        <v>90</v>
      </c>
      <c r="H54" s="19" t="s">
        <v>325</v>
      </c>
      <c r="I54" s="248" t="s">
        <v>14</v>
      </c>
      <c r="J54" s="252">
        <v>51.153106000000001</v>
      </c>
      <c r="K54" s="236">
        <v>0.27785199999999999</v>
      </c>
      <c r="L54" s="237">
        <f t="shared" si="85"/>
        <v>0.89279012232166655</v>
      </c>
      <c r="M54" s="237">
        <f t="shared" si="85"/>
        <v>4.8494322332512845E-3</v>
      </c>
      <c r="N54" s="236"/>
      <c r="O54" s="236"/>
      <c r="P54" s="112" t="str">
        <f t="shared" si="3"/>
        <v>RTWDC</v>
      </c>
      <c r="Q54" s="238">
        <f t="shared" si="88"/>
        <v>3704.5850138007017</v>
      </c>
      <c r="R54" s="238">
        <f t="shared" si="115"/>
        <v>4770.1139703317922</v>
      </c>
      <c r="S54" s="238">
        <f t="shared" si="115"/>
        <v>4770.1139703317922</v>
      </c>
      <c r="T54" s="238">
        <f t="shared" si="97"/>
        <v>4947.8982783382753</v>
      </c>
      <c r="U54" s="238">
        <f t="shared" si="129"/>
        <v>3979.5674977715689</v>
      </c>
      <c r="V54" s="238">
        <f t="shared" si="129"/>
        <v>3979.5674977715689</v>
      </c>
      <c r="W54" s="238">
        <f t="shared" si="129"/>
        <v>3979.5674977715689</v>
      </c>
      <c r="X54" s="238">
        <f t="shared" si="105"/>
        <v>3404.7752855949989</v>
      </c>
      <c r="Y54" s="238">
        <f t="shared" si="108"/>
        <v>3604.4711916754545</v>
      </c>
      <c r="Z54" s="238">
        <f t="shared" si="112"/>
        <v>3396.1265363016005</v>
      </c>
      <c r="AA54" s="238">
        <f t="shared" si="116"/>
        <v>3375.2546394444676</v>
      </c>
      <c r="AB54" s="238">
        <f t="shared" si="119"/>
        <v>3375.2546394444676</v>
      </c>
      <c r="AC54" s="238">
        <f t="shared" si="123"/>
        <v>3588.7985058993218</v>
      </c>
      <c r="AD54" s="238">
        <f t="shared" si="126"/>
        <v>3579.8945227411114</v>
      </c>
      <c r="AE54" s="238">
        <f t="shared" si="130"/>
        <v>4718.5975721823952</v>
      </c>
      <c r="AF54" s="238">
        <f t="shared" si="133"/>
        <v>5960.4557843182301</v>
      </c>
      <c r="AG54" s="238">
        <f t="shared" si="100"/>
        <v>6739.6728475342106</v>
      </c>
      <c r="AH54" s="238">
        <f t="shared" si="100"/>
        <v>6542.8936029419847</v>
      </c>
      <c r="AI54" s="238">
        <f t="shared" si="109"/>
        <v>6546.7898490144644</v>
      </c>
      <c r="AJ54" s="238">
        <f t="shared" si="109"/>
        <v>6546.7898490144644</v>
      </c>
      <c r="AK54" s="238">
        <f t="shared" si="109"/>
        <v>6546.7898490144644</v>
      </c>
      <c r="AL54" s="238">
        <f t="shared" si="62"/>
        <v>6557.7048403273939</v>
      </c>
      <c r="AM54" s="238">
        <f t="shared" si="120"/>
        <v>5981.6465451582017</v>
      </c>
      <c r="AN54" s="238">
        <f t="shared" si="120"/>
        <v>5981.6465451582017</v>
      </c>
      <c r="AO54" s="238">
        <f t="shared" si="70"/>
        <v>5919.8939071062923</v>
      </c>
      <c r="AP54" s="238">
        <f t="shared" si="72"/>
        <v>10515.447983896751</v>
      </c>
      <c r="AQ54" s="238">
        <f t="shared" si="75"/>
        <v>10565.669784937909</v>
      </c>
      <c r="AR54" s="238">
        <f t="shared" si="77"/>
        <v>8985.803987647867</v>
      </c>
      <c r="AS54" s="238">
        <f t="shared" si="79"/>
        <v>8987.4449595679216</v>
      </c>
      <c r="AT54" s="238">
        <f t="shared" si="81"/>
        <v>8987.5240561294686</v>
      </c>
      <c r="AU54" s="238">
        <f t="shared" si="83"/>
        <v>12.841950367561596</v>
      </c>
      <c r="AV54" s="238">
        <f t="shared" si="86"/>
        <v>279.31445511413989</v>
      </c>
      <c r="AW54" s="238">
        <f t="shared" si="89"/>
        <v>271.09739442499102</v>
      </c>
      <c r="AX54" s="238">
        <f t="shared" si="91"/>
        <v>595.66585903112559</v>
      </c>
      <c r="AY54" s="238">
        <f t="shared" si="93"/>
        <v>179.78920242067673</v>
      </c>
      <c r="AZ54" s="238">
        <f t="shared" si="98"/>
        <v>371.69029451577313</v>
      </c>
      <c r="BA54" s="238">
        <f t="shared" si="98"/>
        <v>371.55319981166394</v>
      </c>
      <c r="BB54" s="238">
        <f t="shared" si="101"/>
        <v>474.51598754652002</v>
      </c>
      <c r="BC54" s="238">
        <f t="shared" si="103"/>
        <v>3538.2540638336773</v>
      </c>
      <c r="BD54" s="238">
        <f t="shared" si="106"/>
        <v>179.8138440235542</v>
      </c>
      <c r="BE54" s="238">
        <f t="shared" si="110"/>
        <v>27.591679148646101</v>
      </c>
      <c r="BF54" s="238">
        <f t="shared" si="113"/>
        <v>373.5799892126463</v>
      </c>
      <c r="BG54" s="238">
        <f t="shared" si="117"/>
        <v>594.73660288745214</v>
      </c>
      <c r="BH54" s="238">
        <f t="shared" si="121"/>
        <v>14.545668926847002</v>
      </c>
      <c r="BI54" s="238">
        <f t="shared" si="124"/>
        <v>151.95228292507656</v>
      </c>
      <c r="BJ54" s="238">
        <f t="shared" si="127"/>
        <v>591.28172565624686</v>
      </c>
      <c r="BK54" s="238">
        <f t="shared" si="131"/>
        <v>12.100728333847721</v>
      </c>
      <c r="BL54" s="238">
        <f t="shared" si="134"/>
        <v>895.04105937602219</v>
      </c>
      <c r="BM54" s="238">
        <f t="shared" si="136"/>
        <v>894.10067738075497</v>
      </c>
      <c r="BN54" s="238">
        <f t="shared" si="138"/>
        <v>213.26407874552427</v>
      </c>
      <c r="BO54" s="238">
        <f t="shared" ref="BO54:BO71" si="140">ACOS(COS($L54)*COS($M54)*COS(INDEX($L:$L,MATCH(BO$2,$P:$P,0)))*COS(INDEX($M:$M,MATCH(BO$2,$P:$P,0))) + COS($L54)*SIN($M54)*COS(INDEX($L:$L,MATCH(BO$2,$P:$P,0)))*SIN(INDEX($M:$M,MATCH(BO$2,$P:$P,0))) + SIN($L54)*SIN(INDEX($L:$L,MATCH(BO$2,$P:$P,0)))) * 3963.1</f>
        <v>215.42244377863122</v>
      </c>
      <c r="BP54" s="238"/>
      <c r="BQ54" s="238">
        <f t="shared" ref="BQ54:CG54" si="141">ACOS(COS($L54)*COS($M54)*COS(INDEX($L:$L,MATCH(BQ$2,$P:$P,0)))*COS(INDEX($M:$M,MATCH(BQ$2,$P:$P,0))) + COS($L54)*SIN($M54)*COS(INDEX($L:$L,MATCH(BQ$2,$P:$P,0)))*SIN(INDEX($M:$M,MATCH(BQ$2,$P:$P,0))) + SIN($L54)*SIN(INDEX($L:$L,MATCH(BQ$2,$P:$P,0)))) * 3963.1</f>
        <v>3397.4166399934134</v>
      </c>
      <c r="BR54" s="238">
        <f t="shared" si="141"/>
        <v>3668.8968419704133</v>
      </c>
      <c r="BS54" s="238">
        <f t="shared" si="141"/>
        <v>3712.0974926399294</v>
      </c>
      <c r="BT54" s="238">
        <f t="shared" si="141"/>
        <v>4231.7381124441463</v>
      </c>
      <c r="BU54" s="238">
        <f t="shared" si="141"/>
        <v>3751.7770416169224</v>
      </c>
      <c r="BV54" s="238">
        <f t="shared" si="141"/>
        <v>5878.0846319450302</v>
      </c>
      <c r="BW54" s="238">
        <f t="shared" si="141"/>
        <v>3712.0974926399294</v>
      </c>
      <c r="BX54" s="238">
        <f t="shared" si="141"/>
        <v>5399.6169763407197</v>
      </c>
      <c r="BY54" s="238">
        <f t="shared" si="141"/>
        <v>3299.1800881032414</v>
      </c>
      <c r="BZ54" s="238">
        <f t="shared" si="141"/>
        <v>5400.3127583496571</v>
      </c>
      <c r="CA54" s="238">
        <f t="shared" si="141"/>
        <v>3466.3907346284368</v>
      </c>
      <c r="CB54" s="238">
        <f t="shared" si="141"/>
        <v>3301.4225931923966</v>
      </c>
      <c r="CC54" s="238">
        <f t="shared" si="141"/>
        <v>256.06762630922344</v>
      </c>
      <c r="CD54" s="238">
        <f t="shared" si="141"/>
        <v>5986.5164101372548</v>
      </c>
      <c r="CE54" s="238">
        <f t="shared" si="141"/>
        <v>3979.0919653565848</v>
      </c>
      <c r="CF54" s="238">
        <f t="shared" si="141"/>
        <v>3692.9815128266691</v>
      </c>
      <c r="CG54" s="238">
        <f t="shared" si="141"/>
        <v>5399.6913663737914</v>
      </c>
    </row>
    <row r="55" spans="1:85">
      <c r="A55" s="253" t="s">
        <v>38</v>
      </c>
      <c r="B55" s="48" t="s">
        <v>326</v>
      </c>
      <c r="C55" s="49" t="s">
        <v>327</v>
      </c>
      <c r="D55" s="49" t="s">
        <v>224</v>
      </c>
      <c r="E55" s="49" t="s">
        <v>123</v>
      </c>
      <c r="F55" s="49" t="s">
        <v>124</v>
      </c>
      <c r="G55" s="49" t="s">
        <v>81</v>
      </c>
      <c r="H55" s="49"/>
      <c r="I55" s="254" t="s">
        <v>13</v>
      </c>
      <c r="J55" s="240">
        <v>42.612025000000003</v>
      </c>
      <c r="K55" s="236">
        <v>-73.724547000000001</v>
      </c>
      <c r="L55" s="237">
        <f t="shared" si="85"/>
        <v>0.7437201371921367</v>
      </c>
      <c r="M55" s="237">
        <f t="shared" si="85"/>
        <v>-1.2867360846913078</v>
      </c>
      <c r="N55" s="67"/>
      <c r="O55" s="236"/>
      <c r="P55" s="112" t="str">
        <f t="shared" si="3"/>
        <v>RDC</v>
      </c>
      <c r="Q55" s="238">
        <f t="shared" si="88"/>
        <v>316.91790731488396</v>
      </c>
      <c r="R55" s="238">
        <f t="shared" si="115"/>
        <v>1422.4237252118821</v>
      </c>
      <c r="S55" s="238">
        <f t="shared" si="115"/>
        <v>1422.4237252118821</v>
      </c>
      <c r="T55" s="238">
        <f t="shared" si="97"/>
        <v>1577.3922720914693</v>
      </c>
      <c r="U55" s="238">
        <f t="shared" si="129"/>
        <v>712.68976151318088</v>
      </c>
      <c r="V55" s="238">
        <f t="shared" si="129"/>
        <v>712.68976151318088</v>
      </c>
      <c r="W55" s="238">
        <f t="shared" si="129"/>
        <v>712.68976151318088</v>
      </c>
      <c r="X55" s="238">
        <f t="shared" si="105"/>
        <v>91.407949238474586</v>
      </c>
      <c r="Y55" s="238">
        <f t="shared" si="108"/>
        <v>226.54058163653204</v>
      </c>
      <c r="Z55" s="238">
        <f t="shared" si="112"/>
        <v>80.341915598731276</v>
      </c>
      <c r="AA55" s="238">
        <f t="shared" si="116"/>
        <v>109.25233671098358</v>
      </c>
      <c r="AB55" s="238">
        <f t="shared" si="119"/>
        <v>109.25233671098358</v>
      </c>
      <c r="AC55" s="238">
        <f t="shared" si="123"/>
        <v>312.20139921282316</v>
      </c>
      <c r="AD55" s="238">
        <f t="shared" si="126"/>
        <v>294.38028800579934</v>
      </c>
      <c r="AE55" s="238">
        <f t="shared" si="130"/>
        <v>1624.9618588537815</v>
      </c>
      <c r="AF55" s="238">
        <f t="shared" si="133"/>
        <v>6636.6346325099512</v>
      </c>
      <c r="AG55" s="238">
        <f t="shared" si="100"/>
        <v>9410.5940981090098</v>
      </c>
      <c r="AH55" s="238">
        <f t="shared" si="100"/>
        <v>9276.790191455606</v>
      </c>
      <c r="AI55" s="238">
        <f t="shared" si="109"/>
        <v>9274.3164270900925</v>
      </c>
      <c r="AJ55" s="238">
        <f t="shared" si="109"/>
        <v>9274.3164270900925</v>
      </c>
      <c r="AK55" s="238">
        <f t="shared" si="109"/>
        <v>9274.3164270900925</v>
      </c>
      <c r="AL55" s="238">
        <f t="shared" si="62"/>
        <v>9287.1391959492394</v>
      </c>
      <c r="AM55" s="238">
        <f t="shared" si="120"/>
        <v>7925.8189160849024</v>
      </c>
      <c r="AN55" s="238">
        <f t="shared" si="120"/>
        <v>7925.8189160849024</v>
      </c>
      <c r="AO55" s="238">
        <f t="shared" si="70"/>
        <v>6794.3579202555165</v>
      </c>
      <c r="AP55" s="238">
        <f t="shared" si="72"/>
        <v>10391.839438886456</v>
      </c>
      <c r="AQ55" s="238">
        <f t="shared" si="75"/>
        <v>9968.8655275607689</v>
      </c>
      <c r="AR55" s="238">
        <f t="shared" si="77"/>
        <v>11546.137587902422</v>
      </c>
      <c r="AS55" s="238">
        <f t="shared" si="79"/>
        <v>11545.492768226602</v>
      </c>
      <c r="AT55" s="238">
        <f t="shared" si="81"/>
        <v>11544.635310326252</v>
      </c>
      <c r="AU55" s="238">
        <f t="shared" si="83"/>
        <v>3400.5644357401779</v>
      </c>
      <c r="AV55" s="238">
        <f t="shared" si="86"/>
        <v>3676.7310548369478</v>
      </c>
      <c r="AW55" s="238">
        <f t="shared" si="89"/>
        <v>3668.5106604104649</v>
      </c>
      <c r="AX55" s="238">
        <f t="shared" si="91"/>
        <v>3747.2730833638848</v>
      </c>
      <c r="AY55" s="238">
        <f t="shared" si="93"/>
        <v>3545.6444087525565</v>
      </c>
      <c r="AZ55" s="238">
        <f t="shared" si="98"/>
        <v>3760.3940887536182</v>
      </c>
      <c r="BA55" s="238">
        <f t="shared" si="98"/>
        <v>3760.2546314891047</v>
      </c>
      <c r="BB55" s="238">
        <f t="shared" si="101"/>
        <v>3869.4087389236215</v>
      </c>
      <c r="BC55" s="238">
        <f t="shared" si="103"/>
        <v>5401.9025927737839</v>
      </c>
      <c r="BD55" s="238">
        <f t="shared" si="106"/>
        <v>3539.1660430015186</v>
      </c>
      <c r="BE55" s="238">
        <f t="shared" si="110"/>
        <v>3377.3695603686765</v>
      </c>
      <c r="BF55" s="238">
        <f t="shared" si="113"/>
        <v>3762.5773532093604</v>
      </c>
      <c r="BG55" s="238">
        <f t="shared" si="117"/>
        <v>3742.2348961858634</v>
      </c>
      <c r="BH55" s="238">
        <f t="shared" si="121"/>
        <v>3405.2572803404569</v>
      </c>
      <c r="BI55" s="238">
        <f t="shared" si="124"/>
        <v>3288.7721164654185</v>
      </c>
      <c r="BJ55" s="238">
        <f t="shared" si="127"/>
        <v>3742.1558219407743</v>
      </c>
      <c r="BK55" s="238">
        <f t="shared" si="131"/>
        <v>3388.6083789034296</v>
      </c>
      <c r="BL55" s="238">
        <f t="shared" si="134"/>
        <v>3821.9723267092718</v>
      </c>
      <c r="BM55" s="238">
        <f t="shared" si="136"/>
        <v>3814.2052167442971</v>
      </c>
      <c r="BN55" s="238">
        <f t="shared" si="138"/>
        <v>3547.4493159186727</v>
      </c>
      <c r="BO55" s="238">
        <f t="shared" si="140"/>
        <v>3552.6770182774485</v>
      </c>
      <c r="BP55" s="238">
        <f t="shared" ref="BP55:BP71" si="142">ACOS(COS($L55)*COS($M55)*COS(INDEX($L:$L,MATCH(BP$2,$P:$P,0)))*COS(INDEX($M:$M,MATCH(BP$2,$P:$P,0))) + COS($L55)*SIN($M55)*COS(INDEX($L:$L,MATCH(BP$2,$P:$P,0)))*SIN(INDEX($M:$M,MATCH(BP$2,$P:$P,0))) + SIN($L55)*SIN(INDEX($L:$L,MATCH(BP$2,$P:$P,0)))) * 3963.1</f>
        <v>3397.4166399934134</v>
      </c>
      <c r="BQ55" s="238"/>
      <c r="BR55" s="238">
        <f t="shared" ref="BR55:CG55" si="143">ACOS(COS($L55)*COS($M55)*COS(INDEX($L:$L,MATCH(BR$2,$P:$P,0)))*COS(INDEX($M:$M,MATCH(BR$2,$P:$P,0))) + COS($L55)*SIN($M55)*COS(INDEX($L:$L,MATCH(BR$2,$P:$P,0)))*SIN(INDEX($M:$M,MATCH(BR$2,$P:$P,0))) + SIN($L55)*SIN(INDEX($L:$L,MATCH(BR$2,$P:$P,0)))) * 3963.1</f>
        <v>271.90563726362012</v>
      </c>
      <c r="BS55" s="238">
        <f t="shared" si="143"/>
        <v>324.32467788840614</v>
      </c>
      <c r="BT55" s="238">
        <f t="shared" si="143"/>
        <v>906.18456534526615</v>
      </c>
      <c r="BU55" s="238">
        <f t="shared" si="143"/>
        <v>363.8827849487443</v>
      </c>
      <c r="BV55" s="238">
        <f t="shared" si="143"/>
        <v>4837.1509549079947</v>
      </c>
      <c r="BW55" s="238">
        <f t="shared" si="143"/>
        <v>324.32467788840614</v>
      </c>
      <c r="BX55" s="238">
        <f t="shared" si="143"/>
        <v>2547.2559362758439</v>
      </c>
      <c r="BY55" s="238">
        <f t="shared" si="143"/>
        <v>135.82546891981042</v>
      </c>
      <c r="BZ55" s="238">
        <f t="shared" si="143"/>
        <v>2548.2130205176886</v>
      </c>
      <c r="CA55" s="238">
        <f t="shared" si="143"/>
        <v>106.69717860755931</v>
      </c>
      <c r="CB55" s="238">
        <f t="shared" si="143"/>
        <v>132.31023039397473</v>
      </c>
      <c r="CC55" s="238">
        <f t="shared" si="143"/>
        <v>3597.6707699765252</v>
      </c>
      <c r="CD55" s="238">
        <f t="shared" si="143"/>
        <v>7862.0818928044282</v>
      </c>
      <c r="CE55" s="238">
        <f t="shared" si="143"/>
        <v>713.14310719114349</v>
      </c>
      <c r="CF55" s="238">
        <f t="shared" si="143"/>
        <v>309.46552584755682</v>
      </c>
      <c r="CG55" s="238">
        <f t="shared" si="143"/>
        <v>2547.3608094482997</v>
      </c>
    </row>
    <row r="56" spans="1:85" ht="24">
      <c r="A56" s="253" t="s">
        <v>38</v>
      </c>
      <c r="B56" s="48" t="s">
        <v>328</v>
      </c>
      <c r="C56" s="48" t="s">
        <v>221</v>
      </c>
      <c r="D56" s="49" t="s">
        <v>222</v>
      </c>
      <c r="E56" s="48" t="s">
        <v>221</v>
      </c>
      <c r="F56" s="48" t="s">
        <v>118</v>
      </c>
      <c r="G56" s="49" t="s">
        <v>81</v>
      </c>
      <c r="H56" s="49"/>
      <c r="I56" s="254" t="s">
        <v>13</v>
      </c>
      <c r="J56" s="235">
        <v>39.995994097746802</v>
      </c>
      <c r="K56" s="236">
        <v>-77.631883621215806</v>
      </c>
      <c r="L56" s="237">
        <f t="shared" si="85"/>
        <v>0.69806178461390045</v>
      </c>
      <c r="M56" s="237">
        <f t="shared" si="85"/>
        <v>-1.3549319737152743</v>
      </c>
      <c r="N56" s="236"/>
      <c r="O56" s="236"/>
      <c r="P56" s="112" t="str">
        <f t="shared" si="3"/>
        <v>CHADC</v>
      </c>
      <c r="Q56" s="238">
        <f t="shared" si="88"/>
        <v>73.693609715788256</v>
      </c>
      <c r="R56" s="238">
        <f t="shared" si="115"/>
        <v>1171.2390609805191</v>
      </c>
      <c r="S56" s="238">
        <f t="shared" si="115"/>
        <v>1171.2390609805191</v>
      </c>
      <c r="T56" s="238">
        <f t="shared" si="97"/>
        <v>1317.0329716010056</v>
      </c>
      <c r="U56" s="238">
        <f t="shared" si="129"/>
        <v>537.1422713425917</v>
      </c>
      <c r="V56" s="238">
        <f t="shared" si="129"/>
        <v>537.1422713425917</v>
      </c>
      <c r="W56" s="238">
        <f t="shared" si="129"/>
        <v>537.1422713425917</v>
      </c>
      <c r="X56" s="238">
        <f t="shared" si="105"/>
        <v>275.53657170374089</v>
      </c>
      <c r="Y56" s="238">
        <f t="shared" si="108"/>
        <v>101.9014220414946</v>
      </c>
      <c r="Z56" s="238">
        <f t="shared" si="112"/>
        <v>280.9779841484177</v>
      </c>
      <c r="AA56" s="238">
        <f t="shared" si="116"/>
        <v>308.5858242005138</v>
      </c>
      <c r="AB56" s="238">
        <f t="shared" si="119"/>
        <v>308.5858242005138</v>
      </c>
      <c r="AC56" s="238">
        <f t="shared" si="123"/>
        <v>280.71618417333809</v>
      </c>
      <c r="AD56" s="238">
        <f t="shared" si="126"/>
        <v>268.14191761495107</v>
      </c>
      <c r="AE56" s="238">
        <f t="shared" si="130"/>
        <v>1440.3370166576897</v>
      </c>
      <c r="AF56" s="238">
        <f t="shared" si="133"/>
        <v>6699.6346531205927</v>
      </c>
      <c r="AG56" s="238">
        <f t="shared" si="100"/>
        <v>9593.9212296983296</v>
      </c>
      <c r="AH56" s="238">
        <f t="shared" si="100"/>
        <v>9471.415746529774</v>
      </c>
      <c r="AI56" s="238">
        <f t="shared" si="109"/>
        <v>9468.2033456145291</v>
      </c>
      <c r="AJ56" s="238">
        <f t="shared" si="109"/>
        <v>9468.2033456145291</v>
      </c>
      <c r="AK56" s="238">
        <f t="shared" si="109"/>
        <v>9468.2033456145291</v>
      </c>
      <c r="AL56" s="238">
        <f t="shared" si="62"/>
        <v>9480.9703311232461</v>
      </c>
      <c r="AM56" s="238">
        <f t="shared" si="120"/>
        <v>8068.0815030725362</v>
      </c>
      <c r="AN56" s="238">
        <f t="shared" si="120"/>
        <v>8068.0815030725362</v>
      </c>
      <c r="AO56" s="238">
        <f t="shared" si="70"/>
        <v>6870.1871547139554</v>
      </c>
      <c r="AP56" s="238">
        <f t="shared" si="72"/>
        <v>10167.37959687341</v>
      </c>
      <c r="AQ56" s="238">
        <f t="shared" si="75"/>
        <v>9753.5450840983794</v>
      </c>
      <c r="AR56" s="238">
        <f t="shared" si="77"/>
        <v>11515.692496741131</v>
      </c>
      <c r="AS56" s="238">
        <f t="shared" si="79"/>
        <v>11514.555577053419</v>
      </c>
      <c r="AT56" s="238">
        <f t="shared" si="81"/>
        <v>11513.669265800801</v>
      </c>
      <c r="AU56" s="238">
        <f t="shared" si="83"/>
        <v>3672.1037975256104</v>
      </c>
      <c r="AV56" s="238">
        <f t="shared" si="86"/>
        <v>3948.2087472976727</v>
      </c>
      <c r="AW56" s="238">
        <f t="shared" si="89"/>
        <v>3939.9942313845363</v>
      </c>
      <c r="AX56" s="238">
        <f t="shared" si="91"/>
        <v>4017.9390693536507</v>
      </c>
      <c r="AY56" s="238">
        <f t="shared" si="93"/>
        <v>3816.4826940976459</v>
      </c>
      <c r="AZ56" s="238">
        <f t="shared" si="98"/>
        <v>4032.1684565201886</v>
      </c>
      <c r="BA56" s="238">
        <f t="shared" si="98"/>
        <v>4032.0289913144761</v>
      </c>
      <c r="BB56" s="238">
        <f t="shared" si="101"/>
        <v>4140.6192149318067</v>
      </c>
      <c r="BC56" s="238">
        <f t="shared" si="103"/>
        <v>5571.9633460121722</v>
      </c>
      <c r="BD56" s="238">
        <f t="shared" si="106"/>
        <v>3809.9343664512203</v>
      </c>
      <c r="BE56" s="238">
        <f t="shared" si="110"/>
        <v>3648.9385399083853</v>
      </c>
      <c r="BF56" s="238">
        <f t="shared" si="113"/>
        <v>4034.3486212253688</v>
      </c>
      <c r="BG56" s="238">
        <f t="shared" si="117"/>
        <v>4012.8788179320372</v>
      </c>
      <c r="BH56" s="238">
        <f t="shared" si="121"/>
        <v>3676.7956545971733</v>
      </c>
      <c r="BI56" s="238">
        <f t="shared" si="124"/>
        <v>3560.6176928195241</v>
      </c>
      <c r="BJ56" s="238">
        <f t="shared" si="127"/>
        <v>4012.8340270791869</v>
      </c>
      <c r="BK56" s="238">
        <f t="shared" si="131"/>
        <v>3660.1286690065381</v>
      </c>
      <c r="BL56" s="238">
        <f t="shared" si="134"/>
        <v>4088.963840954746</v>
      </c>
      <c r="BM56" s="238">
        <f t="shared" si="136"/>
        <v>4081.1386978718879</v>
      </c>
      <c r="BN56" s="238">
        <f t="shared" si="138"/>
        <v>3819.3471950880903</v>
      </c>
      <c r="BO56" s="238">
        <f t="shared" si="140"/>
        <v>3824.5733037198611</v>
      </c>
      <c r="BP56" s="238">
        <f t="shared" si="142"/>
        <v>3668.8968419704133</v>
      </c>
      <c r="BQ56" s="238">
        <f t="shared" ref="BQ56:BQ71" si="144">ACOS(COS($L56)*COS($M56)*COS(INDEX($L:$L,MATCH(BQ$2,$P:$P,0)))*COS(INDEX($M:$M,MATCH(BQ$2,$P:$P,0))) + COS($L56)*SIN($M56)*COS(INDEX($L:$L,MATCH(BQ$2,$P:$P,0)))*SIN(INDEX($M:$M,MATCH(BQ$2,$P:$P,0))) + SIN($L56)*SIN(INDEX($L:$L,MATCH(BQ$2,$P:$P,0)))) * 3963.1</f>
        <v>271.90563726362012</v>
      </c>
      <c r="BR56" s="238"/>
      <c r="BS56" s="238">
        <f t="shared" ref="BS56:CG56" si="145">ACOS(COS($L56)*COS($M56)*COS(INDEX($L:$L,MATCH(BS$2,$P:$P,0)))*COS(INDEX($M:$M,MATCH(BS$2,$P:$P,0))) + COS($L56)*SIN($M56)*COS(INDEX($L:$L,MATCH(BS$2,$P:$P,0)))*SIN(INDEX($M:$M,MATCH(BS$2,$P:$P,0))) + SIN($L56)*SIN(INDEX($L:$L,MATCH(BS$2,$P:$P,0)))) * 3963.1</f>
        <v>78.025407358871377</v>
      </c>
      <c r="BT56" s="238">
        <f t="shared" si="145"/>
        <v>678.68647085532393</v>
      </c>
      <c r="BU56" s="238">
        <f t="shared" si="145"/>
        <v>107.98517085790071</v>
      </c>
      <c r="BV56" s="238">
        <f t="shared" si="145"/>
        <v>4772.6652946801687</v>
      </c>
      <c r="BW56" s="238">
        <f t="shared" si="145"/>
        <v>78.025407358871377</v>
      </c>
      <c r="BX56" s="238">
        <f t="shared" si="145"/>
        <v>2376.0937095831464</v>
      </c>
      <c r="BY56" s="238">
        <f t="shared" si="145"/>
        <v>378.58301570168885</v>
      </c>
      <c r="BZ56" s="238">
        <f t="shared" si="145"/>
        <v>2377.0637218815023</v>
      </c>
      <c r="CA56" s="238">
        <f t="shared" si="145"/>
        <v>213.74319675416425</v>
      </c>
      <c r="CB56" s="238">
        <f t="shared" si="145"/>
        <v>375.79191737078725</v>
      </c>
      <c r="CC56" s="238">
        <f t="shared" si="145"/>
        <v>3869.5726614152695</v>
      </c>
      <c r="CD56" s="238">
        <f t="shared" si="145"/>
        <v>7971.3284007525081</v>
      </c>
      <c r="CE56" s="238">
        <f t="shared" si="145"/>
        <v>538.08870044633977</v>
      </c>
      <c r="CF56" s="238">
        <f t="shared" si="145"/>
        <v>82.186074660560791</v>
      </c>
      <c r="CG56" s="238">
        <f t="shared" si="145"/>
        <v>2376.2003064981436</v>
      </c>
    </row>
    <row r="57" spans="1:85">
      <c r="A57" s="253" t="s">
        <v>38</v>
      </c>
      <c r="B57" s="48" t="s">
        <v>329</v>
      </c>
      <c r="C57" s="48" t="s">
        <v>5</v>
      </c>
      <c r="D57" s="48" t="s">
        <v>164</v>
      </c>
      <c r="E57" s="48" t="s">
        <v>5</v>
      </c>
      <c r="F57" s="48" t="s">
        <v>73</v>
      </c>
      <c r="G57" s="49" t="s">
        <v>81</v>
      </c>
      <c r="H57" s="49"/>
      <c r="I57" s="254" t="s">
        <v>13</v>
      </c>
      <c r="J57" s="235">
        <v>38.875306999999999</v>
      </c>
      <c r="K57" s="236">
        <v>-77.465410000000006</v>
      </c>
      <c r="L57" s="237">
        <f t="shared" si="85"/>
        <v>0.67850210487359919</v>
      </c>
      <c r="M57" s="237">
        <f t="shared" si="85"/>
        <v>-1.3520264609073407</v>
      </c>
      <c r="N57" s="236"/>
      <c r="O57" s="236"/>
      <c r="P57" s="112" t="str">
        <f t="shared" si="3"/>
        <v>CHDC1</v>
      </c>
      <c r="Q57" s="238">
        <f t="shared" si="88"/>
        <v>7.5262475850546648</v>
      </c>
      <c r="R57" s="238">
        <f t="shared" si="115"/>
        <v>1158.0908449671647</v>
      </c>
      <c r="S57" s="238">
        <f t="shared" si="115"/>
        <v>1158.0908449671647</v>
      </c>
      <c r="T57" s="238">
        <f t="shared" si="97"/>
        <v>1294.8770886000843</v>
      </c>
      <c r="U57" s="238">
        <f t="shared" si="129"/>
        <v>572.90958163947255</v>
      </c>
      <c r="V57" s="238">
        <f t="shared" si="129"/>
        <v>572.90958163947255</v>
      </c>
      <c r="W57" s="238">
        <f t="shared" si="129"/>
        <v>572.90958163947255</v>
      </c>
      <c r="X57" s="238">
        <f t="shared" si="105"/>
        <v>307.71454705505766</v>
      </c>
      <c r="Y57" s="238">
        <f t="shared" si="108"/>
        <v>108.62559030299828</v>
      </c>
      <c r="Z57" s="238">
        <f t="shared" si="112"/>
        <v>316.00264207081727</v>
      </c>
      <c r="AA57" s="238">
        <f t="shared" si="116"/>
        <v>338.37662153097551</v>
      </c>
      <c r="AB57" s="238">
        <f t="shared" si="119"/>
        <v>338.37662153097551</v>
      </c>
      <c r="AC57" s="238">
        <f t="shared" si="123"/>
        <v>356.59640272148954</v>
      </c>
      <c r="AD57" s="238">
        <f t="shared" si="126"/>
        <v>344.73406082929182</v>
      </c>
      <c r="AE57" s="238">
        <f t="shared" si="130"/>
        <v>1461.7561141195911</v>
      </c>
      <c r="AF57" s="238">
        <f t="shared" si="133"/>
        <v>6771.3298711675825</v>
      </c>
      <c r="AG57" s="238">
        <f t="shared" si="100"/>
        <v>9671.7117194668717</v>
      </c>
      <c r="AH57" s="238">
        <f t="shared" si="100"/>
        <v>9548.6862795990019</v>
      </c>
      <c r="AI57" s="238">
        <f t="shared" si="109"/>
        <v>9545.5164397878725</v>
      </c>
      <c r="AJ57" s="238">
        <f t="shared" si="109"/>
        <v>9545.5164397878725</v>
      </c>
      <c r="AK57" s="238">
        <f t="shared" si="109"/>
        <v>9545.5164397878725</v>
      </c>
      <c r="AL57" s="238">
        <f t="shared" si="62"/>
        <v>9558.2882372336735</v>
      </c>
      <c r="AM57" s="238">
        <f t="shared" si="120"/>
        <v>8145.72306739743</v>
      </c>
      <c r="AN57" s="238">
        <f t="shared" si="120"/>
        <v>8145.72306739743</v>
      </c>
      <c r="AO57" s="238">
        <f t="shared" si="70"/>
        <v>6943.2591124792625</v>
      </c>
      <c r="AP57" s="238">
        <f t="shared" si="72"/>
        <v>10161.038849293678</v>
      </c>
      <c r="AQ57" s="238">
        <f t="shared" si="75"/>
        <v>9752.2126555372834</v>
      </c>
      <c r="AR57" s="238">
        <f t="shared" si="77"/>
        <v>11562.709277084854</v>
      </c>
      <c r="AS57" s="238">
        <f t="shared" si="79"/>
        <v>11561.471062810087</v>
      </c>
      <c r="AT57" s="238">
        <f t="shared" si="81"/>
        <v>11560.58920337215</v>
      </c>
      <c r="AU57" s="238">
        <f t="shared" si="83"/>
        <v>3715.5574526676783</v>
      </c>
      <c r="AV57" s="238">
        <f t="shared" si="86"/>
        <v>3991.3300599038771</v>
      </c>
      <c r="AW57" s="238">
        <f t="shared" si="89"/>
        <v>3983.1419568372494</v>
      </c>
      <c r="AX57" s="238">
        <f t="shared" si="91"/>
        <v>4070.1453851911688</v>
      </c>
      <c r="AY57" s="238">
        <f t="shared" si="93"/>
        <v>3857.5606424709272</v>
      </c>
      <c r="AZ57" s="238">
        <f t="shared" si="98"/>
        <v>4076.8440958896908</v>
      </c>
      <c r="BA57" s="238">
        <f t="shared" si="98"/>
        <v>4076.7046004016934</v>
      </c>
      <c r="BB57" s="238">
        <f t="shared" si="101"/>
        <v>4182.713205406254</v>
      </c>
      <c r="BC57" s="238">
        <f t="shared" si="103"/>
        <v>5552.3898574704308</v>
      </c>
      <c r="BD57" s="238">
        <f t="shared" si="106"/>
        <v>3850.8296506864149</v>
      </c>
      <c r="BE57" s="238">
        <f t="shared" si="110"/>
        <v>3692.5325685383068</v>
      </c>
      <c r="BF57" s="238">
        <f t="shared" si="113"/>
        <v>4079.0010779468062</v>
      </c>
      <c r="BG57" s="238">
        <f t="shared" si="117"/>
        <v>4065.1333407362099</v>
      </c>
      <c r="BH57" s="238">
        <f t="shared" si="121"/>
        <v>3720.2437255220539</v>
      </c>
      <c r="BI57" s="238">
        <f t="shared" si="124"/>
        <v>3606.016251815111</v>
      </c>
      <c r="BJ57" s="238">
        <f t="shared" si="127"/>
        <v>4065.0140782929984</v>
      </c>
      <c r="BK57" s="238">
        <f t="shared" si="131"/>
        <v>3703.5015356357826</v>
      </c>
      <c r="BL57" s="238">
        <f t="shared" si="134"/>
        <v>4146.296980869929</v>
      </c>
      <c r="BM57" s="238">
        <f t="shared" si="136"/>
        <v>4138.5298022024062</v>
      </c>
      <c r="BN57" s="238">
        <f t="shared" si="138"/>
        <v>3865.5162513658011</v>
      </c>
      <c r="BO57" s="238">
        <f t="shared" si="140"/>
        <v>3870.6961605656334</v>
      </c>
      <c r="BP57" s="238">
        <f t="shared" si="142"/>
        <v>3712.0974926399294</v>
      </c>
      <c r="BQ57" s="238">
        <f t="shared" si="144"/>
        <v>324.32467788840614</v>
      </c>
      <c r="BR57" s="238">
        <f t="shared" ref="BR57:BR71" si="146">ACOS(COS($L57)*COS($M57)*COS(INDEX($L:$L,MATCH(BR$2,$P:$P,0)))*COS(INDEX($M:$M,MATCH(BR$2,$P:$P,0))) + COS($L57)*SIN($M57)*COS(INDEX($L:$L,MATCH(BR$2,$P:$P,0)))*SIN(INDEX($M:$M,MATCH(BR$2,$P:$P,0))) + SIN($L57)*SIN(INDEX($L:$L,MATCH(BR$2,$P:$P,0)))) * 3963.1</f>
        <v>78.025407358871377</v>
      </c>
      <c r="BS57" s="238"/>
      <c r="BT57" s="238">
        <f t="shared" ref="BT57:CG57" si="147">ACOS(COS($L57)*COS($M57)*COS(INDEX($L:$L,MATCH(BT$2,$P:$P,0)))*COS(INDEX($M:$M,MATCH(BT$2,$P:$P,0))) + COS($L57)*SIN($M57)*COS(INDEX($L:$L,MATCH(BT$2,$P:$P,0)))*SIN(INDEX($M:$M,MATCH(BT$2,$P:$P,0))) + SIN($L57)*SIN(INDEX($L:$L,MATCH(BT$2,$P:$P,0)))) * 3963.1</f>
        <v>686.60994949090968</v>
      </c>
      <c r="BU57" s="238">
        <f t="shared" si="147"/>
        <v>39.883157657057815</v>
      </c>
      <c r="BV57" s="238">
        <f t="shared" si="147"/>
        <v>4701.0994242788038</v>
      </c>
      <c r="BW57" s="238">
        <f t="shared" si="147"/>
        <v>0</v>
      </c>
      <c r="BX57" s="238">
        <f t="shared" si="147"/>
        <v>2399.6391331760678</v>
      </c>
      <c r="BY57" s="238">
        <f t="shared" si="147"/>
        <v>413.36513189784409</v>
      </c>
      <c r="BZ57" s="238">
        <f t="shared" si="147"/>
        <v>2400.6118171881362</v>
      </c>
      <c r="CA57" s="238">
        <f t="shared" si="147"/>
        <v>245.75735430158534</v>
      </c>
      <c r="CB57" s="238">
        <f t="shared" si="147"/>
        <v>411.0014505626188</v>
      </c>
      <c r="CC57" s="238">
        <f t="shared" si="147"/>
        <v>3915.8729953676821</v>
      </c>
      <c r="CD57" s="238">
        <f t="shared" si="147"/>
        <v>7931.1672409814664</v>
      </c>
      <c r="CE57" s="238">
        <f t="shared" si="147"/>
        <v>574.01384496640424</v>
      </c>
      <c r="CF57" s="238">
        <f t="shared" si="147"/>
        <v>23.562484413486455</v>
      </c>
      <c r="CG57" s="238">
        <f t="shared" si="147"/>
        <v>2399.7461332682933</v>
      </c>
    </row>
    <row r="58" spans="1:85" ht="36">
      <c r="A58" s="253" t="s">
        <v>38</v>
      </c>
      <c r="B58" s="48" t="s">
        <v>330</v>
      </c>
      <c r="C58" s="49" t="s">
        <v>44</v>
      </c>
      <c r="D58" s="49" t="s">
        <v>712</v>
      </c>
      <c r="E58" s="49" t="s">
        <v>44</v>
      </c>
      <c r="F58" s="49" t="s">
        <v>220</v>
      </c>
      <c r="G58" s="49" t="s">
        <v>81</v>
      </c>
      <c r="H58" s="49"/>
      <c r="I58" s="254" t="s">
        <v>13</v>
      </c>
      <c r="J58" s="235">
        <v>38.624374299999999</v>
      </c>
      <c r="K58" s="236">
        <v>-90.199853700000006</v>
      </c>
      <c r="L58" s="237">
        <f t="shared" si="85"/>
        <v>0.67412250305768007</v>
      </c>
      <c r="M58" s="237">
        <f t="shared" si="85"/>
        <v>-1.5742844318821896</v>
      </c>
      <c r="N58" s="236"/>
      <c r="O58" s="236"/>
      <c r="P58" s="112" t="str">
        <f t="shared" si="3"/>
        <v>SLDC</v>
      </c>
      <c r="Q58" s="238">
        <f t="shared" si="88"/>
        <v>691.81416127761076</v>
      </c>
      <c r="R58" s="238">
        <f t="shared" si="115"/>
        <v>538.40736595526687</v>
      </c>
      <c r="S58" s="238">
        <f t="shared" si="115"/>
        <v>538.40736595526687</v>
      </c>
      <c r="T58" s="238">
        <f t="shared" si="97"/>
        <v>721.37743508107121</v>
      </c>
      <c r="U58" s="238">
        <f t="shared" si="129"/>
        <v>261.60697221561378</v>
      </c>
      <c r="V58" s="238">
        <f t="shared" si="129"/>
        <v>261.60697221561378</v>
      </c>
      <c r="W58" s="238">
        <f t="shared" si="129"/>
        <v>261.60697221561378</v>
      </c>
      <c r="X58" s="238">
        <f t="shared" si="105"/>
        <v>942.57264013387044</v>
      </c>
      <c r="Y58" s="238">
        <f t="shared" si="108"/>
        <v>777.7602650960423</v>
      </c>
      <c r="Z58" s="238">
        <f t="shared" si="112"/>
        <v>944.54519517677943</v>
      </c>
      <c r="AA58" s="238">
        <f t="shared" si="116"/>
        <v>976.20332852479225</v>
      </c>
      <c r="AB58" s="238">
        <f t="shared" si="119"/>
        <v>976.20332852479225</v>
      </c>
      <c r="AC58" s="238">
        <f t="shared" si="123"/>
        <v>649.80397154163791</v>
      </c>
      <c r="AD58" s="238">
        <f t="shared" si="126"/>
        <v>661.19063415937171</v>
      </c>
      <c r="AE58" s="238">
        <f t="shared" si="130"/>
        <v>788.29896443234838</v>
      </c>
      <c r="AF58" s="238">
        <f t="shared" si="133"/>
        <v>6399.7711089873083</v>
      </c>
      <c r="AG58" s="238">
        <f t="shared" si="100"/>
        <v>9549.4834001924137</v>
      </c>
      <c r="AH58" s="238">
        <f t="shared" si="100"/>
        <v>9471.7812771431236</v>
      </c>
      <c r="AI58" s="238">
        <f t="shared" si="109"/>
        <v>9466.0178938550343</v>
      </c>
      <c r="AJ58" s="238">
        <f t="shared" si="109"/>
        <v>9466.0178938550343</v>
      </c>
      <c r="AK58" s="238">
        <f t="shared" si="109"/>
        <v>9466.0178938550343</v>
      </c>
      <c r="AL58" s="238">
        <f t="shared" si="62"/>
        <v>9478.0729637147851</v>
      </c>
      <c r="AM58" s="238">
        <f t="shared" si="120"/>
        <v>7943.066186712419</v>
      </c>
      <c r="AN58" s="238">
        <f t="shared" si="120"/>
        <v>7943.066186712419</v>
      </c>
      <c r="AO58" s="238">
        <f t="shared" si="70"/>
        <v>6597.1960596050922</v>
      </c>
      <c r="AP58" s="238">
        <f t="shared" si="72"/>
        <v>9492.0559828107653</v>
      </c>
      <c r="AQ58" s="238">
        <f t="shared" si="75"/>
        <v>9075.5689162710751</v>
      </c>
      <c r="AR58" s="238">
        <f t="shared" si="77"/>
        <v>10916.467736419116</v>
      </c>
      <c r="AS58" s="238">
        <f t="shared" si="79"/>
        <v>10914.968893592928</v>
      </c>
      <c r="AT58" s="238">
        <f t="shared" si="81"/>
        <v>10914.123788656592</v>
      </c>
      <c r="AU58" s="238">
        <f t="shared" si="83"/>
        <v>4233.5034825456996</v>
      </c>
      <c r="AV58" s="238">
        <f t="shared" si="86"/>
        <v>4509.4302390772273</v>
      </c>
      <c r="AW58" s="238">
        <f t="shared" si="89"/>
        <v>4501.1252859182514</v>
      </c>
      <c r="AX58" s="238">
        <f t="shared" si="91"/>
        <v>4518.7983911415586</v>
      </c>
      <c r="AY58" s="238">
        <f t="shared" si="93"/>
        <v>4389.7425228952179</v>
      </c>
      <c r="AZ58" s="238">
        <f t="shared" si="98"/>
        <v>4583.7641985037963</v>
      </c>
      <c r="BA58" s="238">
        <f t="shared" si="98"/>
        <v>4583.6259500059878</v>
      </c>
      <c r="BB58" s="238">
        <f t="shared" si="101"/>
        <v>4706.2538292100398</v>
      </c>
      <c r="BC58" s="238">
        <f t="shared" si="103"/>
        <v>6236.0227561188958</v>
      </c>
      <c r="BD58" s="238">
        <f t="shared" si="106"/>
        <v>4384.1938398441807</v>
      </c>
      <c r="BE58" s="238">
        <f t="shared" si="110"/>
        <v>4209.7280524551688</v>
      </c>
      <c r="BF58" s="238">
        <f t="shared" si="113"/>
        <v>4586.0662601714375</v>
      </c>
      <c r="BG58" s="238">
        <f t="shared" si="117"/>
        <v>4513.4192617309354</v>
      </c>
      <c r="BH58" s="238">
        <f t="shared" si="121"/>
        <v>4238.1904226150655</v>
      </c>
      <c r="BI58" s="238">
        <f t="shared" si="124"/>
        <v>4111.6728030709974</v>
      </c>
      <c r="BJ58" s="238">
        <f t="shared" si="127"/>
        <v>4513.9435169091457</v>
      </c>
      <c r="BK58" s="238">
        <f t="shared" si="131"/>
        <v>4222.0747171890198</v>
      </c>
      <c r="BL58" s="238">
        <f t="shared" si="134"/>
        <v>4546.1196049967639</v>
      </c>
      <c r="BM58" s="238">
        <f t="shared" si="136"/>
        <v>4537.8495301966059</v>
      </c>
      <c r="BN58" s="238">
        <f t="shared" si="138"/>
        <v>4363.54096615857</v>
      </c>
      <c r="BO58" s="238">
        <f t="shared" si="140"/>
        <v>4369.0097146280696</v>
      </c>
      <c r="BP58" s="238">
        <f t="shared" si="142"/>
        <v>4231.7381124441463</v>
      </c>
      <c r="BQ58" s="238">
        <f t="shared" si="144"/>
        <v>906.18456534526615</v>
      </c>
      <c r="BR58" s="238">
        <f t="shared" si="146"/>
        <v>678.68647085532564</v>
      </c>
      <c r="BS58" s="238">
        <f t="shared" ref="BS58:BS71" si="148">ACOS(COS($L58)*COS($M58)*COS(INDEX($L:$L,MATCH(BS$2,$P:$P,0)))*COS(INDEX($M:$M,MATCH(BS$2,$P:$P,0))) + COS($L58)*SIN($M58)*COS(INDEX($L:$L,MATCH(BS$2,$P:$P,0)))*SIN(INDEX($M:$M,MATCH(BS$2,$P:$P,0))) + SIN($L58)*SIN(INDEX($L:$L,MATCH(BS$2,$P:$P,0)))) * 3963.1</f>
        <v>686.60994949090968</v>
      </c>
      <c r="BT58" s="238"/>
      <c r="BU58" s="238">
        <f t="shared" ref="BU58:CG58" si="149">ACOS(COS($L58)*COS($M58)*COS(INDEX($L:$L,MATCH(BU$2,$P:$P,0)))*COS(INDEX($M:$M,MATCH(BU$2,$P:$P,0))) + COS($L58)*SIN($M58)*COS(INDEX($L:$L,MATCH(BU$2,$P:$P,0)))*SIN(INDEX($M:$M,MATCH(BU$2,$P:$P,0))) + SIN($L58)*SIN(INDEX($L:$L,MATCH(BU$2,$P:$P,0)))) * 3963.1</f>
        <v>661.0284560359454</v>
      </c>
      <c r="BV58" s="238">
        <f t="shared" si="149"/>
        <v>5086.359144891142</v>
      </c>
      <c r="BW58" s="238">
        <f t="shared" si="149"/>
        <v>686.60994949090968</v>
      </c>
      <c r="BX58" s="238">
        <f t="shared" si="149"/>
        <v>1725.1825930372206</v>
      </c>
      <c r="BY58" s="238">
        <f t="shared" si="149"/>
        <v>1036.0995758866413</v>
      </c>
      <c r="BZ58" s="238">
        <f t="shared" si="149"/>
        <v>1726.1574189021858</v>
      </c>
      <c r="CA58" s="238">
        <f t="shared" si="149"/>
        <v>884.77930628640502</v>
      </c>
      <c r="CB58" s="238">
        <f t="shared" si="149"/>
        <v>1032.8260830716213</v>
      </c>
      <c r="CC58" s="238">
        <f t="shared" si="149"/>
        <v>4412.537517386846</v>
      </c>
      <c r="CD58" s="238">
        <f t="shared" si="149"/>
        <v>8562.3524214131976</v>
      </c>
      <c r="CE58" s="238">
        <f t="shared" si="149"/>
        <v>262.49028566727998</v>
      </c>
      <c r="CF58" s="238">
        <f t="shared" si="149"/>
        <v>709.9872499020762</v>
      </c>
      <c r="CG58" s="238">
        <f t="shared" si="149"/>
        <v>1725.2900465605221</v>
      </c>
    </row>
    <row r="59" spans="1:85">
      <c r="A59" s="253" t="s">
        <v>38</v>
      </c>
      <c r="B59" s="48" t="s">
        <v>331</v>
      </c>
      <c r="C59" s="49" t="s">
        <v>223</v>
      </c>
      <c r="D59" s="49" t="s">
        <v>225</v>
      </c>
      <c r="E59" s="49" t="s">
        <v>223</v>
      </c>
      <c r="F59" s="49" t="s">
        <v>73</v>
      </c>
      <c r="G59" s="49" t="s">
        <v>81</v>
      </c>
      <c r="H59" s="49"/>
      <c r="I59" s="254" t="s">
        <v>13</v>
      </c>
      <c r="J59" s="235">
        <v>38.457524883250599</v>
      </c>
      <c r="K59" s="236">
        <v>-77.974385619163499</v>
      </c>
      <c r="L59" s="237">
        <f t="shared" si="85"/>
        <v>0.67121043138037084</v>
      </c>
      <c r="M59" s="237">
        <f t="shared" si="85"/>
        <v>-1.3609097612741203</v>
      </c>
      <c r="N59" s="236"/>
      <c r="O59" s="236"/>
      <c r="P59" s="112" t="str">
        <f t="shared" si="3"/>
        <v>CUDC</v>
      </c>
      <c r="Q59" s="238">
        <f t="shared" si="88"/>
        <v>47.404082903205591</v>
      </c>
      <c r="R59" s="238">
        <f t="shared" si="115"/>
        <v>1124.4313729568271</v>
      </c>
      <c r="S59" s="238">
        <f t="shared" si="115"/>
        <v>1124.4313729568271</v>
      </c>
      <c r="T59" s="238">
        <f t="shared" si="97"/>
        <v>1258.8010461592719</v>
      </c>
      <c r="U59" s="238">
        <f t="shared" si="129"/>
        <v>560.89397783428092</v>
      </c>
      <c r="V59" s="238">
        <f t="shared" si="129"/>
        <v>560.89397783428092</v>
      </c>
      <c r="W59" s="238">
        <f t="shared" si="129"/>
        <v>560.89397783428092</v>
      </c>
      <c r="X59" s="238">
        <f t="shared" si="105"/>
        <v>347.19854368030417</v>
      </c>
      <c r="Y59" s="238">
        <f t="shared" si="108"/>
        <v>147.69908104637614</v>
      </c>
      <c r="Z59" s="238">
        <f t="shared" si="112"/>
        <v>355.65099575307329</v>
      </c>
      <c r="AA59" s="238">
        <f t="shared" si="116"/>
        <v>377.59277201617624</v>
      </c>
      <c r="AB59" s="238">
        <f t="shared" si="119"/>
        <v>377.59277201617624</v>
      </c>
      <c r="AC59" s="238">
        <f t="shared" si="123"/>
        <v>376.881594240727</v>
      </c>
      <c r="AD59" s="238">
        <f t="shared" si="126"/>
        <v>366.35669990161227</v>
      </c>
      <c r="AE59" s="238">
        <f t="shared" si="130"/>
        <v>1440.4776118998795</v>
      </c>
      <c r="AF59" s="238">
        <f t="shared" si="133"/>
        <v>6782.6398586853293</v>
      </c>
      <c r="AG59" s="238">
        <f t="shared" si="100"/>
        <v>9699.4331220863151</v>
      </c>
      <c r="AH59" s="238">
        <f t="shared" si="100"/>
        <v>9578.1503795243807</v>
      </c>
      <c r="AI59" s="238">
        <f t="shared" si="109"/>
        <v>9574.87161250182</v>
      </c>
      <c r="AJ59" s="238">
        <f t="shared" si="109"/>
        <v>9574.87161250182</v>
      </c>
      <c r="AK59" s="238">
        <f t="shared" si="109"/>
        <v>9574.87161250182</v>
      </c>
      <c r="AL59" s="238">
        <f t="shared" si="62"/>
        <v>9587.6304368311739</v>
      </c>
      <c r="AM59" s="238">
        <f t="shared" si="120"/>
        <v>8167.9905172442623</v>
      </c>
      <c r="AN59" s="238">
        <f t="shared" si="120"/>
        <v>8167.9905172442623</v>
      </c>
      <c r="AO59" s="238">
        <f t="shared" si="70"/>
        <v>6956.3553827939868</v>
      </c>
      <c r="AP59" s="238">
        <f t="shared" si="72"/>
        <v>10127.978028311241</v>
      </c>
      <c r="AQ59" s="238">
        <f t="shared" si="75"/>
        <v>9720.7364097487061</v>
      </c>
      <c r="AR59" s="238">
        <f t="shared" si="77"/>
        <v>11551.49920808167</v>
      </c>
      <c r="AS59" s="238">
        <f t="shared" si="79"/>
        <v>11550.200555000649</v>
      </c>
      <c r="AT59" s="238">
        <f t="shared" si="81"/>
        <v>11549.32361122289</v>
      </c>
      <c r="AU59" s="238">
        <f t="shared" si="83"/>
        <v>3755.2522328577206</v>
      </c>
      <c r="AV59" s="238">
        <f t="shared" si="86"/>
        <v>4031.0010165958806</v>
      </c>
      <c r="AW59" s="238">
        <f t="shared" si="89"/>
        <v>4022.8146718022226</v>
      </c>
      <c r="AX59" s="238">
        <f t="shared" si="91"/>
        <v>4109.9916386715449</v>
      </c>
      <c r="AY59" s="238">
        <f t="shared" si="93"/>
        <v>3897.0880080809688</v>
      </c>
      <c r="AZ59" s="238">
        <f t="shared" si="98"/>
        <v>4116.6012355279518</v>
      </c>
      <c r="BA59" s="238">
        <f t="shared" si="98"/>
        <v>4116.4617398371438</v>
      </c>
      <c r="BB59" s="238">
        <f t="shared" si="101"/>
        <v>4222.3124061263634</v>
      </c>
      <c r="BC59" s="238">
        <f t="shared" si="103"/>
        <v>5575.7329873483941</v>
      </c>
      <c r="BD59" s="238">
        <f t="shared" si="106"/>
        <v>3890.3424668407984</v>
      </c>
      <c r="BE59" s="238">
        <f t="shared" si="110"/>
        <v>3732.2358792865452</v>
      </c>
      <c r="BF59" s="238">
        <f t="shared" si="113"/>
        <v>4118.7570543512793</v>
      </c>
      <c r="BG59" s="238">
        <f t="shared" si="117"/>
        <v>4104.9781425616084</v>
      </c>
      <c r="BH59" s="238">
        <f t="shared" si="121"/>
        <v>3759.9381134288788</v>
      </c>
      <c r="BI59" s="238">
        <f t="shared" si="124"/>
        <v>3645.8105161040185</v>
      </c>
      <c r="BJ59" s="238">
        <f t="shared" si="127"/>
        <v>4104.8610777473159</v>
      </c>
      <c r="BK59" s="238">
        <f t="shared" si="131"/>
        <v>3743.1916571326069</v>
      </c>
      <c r="BL59" s="238">
        <f t="shared" si="134"/>
        <v>4185.8194611175586</v>
      </c>
      <c r="BM59" s="238">
        <f t="shared" si="136"/>
        <v>4178.046350670078</v>
      </c>
      <c r="BN59" s="238">
        <f t="shared" si="138"/>
        <v>3905.3379844344004</v>
      </c>
      <c r="BO59" s="238">
        <f t="shared" si="140"/>
        <v>3910.5162349956786</v>
      </c>
      <c r="BP59" s="238">
        <f t="shared" si="142"/>
        <v>3751.7770416169224</v>
      </c>
      <c r="BQ59" s="238">
        <f t="shared" si="144"/>
        <v>363.88278494873902</v>
      </c>
      <c r="BR59" s="238">
        <f t="shared" si="146"/>
        <v>107.98517085790071</v>
      </c>
      <c r="BS59" s="238">
        <f t="shared" si="148"/>
        <v>39.883157657057815</v>
      </c>
      <c r="BT59" s="238">
        <f t="shared" ref="BT59:BT71" si="150">ACOS(COS($L59)*COS($M59)*COS(INDEX($L:$L,MATCH(BT$2,$P:$P,0)))*COS(INDEX($M:$M,MATCH(BT$2,$P:$P,0))) + COS($L59)*SIN($M59)*COS(INDEX($L:$L,MATCH(BT$2,$P:$P,0)))*SIN(INDEX($M:$M,MATCH(BT$2,$P:$P,0))) + SIN($L59)*SIN(INDEX($L:$L,MATCH(BT$2,$P:$P,0)))) * 3963.1</f>
        <v>661.0284560359454</v>
      </c>
      <c r="BU59" s="238"/>
      <c r="BV59" s="238">
        <f t="shared" ref="BV59:CG59" si="151">ACOS(COS($L59)*COS($M59)*COS(INDEX($L:$L,MATCH(BV$2,$P:$P,0)))*COS(INDEX($M:$M,MATCH(BV$2,$P:$P,0))) + COS($L59)*SIN($M59)*COS(INDEX($L:$L,MATCH(BV$2,$P:$P,0)))*SIN(INDEX($M:$M,MATCH(BV$2,$P:$P,0))) + SIN($L59)*SIN(INDEX($L:$L,MATCH(BV$2,$P:$P,0)))) * 3963.1</f>
        <v>4690.0388510162829</v>
      </c>
      <c r="BW59" s="238">
        <f t="shared" si="151"/>
        <v>39.883157657057815</v>
      </c>
      <c r="BX59" s="238">
        <f t="shared" si="151"/>
        <v>2378.7883474304949</v>
      </c>
      <c r="BY59" s="238">
        <f t="shared" si="151"/>
        <v>452.86048165913235</v>
      </c>
      <c r="BZ59" s="238">
        <f t="shared" si="151"/>
        <v>2379.7618971442594</v>
      </c>
      <c r="CA59" s="238">
        <f t="shared" si="151"/>
        <v>285.38833374682065</v>
      </c>
      <c r="CB59" s="238">
        <f t="shared" si="151"/>
        <v>450.53016094977482</v>
      </c>
      <c r="CC59" s="238">
        <f t="shared" si="151"/>
        <v>3955.6989093984716</v>
      </c>
      <c r="CD59" s="238">
        <f t="shared" si="151"/>
        <v>7944.080341568947</v>
      </c>
      <c r="CE59" s="238">
        <f t="shared" si="151"/>
        <v>562.07599381409511</v>
      </c>
      <c r="CF59" s="238">
        <f t="shared" si="151"/>
        <v>59.608054351942386</v>
      </c>
      <c r="CG59" s="238">
        <f t="shared" si="151"/>
        <v>2378.895492665662</v>
      </c>
    </row>
    <row r="60" spans="1:85" ht="36">
      <c r="A60" s="255" t="s">
        <v>36</v>
      </c>
      <c r="B60" s="89" t="s">
        <v>332</v>
      </c>
      <c r="C60" s="90" t="s">
        <v>106</v>
      </c>
      <c r="D60" s="90" t="s">
        <v>333</v>
      </c>
      <c r="E60" s="90" t="s">
        <v>106</v>
      </c>
      <c r="F60" s="90" t="s">
        <v>334</v>
      </c>
      <c r="G60" s="90" t="s">
        <v>107</v>
      </c>
      <c r="H60" s="90"/>
      <c r="I60" s="255" t="s">
        <v>47</v>
      </c>
      <c r="J60" s="240">
        <v>-22.900016999999998</v>
      </c>
      <c r="K60" s="236">
        <v>-47.197871999999997</v>
      </c>
      <c r="L60" s="237">
        <f t="shared" si="85"/>
        <v>-0.39968069541267426</v>
      </c>
      <c r="M60" s="237">
        <f t="shared" si="85"/>
        <v>-0.82375826633484106</v>
      </c>
      <c r="N60" s="236"/>
      <c r="O60" s="236"/>
      <c r="P60" s="112" t="str">
        <f t="shared" si="3"/>
        <v>SPDC</v>
      </c>
      <c r="Q60" s="238">
        <f t="shared" si="88"/>
        <v>4702.9055226113733</v>
      </c>
      <c r="R60" s="238">
        <f t="shared" si="115"/>
        <v>5071.7388788212011</v>
      </c>
      <c r="S60" s="238">
        <f t="shared" si="115"/>
        <v>5071.7388788212011</v>
      </c>
      <c r="T60" s="238">
        <f t="shared" si="97"/>
        <v>4973.88531009899</v>
      </c>
      <c r="U60" s="238">
        <f t="shared" si="129"/>
        <v>5171.5908423482115</v>
      </c>
      <c r="V60" s="238">
        <f t="shared" si="129"/>
        <v>5171.5908423482115</v>
      </c>
      <c r="W60" s="238">
        <f t="shared" si="129"/>
        <v>5171.5908423482115</v>
      </c>
      <c r="X60" s="238">
        <f t="shared" si="105"/>
        <v>4746.4467105256344</v>
      </c>
      <c r="Y60" s="238">
        <f t="shared" si="108"/>
        <v>4706.819549722316</v>
      </c>
      <c r="Z60" s="238">
        <f t="shared" si="112"/>
        <v>4758.744411990082</v>
      </c>
      <c r="AA60" s="238">
        <f t="shared" si="116"/>
        <v>4737.0557090037119</v>
      </c>
      <c r="AB60" s="238">
        <f t="shared" si="119"/>
        <v>4737.0557090037119</v>
      </c>
      <c r="AC60" s="238">
        <f t="shared" si="123"/>
        <v>5050.5937630060762</v>
      </c>
      <c r="AD60" s="238">
        <f t="shared" si="126"/>
        <v>5036.0812647373896</v>
      </c>
      <c r="AE60" s="238">
        <f t="shared" si="130"/>
        <v>5704.2455502251823</v>
      </c>
      <c r="AF60" s="238">
        <f t="shared" si="133"/>
        <v>11472.225813732197</v>
      </c>
      <c r="AG60" s="238">
        <f t="shared" si="100"/>
        <v>9996.3772662558567</v>
      </c>
      <c r="AH60" s="238">
        <f t="shared" si="100"/>
        <v>9944.3645271047699</v>
      </c>
      <c r="AI60" s="238">
        <f t="shared" si="109"/>
        <v>9954.9517793063187</v>
      </c>
      <c r="AJ60" s="238">
        <f t="shared" si="109"/>
        <v>9954.9517793063187</v>
      </c>
      <c r="AK60" s="238">
        <f t="shared" si="109"/>
        <v>9954.9517793063187</v>
      </c>
      <c r="AL60" s="238">
        <f t="shared" si="62"/>
        <v>9948.6046800349777</v>
      </c>
      <c r="AM60" s="238">
        <f t="shared" si="120"/>
        <v>11263.78301306371</v>
      </c>
      <c r="AN60" s="238">
        <f t="shared" si="120"/>
        <v>11263.78301306371</v>
      </c>
      <c r="AO60" s="238">
        <f t="shared" si="70"/>
        <v>11620.090949028468</v>
      </c>
      <c r="AP60" s="238">
        <f t="shared" si="72"/>
        <v>8169.1562073088426</v>
      </c>
      <c r="AQ60" s="238">
        <f t="shared" si="75"/>
        <v>8341.9785743315097</v>
      </c>
      <c r="AR60" s="238">
        <f t="shared" si="77"/>
        <v>8493.8592828787332</v>
      </c>
      <c r="AS60" s="238">
        <f t="shared" si="79"/>
        <v>8494.0538096086912</v>
      </c>
      <c r="AT60" s="238">
        <f t="shared" si="81"/>
        <v>8494.8300206380645</v>
      </c>
      <c r="AU60" s="238">
        <f t="shared" si="83"/>
        <v>5890.7954510485843</v>
      </c>
      <c r="AV60" s="238">
        <f t="shared" si="86"/>
        <v>5984.9093871327896</v>
      </c>
      <c r="AW60" s="238">
        <f t="shared" si="89"/>
        <v>5982.8937376592021</v>
      </c>
      <c r="AX60" s="238">
        <f t="shared" si="91"/>
        <v>6463.2709727798483</v>
      </c>
      <c r="AY60" s="238">
        <f t="shared" si="93"/>
        <v>5838.6598368708537</v>
      </c>
      <c r="AZ60" s="238">
        <f t="shared" si="98"/>
        <v>6093.2077288552646</v>
      </c>
      <c r="BA60" s="238">
        <f t="shared" si="98"/>
        <v>6093.1491444325156</v>
      </c>
      <c r="BB60" s="238">
        <f t="shared" si="101"/>
        <v>6011.7589520051233</v>
      </c>
      <c r="BC60" s="238">
        <f t="shared" si="103"/>
        <v>3544.9543542783299</v>
      </c>
      <c r="BD60" s="238">
        <f t="shared" si="106"/>
        <v>5827.834612899901</v>
      </c>
      <c r="BE60" s="238">
        <f t="shared" si="110"/>
        <v>5887.9686419657373</v>
      </c>
      <c r="BF60" s="238">
        <f t="shared" si="113"/>
        <v>6092.9770053237171</v>
      </c>
      <c r="BG60" s="238">
        <f t="shared" si="117"/>
        <v>6463.394141694941</v>
      </c>
      <c r="BH60" s="238">
        <f t="shared" si="121"/>
        <v>5892.3989375046049</v>
      </c>
      <c r="BI60" s="238">
        <f t="shared" si="124"/>
        <v>5933.6754665959979</v>
      </c>
      <c r="BJ60" s="238">
        <f t="shared" si="127"/>
        <v>6459.5247048468964</v>
      </c>
      <c r="BK60" s="238">
        <f t="shared" si="131"/>
        <v>5882.4086262647406</v>
      </c>
      <c r="BL60" s="238">
        <f t="shared" si="134"/>
        <v>6772.8730539012031</v>
      </c>
      <c r="BM60" s="238">
        <f t="shared" si="136"/>
        <v>6772.0966570960472</v>
      </c>
      <c r="BN60" s="238">
        <f t="shared" si="138"/>
        <v>6076.5983639787109</v>
      </c>
      <c r="BO60" s="238">
        <f t="shared" si="140"/>
        <v>6076.5996889673625</v>
      </c>
      <c r="BP60" s="238">
        <f t="shared" si="142"/>
        <v>5878.0846319450302</v>
      </c>
      <c r="BQ60" s="238">
        <f t="shared" si="144"/>
        <v>4837.1509549079947</v>
      </c>
      <c r="BR60" s="238">
        <f t="shared" si="146"/>
        <v>4772.6652946801696</v>
      </c>
      <c r="BS60" s="238">
        <f t="shared" si="148"/>
        <v>4701.0994242788038</v>
      </c>
      <c r="BT60" s="238">
        <f t="shared" si="150"/>
        <v>5086.359144891142</v>
      </c>
      <c r="BU60" s="238">
        <f t="shared" ref="BU60:BU71" si="152">ACOS(COS($L60)*COS($M60)*COS(INDEX($L:$L,MATCH(BU$2,$P:$P,0)))*COS(INDEX($M:$M,MATCH(BU$2,$P:$P,0))) + COS($L60)*SIN($M60)*COS(INDEX($L:$L,MATCH(BU$2,$P:$P,0)))*SIN(INDEX($M:$M,MATCH(BU$2,$P:$P,0))) + SIN($L60)*SIN(INDEX($L:$L,MATCH(BU$2,$P:$P,0)))) * 3963.1</f>
        <v>4690.0388510162829</v>
      </c>
      <c r="BV60" s="238"/>
      <c r="BW60" s="238">
        <f t="shared" ref="BW60:CG60" si="153">ACOS(COS($L60)*COS($M60)*COS(INDEX($L:$L,MATCH(BW$2,$P:$P,0)))*COS(INDEX($M:$M,MATCH(BW$2,$P:$P,0))) + COS($L60)*SIN($M60)*COS(INDEX($L:$L,MATCH(BW$2,$P:$P,0)))*SIN(INDEX($M:$M,MATCH(BW$2,$P:$P,0))) + SIN($L60)*SIN(INDEX($L:$L,MATCH(BW$2,$P:$P,0)))) * 3963.1</f>
        <v>4701.0994242788038</v>
      </c>
      <c r="BX60" s="238">
        <f t="shared" si="153"/>
        <v>6399.4513727236936</v>
      </c>
      <c r="BY60" s="238">
        <f t="shared" si="153"/>
        <v>4765.9039750416459</v>
      </c>
      <c r="BZ60" s="238">
        <f t="shared" si="153"/>
        <v>6400.1995529302776</v>
      </c>
      <c r="CA60" s="238">
        <f t="shared" si="153"/>
        <v>4743.6313520654112</v>
      </c>
      <c r="CB60" s="238">
        <f t="shared" si="153"/>
        <v>4768.0687981397832</v>
      </c>
      <c r="CC60" s="238">
        <f t="shared" si="153"/>
        <v>6103.9450843132454</v>
      </c>
      <c r="CD60" s="238">
        <f t="shared" si="153"/>
        <v>4004.1701742952223</v>
      </c>
      <c r="CE60" s="238">
        <f t="shared" si="153"/>
        <v>5173.1737113046711</v>
      </c>
      <c r="CF60" s="238">
        <f t="shared" si="153"/>
        <v>4691.051290989285</v>
      </c>
      <c r="CG60" s="238">
        <f t="shared" si="153"/>
        <v>6399.5359531490276</v>
      </c>
    </row>
    <row r="61" spans="1:85">
      <c r="A61" s="96" t="s">
        <v>36</v>
      </c>
      <c r="B61" s="96" t="s">
        <v>335</v>
      </c>
      <c r="C61" s="97" t="s">
        <v>5</v>
      </c>
      <c r="D61" s="97" t="s">
        <v>164</v>
      </c>
      <c r="E61" s="97" t="s">
        <v>5</v>
      </c>
      <c r="F61" s="97" t="s">
        <v>73</v>
      </c>
      <c r="G61" s="97" t="s">
        <v>81</v>
      </c>
      <c r="H61" s="97"/>
      <c r="I61" s="96" t="s">
        <v>13</v>
      </c>
      <c r="J61" s="240">
        <v>38.875306999999999</v>
      </c>
      <c r="K61" s="236">
        <v>-77.465410000000006</v>
      </c>
      <c r="L61" s="237">
        <f t="shared" si="85"/>
        <v>0.67850210487359919</v>
      </c>
      <c r="M61" s="237">
        <f t="shared" si="85"/>
        <v>-1.3520264609073407</v>
      </c>
      <c r="N61" s="67"/>
      <c r="O61" s="236"/>
      <c r="P61" s="112" t="str">
        <f t="shared" si="3"/>
        <v>CHDC2</v>
      </c>
      <c r="Q61" s="238">
        <f t="shared" si="88"/>
        <v>7.5262475850546648</v>
      </c>
      <c r="R61" s="238">
        <f t="shared" si="115"/>
        <v>1158.0908449671647</v>
      </c>
      <c r="S61" s="238">
        <f t="shared" si="115"/>
        <v>1158.0908449671647</v>
      </c>
      <c r="T61" s="238">
        <f t="shared" si="97"/>
        <v>1294.8770886000843</v>
      </c>
      <c r="U61" s="238">
        <f t="shared" si="129"/>
        <v>572.90958163947255</v>
      </c>
      <c r="V61" s="238">
        <f t="shared" si="129"/>
        <v>572.90958163947255</v>
      </c>
      <c r="W61" s="238">
        <f t="shared" si="129"/>
        <v>572.90958163947255</v>
      </c>
      <c r="X61" s="238">
        <f t="shared" si="105"/>
        <v>307.71454705505766</v>
      </c>
      <c r="Y61" s="238">
        <f t="shared" si="108"/>
        <v>108.62559030299828</v>
      </c>
      <c r="Z61" s="238">
        <f t="shared" si="112"/>
        <v>316.00264207081727</v>
      </c>
      <c r="AA61" s="238">
        <f t="shared" si="116"/>
        <v>338.37662153097551</v>
      </c>
      <c r="AB61" s="238">
        <f t="shared" si="119"/>
        <v>338.37662153097551</v>
      </c>
      <c r="AC61" s="238">
        <f t="shared" si="123"/>
        <v>356.59640272148954</v>
      </c>
      <c r="AD61" s="238">
        <f t="shared" si="126"/>
        <v>344.73406082929182</v>
      </c>
      <c r="AE61" s="238">
        <f t="shared" si="130"/>
        <v>1461.7561141195911</v>
      </c>
      <c r="AF61" s="238">
        <f t="shared" si="133"/>
        <v>6771.3298711675825</v>
      </c>
      <c r="AG61" s="238">
        <f t="shared" ref="AG61:AH71" si="154">ACOS(COS($L61)*COS($M61)*COS(INDEX($L:$L,MATCH(AG$2,$P:$P,0)))*COS(INDEX($M:$M,MATCH(AG$2,$P:$P,0))) + COS($L61)*SIN($M61)*COS(INDEX($L:$L,MATCH(AG$2,$P:$P,0)))*SIN(INDEX($M:$M,MATCH(AG$2,$P:$P,0))) + SIN($L61)*SIN(INDEX($L:$L,MATCH(AG$2,$P:$P,0)))) * 3963.1</f>
        <v>9671.7117194668717</v>
      </c>
      <c r="AH61" s="238">
        <f t="shared" si="154"/>
        <v>9548.6862795990019</v>
      </c>
      <c r="AI61" s="238">
        <f t="shared" si="109"/>
        <v>9545.5164397878725</v>
      </c>
      <c r="AJ61" s="238">
        <f t="shared" si="109"/>
        <v>9545.5164397878725</v>
      </c>
      <c r="AK61" s="238">
        <f t="shared" si="109"/>
        <v>9545.5164397878725</v>
      </c>
      <c r="AL61" s="238">
        <f t="shared" si="62"/>
        <v>9558.2882372336735</v>
      </c>
      <c r="AM61" s="238">
        <f t="shared" si="120"/>
        <v>8145.72306739743</v>
      </c>
      <c r="AN61" s="238">
        <f t="shared" si="120"/>
        <v>8145.72306739743</v>
      </c>
      <c r="AO61" s="238">
        <f t="shared" si="70"/>
        <v>6943.2591124792625</v>
      </c>
      <c r="AP61" s="238">
        <f t="shared" si="72"/>
        <v>10161.038849293678</v>
      </c>
      <c r="AQ61" s="238">
        <f t="shared" si="75"/>
        <v>9752.2126555372834</v>
      </c>
      <c r="AR61" s="238">
        <f t="shared" si="77"/>
        <v>11562.709277084854</v>
      </c>
      <c r="AS61" s="238">
        <f t="shared" si="79"/>
        <v>11561.471062810087</v>
      </c>
      <c r="AT61" s="238">
        <f t="shared" si="81"/>
        <v>11560.58920337215</v>
      </c>
      <c r="AU61" s="238">
        <f t="shared" si="83"/>
        <v>3715.5574526676783</v>
      </c>
      <c r="AV61" s="238">
        <f t="shared" si="86"/>
        <v>3991.3300599038771</v>
      </c>
      <c r="AW61" s="238">
        <f t="shared" si="89"/>
        <v>3983.1419568372494</v>
      </c>
      <c r="AX61" s="238">
        <f t="shared" si="91"/>
        <v>4070.1453851911688</v>
      </c>
      <c r="AY61" s="238">
        <f t="shared" si="93"/>
        <v>3857.5606424709272</v>
      </c>
      <c r="AZ61" s="238">
        <f t="shared" si="98"/>
        <v>4076.8440958896908</v>
      </c>
      <c r="BA61" s="238">
        <f t="shared" si="98"/>
        <v>4076.7046004016934</v>
      </c>
      <c r="BB61" s="238">
        <f t="shared" si="101"/>
        <v>4182.713205406254</v>
      </c>
      <c r="BC61" s="238">
        <f t="shared" si="103"/>
        <v>5552.3898574704308</v>
      </c>
      <c r="BD61" s="238">
        <f t="shared" si="106"/>
        <v>3850.8296506864149</v>
      </c>
      <c r="BE61" s="238">
        <f t="shared" si="110"/>
        <v>3692.5325685383068</v>
      </c>
      <c r="BF61" s="238">
        <f t="shared" si="113"/>
        <v>4079.0010779468062</v>
      </c>
      <c r="BG61" s="238">
        <f t="shared" si="117"/>
        <v>4065.1333407362099</v>
      </c>
      <c r="BH61" s="238">
        <f t="shared" si="121"/>
        <v>3720.2437255220539</v>
      </c>
      <c r="BI61" s="238">
        <f t="shared" si="124"/>
        <v>3606.016251815111</v>
      </c>
      <c r="BJ61" s="238">
        <f t="shared" si="127"/>
        <v>4065.0140782929984</v>
      </c>
      <c r="BK61" s="238">
        <f t="shared" si="131"/>
        <v>3703.5015356357826</v>
      </c>
      <c r="BL61" s="238">
        <f t="shared" si="134"/>
        <v>4146.296980869929</v>
      </c>
      <c r="BM61" s="238">
        <f t="shared" si="136"/>
        <v>4138.5298022024062</v>
      </c>
      <c r="BN61" s="238">
        <f t="shared" si="138"/>
        <v>3865.5162513658011</v>
      </c>
      <c r="BO61" s="238">
        <f t="shared" si="140"/>
        <v>3870.6961605656334</v>
      </c>
      <c r="BP61" s="238">
        <f t="shared" si="142"/>
        <v>3712.0974926399294</v>
      </c>
      <c r="BQ61" s="238">
        <f t="shared" si="144"/>
        <v>324.32467788840614</v>
      </c>
      <c r="BR61" s="238">
        <f t="shared" si="146"/>
        <v>78.025407358871377</v>
      </c>
      <c r="BS61" s="238">
        <f t="shared" si="148"/>
        <v>0</v>
      </c>
      <c r="BT61" s="238">
        <f t="shared" si="150"/>
        <v>686.60994949090968</v>
      </c>
      <c r="BU61" s="238">
        <f t="shared" si="152"/>
        <v>39.883157657057815</v>
      </c>
      <c r="BV61" s="238">
        <f t="shared" ref="BV61:BV71" si="155">ACOS(COS($L61)*COS($M61)*COS(INDEX($L:$L,MATCH(BV$2,$P:$P,0)))*COS(INDEX($M:$M,MATCH(BV$2,$P:$P,0))) + COS($L61)*SIN($M61)*COS(INDEX($L:$L,MATCH(BV$2,$P:$P,0)))*SIN(INDEX($M:$M,MATCH(BV$2,$P:$P,0))) + SIN($L61)*SIN(INDEX($L:$L,MATCH(BV$2,$P:$P,0)))) * 3963.1</f>
        <v>4701.0994242788038</v>
      </c>
      <c r="BW61" s="238"/>
      <c r="BX61" s="238">
        <f t="shared" ref="BX61:CG61" si="156">ACOS(COS($L61)*COS($M61)*COS(INDEX($L:$L,MATCH(BX$2,$P:$P,0)))*COS(INDEX($M:$M,MATCH(BX$2,$P:$P,0))) + COS($L61)*SIN($M61)*COS(INDEX($L:$L,MATCH(BX$2,$P:$P,0)))*SIN(INDEX($M:$M,MATCH(BX$2,$P:$P,0))) + SIN($L61)*SIN(INDEX($L:$L,MATCH(BX$2,$P:$P,0)))) * 3963.1</f>
        <v>2399.6391331760678</v>
      </c>
      <c r="BY61" s="238">
        <f t="shared" si="156"/>
        <v>413.36513189784409</v>
      </c>
      <c r="BZ61" s="238">
        <f t="shared" si="156"/>
        <v>2400.6118171881362</v>
      </c>
      <c r="CA61" s="238">
        <f t="shared" si="156"/>
        <v>245.75735430158534</v>
      </c>
      <c r="CB61" s="238">
        <f t="shared" si="156"/>
        <v>411.0014505626188</v>
      </c>
      <c r="CC61" s="238">
        <f t="shared" si="156"/>
        <v>3915.8729953676821</v>
      </c>
      <c r="CD61" s="238">
        <f t="shared" si="156"/>
        <v>7931.1672409814664</v>
      </c>
      <c r="CE61" s="238">
        <f t="shared" si="156"/>
        <v>574.01384496640424</v>
      </c>
      <c r="CF61" s="238">
        <f t="shared" si="156"/>
        <v>23.562484413486455</v>
      </c>
      <c r="CG61" s="238">
        <f t="shared" si="156"/>
        <v>2399.7461332682933</v>
      </c>
    </row>
    <row r="62" spans="1:85">
      <c r="A62" s="96" t="s">
        <v>36</v>
      </c>
      <c r="B62" s="96" t="s">
        <v>337</v>
      </c>
      <c r="C62" s="97" t="s">
        <v>117</v>
      </c>
      <c r="D62" s="97" t="s">
        <v>154</v>
      </c>
      <c r="E62" s="97" t="s">
        <v>117</v>
      </c>
      <c r="F62" s="97" t="s">
        <v>116</v>
      </c>
      <c r="G62" s="97" t="s">
        <v>81</v>
      </c>
      <c r="H62" s="97">
        <v>95054</v>
      </c>
      <c r="I62" s="96" t="s">
        <v>13</v>
      </c>
      <c r="J62" s="240">
        <v>37.376472999999997</v>
      </c>
      <c r="K62" s="236">
        <v>-121.970446</v>
      </c>
      <c r="L62" s="237">
        <f t="shared" si="85"/>
        <v>0.65234251663276255</v>
      </c>
      <c r="M62" s="237">
        <f t="shared" si="85"/>
        <v>-2.1287858728259477</v>
      </c>
      <c r="N62" s="67"/>
      <c r="O62" s="236"/>
      <c r="P62" s="112" t="str">
        <f t="shared" si="3"/>
        <v>SCDC</v>
      </c>
      <c r="Q62" s="238">
        <f t="shared" si="88"/>
        <v>2403.8793346019934</v>
      </c>
      <c r="R62" s="238">
        <f t="shared" si="115"/>
        <v>1442.5665628908885</v>
      </c>
      <c r="S62" s="238">
        <f t="shared" si="115"/>
        <v>1442.5665628908885</v>
      </c>
      <c r="T62" s="238">
        <f t="shared" si="97"/>
        <v>1475.5172064470137</v>
      </c>
      <c r="U62" s="238">
        <f t="shared" si="129"/>
        <v>1843.8167867957204</v>
      </c>
      <c r="V62" s="238">
        <f t="shared" si="129"/>
        <v>1843.8167867957204</v>
      </c>
      <c r="W62" s="238">
        <f t="shared" si="129"/>
        <v>1843.8167867957204</v>
      </c>
      <c r="X62" s="238">
        <f t="shared" si="105"/>
        <v>2608.6530364185378</v>
      </c>
      <c r="Y62" s="238">
        <f t="shared" si="108"/>
        <v>2477.993760033225</v>
      </c>
      <c r="Z62" s="238">
        <f t="shared" si="112"/>
        <v>2606.5271928267184</v>
      </c>
      <c r="AA62" s="238">
        <f t="shared" si="116"/>
        <v>2640.4248085347031</v>
      </c>
      <c r="AB62" s="238">
        <f t="shared" si="119"/>
        <v>2640.4248085347031</v>
      </c>
      <c r="AC62" s="238">
        <f t="shared" si="123"/>
        <v>2238.5374738883893</v>
      </c>
      <c r="AD62" s="238">
        <f t="shared" si="126"/>
        <v>2255.677860270438</v>
      </c>
      <c r="AE62" s="238">
        <f t="shared" si="130"/>
        <v>938.41222299994126</v>
      </c>
      <c r="AF62" s="238">
        <f t="shared" si="133"/>
        <v>5176.9038900106643</v>
      </c>
      <c r="AG62" s="238">
        <f t="shared" si="154"/>
        <v>8487.7899989502057</v>
      </c>
      <c r="AH62" s="238">
        <f t="shared" si="154"/>
        <v>8502.8285635764478</v>
      </c>
      <c r="AI62" s="238">
        <f t="shared" si="109"/>
        <v>8493.3415062194108</v>
      </c>
      <c r="AJ62" s="238">
        <f t="shared" si="109"/>
        <v>8493.3415062194108</v>
      </c>
      <c r="AK62" s="238">
        <f t="shared" si="109"/>
        <v>8493.3415062194108</v>
      </c>
      <c r="AL62" s="238">
        <f t="shared" si="62"/>
        <v>8502.0671203915153</v>
      </c>
      <c r="AM62" s="238">
        <f t="shared" si="120"/>
        <v>6933.3038206986839</v>
      </c>
      <c r="AN62" s="238">
        <f t="shared" si="120"/>
        <v>6933.3038206986839</v>
      </c>
      <c r="AO62" s="238">
        <f t="shared" si="70"/>
        <v>5413.2981548966209</v>
      </c>
      <c r="AP62" s="238">
        <f t="shared" si="72"/>
        <v>7875.8729284204965</v>
      </c>
      <c r="AQ62" s="238">
        <f t="shared" si="75"/>
        <v>7442.2489721698657</v>
      </c>
      <c r="AR62" s="238">
        <f t="shared" si="77"/>
        <v>9192.0324214243155</v>
      </c>
      <c r="AS62" s="238">
        <f t="shared" si="79"/>
        <v>9190.506681642637</v>
      </c>
      <c r="AT62" s="238">
        <f t="shared" si="81"/>
        <v>9189.6681595600166</v>
      </c>
      <c r="AU62" s="238">
        <f t="shared" si="83"/>
        <v>5396.9850211565299</v>
      </c>
      <c r="AV62" s="238">
        <f t="shared" si="86"/>
        <v>5651.0432053277045</v>
      </c>
      <c r="AW62" s="238">
        <f t="shared" si="89"/>
        <v>5643.0976437384634</v>
      </c>
      <c r="AX62" s="238">
        <f t="shared" si="91"/>
        <v>5482.6901462388523</v>
      </c>
      <c r="AY62" s="238">
        <f t="shared" si="93"/>
        <v>5577.1469947917367</v>
      </c>
      <c r="AZ62" s="238">
        <f t="shared" si="98"/>
        <v>5690.3065831581407</v>
      </c>
      <c r="BA62" s="238">
        <f t="shared" si="98"/>
        <v>5690.1830020746775</v>
      </c>
      <c r="BB62" s="238">
        <f t="shared" si="101"/>
        <v>5846.746319128807</v>
      </c>
      <c r="BC62" s="238">
        <f t="shared" si="103"/>
        <v>7946.3298866150844</v>
      </c>
      <c r="BD62" s="238">
        <f t="shared" si="106"/>
        <v>5575.0748492000184</v>
      </c>
      <c r="BE62" s="238">
        <f t="shared" si="110"/>
        <v>5373.2789677848823</v>
      </c>
      <c r="BF62" s="238">
        <f t="shared" si="113"/>
        <v>5692.7955048274789</v>
      </c>
      <c r="BG62" s="238">
        <f t="shared" si="117"/>
        <v>5476.9242695921248</v>
      </c>
      <c r="BH62" s="238">
        <f t="shared" si="121"/>
        <v>5401.2905285239576</v>
      </c>
      <c r="BI62" s="238">
        <f t="shared" si="124"/>
        <v>5254.9388016182193</v>
      </c>
      <c r="BJ62" s="238">
        <f t="shared" si="127"/>
        <v>5479.0096534330187</v>
      </c>
      <c r="BK62" s="238">
        <f t="shared" si="131"/>
        <v>5388.0627455848999</v>
      </c>
      <c r="BL62" s="238">
        <f t="shared" si="134"/>
        <v>5385.4807867227091</v>
      </c>
      <c r="BM62" s="238">
        <f t="shared" si="136"/>
        <v>5376.8810954149885</v>
      </c>
      <c r="BN62" s="238">
        <f t="shared" si="138"/>
        <v>5465.9660216219818</v>
      </c>
      <c r="BO62" s="238">
        <f t="shared" si="140"/>
        <v>5471.6886107346136</v>
      </c>
      <c r="BP62" s="238">
        <f t="shared" si="142"/>
        <v>5399.6169763407197</v>
      </c>
      <c r="BQ62" s="238">
        <f t="shared" si="144"/>
        <v>2547.2559362758439</v>
      </c>
      <c r="BR62" s="238">
        <f t="shared" si="146"/>
        <v>2376.0937095831464</v>
      </c>
      <c r="BS62" s="238">
        <f t="shared" si="148"/>
        <v>2399.6391331760683</v>
      </c>
      <c r="BT62" s="238">
        <f t="shared" si="150"/>
        <v>1725.1825930372215</v>
      </c>
      <c r="BU62" s="238">
        <f t="shared" si="152"/>
        <v>2378.7883474304949</v>
      </c>
      <c r="BV62" s="238">
        <f t="shared" si="155"/>
        <v>6399.4513727236936</v>
      </c>
      <c r="BW62" s="238">
        <f t="shared" ref="BW62:BW71" si="157">ACOS(COS($L62)*COS($M62)*COS(INDEX($L:$L,MATCH(BW$2,$P:$P,0)))*COS(INDEX($M:$M,MATCH(BW$2,$P:$P,0))) + COS($L62)*SIN($M62)*COS(INDEX($L:$L,MATCH(BW$2,$P:$P,0)))*SIN(INDEX($M:$M,MATCH(BW$2,$P:$P,0))) + SIN($L62)*SIN(INDEX($L:$L,MATCH(BW$2,$P:$P,0)))) * 3963.1</f>
        <v>2399.6391331760683</v>
      </c>
      <c r="BX62" s="238"/>
      <c r="BY62" s="238">
        <f t="shared" ref="BY62:CG62" si="158">ACOS(COS($L62)*COS($M62)*COS(INDEX($L:$L,MATCH(BY$2,$P:$P,0)))*COS(INDEX($M:$M,MATCH(BY$2,$P:$P,0))) + COS($L62)*SIN($M62)*COS(INDEX($L:$L,MATCH(BY$2,$P:$P,0)))*SIN(INDEX($M:$M,MATCH(BY$2,$P:$P,0))) + SIN($L62)*SIN(INDEX($L:$L,MATCH(BY$2,$P:$P,0)))) * 3963.1</f>
        <v>2682.9560630998249</v>
      </c>
      <c r="BZ62" s="256">
        <f t="shared" si="158"/>
        <v>0.97482589044148327</v>
      </c>
      <c r="CA62" s="238">
        <f t="shared" si="158"/>
        <v>2559.977716703585</v>
      </c>
      <c r="CB62" s="238">
        <f t="shared" si="158"/>
        <v>2679.4267856639058</v>
      </c>
      <c r="CC62" s="238">
        <f t="shared" si="158"/>
        <v>5507.2723268659629</v>
      </c>
      <c r="CD62" s="238">
        <f t="shared" si="158"/>
        <v>10232.007574338704</v>
      </c>
      <c r="CE62" s="238">
        <f t="shared" si="158"/>
        <v>1843.0829004440898</v>
      </c>
      <c r="CF62" s="238">
        <f t="shared" si="158"/>
        <v>2422.2270643277102</v>
      </c>
      <c r="CG62" s="256">
        <f t="shared" si="158"/>
        <v>0.10750460580707817</v>
      </c>
    </row>
    <row r="63" spans="1:85">
      <c r="A63" s="96" t="s">
        <v>36</v>
      </c>
      <c r="B63" s="96" t="s">
        <v>338</v>
      </c>
      <c r="C63" s="97" t="s">
        <v>113</v>
      </c>
      <c r="D63" s="97" t="s">
        <v>153</v>
      </c>
      <c r="E63" s="97" t="s">
        <v>113</v>
      </c>
      <c r="F63" s="97" t="s">
        <v>114</v>
      </c>
      <c r="G63" s="97" t="s">
        <v>81</v>
      </c>
      <c r="H63" s="97"/>
      <c r="I63" s="96" t="s">
        <v>13</v>
      </c>
      <c r="J63" s="240">
        <v>42.377251000000001</v>
      </c>
      <c r="K63" s="236">
        <v>-71.080354999999997</v>
      </c>
      <c r="L63" s="237">
        <f t="shared" si="85"/>
        <v>0.73962255789405951</v>
      </c>
      <c r="M63" s="237">
        <f t="shared" si="85"/>
        <v>-1.240586228236414</v>
      </c>
      <c r="N63" s="67"/>
      <c r="O63" s="236"/>
      <c r="P63" s="112" t="str">
        <f t="shared" si="3"/>
        <v>SOMDC</v>
      </c>
      <c r="Q63" s="238">
        <f t="shared" si="88"/>
        <v>405.88117438930055</v>
      </c>
      <c r="R63" s="238">
        <f t="shared" si="115"/>
        <v>1545.6185018239507</v>
      </c>
      <c r="S63" s="238">
        <f t="shared" si="115"/>
        <v>1545.6185018239507</v>
      </c>
      <c r="T63" s="238">
        <f t="shared" si="97"/>
        <v>1695.1399796170822</v>
      </c>
      <c r="U63" s="238">
        <f t="shared" si="129"/>
        <v>847.99095281998905</v>
      </c>
      <c r="V63" s="238">
        <f t="shared" si="129"/>
        <v>847.99095281998905</v>
      </c>
      <c r="W63" s="238">
        <f t="shared" si="129"/>
        <v>847.99095281998905</v>
      </c>
      <c r="X63" s="238">
        <f t="shared" si="105"/>
        <v>105.66194056891872</v>
      </c>
      <c r="Y63" s="238">
        <f t="shared" si="108"/>
        <v>305.33103964108665</v>
      </c>
      <c r="Z63" s="238">
        <f t="shared" si="112"/>
        <v>97.999690762702855</v>
      </c>
      <c r="AA63" s="238">
        <f t="shared" si="116"/>
        <v>77.053832089550326</v>
      </c>
      <c r="AB63" s="238">
        <f t="shared" si="119"/>
        <v>77.053832089550326</v>
      </c>
      <c r="AC63" s="238">
        <f t="shared" si="123"/>
        <v>446.40345908515383</v>
      </c>
      <c r="AD63" s="238">
        <f t="shared" si="126"/>
        <v>428.78460417069056</v>
      </c>
      <c r="AE63" s="238">
        <f t="shared" si="130"/>
        <v>1760.6593298726086</v>
      </c>
      <c r="AF63" s="238">
        <f t="shared" si="133"/>
        <v>6709.9716473994968</v>
      </c>
      <c r="AG63" s="238">
        <f t="shared" si="154"/>
        <v>9413.950225650824</v>
      </c>
      <c r="AH63" s="238">
        <f t="shared" si="154"/>
        <v>9272.8740862079921</v>
      </c>
      <c r="AI63" s="238">
        <f t="shared" si="109"/>
        <v>9270.9213694537593</v>
      </c>
      <c r="AJ63" s="238">
        <f t="shared" si="109"/>
        <v>9270.9213694537593</v>
      </c>
      <c r="AK63" s="238">
        <f t="shared" si="109"/>
        <v>9270.9213694537593</v>
      </c>
      <c r="AL63" s="238">
        <f t="shared" si="62"/>
        <v>9283.747220721898</v>
      </c>
      <c r="AM63" s="238">
        <f t="shared" si="120"/>
        <v>7957.7569040399212</v>
      </c>
      <c r="AN63" s="238">
        <f t="shared" si="120"/>
        <v>7957.7569040399212</v>
      </c>
      <c r="AO63" s="238">
        <f t="shared" si="70"/>
        <v>6861.7983515236001</v>
      </c>
      <c r="AP63" s="238">
        <f t="shared" si="72"/>
        <v>10525.407419451241</v>
      </c>
      <c r="AQ63" s="238">
        <f t="shared" si="75"/>
        <v>10103.587877415177</v>
      </c>
      <c r="AR63" s="238">
        <f t="shared" si="77"/>
        <v>11635.540303749132</v>
      </c>
      <c r="AS63" s="238">
        <f t="shared" si="79"/>
        <v>11635.112667729763</v>
      </c>
      <c r="AT63" s="238">
        <f t="shared" si="81"/>
        <v>11634.288453828653</v>
      </c>
      <c r="AU63" s="238">
        <f t="shared" si="83"/>
        <v>3302.7209958865674</v>
      </c>
      <c r="AV63" s="238">
        <f t="shared" si="86"/>
        <v>3578.3674406880532</v>
      </c>
      <c r="AW63" s="238">
        <f t="shared" si="89"/>
        <v>3570.1876163934753</v>
      </c>
      <c r="AX63" s="238">
        <f t="shared" si="91"/>
        <v>3664.6821342401327</v>
      </c>
      <c r="AY63" s="238">
        <f t="shared" si="93"/>
        <v>3444.2275290589769</v>
      </c>
      <c r="AZ63" s="238">
        <f t="shared" si="98"/>
        <v>3664.4530084978601</v>
      </c>
      <c r="BA63" s="238">
        <f t="shared" si="98"/>
        <v>3664.3135157774245</v>
      </c>
      <c r="BB63" s="238">
        <f t="shared" si="101"/>
        <v>3769.5013077919953</v>
      </c>
      <c r="BC63" s="238">
        <f t="shared" si="103"/>
        <v>5266.6423946892892</v>
      </c>
      <c r="BD63" s="238">
        <f t="shared" si="106"/>
        <v>3437.4836447434386</v>
      </c>
      <c r="BE63" s="238">
        <f t="shared" si="110"/>
        <v>3279.746468095263</v>
      </c>
      <c r="BF63" s="238">
        <f t="shared" si="113"/>
        <v>3666.5991650680094</v>
      </c>
      <c r="BG63" s="238">
        <f t="shared" si="117"/>
        <v>3659.7417356323149</v>
      </c>
      <c r="BH63" s="238">
        <f t="shared" si="121"/>
        <v>3307.4049672035203</v>
      </c>
      <c r="BI63" s="238">
        <f t="shared" si="124"/>
        <v>3194.0616485831492</v>
      </c>
      <c r="BJ63" s="238">
        <f t="shared" si="127"/>
        <v>3659.5159642006142</v>
      </c>
      <c r="BK63" s="238">
        <f t="shared" si="131"/>
        <v>3290.6394660091128</v>
      </c>
      <c r="BL63" s="238">
        <f t="shared" si="134"/>
        <v>3750.2346827184092</v>
      </c>
      <c r="BM63" s="238">
        <f t="shared" si="136"/>
        <v>3742.608136815385</v>
      </c>
      <c r="BN63" s="238">
        <f t="shared" si="138"/>
        <v>3453.9742852357595</v>
      </c>
      <c r="BO63" s="238">
        <f t="shared" si="140"/>
        <v>3459.123847400946</v>
      </c>
      <c r="BP63" s="238">
        <f t="shared" si="142"/>
        <v>3299.1800881032414</v>
      </c>
      <c r="BQ63" s="238">
        <f t="shared" si="144"/>
        <v>135.82546891982273</v>
      </c>
      <c r="BR63" s="238">
        <f t="shared" si="146"/>
        <v>378.58301570168885</v>
      </c>
      <c r="BS63" s="238">
        <f t="shared" si="148"/>
        <v>413.36513189784409</v>
      </c>
      <c r="BT63" s="238">
        <f t="shared" si="150"/>
        <v>1036.0995758866413</v>
      </c>
      <c r="BU63" s="238">
        <f t="shared" si="152"/>
        <v>452.86048165913235</v>
      </c>
      <c r="BV63" s="238">
        <f t="shared" si="155"/>
        <v>4765.9039750416459</v>
      </c>
      <c r="BW63" s="238">
        <f t="shared" si="157"/>
        <v>413.36513189784409</v>
      </c>
      <c r="BX63" s="238">
        <f t="shared" ref="BX63:BX71" si="159">ACOS(COS($L63)*COS($M63)*COS(INDEX($L:$L,MATCH(BX$2,$P:$P,0)))*COS(INDEX($M:$M,MATCH(BX$2,$P:$P,0))) + COS($L63)*SIN($M63)*COS(INDEX($L:$L,MATCH(BX$2,$P:$P,0)))*SIN(INDEX($M:$M,MATCH(BX$2,$P:$P,0))) + SIN($L63)*SIN(INDEX($L:$L,MATCH(BX$2,$P:$P,0)))) * 3963.1</f>
        <v>2682.9560630998258</v>
      </c>
      <c r="BY63" s="238"/>
      <c r="BZ63" s="238">
        <f t="shared" ref="BZ63:CG63" si="160">ACOS(COS($L63)*COS($M63)*COS(INDEX($L:$L,MATCH(BZ$2,$P:$P,0)))*COS(INDEX($M:$M,MATCH(BZ$2,$P:$P,0))) + COS($L63)*SIN($M63)*COS(INDEX($L:$L,MATCH(BZ$2,$P:$P,0)))*SIN(INDEX($M:$M,MATCH(BZ$2,$P:$P,0))) + SIN($L63)*SIN(INDEX($L:$L,MATCH(BZ$2,$P:$P,0)))) * 3963.1</f>
        <v>2683.9126995473548</v>
      </c>
      <c r="CA63" s="238">
        <f t="shared" si="160"/>
        <v>167.79407749709881</v>
      </c>
      <c r="CB63" s="251">
        <f t="shared" si="160"/>
        <v>3.5378634798398974</v>
      </c>
      <c r="CC63" s="238">
        <f t="shared" si="160"/>
        <v>3504.4058881488204</v>
      </c>
      <c r="CD63" s="238">
        <f t="shared" si="160"/>
        <v>7733.6480271974042</v>
      </c>
      <c r="CE63" s="238">
        <f t="shared" si="160"/>
        <v>848.46806576972278</v>
      </c>
      <c r="CF63" s="238">
        <f t="shared" si="160"/>
        <v>393.846947023138</v>
      </c>
      <c r="CG63" s="238">
        <f t="shared" si="160"/>
        <v>2683.0608791797831</v>
      </c>
    </row>
    <row r="64" spans="1:85">
      <c r="A64" s="96" t="s">
        <v>36</v>
      </c>
      <c r="B64" s="96" t="s">
        <v>713</v>
      </c>
      <c r="C64" s="97" t="s">
        <v>115</v>
      </c>
      <c r="D64" s="97" t="s">
        <v>151</v>
      </c>
      <c r="E64" s="97" t="s">
        <v>115</v>
      </c>
      <c r="F64" s="97" t="s">
        <v>116</v>
      </c>
      <c r="G64" s="97" t="s">
        <v>81</v>
      </c>
      <c r="H64" s="97"/>
      <c r="I64" s="96" t="s">
        <v>13</v>
      </c>
      <c r="J64" s="240">
        <v>37.373372000000003</v>
      </c>
      <c r="K64" s="236">
        <v>-121.987746</v>
      </c>
      <c r="L64" s="237">
        <f t="shared" si="85"/>
        <v>0.65228839397265825</v>
      </c>
      <c r="M64" s="237">
        <f t="shared" si="85"/>
        <v>-2.1290878147865429</v>
      </c>
      <c r="N64" s="67"/>
      <c r="O64" s="236"/>
      <c r="P64" s="112" t="str">
        <f t="shared" si="3"/>
        <v>SUDC'</v>
      </c>
      <c r="Q64" s="238">
        <f t="shared" si="88"/>
        <v>2404.8518370515344</v>
      </c>
      <c r="R64" s="238">
        <f t="shared" si="115"/>
        <v>1443.4981536515704</v>
      </c>
      <c r="S64" s="238">
        <f t="shared" si="115"/>
        <v>1443.4981536515704</v>
      </c>
      <c r="T64" s="238">
        <f t="shared" si="97"/>
        <v>1476.3998007010202</v>
      </c>
      <c r="U64" s="238">
        <f t="shared" si="129"/>
        <v>1844.7826741643098</v>
      </c>
      <c r="V64" s="238">
        <f t="shared" si="129"/>
        <v>1844.7826741643098</v>
      </c>
      <c r="W64" s="238">
        <f t="shared" si="129"/>
        <v>1844.7826741643098</v>
      </c>
      <c r="X64" s="238">
        <f t="shared" si="105"/>
        <v>2609.6149624036952</v>
      </c>
      <c r="Y64" s="238">
        <f t="shared" si="108"/>
        <v>2478.963794669135</v>
      </c>
      <c r="Z64" s="238">
        <f t="shared" si="112"/>
        <v>2607.4882171194054</v>
      </c>
      <c r="AA64" s="238">
        <f t="shared" si="116"/>
        <v>2641.3860029902103</v>
      </c>
      <c r="AB64" s="238">
        <f t="shared" si="119"/>
        <v>2641.3860029902103</v>
      </c>
      <c r="AC64" s="238">
        <f t="shared" si="123"/>
        <v>2239.4905218222384</v>
      </c>
      <c r="AD64" s="238">
        <f t="shared" si="126"/>
        <v>2256.6314626447192</v>
      </c>
      <c r="AE64" s="238">
        <f t="shared" si="130"/>
        <v>939.38629077024427</v>
      </c>
      <c r="AF64" s="238">
        <f t="shared" si="133"/>
        <v>5176.2305342286227</v>
      </c>
      <c r="AG64" s="238">
        <f t="shared" si="154"/>
        <v>8487.0923939488548</v>
      </c>
      <c r="AH64" s="238">
        <f t="shared" si="154"/>
        <v>8502.1736809294107</v>
      </c>
      <c r="AI64" s="238">
        <f t="shared" ref="AI64:AK71" si="161">ACOS(COS($L64)*COS($M64)*COS(INDEX($L:$L,MATCH(AI$2,$P:$P,0)))*COS(INDEX($M:$M,MATCH(AI$2,$P:$P,0))) + COS($L64)*SIN($M64)*COS(INDEX($L:$L,MATCH(AI$2,$P:$P,0)))*SIN(INDEX($M:$M,MATCH(AI$2,$P:$P,0))) + SIN($L64)*SIN(INDEX($L:$L,MATCH(AI$2,$P:$P,0)))) * 3963.1</f>
        <v>8492.6853545286067</v>
      </c>
      <c r="AJ64" s="238">
        <f t="shared" si="161"/>
        <v>8492.6853545286067</v>
      </c>
      <c r="AK64" s="238">
        <f t="shared" si="161"/>
        <v>8492.6853545286067</v>
      </c>
      <c r="AL64" s="238">
        <f t="shared" si="62"/>
        <v>8501.4089349298501</v>
      </c>
      <c r="AM64" s="238">
        <f t="shared" si="120"/>
        <v>6932.6955337533218</v>
      </c>
      <c r="AN64" s="238">
        <f t="shared" si="120"/>
        <v>6932.6955337533218</v>
      </c>
      <c r="AO64" s="238">
        <f t="shared" si="70"/>
        <v>5412.6411830216657</v>
      </c>
      <c r="AP64" s="238">
        <f t="shared" si="72"/>
        <v>7874.9446669380459</v>
      </c>
      <c r="AQ64" s="238">
        <f t="shared" si="75"/>
        <v>7441.3160637106012</v>
      </c>
      <c r="AR64" s="238">
        <f t="shared" si="77"/>
        <v>9191.0578153832648</v>
      </c>
      <c r="AS64" s="238">
        <f t="shared" si="79"/>
        <v>9189.5320677303116</v>
      </c>
      <c r="AT64" s="238">
        <f t="shared" si="81"/>
        <v>9188.693547675568</v>
      </c>
      <c r="AU64" s="238">
        <f t="shared" si="83"/>
        <v>5397.6785861203589</v>
      </c>
      <c r="AV64" s="238">
        <f t="shared" si="86"/>
        <v>5651.7173536640985</v>
      </c>
      <c r="AW64" s="238">
        <f t="shared" si="89"/>
        <v>5643.7722309479268</v>
      </c>
      <c r="AX64" s="238">
        <f t="shared" si="91"/>
        <v>5483.2746776598578</v>
      </c>
      <c r="AY64" s="238">
        <f t="shared" si="93"/>
        <v>5577.8477366458346</v>
      </c>
      <c r="AZ64" s="238">
        <f t="shared" si="98"/>
        <v>5690.960649245133</v>
      </c>
      <c r="BA64" s="238">
        <f t="shared" si="98"/>
        <v>5690.8370800735056</v>
      </c>
      <c r="BB64" s="238">
        <f t="shared" si="101"/>
        <v>5847.4138235303744</v>
      </c>
      <c r="BC64" s="238">
        <f t="shared" si="103"/>
        <v>7947.295116267499</v>
      </c>
      <c r="BD64" s="238">
        <f t="shared" si="106"/>
        <v>5575.7774900100931</v>
      </c>
      <c r="BE64" s="238">
        <f t="shared" si="110"/>
        <v>5373.9732997421943</v>
      </c>
      <c r="BF64" s="238">
        <f t="shared" si="113"/>
        <v>5693.4495909638927</v>
      </c>
      <c r="BG64" s="238">
        <f t="shared" si="117"/>
        <v>5477.5088150090924</v>
      </c>
      <c r="BH64" s="238">
        <f t="shared" si="121"/>
        <v>5401.9837615252272</v>
      </c>
      <c r="BI64" s="238">
        <f t="shared" si="124"/>
        <v>5255.6263228259322</v>
      </c>
      <c r="BJ64" s="238">
        <f t="shared" si="127"/>
        <v>5479.5949604018724</v>
      </c>
      <c r="BK64" s="238">
        <f t="shared" si="131"/>
        <v>5388.7578941690963</v>
      </c>
      <c r="BL64" s="238">
        <f t="shared" si="134"/>
        <v>5386.0018395819743</v>
      </c>
      <c r="BM64" s="238">
        <f t="shared" si="136"/>
        <v>5377.4023416739137</v>
      </c>
      <c r="BN64" s="238">
        <f t="shared" si="138"/>
        <v>5466.625243686457</v>
      </c>
      <c r="BO64" s="238">
        <f t="shared" si="140"/>
        <v>5472.3477774176945</v>
      </c>
      <c r="BP64" s="238">
        <f t="shared" si="142"/>
        <v>5400.3127583496571</v>
      </c>
      <c r="BQ64" s="238">
        <f t="shared" si="144"/>
        <v>2548.2130205176886</v>
      </c>
      <c r="BR64" s="238">
        <f t="shared" si="146"/>
        <v>2377.0637218815009</v>
      </c>
      <c r="BS64" s="238">
        <f t="shared" si="148"/>
        <v>2400.6118171881362</v>
      </c>
      <c r="BT64" s="238">
        <f t="shared" si="150"/>
        <v>1726.1574189021858</v>
      </c>
      <c r="BU64" s="238">
        <f t="shared" si="152"/>
        <v>2379.7618971442594</v>
      </c>
      <c r="BV64" s="238">
        <f t="shared" si="155"/>
        <v>6400.1995529302776</v>
      </c>
      <c r="BW64" s="238">
        <f t="shared" si="157"/>
        <v>2400.6118171881362</v>
      </c>
      <c r="BX64" s="256">
        <f t="shared" si="159"/>
        <v>0.97482589044148327</v>
      </c>
      <c r="BY64" s="238">
        <f t="shared" ref="BY64:BY71" si="162">ACOS(COS($L64)*COS($M64)*COS(INDEX($L:$L,MATCH(BY$2,$P:$P,0)))*COS(INDEX($M:$M,MATCH(BY$2,$P:$P,0))) + COS($L64)*SIN($M64)*COS(INDEX($L:$L,MATCH(BY$2,$P:$P,0)))*SIN(INDEX($M:$M,MATCH(BY$2,$P:$P,0))) + SIN($L64)*SIN(INDEX($L:$L,MATCH(BY$2,$P:$P,0)))) * 3963.1</f>
        <v>2683.9126995473557</v>
      </c>
      <c r="BZ64" s="238"/>
      <c r="CA64" s="238">
        <f t="shared" ref="CA64:CG64" si="163">ACOS(COS($L64)*COS($M64)*COS(INDEX($L:$L,MATCH(CA$2,$P:$P,0)))*COS(INDEX($M:$M,MATCH(CA$2,$P:$P,0))) + COS($L64)*SIN($M64)*COS(INDEX($L:$L,MATCH(CA$2,$P:$P,0)))*SIN(INDEX($M:$M,MATCH(CA$2,$P:$P,0))) + SIN($L64)*SIN(INDEX($L:$L,MATCH(CA$2,$P:$P,0)))) * 3963.1</f>
        <v>2560.94208870292</v>
      </c>
      <c r="CB64" s="238">
        <f t="shared" si="163"/>
        <v>2680.3834035118407</v>
      </c>
      <c r="CC64" s="238">
        <f t="shared" si="163"/>
        <v>5507.9260898055745</v>
      </c>
      <c r="CD64" s="238">
        <f t="shared" si="163"/>
        <v>10232.931519059255</v>
      </c>
      <c r="CE64" s="238">
        <f t="shared" si="163"/>
        <v>1844.0486800112631</v>
      </c>
      <c r="CF64" s="238">
        <f t="shared" si="163"/>
        <v>2423.1995528640564</v>
      </c>
      <c r="CG64" s="256">
        <f t="shared" si="163"/>
        <v>0.8673778743913042</v>
      </c>
    </row>
    <row r="65" spans="1:85">
      <c r="A65" s="96" t="s">
        <v>36</v>
      </c>
      <c r="B65" s="96" t="s">
        <v>339</v>
      </c>
      <c r="C65" s="97" t="s">
        <v>125</v>
      </c>
      <c r="D65" s="97" t="s">
        <v>155</v>
      </c>
      <c r="E65" s="97" t="s">
        <v>125</v>
      </c>
      <c r="F65" s="97" t="s">
        <v>124</v>
      </c>
      <c r="G65" s="97" t="s">
        <v>81</v>
      </c>
      <c r="H65" s="97"/>
      <c r="I65" s="96" t="s">
        <v>13</v>
      </c>
      <c r="J65" s="240">
        <v>41.071095</v>
      </c>
      <c r="K65" s="236">
        <v>-73.819559999999996</v>
      </c>
      <c r="L65" s="237">
        <f t="shared" si="85"/>
        <v>0.71682583514938047</v>
      </c>
      <c r="M65" s="237">
        <f t="shared" si="85"/>
        <v>-1.2883943743735051</v>
      </c>
      <c r="N65" s="67"/>
      <c r="O65" s="236"/>
      <c r="P65" s="112" t="str">
        <f t="shared" si="3"/>
        <v>EDC</v>
      </c>
      <c r="Q65" s="238">
        <f t="shared" si="88"/>
        <v>238.25610149236016</v>
      </c>
      <c r="R65" s="238">
        <f t="shared" si="115"/>
        <v>1384.651327536855</v>
      </c>
      <c r="S65" s="238">
        <f t="shared" si="115"/>
        <v>1384.651327536855</v>
      </c>
      <c r="T65" s="238">
        <f t="shared" si="97"/>
        <v>1530.5089499612304</v>
      </c>
      <c r="U65" s="238">
        <f t="shared" si="129"/>
        <v>716.52428205926333</v>
      </c>
      <c r="V65" s="238">
        <f t="shared" si="129"/>
        <v>716.52428205926333</v>
      </c>
      <c r="W65" s="238">
        <f t="shared" si="129"/>
        <v>716.52428205926333</v>
      </c>
      <c r="X65" s="238">
        <f t="shared" si="105"/>
        <v>62.473726509841491</v>
      </c>
      <c r="Y65" s="238">
        <f t="shared" si="108"/>
        <v>138.40092891699499</v>
      </c>
      <c r="Z65" s="238">
        <f t="shared" si="112"/>
        <v>70.265727954291393</v>
      </c>
      <c r="AA65" s="238">
        <f t="shared" si="116"/>
        <v>94.930946047336008</v>
      </c>
      <c r="AB65" s="238">
        <f t="shared" si="119"/>
        <v>94.930946047336008</v>
      </c>
      <c r="AC65" s="238">
        <f t="shared" si="123"/>
        <v>353.35828635836396</v>
      </c>
      <c r="AD65" s="238">
        <f t="shared" si="126"/>
        <v>335.42166966743667</v>
      </c>
      <c r="AE65" s="238">
        <f t="shared" si="130"/>
        <v>1629.6129594323584</v>
      </c>
      <c r="AF65" s="238">
        <f t="shared" si="133"/>
        <v>6729.4963827749098</v>
      </c>
      <c r="AG65" s="238">
        <f t="shared" si="154"/>
        <v>9517.2784653788349</v>
      </c>
      <c r="AH65" s="238">
        <f t="shared" si="154"/>
        <v>9383.2189645512626</v>
      </c>
      <c r="AI65" s="238">
        <f t="shared" si="161"/>
        <v>9380.7736885882969</v>
      </c>
      <c r="AJ65" s="238">
        <f t="shared" si="161"/>
        <v>9380.7736885882969</v>
      </c>
      <c r="AK65" s="238">
        <f t="shared" si="161"/>
        <v>9380.7736885882969</v>
      </c>
      <c r="AL65" s="238">
        <f t="shared" si="62"/>
        <v>9393.5973603593902</v>
      </c>
      <c r="AM65" s="238">
        <f t="shared" si="120"/>
        <v>8030.6272312244819</v>
      </c>
      <c r="AN65" s="238">
        <f t="shared" si="120"/>
        <v>8030.6272312244819</v>
      </c>
      <c r="AO65" s="238">
        <f t="shared" si="70"/>
        <v>6889.7273377168895</v>
      </c>
      <c r="AP65" s="238">
        <f t="shared" si="72"/>
        <v>10376.687204771231</v>
      </c>
      <c r="AQ65" s="238">
        <f t="shared" si="75"/>
        <v>9959.7848773400765</v>
      </c>
      <c r="AR65" s="238">
        <f t="shared" si="77"/>
        <v>11623.577394338925</v>
      </c>
      <c r="AS65" s="238">
        <f t="shared" si="79"/>
        <v>11622.783034282884</v>
      </c>
      <c r="AT65" s="238">
        <f t="shared" si="81"/>
        <v>11621.909308947434</v>
      </c>
      <c r="AU65" s="238">
        <f t="shared" si="83"/>
        <v>3469.872400421626</v>
      </c>
      <c r="AV65" s="238">
        <f t="shared" si="86"/>
        <v>3745.6130231746638</v>
      </c>
      <c r="AW65" s="238">
        <f t="shared" si="89"/>
        <v>3737.4268996260143</v>
      </c>
      <c r="AX65" s="238">
        <f t="shared" si="91"/>
        <v>3827.8352190759374</v>
      </c>
      <c r="AY65" s="238">
        <f t="shared" si="93"/>
        <v>3611.8245163864831</v>
      </c>
      <c r="AZ65" s="238">
        <f t="shared" si="98"/>
        <v>3831.3070105868051</v>
      </c>
      <c r="BA65" s="238">
        <f t="shared" si="98"/>
        <v>3831.1675148959657</v>
      </c>
      <c r="BB65" s="238">
        <f t="shared" si="101"/>
        <v>3936.9561510353451</v>
      </c>
      <c r="BC65" s="238">
        <f t="shared" si="103"/>
        <v>5386.3944912249544</v>
      </c>
      <c r="BD65" s="238">
        <f t="shared" si="106"/>
        <v>3605.1034662167913</v>
      </c>
      <c r="BE65" s="238">
        <f t="shared" si="110"/>
        <v>3446.8618402623483</v>
      </c>
      <c r="BF65" s="238">
        <f t="shared" si="113"/>
        <v>3833.4601043044349</v>
      </c>
      <c r="BG65" s="238">
        <f t="shared" si="117"/>
        <v>3822.8588242116157</v>
      </c>
      <c r="BH65" s="238">
        <f t="shared" si="121"/>
        <v>3474.5580509825577</v>
      </c>
      <c r="BI65" s="238">
        <f t="shared" si="124"/>
        <v>3360.6390213151813</v>
      </c>
      <c r="BJ65" s="238">
        <f t="shared" si="127"/>
        <v>3822.6860040510446</v>
      </c>
      <c r="BK65" s="238">
        <f t="shared" si="131"/>
        <v>3457.8093472943629</v>
      </c>
      <c r="BL65" s="238">
        <f t="shared" si="134"/>
        <v>3908.8680249257563</v>
      </c>
      <c r="BM65" s="238">
        <f t="shared" si="136"/>
        <v>3901.1740221281466</v>
      </c>
      <c r="BN65" s="238">
        <f t="shared" si="138"/>
        <v>3620.3109827667422</v>
      </c>
      <c r="BO65" s="238">
        <f t="shared" si="140"/>
        <v>3625.4783306295735</v>
      </c>
      <c r="BP65" s="238">
        <f t="shared" si="142"/>
        <v>3466.3907346284368</v>
      </c>
      <c r="BQ65" s="238">
        <f t="shared" si="144"/>
        <v>106.69717860752675</v>
      </c>
      <c r="BR65" s="238">
        <f t="shared" si="146"/>
        <v>213.74319675416425</v>
      </c>
      <c r="BS65" s="238">
        <f t="shared" si="148"/>
        <v>245.75735430159941</v>
      </c>
      <c r="BT65" s="238">
        <f t="shared" si="150"/>
        <v>884.77930628640672</v>
      </c>
      <c r="BU65" s="238">
        <f t="shared" si="152"/>
        <v>285.38833374683298</v>
      </c>
      <c r="BV65" s="238">
        <f t="shared" si="155"/>
        <v>4743.6313520654112</v>
      </c>
      <c r="BW65" s="238">
        <f t="shared" si="157"/>
        <v>245.75735430159941</v>
      </c>
      <c r="BX65" s="238">
        <f t="shared" si="159"/>
        <v>2559.977716703585</v>
      </c>
      <c r="BY65" s="238">
        <f t="shared" si="162"/>
        <v>167.79407749708827</v>
      </c>
      <c r="BZ65" s="238">
        <f t="shared" ref="BZ65:BZ71" si="164">ACOS(COS($L65)*COS($M65)*COS(INDEX($L:$L,MATCH(BZ$2,$P:$P,0)))*COS(INDEX($M:$M,MATCH(BZ$2,$P:$P,0))) + COS($L65)*SIN($M65)*COS(INDEX($L:$L,MATCH(BZ$2,$P:$P,0)))*SIN(INDEX($M:$M,MATCH(BZ$2,$P:$P,0))) + SIN($L65)*SIN(INDEX($L:$L,MATCH(BZ$2,$P:$P,0)))) * 3963.1</f>
        <v>2560.942088702921</v>
      </c>
      <c r="CA65" s="238"/>
      <c r="CB65" s="238">
        <f t="shared" ref="CB65:CG65" si="165">ACOS(COS($L65)*COS($M65)*COS(INDEX($L:$L,MATCH(CB$2,$P:$P,0)))*COS(INDEX($M:$M,MATCH(CB$2,$P:$P,0))) + COS($L65)*SIN($M65)*COS(INDEX($L:$L,MATCH(CB$2,$P:$P,0)))*SIN(INDEX($M:$M,MATCH(CB$2,$P:$P,0))) + SIN($L65)*SIN(INDEX($L:$L,MATCH(CB$2,$P:$P,0)))) * 3963.1</f>
        <v>165.3476537301801</v>
      </c>
      <c r="CC65" s="238">
        <f t="shared" si="165"/>
        <v>3670.7000668222063</v>
      </c>
      <c r="CD65" s="238">
        <f t="shared" si="165"/>
        <v>7820.8308016019382</v>
      </c>
      <c r="CE65" s="238">
        <f t="shared" si="165"/>
        <v>717.20604276475046</v>
      </c>
      <c r="CF65" s="238">
        <f t="shared" si="165"/>
        <v>226.74905685369532</v>
      </c>
      <c r="CG65" s="238">
        <f t="shared" si="165"/>
        <v>2560.0835377414933</v>
      </c>
    </row>
    <row r="66" spans="1:85" ht="14">
      <c r="A66" s="257"/>
      <c r="B66" s="258" t="s">
        <v>714</v>
      </c>
      <c r="C66" s="258" t="s">
        <v>714</v>
      </c>
      <c r="D66" s="259" t="s">
        <v>715</v>
      </c>
      <c r="E66" s="258" t="s">
        <v>714</v>
      </c>
      <c r="F66" s="257" t="s">
        <v>114</v>
      </c>
      <c r="G66" s="257" t="s">
        <v>81</v>
      </c>
      <c r="H66" s="257">
        <v>2138</v>
      </c>
      <c r="I66" s="257"/>
      <c r="J66" s="235">
        <v>42.389741000000001</v>
      </c>
      <c r="K66" s="236">
        <v>-71.147503999999998</v>
      </c>
      <c r="L66" s="237">
        <f t="shared" si="85"/>
        <v>0.73984054951763367</v>
      </c>
      <c r="M66" s="237">
        <f t="shared" si="85"/>
        <v>-1.2417581993758358</v>
      </c>
      <c r="N66" s="236"/>
      <c r="O66" s="236"/>
      <c r="P66" s="112" t="str">
        <f t="shared" si="3"/>
        <v>Cambridge</v>
      </c>
      <c r="Q66" s="238">
        <f t="shared" si="88"/>
        <v>403.51250892274032</v>
      </c>
      <c r="R66" s="238">
        <f t="shared" ref="R66:S71" si="166">ACOS(COS($L66)*COS($M66)*COS(INDEX($L:$L,MATCH(R$2,$P:$P,0)))*COS(INDEX($M:$M,MATCH(R$2,$P:$P,0))) + COS($L66)*SIN($M66)*COS(INDEX($L:$L,MATCH(R$2,$P:$P,0)))*SIN(INDEX($M:$M,MATCH(R$2,$P:$P,0))) + SIN($L66)*SIN(INDEX($L:$L,MATCH(R$2,$P:$P,0)))) * 3963.1</f>
        <v>1542.5640707332711</v>
      </c>
      <c r="S66" s="238">
        <f t="shared" si="166"/>
        <v>1542.5640707332711</v>
      </c>
      <c r="T66" s="238">
        <f t="shared" si="97"/>
        <v>1692.2502143846107</v>
      </c>
      <c r="U66" s="238">
        <f t="shared" si="129"/>
        <v>844.5185880393575</v>
      </c>
      <c r="V66" s="238">
        <f t="shared" si="129"/>
        <v>844.5185880393575</v>
      </c>
      <c r="W66" s="238">
        <f t="shared" si="129"/>
        <v>844.5185880393575</v>
      </c>
      <c r="X66" s="238">
        <f t="shared" si="105"/>
        <v>103.35740457704162</v>
      </c>
      <c r="Y66" s="238">
        <f t="shared" si="108"/>
        <v>303.05595389663449</v>
      </c>
      <c r="Z66" s="238">
        <f t="shared" si="112"/>
        <v>95.407652504612059</v>
      </c>
      <c r="AA66" s="238">
        <f t="shared" si="116"/>
        <v>75.342110053115292</v>
      </c>
      <c r="AB66" s="238">
        <f t="shared" si="119"/>
        <v>75.342110053115292</v>
      </c>
      <c r="AC66" s="238">
        <f t="shared" si="123"/>
        <v>442.86614967166537</v>
      </c>
      <c r="AD66" s="238">
        <f t="shared" si="126"/>
        <v>425.24686026222417</v>
      </c>
      <c r="AE66" s="238">
        <f t="shared" si="130"/>
        <v>1757.1631374213673</v>
      </c>
      <c r="AF66" s="238">
        <f t="shared" si="133"/>
        <v>6707.7459788222523</v>
      </c>
      <c r="AG66" s="238">
        <f t="shared" si="154"/>
        <v>9413.5300350447396</v>
      </c>
      <c r="AH66" s="238">
        <f t="shared" si="154"/>
        <v>9272.6383530063231</v>
      </c>
      <c r="AI66" s="238">
        <f t="shared" si="161"/>
        <v>9270.6720372158943</v>
      </c>
      <c r="AJ66" s="238">
        <f t="shared" si="161"/>
        <v>9270.6720372158943</v>
      </c>
      <c r="AK66" s="238">
        <f t="shared" si="161"/>
        <v>9270.6720372158943</v>
      </c>
      <c r="AL66" s="238">
        <f t="shared" si="62"/>
        <v>9283.4981784681459</v>
      </c>
      <c r="AM66" s="238">
        <f t="shared" si="120"/>
        <v>7956.572067298097</v>
      </c>
      <c r="AN66" s="238">
        <f t="shared" si="120"/>
        <v>7956.572067298097</v>
      </c>
      <c r="AO66" s="238">
        <f t="shared" si="70"/>
        <v>6859.7169067732948</v>
      </c>
      <c r="AP66" s="238">
        <f t="shared" si="72"/>
        <v>10522.027326853004</v>
      </c>
      <c r="AQ66" s="238">
        <f t="shared" si="75"/>
        <v>10100.153297145516</v>
      </c>
      <c r="AR66" s="238">
        <f t="shared" si="77"/>
        <v>11633.073804281259</v>
      </c>
      <c r="AS66" s="238">
        <f t="shared" si="79"/>
        <v>11632.640418420799</v>
      </c>
      <c r="AT66" s="238">
        <f t="shared" si="81"/>
        <v>11631.81518644833</v>
      </c>
      <c r="AU66" s="238">
        <f t="shared" si="83"/>
        <v>3304.9519632669317</v>
      </c>
      <c r="AV66" s="238">
        <f t="shared" si="86"/>
        <v>3580.6174520524332</v>
      </c>
      <c r="AW66" s="238">
        <f t="shared" si="89"/>
        <v>3572.4363298843668</v>
      </c>
      <c r="AX66" s="238">
        <f t="shared" si="91"/>
        <v>3666.4770886562769</v>
      </c>
      <c r="AY66" s="238">
        <f t="shared" si="93"/>
        <v>3446.5660914481555</v>
      </c>
      <c r="AZ66" s="238">
        <f t="shared" si="98"/>
        <v>3666.6330628921542</v>
      </c>
      <c r="BA66" s="238">
        <f t="shared" si="98"/>
        <v>3666.4935694130468</v>
      </c>
      <c r="BB66" s="238">
        <f t="shared" si="101"/>
        <v>3771.7991003042621</v>
      </c>
      <c r="BC66" s="238">
        <f t="shared" si="103"/>
        <v>5270.1795477434616</v>
      </c>
      <c r="BD66" s="238">
        <f t="shared" si="106"/>
        <v>3439.8300093599396</v>
      </c>
      <c r="BE66" s="238">
        <f t="shared" si="110"/>
        <v>3281.9706100907797</v>
      </c>
      <c r="BF66" s="238">
        <f t="shared" si="113"/>
        <v>3668.7803321111696</v>
      </c>
      <c r="BG66" s="238">
        <f t="shared" si="117"/>
        <v>3661.5338256723639</v>
      </c>
      <c r="BH66" s="238">
        <f t="shared" si="121"/>
        <v>3309.636263519666</v>
      </c>
      <c r="BI66" s="238">
        <f t="shared" si="124"/>
        <v>3196.1989355006081</v>
      </c>
      <c r="BJ66" s="238">
        <f t="shared" si="127"/>
        <v>3661.3122304267163</v>
      </c>
      <c r="BK66" s="238">
        <f t="shared" si="131"/>
        <v>3292.8739566450008</v>
      </c>
      <c r="BL66" s="238">
        <f t="shared" si="134"/>
        <v>3751.7245574156336</v>
      </c>
      <c r="BM66" s="238">
        <f t="shared" si="136"/>
        <v>3744.0939434795955</v>
      </c>
      <c r="BN66" s="238">
        <f t="shared" si="138"/>
        <v>3456.0794767771108</v>
      </c>
      <c r="BO66" s="238">
        <f t="shared" si="140"/>
        <v>3461.2313908527408</v>
      </c>
      <c r="BP66" s="238">
        <f t="shared" si="142"/>
        <v>3301.4225931923966</v>
      </c>
      <c r="BQ66" s="238">
        <f t="shared" si="144"/>
        <v>132.31023039400111</v>
      </c>
      <c r="BR66" s="238">
        <f t="shared" si="146"/>
        <v>375.79191737078725</v>
      </c>
      <c r="BS66" s="238">
        <f t="shared" si="148"/>
        <v>411.00145056261437</v>
      </c>
      <c r="BT66" s="238">
        <f t="shared" si="150"/>
        <v>1032.8260830716213</v>
      </c>
      <c r="BU66" s="238">
        <f t="shared" si="152"/>
        <v>450.53016094977482</v>
      </c>
      <c r="BV66" s="238">
        <f t="shared" si="155"/>
        <v>4768.0687981397832</v>
      </c>
      <c r="BW66" s="238">
        <f t="shared" si="157"/>
        <v>411.00145056261437</v>
      </c>
      <c r="BX66" s="238">
        <f t="shared" si="159"/>
        <v>2679.4267856639058</v>
      </c>
      <c r="BY66" s="251">
        <f t="shared" si="162"/>
        <v>3.5378634803326889</v>
      </c>
      <c r="BZ66" s="238">
        <f t="shared" si="164"/>
        <v>2680.3834035118412</v>
      </c>
      <c r="CA66" s="238">
        <f t="shared" ref="CA66:CA71" si="167">ACOS(COS($L66)*COS($M66)*COS(INDEX($L:$L,MATCH(CA$2,$P:$P,0)))*COS(INDEX($M:$M,MATCH(CA$2,$P:$P,0))) + COS($L66)*SIN($M66)*COS(INDEX($L:$L,MATCH(CA$2,$P:$P,0)))*SIN(INDEX($M:$M,MATCH(CA$2,$P:$P,0))) + SIN($L66)*SIN(INDEX($L:$L,MATCH(CA$2,$P:$P,0)))) * 3963.1</f>
        <v>165.3476537301801</v>
      </c>
      <c r="CB66" s="238"/>
      <c r="CC66" s="238">
        <f>ACOS(COS($L66)*COS($M66)*COS(INDEX($L:$L,MATCH(CC$2,$P:$P,0)))*COS(INDEX($M:$M,MATCH(CC$2,$P:$P,0))) + COS($L66)*SIN($M66)*COS(INDEX($L:$L,MATCH(CC$2,$P:$P,0)))*SIN(INDEX($M:$M,MATCH(CC$2,$P:$P,0))) + SIN($L66)*SIN(INDEX($L:$L,MATCH(CC$2,$P:$P,0)))) * 3963.1</f>
        <v>3506.5056919239219</v>
      </c>
      <c r="CD66" s="238">
        <f>ACOS(COS($L66)*COS($M66)*COS(INDEX($L:$L,MATCH(CD$2,$P:$P,0)))*COS(INDEX($M:$M,MATCH(CD$2,$P:$P,0))) + COS($L66)*SIN($M66)*COS(INDEX($L:$L,MATCH(CD$2,$P:$P,0)))*SIN(INDEX($M:$M,MATCH(CD$2,$P:$P,0))) + SIN($L66)*SIN(INDEX($L:$L,MATCH(CD$2,$P:$P,0)))) * 3963.1</f>
        <v>7737.102547294613</v>
      </c>
      <c r="CE66" s="238">
        <f>ACOS(COS($L66)*COS($M66)*COS(INDEX($L:$L,MATCH(CE$2,$P:$P,0)))*COS(INDEX($M:$M,MATCH(CE$2,$P:$P,0))) + COS($L66)*SIN($M66)*COS(INDEX($L:$L,MATCH(CE$2,$P:$P,0)))*SIN(INDEX($M:$M,MATCH(CE$2,$P:$P,0))) + SIN($L66)*SIN(INDEX($L:$L,MATCH(CE$2,$P:$P,0)))) * 3963.1</f>
        <v>844.99445288818106</v>
      </c>
      <c r="CF66" s="238">
        <f>ACOS(COS($L66)*COS($M66)*COS(INDEX($L:$L,MATCH(CF$2,$P:$P,0)))*COS(INDEX($M:$M,MATCH(CF$2,$P:$P,0))) + COS($L66)*SIN($M66)*COS(INDEX($L:$L,MATCH(CF$2,$P:$P,0)))*SIN(INDEX($M:$M,MATCH(CF$2,$P:$P,0))) + SIN($L66)*SIN(INDEX($L:$L,MATCH(CF$2,$P:$P,0)))) * 3963.1</f>
        <v>391.57148063826918</v>
      </c>
      <c r="CG66" s="238">
        <f>ACOS(COS($L66)*COS($M66)*COS(INDEX($L:$L,MATCH(CG$2,$P:$P,0)))*COS(INDEX($M:$M,MATCH(CG$2,$P:$P,0))) + COS($L66)*SIN($M66)*COS(INDEX($L:$L,MATCH(CG$2,$P:$P,0)))*SIN(INDEX($M:$M,MATCH(CG$2,$P:$P,0))) + SIN($L66)*SIN(INDEX($L:$L,MATCH(CG$2,$P:$P,0)))) * 3963.1</f>
        <v>2679.5315993716627</v>
      </c>
    </row>
    <row r="67" spans="1:85" ht="14">
      <c r="A67" s="257"/>
      <c r="B67" s="258" t="s">
        <v>716</v>
      </c>
      <c r="C67" s="258" t="s">
        <v>716</v>
      </c>
      <c r="D67" s="259" t="s">
        <v>717</v>
      </c>
      <c r="E67" s="258" t="s">
        <v>716</v>
      </c>
      <c r="F67" s="257"/>
      <c r="G67" s="257" t="s">
        <v>100</v>
      </c>
      <c r="H67" s="257" t="s">
        <v>718</v>
      </c>
      <c r="I67" s="257"/>
      <c r="J67" s="235">
        <v>52.213161999999997</v>
      </c>
      <c r="K67" s="236">
        <v>6.0007219999999997</v>
      </c>
      <c r="L67" s="237">
        <f t="shared" si="85"/>
        <v>0.91129158977718749</v>
      </c>
      <c r="M67" s="237">
        <f t="shared" si="85"/>
        <v>0.10473235639685917</v>
      </c>
      <c r="N67" s="236"/>
      <c r="O67" s="236"/>
      <c r="P67" s="112" t="str">
        <f t="shared" si="3"/>
        <v>Apeldoorn</v>
      </c>
      <c r="Q67" s="238">
        <f t="shared" si="88"/>
        <v>3908.3473608624658</v>
      </c>
      <c r="R67" s="238">
        <f t="shared" si="166"/>
        <v>4949.9447693261436</v>
      </c>
      <c r="S67" s="238">
        <f t="shared" si="166"/>
        <v>4949.9447693261436</v>
      </c>
      <c r="T67" s="238">
        <f t="shared" si="97"/>
        <v>5132.0852727236761</v>
      </c>
      <c r="U67" s="238">
        <f t="shared" si="129"/>
        <v>4157.0326690499414</v>
      </c>
      <c r="V67" s="238">
        <f t="shared" si="129"/>
        <v>4157.0326690499414</v>
      </c>
      <c r="W67" s="238">
        <f t="shared" si="129"/>
        <v>4157.0326690499414</v>
      </c>
      <c r="X67" s="238">
        <f t="shared" si="105"/>
        <v>3609.6761716793126</v>
      </c>
      <c r="Y67" s="238">
        <f t="shared" si="108"/>
        <v>3809.0758378629012</v>
      </c>
      <c r="Z67" s="238">
        <f t="shared" si="112"/>
        <v>3600.500712569487</v>
      </c>
      <c r="AA67" s="238">
        <f t="shared" si="116"/>
        <v>3581.0020136710896</v>
      </c>
      <c r="AB67" s="238">
        <f t="shared" si="119"/>
        <v>3581.0020136710896</v>
      </c>
      <c r="AC67" s="238">
        <f t="shared" si="123"/>
        <v>3775.5257703203515</v>
      </c>
      <c r="AD67" s="238">
        <f t="shared" si="126"/>
        <v>3767.5028759018064</v>
      </c>
      <c r="AE67" s="238">
        <f t="shared" si="130"/>
        <v>4865.022016510713</v>
      </c>
      <c r="AF67" s="238">
        <f t="shared" si="133"/>
        <v>5762.3424505671437</v>
      </c>
      <c r="AG67" s="238">
        <f t="shared" si="154"/>
        <v>6485.7491234697382</v>
      </c>
      <c r="AH67" s="238">
        <f t="shared" si="154"/>
        <v>6289.4276136148465</v>
      </c>
      <c r="AI67" s="238">
        <f t="shared" si="161"/>
        <v>6293.228483731149</v>
      </c>
      <c r="AJ67" s="238">
        <f t="shared" si="161"/>
        <v>6293.228483731149</v>
      </c>
      <c r="AK67" s="238">
        <f t="shared" si="161"/>
        <v>6293.228483731149</v>
      </c>
      <c r="AL67" s="238">
        <f t="shared" si="62"/>
        <v>6304.2042549976086</v>
      </c>
      <c r="AM67" s="238">
        <f t="shared" si="120"/>
        <v>5732.4593367180287</v>
      </c>
      <c r="AN67" s="238">
        <f t="shared" si="120"/>
        <v>5732.4593367180287</v>
      </c>
      <c r="AO67" s="238">
        <f t="shared" si="70"/>
        <v>5711.9646559082585</v>
      </c>
      <c r="AP67" s="238">
        <f t="shared" si="72"/>
        <v>10260.052536809999</v>
      </c>
      <c r="AQ67" s="238">
        <f t="shared" si="75"/>
        <v>10312.530033381749</v>
      </c>
      <c r="AR67" s="238">
        <f t="shared" si="77"/>
        <v>8748.0816043809209</v>
      </c>
      <c r="AS67" s="238">
        <f t="shared" si="79"/>
        <v>8749.6931942025276</v>
      </c>
      <c r="AT67" s="238">
        <f t="shared" si="81"/>
        <v>8749.7452727589534</v>
      </c>
      <c r="AU67" s="238">
        <f t="shared" si="83"/>
        <v>245.84466504872208</v>
      </c>
      <c r="AV67" s="238">
        <f t="shared" si="86"/>
        <v>182.06909976446877</v>
      </c>
      <c r="AW67" s="238">
        <f t="shared" si="89"/>
        <v>177.40894814519038</v>
      </c>
      <c r="AX67" s="238">
        <f t="shared" si="91"/>
        <v>359.45210345215395</v>
      </c>
      <c r="AY67" s="238">
        <f t="shared" si="93"/>
        <v>270.95956222803369</v>
      </c>
      <c r="AZ67" s="238">
        <f t="shared" si="98"/>
        <v>183.04176396155185</v>
      </c>
      <c r="BA67" s="238">
        <f t="shared" si="98"/>
        <v>182.91878366332688</v>
      </c>
      <c r="BB67" s="238">
        <f t="shared" si="101"/>
        <v>347.71577140879452</v>
      </c>
      <c r="BC67" s="238">
        <f t="shared" si="103"/>
        <v>3628.348391149957</v>
      </c>
      <c r="BD67" s="238">
        <f t="shared" si="106"/>
        <v>281.04049997562555</v>
      </c>
      <c r="BE67" s="238">
        <f t="shared" si="110"/>
        <v>260.96169457123148</v>
      </c>
      <c r="BF67" s="238">
        <f t="shared" si="113"/>
        <v>185.5315895743544</v>
      </c>
      <c r="BG67" s="238">
        <f t="shared" si="117"/>
        <v>359.77442781741217</v>
      </c>
      <c r="BH67" s="238">
        <f t="shared" si="121"/>
        <v>242.27028113898933</v>
      </c>
      <c r="BI67" s="238">
        <f t="shared" si="124"/>
        <v>312.79087068887139</v>
      </c>
      <c r="BJ67" s="238">
        <f t="shared" si="127"/>
        <v>355.82969081319692</v>
      </c>
      <c r="BK67" s="238">
        <f t="shared" si="131"/>
        <v>257.87218111225428</v>
      </c>
      <c r="BL67" s="238">
        <f t="shared" si="134"/>
        <v>676.25859191512905</v>
      </c>
      <c r="BM67" s="238">
        <f t="shared" si="136"/>
        <v>676.82003997174729</v>
      </c>
      <c r="BN67" s="238">
        <f t="shared" si="138"/>
        <v>50.758498205545045</v>
      </c>
      <c r="BO67" s="238">
        <f t="shared" si="140"/>
        <v>46.033151531801956</v>
      </c>
      <c r="BP67" s="238">
        <f t="shared" si="142"/>
        <v>256.06762630922344</v>
      </c>
      <c r="BQ67" s="238">
        <f t="shared" si="144"/>
        <v>3597.6707699765252</v>
      </c>
      <c r="BR67" s="238">
        <f t="shared" si="146"/>
        <v>3869.5726614152695</v>
      </c>
      <c r="BS67" s="238">
        <f t="shared" si="148"/>
        <v>3915.8729953676821</v>
      </c>
      <c r="BT67" s="238">
        <f t="shared" si="150"/>
        <v>4412.537517386846</v>
      </c>
      <c r="BU67" s="238">
        <f t="shared" si="152"/>
        <v>3955.6989093984716</v>
      </c>
      <c r="BV67" s="238">
        <f t="shared" si="155"/>
        <v>6103.9450843132454</v>
      </c>
      <c r="BW67" s="238">
        <f t="shared" si="157"/>
        <v>3915.8729953676821</v>
      </c>
      <c r="BX67" s="238">
        <f t="shared" si="159"/>
        <v>5507.2723268659629</v>
      </c>
      <c r="BY67" s="238">
        <f t="shared" si="162"/>
        <v>3504.4058881488204</v>
      </c>
      <c r="BZ67" s="238">
        <f t="shared" si="164"/>
        <v>5507.9260898055745</v>
      </c>
      <c r="CA67" s="238">
        <f t="shared" si="167"/>
        <v>3670.7000668222067</v>
      </c>
      <c r="CB67" s="238">
        <f>ACOS(COS($L67)*COS($M67)*COS(INDEX($L:$L,MATCH(CB$2,$P:$P,0)))*COS(INDEX($M:$M,MATCH(CB$2,$P:$P,0))) + COS($L67)*SIN($M67)*COS(INDEX($L:$L,MATCH(CB$2,$P:$P,0)))*SIN(INDEX($M:$M,MATCH(CB$2,$P:$P,0))) + SIN($L67)*SIN(INDEX($L:$L,MATCH(CB$2,$P:$P,0)))) * 3963.1</f>
        <v>3506.5056919239219</v>
      </c>
      <c r="CC67" s="238"/>
      <c r="CD67" s="238">
        <f>ACOS(COS($L67)*COS($M67)*COS(INDEX($L:$L,MATCH(CD$2,$P:$P,0)))*COS(INDEX($M:$M,MATCH(CD$2,$P:$P,0))) + COS($L67)*SIN($M67)*COS(INDEX($L:$L,MATCH(CD$2,$P:$P,0)))*SIN(INDEX($M:$M,MATCH(CD$2,$P:$P,0))) + SIN($L67)*SIN(INDEX($L:$L,MATCH(CD$2,$P:$P,0)))) * 3963.1</f>
        <v>6003.9052517419414</v>
      </c>
      <c r="CE67" s="238">
        <f>ACOS(COS($L67)*COS($M67)*COS(INDEX($L:$L,MATCH(CE$2,$P:$P,0)))*COS(INDEX($M:$M,MATCH(CE$2,$P:$P,0))) + COS($L67)*SIN($M67)*COS(INDEX($L:$L,MATCH(CE$2,$P:$P,0)))*SIN(INDEX($M:$M,MATCH(CE$2,$P:$P,0))) + SIN($L67)*SIN(INDEX($L:$L,MATCH(CE$2,$P:$P,0)))) * 3963.1</f>
        <v>4156.4731810550775</v>
      </c>
      <c r="CF67" s="238">
        <f>ACOS(COS($L67)*COS($M67)*COS(INDEX($L:$L,MATCH(CF$2,$P:$P,0)))*COS(INDEX($M:$M,MATCH(CF$2,$P:$P,0))) + COS($L67)*SIN($M67)*COS(INDEX($L:$L,MATCH(CF$2,$P:$P,0)))*SIN(INDEX($M:$M,MATCH(CF$2,$P:$P,0))) + SIN($L67)*SIN(INDEX($L:$L,MATCH(CF$2,$P:$P,0)))) * 3963.1</f>
        <v>3897.4347438785389</v>
      </c>
      <c r="CG67" s="238">
        <f>ACOS(COS($L67)*COS($M67)*COS(INDEX($L:$L,MATCH(CG$2,$P:$P,0)))*COS(INDEX($M:$M,MATCH(CG$2,$P:$P,0))) + COS($L67)*SIN($M67)*COS(INDEX($L:$L,MATCH(CG$2,$P:$P,0)))*SIN(INDEX($M:$M,MATCH(CG$2,$P:$P,0))) + SIN($L67)*SIN(INDEX($L:$L,MATCH(CG$2,$P:$P,0)))) * 3963.1</f>
        <v>5507.3419490869837</v>
      </c>
    </row>
    <row r="68" spans="1:85" ht="14">
      <c r="A68" s="257"/>
      <c r="B68" s="258" t="s">
        <v>719</v>
      </c>
      <c r="C68" s="258" t="s">
        <v>720</v>
      </c>
      <c r="D68" s="260" t="s">
        <v>721</v>
      </c>
      <c r="E68" s="258" t="s">
        <v>719</v>
      </c>
      <c r="F68" s="257"/>
      <c r="G68" s="257" t="s">
        <v>722</v>
      </c>
      <c r="H68" s="257">
        <v>7441</v>
      </c>
      <c r="I68" s="257"/>
      <c r="J68" s="235">
        <v>-33.893948000000002</v>
      </c>
      <c r="K68" s="236">
        <v>18.511092999999999</v>
      </c>
      <c r="L68" s="237">
        <f t="shared" si="85"/>
        <v>-0.59156098909974708</v>
      </c>
      <c r="M68" s="237">
        <f t="shared" si="85"/>
        <v>0.32307952099287468</v>
      </c>
      <c r="N68" s="236"/>
      <c r="O68" s="236"/>
      <c r="P68" s="112" t="str">
        <f>B68</f>
        <v>Cape Town</v>
      </c>
      <c r="Q68" s="238">
        <f t="shared" si="88"/>
        <v>7928.42237265319</v>
      </c>
      <c r="R68" s="238">
        <f t="shared" si="166"/>
        <v>8789.7442900111728</v>
      </c>
      <c r="S68" s="238">
        <f t="shared" si="166"/>
        <v>8789.7442900111728</v>
      </c>
      <c r="T68" s="238">
        <f t="shared" si="97"/>
        <v>8762.703215745707</v>
      </c>
      <c r="U68" s="238">
        <f t="shared" si="129"/>
        <v>8504.0605247435597</v>
      </c>
      <c r="V68" s="238">
        <f t="shared" si="129"/>
        <v>8504.0605247435597</v>
      </c>
      <c r="W68" s="238">
        <f t="shared" si="129"/>
        <v>8504.0605247435597</v>
      </c>
      <c r="X68" s="238">
        <f t="shared" si="105"/>
        <v>7784.305084151677</v>
      </c>
      <c r="Y68" s="238">
        <f t="shared" si="108"/>
        <v>7872.2800799533497</v>
      </c>
      <c r="Z68" s="238">
        <f t="shared" si="112"/>
        <v>7790.0321273137652</v>
      </c>
      <c r="AA68" s="238">
        <f t="shared" si="116"/>
        <v>7756.7166584573552</v>
      </c>
      <c r="AB68" s="238">
        <f t="shared" si="119"/>
        <v>7756.7166584573552</v>
      </c>
      <c r="AC68" s="238">
        <f t="shared" si="123"/>
        <v>8170.7142037324847</v>
      </c>
      <c r="AD68" s="238">
        <f t="shared" si="126"/>
        <v>8152.6215591199816</v>
      </c>
      <c r="AE68" s="238">
        <f t="shared" si="130"/>
        <v>9339.0694497861587</v>
      </c>
      <c r="AF68" s="238">
        <f t="shared" si="133"/>
        <v>9163.0706573950574</v>
      </c>
      <c r="AG68" s="238">
        <f t="shared" si="154"/>
        <v>6005.566464539731</v>
      </c>
      <c r="AH68" s="238">
        <f t="shared" si="154"/>
        <v>5941.236896217395</v>
      </c>
      <c r="AI68" s="238">
        <f t="shared" si="161"/>
        <v>5951.9182432979114</v>
      </c>
      <c r="AJ68" s="238">
        <f t="shared" si="161"/>
        <v>5951.9182432979114</v>
      </c>
      <c r="AK68" s="238">
        <f t="shared" si="161"/>
        <v>5951.9182432979114</v>
      </c>
      <c r="AL68" s="238">
        <f t="shared" si="62"/>
        <v>5945.9172914609617</v>
      </c>
      <c r="AM68" s="238">
        <f t="shared" si="120"/>
        <v>7385.5717996184494</v>
      </c>
      <c r="AN68" s="238">
        <f t="shared" si="120"/>
        <v>7385.5717996184494</v>
      </c>
      <c r="AO68" s="238">
        <f t="shared" si="70"/>
        <v>8910.6562728395857</v>
      </c>
      <c r="AP68" s="238">
        <f t="shared" si="72"/>
        <v>6416.2379174382813</v>
      </c>
      <c r="AQ68" s="238">
        <f t="shared" si="75"/>
        <v>6846.623923516926</v>
      </c>
      <c r="AR68" s="238">
        <f t="shared" si="77"/>
        <v>5405.1191807763862</v>
      </c>
      <c r="AS68" s="238">
        <f t="shared" si="79"/>
        <v>5406.4441064433977</v>
      </c>
      <c r="AT68" s="238">
        <f t="shared" si="81"/>
        <v>5407.3184140160047</v>
      </c>
      <c r="AU68" s="238">
        <f t="shared" si="83"/>
        <v>5994.7979169865421</v>
      </c>
      <c r="AV68" s="238">
        <f t="shared" si="86"/>
        <v>5823.9868766436957</v>
      </c>
      <c r="AW68" s="238">
        <f t="shared" si="89"/>
        <v>5829.763953314693</v>
      </c>
      <c r="AX68" s="238">
        <f t="shared" si="91"/>
        <v>6203.1926451888721</v>
      </c>
      <c r="AY68" s="238">
        <f t="shared" si="93"/>
        <v>5816.7335879001312</v>
      </c>
      <c r="AZ68" s="238">
        <f t="shared" si="98"/>
        <v>5843.3620547377159</v>
      </c>
      <c r="BA68" s="238">
        <f t="shared" si="98"/>
        <v>5843.4382071002137</v>
      </c>
      <c r="BB68" s="238">
        <f t="shared" si="101"/>
        <v>5670.7877088697296</v>
      </c>
      <c r="BC68" s="238">
        <f t="shared" si="103"/>
        <v>2634.1230415096488</v>
      </c>
      <c r="BD68" s="238">
        <f t="shared" si="106"/>
        <v>5813.3601744520638</v>
      </c>
      <c r="BE68" s="238">
        <f t="shared" si="110"/>
        <v>6013.603069498412</v>
      </c>
      <c r="BF68" s="238">
        <f t="shared" si="113"/>
        <v>5841.1376873565823</v>
      </c>
      <c r="BG68" s="238">
        <f t="shared" si="117"/>
        <v>6208.1367697139995</v>
      </c>
      <c r="BH68" s="238">
        <f t="shared" si="121"/>
        <v>5991.9011606562353</v>
      </c>
      <c r="BI68" s="238">
        <f t="shared" si="124"/>
        <v>6135.8892574329539</v>
      </c>
      <c r="BJ68" s="238">
        <f t="shared" si="127"/>
        <v>6204.4189712709531</v>
      </c>
      <c r="BK68" s="238">
        <f t="shared" si="131"/>
        <v>5998.3937674531562</v>
      </c>
      <c r="BL68" s="238">
        <f t="shared" si="134"/>
        <v>6443.6675122430834</v>
      </c>
      <c r="BM68" s="238">
        <f t="shared" si="136"/>
        <v>6450.5612563394043</v>
      </c>
      <c r="BN68" s="238">
        <f t="shared" si="138"/>
        <v>6025.629867426931</v>
      </c>
      <c r="BO68" s="238">
        <f t="shared" si="140"/>
        <v>6020.7737117737761</v>
      </c>
      <c r="BP68" s="238">
        <f t="shared" si="142"/>
        <v>5986.5164101372548</v>
      </c>
      <c r="BQ68" s="238">
        <f t="shared" si="144"/>
        <v>7862.0818928044282</v>
      </c>
      <c r="BR68" s="238">
        <f t="shared" si="146"/>
        <v>7971.3284007525081</v>
      </c>
      <c r="BS68" s="238">
        <f t="shared" si="148"/>
        <v>7931.1672409814682</v>
      </c>
      <c r="BT68" s="238">
        <f t="shared" si="150"/>
        <v>8562.3524214131976</v>
      </c>
      <c r="BU68" s="238">
        <f t="shared" si="152"/>
        <v>7944.080341568947</v>
      </c>
      <c r="BV68" s="238">
        <f t="shared" si="155"/>
        <v>4004.1701742952223</v>
      </c>
      <c r="BW68" s="238">
        <f t="shared" si="157"/>
        <v>7931.1672409814682</v>
      </c>
      <c r="BX68" s="238">
        <f t="shared" si="159"/>
        <v>10232.007574338702</v>
      </c>
      <c r="BY68" s="238">
        <f t="shared" si="162"/>
        <v>7733.6480271974042</v>
      </c>
      <c r="BZ68" s="238">
        <f t="shared" si="164"/>
        <v>10232.931519059255</v>
      </c>
      <c r="CA68" s="238">
        <f t="shared" si="167"/>
        <v>7820.8308016019382</v>
      </c>
      <c r="CB68" s="238">
        <f>ACOS(COS($L68)*COS($M68)*COS(INDEX($L:$L,MATCH(CB$2,$P:$P,0)))*COS(INDEX($M:$M,MATCH(CB$2,$P:$P,0))) + COS($L68)*SIN($M68)*COS(INDEX($L:$L,MATCH(CB$2,$P:$P,0)))*SIN(INDEX($M:$M,MATCH(CB$2,$P:$P,0))) + SIN($L68)*SIN(INDEX($L:$L,MATCH(CB$2,$P:$P,0)))) * 3963.1</f>
        <v>7737.102547294613</v>
      </c>
      <c r="CC68" s="238">
        <f>ACOS(COS($L68)*COS($M68)*COS(INDEX($L:$L,MATCH(CC$2,$P:$P,0)))*COS(INDEX($M:$M,MATCH(CC$2,$P:$P,0))) + COS($L68)*SIN($M68)*COS(INDEX($L:$L,MATCH(CC$2,$P:$P,0)))*SIN(INDEX($M:$M,MATCH(CC$2,$P:$P,0))) + SIN($L68)*SIN(INDEX($L:$L,MATCH(CC$2,$P:$P,0)))) * 3963.1</f>
        <v>6003.9052517419423</v>
      </c>
      <c r="CD68" s="238"/>
      <c r="CE68" s="238">
        <f>ACOS(COS($L68)*COS($M68)*COS(INDEX($L:$L,MATCH(CE$2,$P:$P,0)))*COS(INDEX($M:$M,MATCH(CE$2,$P:$P,0))) + COS($L68)*SIN($M68)*COS(INDEX($L:$L,MATCH(CE$2,$P:$P,0)))*SIN(INDEX($M:$M,MATCH(CE$2,$P:$P,0))) + SIN($L68)*SIN(INDEX($L:$L,MATCH(CE$2,$P:$P,0)))) * 3963.1</f>
        <v>8505.1727986749102</v>
      </c>
      <c r="CF68" s="238">
        <f>ACOS(COS($L68)*COS($M68)*COS(INDEX($L:$L,MATCH(CF$2,$P:$P,0)))*COS(INDEX($M:$M,MATCH(CF$2,$P:$P,0))) + COS($L68)*SIN($M68)*COS(INDEX($L:$L,MATCH(CF$2,$P:$P,0)))*SIN(INDEX($M:$M,MATCH(CF$2,$P:$P,0))) + SIN($L68)*SIN(INDEX($L:$L,MATCH(CF$2,$P:$P,0)))) * 3963.1</f>
        <v>7910.6447635207496</v>
      </c>
      <c r="CG68" s="238">
        <f>ACOS(COS($L68)*COS($M68)*COS(INDEX($L:$L,MATCH(CG$2,$P:$P,0)))*COS(INDEX($M:$M,MATCH(CG$2,$P:$P,0))) + COS($L68)*SIN($M68)*COS(INDEX($L:$L,MATCH(CG$2,$P:$P,0)))*SIN(INDEX($M:$M,MATCH(CG$2,$P:$P,0))) + SIN($L68)*SIN(INDEX($L:$L,MATCH(CG$2,$P:$P,0)))) * 3963.1</f>
        <v>10232.110470721058</v>
      </c>
    </row>
    <row r="69" spans="1:85" ht="14">
      <c r="A69" s="257"/>
      <c r="B69" s="258" t="s">
        <v>723</v>
      </c>
      <c r="C69" s="258" t="s">
        <v>724</v>
      </c>
      <c r="D69" s="260" t="s">
        <v>725</v>
      </c>
      <c r="E69" s="258" t="s">
        <v>68</v>
      </c>
      <c r="F69" s="257" t="s">
        <v>76</v>
      </c>
      <c r="G69" s="257" t="s">
        <v>81</v>
      </c>
      <c r="H69" s="257"/>
      <c r="I69" s="257"/>
      <c r="J69" s="235">
        <v>41.874403200000003</v>
      </c>
      <c r="K69" s="236">
        <v>-87.631676299999995</v>
      </c>
      <c r="L69" s="237">
        <f t="shared" si="85"/>
        <v>0.73084620814764967</v>
      </c>
      <c r="M69" s="237">
        <f t="shared" si="85"/>
        <v>-1.5294612804768821</v>
      </c>
      <c r="N69" s="236"/>
      <c r="O69" s="236"/>
      <c r="P69" s="112" t="str">
        <f>B69</f>
        <v>C-site Chicago</v>
      </c>
      <c r="Q69" s="238">
        <f t="shared" si="88"/>
        <v>576.83419858183606</v>
      </c>
      <c r="R69" s="238">
        <f t="shared" si="166"/>
        <v>793.93890020027322</v>
      </c>
      <c r="S69" s="238">
        <f t="shared" si="166"/>
        <v>793.93890020027322</v>
      </c>
      <c r="T69" s="238">
        <f t="shared" si="97"/>
        <v>981.86648294592317</v>
      </c>
      <c r="U69" s="238">
        <f t="shared" si="129"/>
        <v>1.6260802774533354</v>
      </c>
      <c r="V69" s="238">
        <f t="shared" si="129"/>
        <v>1.6260802774533354</v>
      </c>
      <c r="W69" s="238">
        <f t="shared" si="129"/>
        <v>1.6260802774533354</v>
      </c>
      <c r="X69" s="238">
        <f t="shared" si="105"/>
        <v>767.55848861136508</v>
      </c>
      <c r="Y69" s="238">
        <f t="shared" si="108"/>
        <v>639.39962106704979</v>
      </c>
      <c r="Z69" s="238">
        <f t="shared" si="112"/>
        <v>766.36710733973496</v>
      </c>
      <c r="AA69" s="238">
        <f t="shared" si="116"/>
        <v>799.99246407831458</v>
      </c>
      <c r="AB69" s="238">
        <f t="shared" si="119"/>
        <v>799.99246407831458</v>
      </c>
      <c r="AC69" s="238">
        <f t="shared" si="123"/>
        <v>421.74782009429754</v>
      </c>
      <c r="AD69" s="238">
        <f t="shared" si="126"/>
        <v>436.2767060431168</v>
      </c>
      <c r="AE69" s="238">
        <f t="shared" si="130"/>
        <v>913.27576270765974</v>
      </c>
      <c r="AF69" s="238">
        <f t="shared" si="133"/>
        <v>6304.5189506277829</v>
      </c>
      <c r="AG69" s="238">
        <f t="shared" si="154"/>
        <v>9380.5544725409891</v>
      </c>
      <c r="AH69" s="238">
        <f t="shared" si="154"/>
        <v>9289.6833427322508</v>
      </c>
      <c r="AI69" s="238">
        <f t="shared" si="161"/>
        <v>9284.5847870290891</v>
      </c>
      <c r="AJ69" s="238">
        <f t="shared" si="161"/>
        <v>9284.5847870290891</v>
      </c>
      <c r="AK69" s="238">
        <f t="shared" si="161"/>
        <v>9284.5847870290891</v>
      </c>
      <c r="AL69" s="238">
        <f t="shared" si="62"/>
        <v>9296.9118768321841</v>
      </c>
      <c r="AM69" s="238">
        <f t="shared" si="120"/>
        <v>7790.5608075584969</v>
      </c>
      <c r="AN69" s="238">
        <f t="shared" si="120"/>
        <v>7790.5608075584969</v>
      </c>
      <c r="AO69" s="238">
        <f t="shared" si="70"/>
        <v>6491.9315235353706</v>
      </c>
      <c r="AP69" s="238">
        <f t="shared" si="72"/>
        <v>9680.5989902044821</v>
      </c>
      <c r="AQ69" s="238">
        <f t="shared" si="75"/>
        <v>9255.9968611332461</v>
      </c>
      <c r="AR69" s="238">
        <f t="shared" si="77"/>
        <v>10989.641952203525</v>
      </c>
      <c r="AS69" s="238">
        <f t="shared" si="79"/>
        <v>10988.362875929388</v>
      </c>
      <c r="AT69" s="238">
        <f t="shared" si="81"/>
        <v>10987.484104519854</v>
      </c>
      <c r="AU69" s="238">
        <f t="shared" si="83"/>
        <v>3980.5930066633109</v>
      </c>
      <c r="AV69" s="238">
        <f t="shared" si="86"/>
        <v>4256.1222252898397</v>
      </c>
      <c r="AW69" s="238">
        <f t="shared" si="89"/>
        <v>4247.8117668882587</v>
      </c>
      <c r="AX69" s="238">
        <f t="shared" si="91"/>
        <v>4258.3228838233708</v>
      </c>
      <c r="AY69" s="238">
        <f t="shared" si="93"/>
        <v>4138.9078339867074</v>
      </c>
      <c r="AZ69" s="238">
        <f t="shared" si="98"/>
        <v>4328.7733794547939</v>
      </c>
      <c r="BA69" s="238">
        <f t="shared" si="98"/>
        <v>4328.6354763952822</v>
      </c>
      <c r="BB69" s="238">
        <f t="shared" si="101"/>
        <v>4453.500839769199</v>
      </c>
      <c r="BC69" s="238">
        <f t="shared" si="103"/>
        <v>6103.2602039455414</v>
      </c>
      <c r="BD69" s="238">
        <f t="shared" si="106"/>
        <v>4133.5765411859265</v>
      </c>
      <c r="BE69" s="238">
        <f t="shared" si="110"/>
        <v>3956.7414246177282</v>
      </c>
      <c r="BF69" s="238">
        <f t="shared" si="113"/>
        <v>4331.0916994660574</v>
      </c>
      <c r="BG69" s="238">
        <f t="shared" si="117"/>
        <v>4252.9249907274316</v>
      </c>
      <c r="BH69" s="238">
        <f t="shared" si="121"/>
        <v>3985.2725226840694</v>
      </c>
      <c r="BI69" s="238">
        <f t="shared" si="124"/>
        <v>3857.1819851500359</v>
      </c>
      <c r="BJ69" s="238">
        <f t="shared" si="127"/>
        <v>4253.4886831251843</v>
      </c>
      <c r="BK69" s="238">
        <f t="shared" si="131"/>
        <v>3969.2789646792376</v>
      </c>
      <c r="BL69" s="238">
        <f t="shared" si="134"/>
        <v>4283.7764667285319</v>
      </c>
      <c r="BM69" s="238">
        <f t="shared" si="136"/>
        <v>4275.5002339242401</v>
      </c>
      <c r="BN69" s="238">
        <f t="shared" si="138"/>
        <v>4107.7049930189241</v>
      </c>
      <c r="BO69" s="238">
        <f t="shared" si="140"/>
        <v>4113.2019252791752</v>
      </c>
      <c r="BP69" s="238">
        <f t="shared" si="142"/>
        <v>3979.0919653565848</v>
      </c>
      <c r="BQ69" s="238">
        <f t="shared" si="144"/>
        <v>713.14310719114087</v>
      </c>
      <c r="BR69" s="238">
        <f t="shared" si="146"/>
        <v>538.08870044634591</v>
      </c>
      <c r="BS69" s="238">
        <f t="shared" si="148"/>
        <v>574.01384496640424</v>
      </c>
      <c r="BT69" s="238">
        <f t="shared" si="150"/>
        <v>262.49028566727998</v>
      </c>
      <c r="BU69" s="238">
        <f t="shared" si="152"/>
        <v>562.07599381410125</v>
      </c>
      <c r="BV69" s="238">
        <f t="shared" si="155"/>
        <v>5173.1737113046711</v>
      </c>
      <c r="BW69" s="238">
        <f t="shared" si="157"/>
        <v>574.01384496640424</v>
      </c>
      <c r="BX69" s="238">
        <f t="shared" si="159"/>
        <v>1843.0829004440898</v>
      </c>
      <c r="BY69" s="238">
        <f t="shared" si="162"/>
        <v>848.46806576972278</v>
      </c>
      <c r="BZ69" s="238">
        <f t="shared" si="164"/>
        <v>1844.0486800112631</v>
      </c>
      <c r="CA69" s="238">
        <f t="shared" si="167"/>
        <v>717.20604276475046</v>
      </c>
      <c r="CB69" s="238">
        <f>ACOS(COS($L69)*COS($M69)*COS(INDEX($L:$L,MATCH(CB$2,$P:$P,0)))*COS(INDEX($M:$M,MATCH(CB$2,$P:$P,0))) + COS($L69)*SIN($M69)*COS(INDEX($L:$L,MATCH(CB$2,$P:$P,0)))*SIN(INDEX($M:$M,MATCH(CB$2,$P:$P,0))) + SIN($L69)*SIN(INDEX($L:$L,MATCH(CB$2,$P:$P,0)))) * 3963.1</f>
        <v>844.99445288817844</v>
      </c>
      <c r="CC69" s="238">
        <f>ACOS(COS($L69)*COS($M69)*COS(INDEX($L:$L,MATCH(CC$2,$P:$P,0)))*COS(INDEX($M:$M,MATCH(CC$2,$P:$P,0))) + COS($L69)*SIN($M69)*COS(INDEX($L:$L,MATCH(CC$2,$P:$P,0)))*SIN(INDEX($M:$M,MATCH(CC$2,$P:$P,0))) + SIN($L69)*SIN(INDEX($L:$L,MATCH(CC$2,$P:$P,0)))) * 3963.1</f>
        <v>4156.4731810550775</v>
      </c>
      <c r="CD69" s="238">
        <f>ACOS(COS($L69)*COS($M69)*COS(INDEX($L:$L,MATCH(CD$2,$P:$P,0)))*COS(INDEX($M:$M,MATCH(CD$2,$P:$P,0))) + COS($L69)*SIN($M69)*COS(INDEX($L:$L,MATCH(CD$2,$P:$P,0)))*SIN(INDEX($M:$M,MATCH(CD$2,$P:$P,0))) + SIN($L69)*SIN(INDEX($L:$L,MATCH(CD$2,$P:$P,0)))) * 3963.1</f>
        <v>8505.1727986749083</v>
      </c>
      <c r="CE69" s="238"/>
      <c r="CF69" s="238">
        <f>ACOS(COS($L69)*COS($M69)*COS(INDEX($L:$L,MATCH(CF$2,$P:$P,0)))*COS(INDEX($M:$M,MATCH(CF$2,$P:$P,0))) + COS($L69)*SIN($M69)*COS(INDEX($L:$L,MATCH(CF$2,$P:$P,0)))*SIN(INDEX($M:$M,MATCH(CF$2,$P:$P,0))) + SIN($L69)*SIN(INDEX($L:$L,MATCH(CF$2,$P:$P,0)))) * 3963.1</f>
        <v>594.69837810740694</v>
      </c>
      <c r="CG69" s="238">
        <f>ACOS(COS($L69)*COS($M69)*COS(INDEX($L:$L,MATCH(CG$2,$P:$P,0)))*COS(INDEX($M:$M,MATCH(CG$2,$P:$P,0))) + COS($L69)*SIN($M69)*COS(INDEX($L:$L,MATCH(CG$2,$P:$P,0)))*SIN(INDEX($M:$M,MATCH(CG$2,$P:$P,0))) + SIN($L69)*SIN(INDEX($L:$L,MATCH(CG$2,$P:$P,0)))) * 3963.1</f>
        <v>1843.1889098691245</v>
      </c>
    </row>
    <row r="70" spans="1:85" ht="14">
      <c r="A70" s="257"/>
      <c r="B70" s="258" t="s">
        <v>726</v>
      </c>
      <c r="C70" s="258" t="s">
        <v>727</v>
      </c>
      <c r="D70" s="260" t="s">
        <v>728</v>
      </c>
      <c r="E70" s="258" t="s">
        <v>729</v>
      </c>
      <c r="F70" s="257" t="s">
        <v>730</v>
      </c>
      <c r="G70" s="257" t="s">
        <v>81</v>
      </c>
      <c r="H70" s="257"/>
      <c r="I70" s="257"/>
      <c r="J70" s="235">
        <v>38.902732999999998</v>
      </c>
      <c r="K70" s="236">
        <v>-77.029180999999994</v>
      </c>
      <c r="L70" s="237">
        <f t="shared" si="85"/>
        <v>0.67898077887425112</v>
      </c>
      <c r="M70" s="237">
        <f t="shared" si="85"/>
        <v>-1.3444128285646582</v>
      </c>
      <c r="N70" s="236"/>
      <c r="O70" s="236"/>
      <c r="P70" s="112" t="str">
        <f>B70</f>
        <v>C-site K-Street</v>
      </c>
      <c r="Q70" s="238">
        <f t="shared" si="88"/>
        <v>18.353696379277142</v>
      </c>
      <c r="R70" s="238">
        <f t="shared" si="166"/>
        <v>1181.3299945286633</v>
      </c>
      <c r="S70" s="238">
        <f t="shared" si="166"/>
        <v>1181.3299945286633</v>
      </c>
      <c r="T70" s="238">
        <f t="shared" si="97"/>
        <v>1317.4689052068732</v>
      </c>
      <c r="U70" s="238">
        <f t="shared" si="129"/>
        <v>593.6174357931277</v>
      </c>
      <c r="V70" s="238">
        <f t="shared" si="129"/>
        <v>593.6174357931277</v>
      </c>
      <c r="W70" s="238">
        <f t="shared" si="129"/>
        <v>593.6174357931277</v>
      </c>
      <c r="X70" s="238">
        <f t="shared" si="105"/>
        <v>288.21419665879733</v>
      </c>
      <c r="Y70" s="238">
        <f t="shared" si="108"/>
        <v>88.516411890928765</v>
      </c>
      <c r="Z70" s="238">
        <f t="shared" si="112"/>
        <v>296.98785820005395</v>
      </c>
      <c r="AA70" s="238">
        <f t="shared" si="116"/>
        <v>318.28268677777743</v>
      </c>
      <c r="AB70" s="238">
        <f t="shared" si="119"/>
        <v>318.28268677777743</v>
      </c>
      <c r="AC70" s="238">
        <f t="shared" si="123"/>
        <v>362.88198025304109</v>
      </c>
      <c r="AD70" s="238">
        <f t="shared" si="126"/>
        <v>350.16161979980853</v>
      </c>
      <c r="AE70" s="238">
        <f t="shared" si="130"/>
        <v>1484.4629649577112</v>
      </c>
      <c r="AF70" s="238">
        <f t="shared" si="133"/>
        <v>6781.2817332429713</v>
      </c>
      <c r="AG70" s="238">
        <f t="shared" si="154"/>
        <v>9670.4938915030689</v>
      </c>
      <c r="AH70" s="238">
        <f t="shared" si="154"/>
        <v>9546.0134141102935</v>
      </c>
      <c r="AI70" s="238">
        <f t="shared" si="161"/>
        <v>9542.9380934990313</v>
      </c>
      <c r="AJ70" s="238">
        <f t="shared" si="161"/>
        <v>9542.9380934990313</v>
      </c>
      <c r="AK70" s="238">
        <f t="shared" si="161"/>
        <v>9542.9380934990313</v>
      </c>
      <c r="AL70" s="238">
        <f t="shared" si="62"/>
        <v>9555.7200132319522</v>
      </c>
      <c r="AM70" s="238">
        <f t="shared" si="120"/>
        <v>8148.7426314537224</v>
      </c>
      <c r="AN70" s="238">
        <f t="shared" si="120"/>
        <v>8148.7426314537224</v>
      </c>
      <c r="AO70" s="238">
        <f t="shared" si="70"/>
        <v>6952.1882108769578</v>
      </c>
      <c r="AP70" s="238">
        <f t="shared" si="72"/>
        <v>10184.410604265247</v>
      </c>
      <c r="AQ70" s="238">
        <f t="shared" si="75"/>
        <v>9775.7330628514592</v>
      </c>
      <c r="AR70" s="238">
        <f t="shared" si="77"/>
        <v>11582.292362012282</v>
      </c>
      <c r="AS70" s="238">
        <f t="shared" si="79"/>
        <v>11581.075720705481</v>
      </c>
      <c r="AT70" s="238">
        <f t="shared" si="81"/>
        <v>11580.192536211505</v>
      </c>
      <c r="AU70" s="238">
        <f t="shared" si="83"/>
        <v>3696.4950237273242</v>
      </c>
      <c r="AV70" s="238">
        <f t="shared" si="86"/>
        <v>3972.1831259334549</v>
      </c>
      <c r="AW70" s="238">
        <f t="shared" si="89"/>
        <v>3964.0009897921427</v>
      </c>
      <c r="AX70" s="238">
        <f t="shared" si="91"/>
        <v>4053.2136677863405</v>
      </c>
      <c r="AY70" s="238">
        <f t="shared" si="93"/>
        <v>3838.002969698709</v>
      </c>
      <c r="AZ70" s="238">
        <f t="shared" si="98"/>
        <v>4058.0287565816852</v>
      </c>
      <c r="BA70" s="238">
        <f t="shared" si="98"/>
        <v>4057.8892611311007</v>
      </c>
      <c r="BB70" s="238">
        <f t="shared" si="101"/>
        <v>4163.3443596115312</v>
      </c>
      <c r="BC70" s="238">
        <f t="shared" si="103"/>
        <v>5529.4042963022648</v>
      </c>
      <c r="BD70" s="238">
        <f t="shared" si="106"/>
        <v>3831.2362906701296</v>
      </c>
      <c r="BE70" s="238">
        <f t="shared" si="110"/>
        <v>3673.5013822859273</v>
      </c>
      <c r="BF70" s="238">
        <f t="shared" si="113"/>
        <v>4060.180506169565</v>
      </c>
      <c r="BG70" s="238">
        <f t="shared" si="117"/>
        <v>4048.2154873265627</v>
      </c>
      <c r="BH70" s="238">
        <f t="shared" si="121"/>
        <v>3701.1798547041753</v>
      </c>
      <c r="BI70" s="238">
        <f t="shared" si="124"/>
        <v>3587.3876733915854</v>
      </c>
      <c r="BJ70" s="238">
        <f t="shared" si="127"/>
        <v>4048.0752353364237</v>
      </c>
      <c r="BK70" s="238">
        <f t="shared" si="131"/>
        <v>3684.4225490416102</v>
      </c>
      <c r="BL70" s="238">
        <f t="shared" si="134"/>
        <v>4130.940108299983</v>
      </c>
      <c r="BM70" s="238">
        <f t="shared" si="136"/>
        <v>4123.1928830231382</v>
      </c>
      <c r="BN70" s="238">
        <f t="shared" si="138"/>
        <v>3847.0501123646973</v>
      </c>
      <c r="BO70" s="238">
        <f t="shared" si="140"/>
        <v>3852.2190310722872</v>
      </c>
      <c r="BP70" s="238">
        <f t="shared" si="142"/>
        <v>3692.9815128266691</v>
      </c>
      <c r="BQ70" s="238">
        <f t="shared" si="144"/>
        <v>309.46552584755682</v>
      </c>
      <c r="BR70" s="238">
        <f t="shared" si="146"/>
        <v>82.18607466053966</v>
      </c>
      <c r="BS70" s="238">
        <f t="shared" si="148"/>
        <v>23.562484413486455</v>
      </c>
      <c r="BT70" s="238">
        <f t="shared" si="150"/>
        <v>709.9872499020762</v>
      </c>
      <c r="BU70" s="238">
        <f t="shared" si="152"/>
        <v>59.608054351942386</v>
      </c>
      <c r="BV70" s="238">
        <f t="shared" si="155"/>
        <v>4691.051290989285</v>
      </c>
      <c r="BW70" s="238">
        <f t="shared" si="157"/>
        <v>23.562484413486455</v>
      </c>
      <c r="BX70" s="238">
        <f t="shared" si="159"/>
        <v>2422.2270643277102</v>
      </c>
      <c r="BY70" s="238">
        <f t="shared" si="162"/>
        <v>393.846947023138</v>
      </c>
      <c r="BZ70" s="238">
        <f t="shared" si="164"/>
        <v>2423.1995528640564</v>
      </c>
      <c r="CA70" s="238">
        <f t="shared" si="167"/>
        <v>226.74905685369532</v>
      </c>
      <c r="CB70" s="238">
        <f>ACOS(COS($L70)*COS($M70)*COS(INDEX($L:$L,MATCH(CB$2,$P:$P,0)))*COS(INDEX($M:$M,MATCH(CB$2,$P:$P,0))) + COS($L70)*SIN($M70)*COS(INDEX($L:$L,MATCH(CB$2,$P:$P,0)))*SIN(INDEX($M:$M,MATCH(CB$2,$P:$P,0))) + SIN($L70)*SIN(INDEX($L:$L,MATCH(CB$2,$P:$P,0)))) * 3963.1</f>
        <v>391.57148063826918</v>
      </c>
      <c r="CC70" s="238">
        <f>ACOS(COS($L70)*COS($M70)*COS(INDEX($L:$L,MATCH(CC$2,$P:$P,0)))*COS(INDEX($M:$M,MATCH(CC$2,$P:$P,0))) + COS($L70)*SIN($M70)*COS(INDEX($L:$L,MATCH(CC$2,$P:$P,0)))*SIN(INDEX($M:$M,MATCH(CC$2,$P:$P,0))) + SIN($L70)*SIN(INDEX($L:$L,MATCH(CC$2,$P:$P,0)))) * 3963.1</f>
        <v>3897.4347438785389</v>
      </c>
      <c r="CD70" s="238">
        <f>ACOS(COS($L70)*COS($M70)*COS(INDEX($L:$L,MATCH(CD$2,$P:$P,0)))*COS(INDEX($M:$M,MATCH(CD$2,$P:$P,0))) + COS($L70)*SIN($M70)*COS(INDEX($L:$L,MATCH(CD$2,$P:$P,0)))*SIN(INDEX($M:$M,MATCH(CD$2,$P:$P,0))) + SIN($L70)*SIN(INDEX($L:$L,MATCH(CD$2,$P:$P,0)))) * 3963.1</f>
        <v>7910.6447635207496</v>
      </c>
      <c r="CE70" s="238">
        <f>ACOS(COS($L70)*COS($M70)*COS(INDEX($L:$L,MATCH(CE$2,$P:$P,0)))*COS(INDEX($M:$M,MATCH(CE$2,$P:$P,0))) + COS($L70)*SIN($M70)*COS(INDEX($L:$L,MATCH(CE$2,$P:$P,0)))*SIN(INDEX($M:$M,MATCH(CE$2,$P:$P,0))) + SIN($L70)*SIN(INDEX($L:$L,MATCH(CE$2,$P:$P,0)))) * 3963.1</f>
        <v>594.69837810740694</v>
      </c>
      <c r="CF70" s="238"/>
      <c r="CG70" s="238">
        <f>ACOS(COS($L70)*COS($M70)*COS(INDEX($L:$L,MATCH(CG$2,$P:$P,0)))*COS(INDEX($M:$M,MATCH(CG$2,$P:$P,0))) + COS($L70)*SIN($M70)*COS(INDEX($L:$L,MATCH(CG$2,$P:$P,0)))*SIN(INDEX($M:$M,MATCH(CG$2,$P:$P,0))) + SIN($L70)*SIN(INDEX($L:$L,MATCH(CG$2,$P:$P,0)))) * 3963.1</f>
        <v>2422.3340331485192</v>
      </c>
    </row>
    <row r="71" spans="1:85" ht="14">
      <c r="A71" s="257"/>
      <c r="B71" s="258" t="s">
        <v>731</v>
      </c>
      <c r="C71" s="258" t="s">
        <v>732</v>
      </c>
      <c r="D71" s="260" t="s">
        <v>733</v>
      </c>
      <c r="E71" s="261" t="s">
        <v>117</v>
      </c>
      <c r="F71" s="257" t="s">
        <v>116</v>
      </c>
      <c r="G71" s="257" t="s">
        <v>81</v>
      </c>
      <c r="H71" s="257"/>
      <c r="I71" s="257"/>
      <c r="J71" s="235">
        <v>37.3761777</v>
      </c>
      <c r="K71" s="236">
        <v>-121.9723662</v>
      </c>
      <c r="L71" s="237">
        <f t="shared" si="85"/>
        <v>0.65233736267548137</v>
      </c>
      <c r="M71" s="237">
        <f t="shared" si="85"/>
        <v>-2.1288193866382445</v>
      </c>
      <c r="N71" s="236"/>
      <c r="O71" s="236"/>
      <c r="P71" s="112" t="str">
        <f>B71</f>
        <v>C-site Santa Clara</v>
      </c>
      <c r="Q71" s="238">
        <f t="shared" si="88"/>
        <v>2403.9863056337704</v>
      </c>
      <c r="R71" s="238">
        <f t="shared" si="166"/>
        <v>1442.6702178184644</v>
      </c>
      <c r="S71" s="238">
        <f t="shared" si="166"/>
        <v>1442.6702178184644</v>
      </c>
      <c r="T71" s="238">
        <f t="shared" si="97"/>
        <v>1475.6158857901059</v>
      </c>
      <c r="U71" s="238">
        <f t="shared" si="129"/>
        <v>1843.9228107693541</v>
      </c>
      <c r="V71" s="238">
        <f t="shared" si="129"/>
        <v>1843.9228107693541</v>
      </c>
      <c r="W71" s="238">
        <f t="shared" si="129"/>
        <v>1843.9228107693541</v>
      </c>
      <c r="X71" s="238">
        <f t="shared" si="105"/>
        <v>2608.7585348369166</v>
      </c>
      <c r="Y71" s="238">
        <f t="shared" si="108"/>
        <v>2478.1003601792895</v>
      </c>
      <c r="Z71" s="238">
        <f t="shared" si="112"/>
        <v>2606.632573622077</v>
      </c>
      <c r="AA71" s="238">
        <f t="shared" si="116"/>
        <v>2640.5302114881656</v>
      </c>
      <c r="AB71" s="238">
        <f t="shared" si="119"/>
        <v>2640.5302114881656</v>
      </c>
      <c r="AC71" s="238">
        <f t="shared" si="123"/>
        <v>2238.6418351559669</v>
      </c>
      <c r="AD71" s="238">
        <f t="shared" si="126"/>
        <v>2255.7822914449303</v>
      </c>
      <c r="AE71" s="238">
        <f t="shared" si="130"/>
        <v>938.51946384631572</v>
      </c>
      <c r="AF71" s="238">
        <f t="shared" si="133"/>
        <v>5176.8272860685265</v>
      </c>
      <c r="AG71" s="238">
        <f t="shared" si="154"/>
        <v>8487.7108082013619</v>
      </c>
      <c r="AH71" s="238">
        <f t="shared" si="154"/>
        <v>8502.7539435830386</v>
      </c>
      <c r="AI71" s="238">
        <f t="shared" si="161"/>
        <v>8493.2667501967026</v>
      </c>
      <c r="AJ71" s="238">
        <f t="shared" si="161"/>
        <v>8493.2667501967026</v>
      </c>
      <c r="AK71" s="238">
        <f t="shared" si="161"/>
        <v>8493.2667501967026</v>
      </c>
      <c r="AL71" s="238">
        <f t="shared" si="62"/>
        <v>8501.9921464505223</v>
      </c>
      <c r="AM71" s="238">
        <f t="shared" si="120"/>
        <v>6933.2342002395526</v>
      </c>
      <c r="AN71" s="238">
        <f t="shared" si="120"/>
        <v>6933.2342002395526</v>
      </c>
      <c r="AO71" s="238">
        <f t="shared" si="70"/>
        <v>5413.2233056452342</v>
      </c>
      <c r="AP71" s="238">
        <f t="shared" si="72"/>
        <v>7875.7716120663026</v>
      </c>
      <c r="AQ71" s="238">
        <f t="shared" si="75"/>
        <v>7442.1470931161666</v>
      </c>
      <c r="AR71" s="238">
        <f t="shared" si="77"/>
        <v>9191.9249215351938</v>
      </c>
      <c r="AS71" s="238">
        <f t="shared" si="79"/>
        <v>9190.3991821477703</v>
      </c>
      <c r="AT71" s="238">
        <f t="shared" si="81"/>
        <v>9189.5606599613693</v>
      </c>
      <c r="AU71" s="238">
        <f t="shared" si="83"/>
        <v>5397.0591591943848</v>
      </c>
      <c r="AV71" s="238">
        <f t="shared" si="86"/>
        <v>5651.1151389181832</v>
      </c>
      <c r="AW71" s="238">
        <f t="shared" si="89"/>
        <v>5643.1696271126575</v>
      </c>
      <c r="AX71" s="238">
        <f t="shared" si="91"/>
        <v>5482.7519444218251</v>
      </c>
      <c r="AY71" s="238">
        <f t="shared" si="93"/>
        <v>5577.2219490157495</v>
      </c>
      <c r="AZ71" s="238">
        <f t="shared" si="98"/>
        <v>5690.3762400347241</v>
      </c>
      <c r="BA71" s="238">
        <f t="shared" si="98"/>
        <v>5690.2526603004844</v>
      </c>
      <c r="BB71" s="238">
        <f t="shared" si="101"/>
        <v>5846.8174994026476</v>
      </c>
      <c r="BC71" s="238">
        <f t="shared" si="103"/>
        <v>7946.435822739837</v>
      </c>
      <c r="BD71" s="238">
        <f t="shared" si="106"/>
        <v>5575.1500193920156</v>
      </c>
      <c r="BE71" s="238">
        <f t="shared" si="110"/>
        <v>5373.3531929570081</v>
      </c>
      <c r="BF71" s="238">
        <f t="shared" si="113"/>
        <v>5692.8651639795989</v>
      </c>
      <c r="BG71" s="238">
        <f t="shared" si="117"/>
        <v>5476.9860693417086</v>
      </c>
      <c r="BH71" s="238">
        <f t="shared" si="121"/>
        <v>5401.3646288416958</v>
      </c>
      <c r="BI71" s="238">
        <f t="shared" si="124"/>
        <v>5255.0122527366975</v>
      </c>
      <c r="BJ71" s="238">
        <f t="shared" si="127"/>
        <v>5479.0715390618225</v>
      </c>
      <c r="BK71" s="238">
        <f t="shared" si="131"/>
        <v>5388.1370635992944</v>
      </c>
      <c r="BL71" s="238">
        <f t="shared" si="134"/>
        <v>5385.5354396779212</v>
      </c>
      <c r="BM71" s="238">
        <f t="shared" si="136"/>
        <v>5376.935770082504</v>
      </c>
      <c r="BN71" s="238">
        <f t="shared" si="138"/>
        <v>5466.0362623273977</v>
      </c>
      <c r="BO71" s="238">
        <f t="shared" si="140"/>
        <v>5471.7588451734473</v>
      </c>
      <c r="BP71" s="238">
        <f t="shared" si="142"/>
        <v>5399.6913663737914</v>
      </c>
      <c r="BQ71" s="238">
        <f t="shared" si="144"/>
        <v>2547.3608094482997</v>
      </c>
      <c r="BR71" s="238">
        <f t="shared" si="146"/>
        <v>2376.2003064981427</v>
      </c>
      <c r="BS71" s="238">
        <f t="shared" si="148"/>
        <v>2399.7461332682933</v>
      </c>
      <c r="BT71" s="238">
        <f t="shared" si="150"/>
        <v>1725.2900465605194</v>
      </c>
      <c r="BU71" s="238">
        <f t="shared" si="152"/>
        <v>2378.895492665662</v>
      </c>
      <c r="BV71" s="238">
        <f t="shared" si="155"/>
        <v>6399.5359531490276</v>
      </c>
      <c r="BW71" s="238">
        <f t="shared" si="157"/>
        <v>2399.7461332682933</v>
      </c>
      <c r="BX71" s="256">
        <f t="shared" si="159"/>
        <v>0.10750460580707817</v>
      </c>
      <c r="BY71" s="238">
        <f t="shared" si="162"/>
        <v>2683.0608791797827</v>
      </c>
      <c r="BZ71" s="256">
        <f t="shared" si="164"/>
        <v>0.8673778743913042</v>
      </c>
      <c r="CA71" s="238">
        <f t="shared" si="167"/>
        <v>2560.0835377414933</v>
      </c>
      <c r="CB71" s="238">
        <f>ACOS(COS($L71)*COS($M71)*COS(INDEX($L:$L,MATCH(CB$2,$P:$P,0)))*COS(INDEX($M:$M,MATCH(CB$2,$P:$P,0))) + COS($L71)*SIN($M71)*COS(INDEX($L:$L,MATCH(CB$2,$P:$P,0)))*SIN(INDEX($M:$M,MATCH(CB$2,$P:$P,0))) + SIN($L71)*SIN(INDEX($L:$L,MATCH(CB$2,$P:$P,0)))) * 3963.1</f>
        <v>2679.5315993716627</v>
      </c>
      <c r="CC71" s="238">
        <f>ACOS(COS($L71)*COS($M71)*COS(INDEX($L:$L,MATCH(CC$2,$P:$P,0)))*COS(INDEX($M:$M,MATCH(CC$2,$P:$P,0))) + COS($L71)*SIN($M71)*COS(INDEX($L:$L,MATCH(CC$2,$P:$P,0)))*SIN(INDEX($M:$M,MATCH(CC$2,$P:$P,0))) + SIN($L71)*SIN(INDEX($L:$L,MATCH(CC$2,$P:$P,0)))) * 3963.1</f>
        <v>5507.3419490869837</v>
      </c>
      <c r="CD71" s="238">
        <f>ACOS(COS($L71)*COS($M71)*COS(INDEX($L:$L,MATCH(CD$2,$P:$P,0)))*COS(INDEX($M:$M,MATCH(CD$2,$P:$P,0))) + COS($L71)*SIN($M71)*COS(INDEX($L:$L,MATCH(CD$2,$P:$P,0)))*SIN(INDEX($M:$M,MATCH(CD$2,$P:$P,0))) + SIN($L71)*SIN(INDEX($L:$L,MATCH(CD$2,$P:$P,0)))) * 3963.1</f>
        <v>10232.110470721058</v>
      </c>
      <c r="CE71" s="238">
        <f>ACOS(COS($L71)*COS($M71)*COS(INDEX($L:$L,MATCH(CE$2,$P:$P,0)))*COS(INDEX($M:$M,MATCH(CE$2,$P:$P,0))) + COS($L71)*SIN($M71)*COS(INDEX($L:$L,MATCH(CE$2,$P:$P,0)))*SIN(INDEX($M:$M,MATCH(CE$2,$P:$P,0))) + SIN($L71)*SIN(INDEX($L:$L,MATCH(CE$2,$P:$P,0)))) * 3963.1</f>
        <v>1843.1889098691229</v>
      </c>
      <c r="CF71" s="238">
        <f>ACOS(COS($L71)*COS($M71)*COS(INDEX($L:$L,MATCH(CF$2,$P:$P,0)))*COS(INDEX($M:$M,MATCH(CF$2,$P:$P,0))) + COS($L71)*SIN($M71)*COS(INDEX($L:$L,MATCH(CF$2,$P:$P,0)))*SIN(INDEX($M:$M,MATCH(CF$2,$P:$P,0))) + SIN($L71)*SIN(INDEX($L:$L,MATCH(CF$2,$P:$P,0)))) * 3963.1</f>
        <v>2422.3340331485183</v>
      </c>
      <c r="CG71" s="238"/>
    </row>
    <row r="74" spans="1:85">
      <c r="K74" s="26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24"/>
  <sheetViews>
    <sheetView workbookViewId="0">
      <selection activeCell="J1" sqref="J1"/>
    </sheetView>
  </sheetViews>
  <sheetFormatPr baseColWidth="10" defaultColWidth="8.83203125" defaultRowHeight="12" x14ac:dyDescent="0"/>
  <cols>
    <col min="1" max="1" width="9.33203125" bestFit="1" customWidth="1"/>
    <col min="2" max="2" width="20.5" customWidth="1"/>
    <col min="3" max="3" width="11.6640625" customWidth="1"/>
    <col min="4" max="4" width="11.5" customWidth="1"/>
    <col min="5" max="5" width="10.33203125" bestFit="1" customWidth="1"/>
    <col min="6" max="6" width="9.33203125" bestFit="1" customWidth="1"/>
    <col min="7" max="8" width="10.33203125" bestFit="1" customWidth="1"/>
    <col min="9" max="9" width="9.33203125" bestFit="1" customWidth="1"/>
    <col min="10" max="10" width="41.5" customWidth="1"/>
  </cols>
  <sheetData>
    <row r="1" spans="2:16">
      <c r="J1" s="7" t="s">
        <v>825</v>
      </c>
    </row>
    <row r="4" spans="2:16">
      <c r="J4" s="67" t="s">
        <v>734</v>
      </c>
    </row>
    <row r="6" spans="2:16">
      <c r="C6">
        <v>3.3</v>
      </c>
      <c r="F6">
        <f>7/16</f>
        <v>0.4375</v>
      </c>
      <c r="G6">
        <v>5</v>
      </c>
      <c r="J6" t="s">
        <v>232</v>
      </c>
      <c r="K6" s="465" t="s">
        <v>217</v>
      </c>
      <c r="L6" s="465"/>
      <c r="M6" s="465"/>
      <c r="N6" s="465" t="s">
        <v>78</v>
      </c>
      <c r="O6" s="465"/>
      <c r="P6" s="465"/>
    </row>
    <row r="7" spans="2:16">
      <c r="F7">
        <f>F6/G6</f>
        <v>8.7499999999999994E-2</v>
      </c>
      <c r="G7">
        <v>1</v>
      </c>
      <c r="K7" s="65" t="s">
        <v>233</v>
      </c>
      <c r="L7" s="65" t="s">
        <v>234</v>
      </c>
      <c r="M7" s="65" t="s">
        <v>235</v>
      </c>
      <c r="N7" s="65" t="s">
        <v>233</v>
      </c>
      <c r="O7" s="65" t="s">
        <v>234</v>
      </c>
      <c r="P7" s="65" t="s">
        <v>235</v>
      </c>
    </row>
    <row r="8" spans="2:16">
      <c r="B8">
        <f>-21/32</f>
        <v>-0.65625</v>
      </c>
      <c r="C8">
        <f>B8/$F$7</f>
        <v>-7.5000000000000009</v>
      </c>
      <c r="D8">
        <f>-8/32</f>
        <v>-0.25</v>
      </c>
      <c r="E8">
        <f>D8/$F$7</f>
        <v>-2.8571428571428572</v>
      </c>
      <c r="J8" t="s">
        <v>241</v>
      </c>
      <c r="K8">
        <v>5</v>
      </c>
      <c r="L8">
        <f>K8*16</f>
        <v>80</v>
      </c>
      <c r="M8">
        <v>12</v>
      </c>
    </row>
    <row r="9" spans="2:16">
      <c r="B9">
        <f>25/32</f>
        <v>0.78125</v>
      </c>
      <c r="C9">
        <f>B9/$F$7</f>
        <v>8.9285714285714288</v>
      </c>
      <c r="D9">
        <f>33/32</f>
        <v>1.03125</v>
      </c>
      <c r="E9">
        <f>D9/$F$7</f>
        <v>11.785714285714286</v>
      </c>
      <c r="J9" t="s">
        <v>239</v>
      </c>
      <c r="N9">
        <v>8</v>
      </c>
      <c r="O9">
        <f>N9*16</f>
        <v>128</v>
      </c>
      <c r="P9">
        <v>16</v>
      </c>
    </row>
    <row r="10" spans="2:16">
      <c r="B10">
        <f>25/32</f>
        <v>0.78125</v>
      </c>
      <c r="C10">
        <f>B10/$F$7</f>
        <v>8.9285714285714288</v>
      </c>
      <c r="D10">
        <f>33/32</f>
        <v>1.03125</v>
      </c>
      <c r="E10">
        <f>D10/$F$7</f>
        <v>11.785714285714286</v>
      </c>
      <c r="J10" t="s">
        <v>240</v>
      </c>
      <c r="N10">
        <v>14</v>
      </c>
      <c r="O10">
        <f>N10*16</f>
        <v>224</v>
      </c>
      <c r="P10">
        <v>28</v>
      </c>
    </row>
    <row r="11" spans="2:16">
      <c r="B11">
        <f>57/32</f>
        <v>1.78125</v>
      </c>
      <c r="C11">
        <f>B11/$F$7</f>
        <v>20.357142857142858</v>
      </c>
      <c r="D11">
        <f>55/32</f>
        <v>1.71875</v>
      </c>
      <c r="E11">
        <f>D11/$F$7</f>
        <v>19.642857142857142</v>
      </c>
      <c r="J11" t="s">
        <v>238</v>
      </c>
      <c r="O11">
        <v>252</v>
      </c>
      <c r="P11">
        <v>25.3</v>
      </c>
    </row>
    <row r="12" spans="2:16">
      <c r="B12" s="7" t="s">
        <v>29</v>
      </c>
      <c r="C12" s="7" t="s">
        <v>26</v>
      </c>
      <c r="D12" s="7" t="s">
        <v>27</v>
      </c>
      <c r="E12" s="7" t="s">
        <v>25</v>
      </c>
      <c r="J12" t="s">
        <v>237</v>
      </c>
      <c r="N12">
        <v>1</v>
      </c>
      <c r="O12">
        <f>N12*16</f>
        <v>16</v>
      </c>
      <c r="P12">
        <v>2.5</v>
      </c>
    </row>
    <row r="13" spans="2:16">
      <c r="B13" t="s">
        <v>23</v>
      </c>
      <c r="C13" s="1">
        <f>C9*$C$6</f>
        <v>29.464285714285715</v>
      </c>
      <c r="D13" s="1">
        <f>E9*$C$6</f>
        <v>38.892857142857146</v>
      </c>
      <c r="E13" s="8">
        <f>C13*D13</f>
        <v>1145.950255102041</v>
      </c>
      <c r="J13" t="s">
        <v>236</v>
      </c>
      <c r="O13">
        <v>325</v>
      </c>
      <c r="P13">
        <v>35</v>
      </c>
    </row>
    <row r="14" spans="2:16">
      <c r="B14" t="s">
        <v>22</v>
      </c>
      <c r="C14" s="1">
        <f>C10*$C$6</f>
        <v>29.464285714285715</v>
      </c>
      <c r="D14" s="1">
        <f>E10*$C$6</f>
        <v>38.892857142857146</v>
      </c>
      <c r="E14" s="8">
        <f>C14*D14</f>
        <v>1145.950255102041</v>
      </c>
      <c r="J14" s="66" t="s">
        <v>17</v>
      </c>
      <c r="K14" s="7">
        <f t="shared" ref="K14:P14" si="0">SUM(K8:K13)</f>
        <v>5</v>
      </c>
      <c r="L14" s="7">
        <f t="shared" si="0"/>
        <v>80</v>
      </c>
      <c r="M14" s="7">
        <f t="shared" si="0"/>
        <v>12</v>
      </c>
      <c r="N14" s="7">
        <f t="shared" si="0"/>
        <v>23</v>
      </c>
      <c r="O14" s="7">
        <f t="shared" si="0"/>
        <v>945</v>
      </c>
      <c r="P14" s="7">
        <f t="shared" si="0"/>
        <v>106.8</v>
      </c>
    </row>
    <row r="15" spans="2:16">
      <c r="B15" s="464" t="s">
        <v>24</v>
      </c>
      <c r="C15" s="1">
        <f>C11*$C$6</f>
        <v>67.178571428571431</v>
      </c>
      <c r="D15" s="1">
        <f>E11*$C$6</f>
        <v>64.821428571428569</v>
      </c>
      <c r="E15" s="1">
        <f>C15*D15</f>
        <v>4354.6109693877552</v>
      </c>
    </row>
    <row r="16" spans="2:16">
      <c r="B16" s="464"/>
      <c r="C16" s="1">
        <f>C8*$C$6</f>
        <v>-24.75</v>
      </c>
      <c r="D16" s="1">
        <f>E8*$C$6</f>
        <v>-9.4285714285714288</v>
      </c>
      <c r="E16" s="1">
        <f>-C16*D16</f>
        <v>-233.35714285714286</v>
      </c>
    </row>
    <row r="17" spans="2:15">
      <c r="B17" s="464"/>
      <c r="C17" s="1"/>
      <c r="D17" s="1"/>
      <c r="E17" s="8">
        <f>E15+E16</f>
        <v>4121.2538265306121</v>
      </c>
    </row>
    <row r="18" spans="2:15">
      <c r="C18" s="6"/>
      <c r="D18" s="7" t="s">
        <v>28</v>
      </c>
      <c r="E18" s="8">
        <f>SUM(E13:E15)</f>
        <v>6646.5114795918371</v>
      </c>
    </row>
    <row r="20" spans="2:15">
      <c r="B20" s="7" t="s">
        <v>29</v>
      </c>
      <c r="C20" s="7" t="s">
        <v>26</v>
      </c>
      <c r="D20" s="7" t="s">
        <v>27</v>
      </c>
      <c r="E20" s="7" t="s">
        <v>25</v>
      </c>
    </row>
    <row r="21" spans="2:15">
      <c r="B21" t="s">
        <v>23</v>
      </c>
      <c r="C21" s="1">
        <v>47.142857142857146</v>
      </c>
      <c r="D21" s="1">
        <v>56.571428571428569</v>
      </c>
      <c r="E21" s="1">
        <f>C21*D21</f>
        <v>2666.9387755102043</v>
      </c>
      <c r="O21" s="67" t="s">
        <v>43</v>
      </c>
    </row>
    <row r="22" spans="2:15">
      <c r="B22" t="s">
        <v>22</v>
      </c>
      <c r="C22" s="1">
        <v>47.142857142857146</v>
      </c>
      <c r="D22" s="1">
        <v>56.571428571428569</v>
      </c>
      <c r="E22" s="1">
        <f>C22*D22</f>
        <v>2666.9387755102043</v>
      </c>
    </row>
    <row r="23" spans="2:15">
      <c r="B23" t="s">
        <v>24</v>
      </c>
      <c r="C23" s="1">
        <v>136.71428571428572</v>
      </c>
      <c r="D23" s="1">
        <v>63.642857142857146</v>
      </c>
      <c r="E23" s="1">
        <f>C23*D23</f>
        <v>8700.8877551020414</v>
      </c>
    </row>
    <row r="24" spans="2:15">
      <c r="C24" s="6"/>
      <c r="D24" s="7" t="s">
        <v>28</v>
      </c>
      <c r="E24" s="8">
        <f>SUM(E21:E23)</f>
        <v>14034.76530612245</v>
      </c>
    </row>
  </sheetData>
  <mergeCells count="3">
    <mergeCell ref="B15:B17"/>
    <mergeCell ref="K6:M6"/>
    <mergeCell ref="N6:P6"/>
  </mergeCells>
  <phoneticPr fontId="4" type="noConversion"/>
  <pageMargins left="0.75" right="0.75" top="1" bottom="1" header="0.5" footer="0.5"/>
  <pageSetup orientation="portrait" horizontalDpi="4294967293" verticalDpi="0"/>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1:Y106"/>
  <sheetViews>
    <sheetView showGridLines="0" topLeftCell="F40" zoomScale="90" zoomScaleNormal="90" zoomScalePageLayoutView="90" workbookViewId="0">
      <selection activeCell="I41" sqref="I41"/>
    </sheetView>
  </sheetViews>
  <sheetFormatPr baseColWidth="10" defaultColWidth="8.83203125" defaultRowHeight="12" x14ac:dyDescent="0"/>
  <cols>
    <col min="1" max="1" width="2.33203125" customWidth="1"/>
    <col min="2" max="2" width="22.6640625" customWidth="1"/>
    <col min="3" max="3" width="1.1640625" customWidth="1"/>
    <col min="4" max="4" width="21.5" customWidth="1"/>
    <col min="5" max="5" width="8.6640625" customWidth="1"/>
    <col min="6" max="6" width="2.5" style="125" customWidth="1"/>
    <col min="7" max="7" width="24.5" customWidth="1"/>
    <col min="8" max="8" width="9.1640625" customWidth="1"/>
    <col min="9" max="9" width="23.1640625" customWidth="1"/>
    <col min="10" max="10" width="10.6640625" customWidth="1"/>
    <col min="11" max="11" width="2.1640625" customWidth="1"/>
    <col min="12" max="12" width="23.33203125" customWidth="1"/>
    <col min="13" max="13" width="11.83203125" customWidth="1"/>
    <col min="14" max="14" width="2.5" style="122" customWidth="1"/>
    <col min="15" max="15" width="20.6640625" customWidth="1"/>
    <col min="16" max="16" width="11.1640625" bestFit="1" customWidth="1"/>
    <col min="17" max="17" width="2" customWidth="1"/>
    <col min="19" max="19" width="12.1640625" bestFit="1" customWidth="1"/>
    <col min="22" max="22" width="23.5" customWidth="1"/>
    <col min="23" max="23" width="17.5" customWidth="1"/>
    <col min="24" max="24" width="1.83203125" customWidth="1"/>
    <col min="25" max="25" width="44.83203125" customWidth="1"/>
  </cols>
  <sheetData>
    <row r="11" spans="12:14">
      <c r="N11" s="126"/>
    </row>
    <row r="12" spans="12:14" ht="13" thickBot="1">
      <c r="N12" s="126"/>
    </row>
    <row r="13" spans="12:14">
      <c r="L13" s="138" t="s">
        <v>109</v>
      </c>
      <c r="M13" s="139">
        <v>88200</v>
      </c>
      <c r="N13" s="126"/>
    </row>
    <row r="14" spans="12:14">
      <c r="L14" s="129" t="s">
        <v>199</v>
      </c>
      <c r="M14" s="140">
        <v>17000</v>
      </c>
      <c r="N14" s="126"/>
    </row>
    <row r="15" spans="12:14">
      <c r="L15" s="129" t="s">
        <v>283</v>
      </c>
      <c r="M15" s="140">
        <v>1690</v>
      </c>
      <c r="N15" s="126"/>
    </row>
    <row r="16" spans="12:14">
      <c r="L16" s="129" t="s">
        <v>288</v>
      </c>
      <c r="M16" s="140">
        <v>1690</v>
      </c>
      <c r="N16" s="126"/>
    </row>
    <row r="17" spans="7:14">
      <c r="L17" s="130" t="s">
        <v>261</v>
      </c>
      <c r="M17" s="133">
        <v>30604</v>
      </c>
      <c r="N17" s="126"/>
    </row>
    <row r="18" spans="7:14">
      <c r="L18" s="130" t="s">
        <v>158</v>
      </c>
      <c r="M18" s="133">
        <v>23940</v>
      </c>
      <c r="N18" s="126"/>
    </row>
    <row r="19" spans="7:14">
      <c r="L19" s="130" t="s">
        <v>265</v>
      </c>
      <c r="M19" s="133">
        <v>20000</v>
      </c>
      <c r="N19" s="126"/>
    </row>
    <row r="20" spans="7:14">
      <c r="L20" s="130" t="s">
        <v>159</v>
      </c>
      <c r="M20" s="133">
        <v>15871</v>
      </c>
      <c r="N20" s="126"/>
    </row>
    <row r="21" spans="7:14">
      <c r="L21" s="130" t="s">
        <v>137</v>
      </c>
      <c r="M21" s="133">
        <v>11530</v>
      </c>
      <c r="N21" s="126"/>
    </row>
    <row r="22" spans="7:14">
      <c r="L22" s="130" t="s">
        <v>327</v>
      </c>
      <c r="M22" s="133">
        <v>10097</v>
      </c>
      <c r="N22" s="126"/>
    </row>
    <row r="23" spans="7:14">
      <c r="L23" s="130" t="s">
        <v>18</v>
      </c>
      <c r="M23" s="133">
        <v>3142</v>
      </c>
      <c r="N23" s="126"/>
    </row>
    <row r="24" spans="7:14">
      <c r="L24" s="130" t="s">
        <v>136</v>
      </c>
      <c r="M24" s="133">
        <v>2500</v>
      </c>
      <c r="N24" s="126"/>
    </row>
    <row r="25" spans="7:14">
      <c r="L25" s="128" t="s">
        <v>72</v>
      </c>
      <c r="M25" s="135">
        <v>16128</v>
      </c>
      <c r="N25" s="126"/>
    </row>
    <row r="26" spans="7:14">
      <c r="L26" s="128" t="s">
        <v>258</v>
      </c>
      <c r="M26" s="135">
        <v>6700</v>
      </c>
      <c r="N26" s="126"/>
    </row>
    <row r="27" spans="7:14">
      <c r="L27" s="128" t="s">
        <v>113</v>
      </c>
      <c r="M27" s="135">
        <v>5700</v>
      </c>
      <c r="N27" s="126"/>
    </row>
    <row r="28" spans="7:14">
      <c r="L28" s="128" t="s">
        <v>117</v>
      </c>
      <c r="M28" s="135">
        <v>5000</v>
      </c>
      <c r="N28" s="126"/>
    </row>
    <row r="29" spans="7:14">
      <c r="L29" s="128" t="s">
        <v>103</v>
      </c>
      <c r="M29" s="135">
        <v>4320</v>
      </c>
      <c r="N29" s="126"/>
    </row>
    <row r="30" spans="7:14">
      <c r="L30" s="128" t="s">
        <v>213</v>
      </c>
      <c r="M30" s="135">
        <v>3228</v>
      </c>
      <c r="N30" s="126"/>
    </row>
    <row r="31" spans="7:14">
      <c r="G31" s="7" t="s">
        <v>825</v>
      </c>
      <c r="L31" s="128" t="s">
        <v>252</v>
      </c>
      <c r="M31" s="135">
        <v>3000</v>
      </c>
      <c r="N31" s="126"/>
    </row>
    <row r="32" spans="7:14">
      <c r="L32" s="128" t="s">
        <v>74</v>
      </c>
      <c r="M32" s="135">
        <v>3000</v>
      </c>
      <c r="N32" s="126"/>
    </row>
    <row r="33" spans="4:16">
      <c r="L33" s="128" t="s">
        <v>223</v>
      </c>
      <c r="M33" s="135">
        <v>3000</v>
      </c>
      <c r="N33" s="126"/>
    </row>
    <row r="34" spans="4:16">
      <c r="L34" s="128" t="s">
        <v>252</v>
      </c>
      <c r="M34" s="135">
        <v>1500</v>
      </c>
      <c r="N34" s="126"/>
    </row>
    <row r="35" spans="4:16">
      <c r="L35" s="128" t="s">
        <v>63</v>
      </c>
      <c r="M35" s="135">
        <v>1500</v>
      </c>
      <c r="N35" s="126"/>
    </row>
    <row r="36" spans="4:16">
      <c r="L36" s="128" t="s">
        <v>64</v>
      </c>
      <c r="M36" s="135">
        <v>1500</v>
      </c>
      <c r="N36" s="126"/>
    </row>
    <row r="37" spans="4:16" ht="13" thickBot="1">
      <c r="L37" s="128" t="s">
        <v>304</v>
      </c>
      <c r="M37" s="135">
        <v>1076</v>
      </c>
      <c r="N37" s="126"/>
    </row>
    <row r="38" spans="4:16">
      <c r="F38" s="124"/>
      <c r="G38" s="138" t="s">
        <v>184</v>
      </c>
      <c r="H38" s="139">
        <v>40225</v>
      </c>
      <c r="L38" s="128" t="s">
        <v>99</v>
      </c>
      <c r="M38" s="135">
        <v>1076</v>
      </c>
      <c r="N38" s="126"/>
    </row>
    <row r="39" spans="4:16">
      <c r="F39" s="126"/>
      <c r="G39" s="129" t="s">
        <v>111</v>
      </c>
      <c r="H39" s="140">
        <v>36479</v>
      </c>
      <c r="L39" s="128" t="s">
        <v>98</v>
      </c>
      <c r="M39" s="135">
        <v>1076</v>
      </c>
      <c r="N39" s="126"/>
    </row>
    <row r="40" spans="4:16">
      <c r="G40" s="129" t="s">
        <v>285</v>
      </c>
      <c r="H40" s="140">
        <v>17555</v>
      </c>
      <c r="L40" s="128" t="s">
        <v>179</v>
      </c>
      <c r="M40" s="135">
        <v>1076</v>
      </c>
      <c r="N40" s="126"/>
    </row>
    <row r="41" spans="4:16">
      <c r="G41" s="129" t="s">
        <v>280</v>
      </c>
      <c r="H41" s="140">
        <v>5663</v>
      </c>
      <c r="L41" s="128" t="s">
        <v>99</v>
      </c>
      <c r="M41" s="135">
        <v>1076</v>
      </c>
      <c r="N41" s="126"/>
    </row>
    <row r="42" spans="4:16" ht="13" thickBot="1">
      <c r="F42" s="126"/>
      <c r="G42" s="130" t="s">
        <v>5</v>
      </c>
      <c r="H42" s="133">
        <v>13400</v>
      </c>
      <c r="L42" s="128" t="s">
        <v>125</v>
      </c>
      <c r="M42" s="135">
        <v>1000</v>
      </c>
      <c r="N42" s="126"/>
    </row>
    <row r="43" spans="4:16">
      <c r="D43" s="138" t="s">
        <v>112</v>
      </c>
      <c r="E43" s="139">
        <v>17469</v>
      </c>
      <c r="F43" s="126"/>
      <c r="G43" s="130" t="s">
        <v>173</v>
      </c>
      <c r="H43" s="133">
        <v>21952</v>
      </c>
      <c r="L43" s="128" t="s">
        <v>96</v>
      </c>
      <c r="M43" s="135">
        <v>950</v>
      </c>
      <c r="N43" s="126"/>
    </row>
    <row r="44" spans="4:16">
      <c r="D44" s="130" t="s">
        <v>542</v>
      </c>
      <c r="E44" s="133">
        <v>25824</v>
      </c>
      <c r="F44" s="126"/>
      <c r="G44" s="131" t="s">
        <v>221</v>
      </c>
      <c r="H44" s="141">
        <v>6080</v>
      </c>
      <c r="L44" s="128" t="s">
        <v>106</v>
      </c>
      <c r="M44" s="135">
        <v>839</v>
      </c>
      <c r="N44" s="126"/>
    </row>
    <row r="45" spans="4:16" ht="13" thickBot="1">
      <c r="D45" s="130" t="s">
        <v>6</v>
      </c>
      <c r="E45" s="133">
        <v>17384</v>
      </c>
      <c r="F45" s="126"/>
      <c r="G45" s="130" t="s">
        <v>135</v>
      </c>
      <c r="H45" s="133">
        <v>3200</v>
      </c>
      <c r="L45" s="128" t="s">
        <v>227</v>
      </c>
      <c r="M45" s="135">
        <v>753</v>
      </c>
      <c r="N45" s="126"/>
    </row>
    <row r="46" spans="4:16" ht="13" thickBot="1">
      <c r="D46" s="130" t="s">
        <v>44</v>
      </c>
      <c r="E46" s="133">
        <v>10400</v>
      </c>
      <c r="F46" s="123"/>
      <c r="G46" s="130" t="s">
        <v>108</v>
      </c>
      <c r="H46" s="133">
        <v>11281</v>
      </c>
      <c r="I46" s="138" t="s">
        <v>110</v>
      </c>
      <c r="J46" s="139">
        <v>62000</v>
      </c>
      <c r="L46" s="128" t="s">
        <v>96</v>
      </c>
      <c r="M46" s="135">
        <v>500</v>
      </c>
      <c r="N46" s="126"/>
      <c r="O46" s="132" t="s">
        <v>299</v>
      </c>
      <c r="P46" s="134">
        <v>20000</v>
      </c>
    </row>
    <row r="47" spans="4:16">
      <c r="D47" s="130" t="s">
        <v>127</v>
      </c>
      <c r="E47" s="133">
        <v>5490</v>
      </c>
      <c r="F47" s="126"/>
      <c r="G47" s="128" t="s">
        <v>544</v>
      </c>
      <c r="H47" s="135">
        <v>1076</v>
      </c>
      <c r="I47" s="129" t="s">
        <v>37</v>
      </c>
      <c r="J47" s="140">
        <v>32404</v>
      </c>
      <c r="L47" s="128" t="s">
        <v>230</v>
      </c>
      <c r="M47" s="135">
        <v>431</v>
      </c>
      <c r="N47" s="126"/>
      <c r="O47" s="128" t="s">
        <v>88</v>
      </c>
      <c r="P47" s="143">
        <v>1076</v>
      </c>
    </row>
    <row r="48" spans="4:16" ht="13" thickBot="1">
      <c r="D48" s="142" t="s">
        <v>5</v>
      </c>
      <c r="E48" s="134">
        <v>1300</v>
      </c>
      <c r="G48" s="136" t="s">
        <v>543</v>
      </c>
      <c r="H48" s="137">
        <v>500</v>
      </c>
      <c r="I48" s="132" t="s">
        <v>21</v>
      </c>
      <c r="J48" s="134">
        <v>9102</v>
      </c>
      <c r="L48" s="136" t="s">
        <v>78</v>
      </c>
      <c r="M48" s="137">
        <v>500</v>
      </c>
      <c r="N48" s="126"/>
      <c r="O48" s="136" t="s">
        <v>99</v>
      </c>
      <c r="P48" s="144">
        <v>1076</v>
      </c>
    </row>
    <row r="49" spans="2:25" ht="4.5" customHeight="1"/>
    <row r="50" spans="2:25">
      <c r="B50" s="165" t="s">
        <v>537</v>
      </c>
      <c r="D50" s="466">
        <v>1</v>
      </c>
      <c r="E50" s="466"/>
      <c r="F50" s="5"/>
      <c r="G50" s="475">
        <v>2</v>
      </c>
      <c r="H50" s="475"/>
      <c r="I50" s="473">
        <v>3</v>
      </c>
      <c r="J50" s="473"/>
      <c r="K50" s="127"/>
      <c r="L50" s="473">
        <v>3</v>
      </c>
      <c r="M50" s="473"/>
      <c r="N50" s="5"/>
      <c r="O50" s="474">
        <v>4</v>
      </c>
      <c r="P50" s="474"/>
      <c r="R50" s="467" t="s">
        <v>545</v>
      </c>
      <c r="S50" s="468"/>
    </row>
    <row r="51" spans="2:25">
      <c r="B51" s="165" t="s">
        <v>538</v>
      </c>
      <c r="D51" s="466">
        <v>1</v>
      </c>
      <c r="E51" s="466"/>
      <c r="F51" s="5"/>
      <c r="G51" s="475">
        <v>2</v>
      </c>
      <c r="H51" s="475"/>
      <c r="I51" s="475">
        <v>2</v>
      </c>
      <c r="J51" s="475"/>
      <c r="K51" s="127"/>
      <c r="L51" s="473">
        <v>3</v>
      </c>
      <c r="M51" s="473"/>
      <c r="N51" s="5"/>
      <c r="O51" s="474">
        <v>4</v>
      </c>
      <c r="P51" s="474"/>
      <c r="R51" s="469"/>
      <c r="S51" s="470"/>
    </row>
    <row r="52" spans="2:25">
      <c r="B52" s="166" t="s">
        <v>539</v>
      </c>
      <c r="D52" s="466">
        <v>1</v>
      </c>
      <c r="E52" s="466"/>
      <c r="F52" s="5"/>
      <c r="G52" s="476">
        <v>2</v>
      </c>
      <c r="H52" s="477"/>
      <c r="I52" s="476">
        <v>2</v>
      </c>
      <c r="J52" s="477"/>
      <c r="K52" s="127"/>
      <c r="L52" s="473">
        <v>3</v>
      </c>
      <c r="M52" s="473"/>
      <c r="N52" s="5"/>
      <c r="O52" s="474">
        <v>4</v>
      </c>
      <c r="P52" s="474"/>
      <c r="R52" s="471"/>
      <c r="S52" s="472"/>
    </row>
    <row r="53" spans="2:25" ht="4.5" customHeight="1"/>
    <row r="54" spans="2:25">
      <c r="B54" s="145" t="s">
        <v>540</v>
      </c>
      <c r="D54" s="145">
        <f>SUBTOTAL(3,D43)</f>
        <v>1</v>
      </c>
      <c r="E54" s="145">
        <f>SUBTOTAL(9,E43)</f>
        <v>17469</v>
      </c>
      <c r="G54" s="145">
        <f>SUBTOTAL(3,G38:G41)</f>
        <v>4</v>
      </c>
      <c r="H54" s="149">
        <f>SUBTOTAL(9,H38:H41)</f>
        <v>99922</v>
      </c>
      <c r="I54" s="145">
        <f>SUBTOTAL(3,I46:I47)</f>
        <v>2</v>
      </c>
      <c r="J54" s="149">
        <f>SUBTOTAL(9,J46:J47)</f>
        <v>94404</v>
      </c>
      <c r="L54" s="145">
        <f>SUBTOTAL(3,L13:L16)</f>
        <v>4</v>
      </c>
      <c r="M54" s="152">
        <f>SUBTOTAL(9,M13:M16)</f>
        <v>108580</v>
      </c>
      <c r="O54" s="145">
        <v>0</v>
      </c>
      <c r="P54" s="161">
        <v>0</v>
      </c>
      <c r="R54" s="163">
        <f t="shared" ref="R54:S57" si="0">D54+G54+I54+L54+O54</f>
        <v>11</v>
      </c>
      <c r="S54" s="164">
        <f t="shared" si="0"/>
        <v>320375</v>
      </c>
    </row>
    <row r="55" spans="2:25">
      <c r="B55" s="146" t="s">
        <v>541</v>
      </c>
      <c r="D55" s="146">
        <f>SUBTOTAL(3,D44:D48)</f>
        <v>5</v>
      </c>
      <c r="E55" s="148">
        <f>SUBTOTAL(9,E44:E48)</f>
        <v>60398</v>
      </c>
      <c r="G55" s="146">
        <f>SUBTOTAL(3,G42:G46)</f>
        <v>5</v>
      </c>
      <c r="H55" s="150">
        <f>SUBTOTAL(9,H42:H48)</f>
        <v>57489</v>
      </c>
      <c r="I55" s="146">
        <f>SUBTOTAL(3,I48)</f>
        <v>1</v>
      </c>
      <c r="J55" s="148">
        <f>SUBTOTAL(9,J48)</f>
        <v>9102</v>
      </c>
      <c r="L55" s="146">
        <f>SUBTOTAL(3,L17:L24)</f>
        <v>8</v>
      </c>
      <c r="M55" s="148">
        <f>SUBTOTAL(9,M17:M24)</f>
        <v>117684</v>
      </c>
      <c r="O55" s="146">
        <f>SUBTOTAL(3,O46)</f>
        <v>1</v>
      </c>
      <c r="P55" s="148">
        <f>SUBTOTAL(9,P46)</f>
        <v>20000</v>
      </c>
      <c r="R55" s="146">
        <f t="shared" si="0"/>
        <v>20</v>
      </c>
      <c r="S55" s="148">
        <f t="shared" si="0"/>
        <v>264673</v>
      </c>
    </row>
    <row r="56" spans="2:25">
      <c r="B56" s="147" t="s">
        <v>43</v>
      </c>
      <c r="D56" s="160">
        <v>0</v>
      </c>
      <c r="E56" s="162">
        <v>0</v>
      </c>
      <c r="G56" s="147">
        <f>SUBTOTAL(3,G47:G48)</f>
        <v>2</v>
      </c>
      <c r="H56" s="151">
        <f>SUBTOTAL(9,H47:H48)</f>
        <v>1576</v>
      </c>
      <c r="I56" s="147">
        <v>0</v>
      </c>
      <c r="J56" s="162">
        <v>0</v>
      </c>
      <c r="L56" s="147">
        <f>SUBTOTAL(3,L25:L48)</f>
        <v>24</v>
      </c>
      <c r="M56" s="153">
        <f>SUBTOTAL(9,M25:M48)</f>
        <v>64929</v>
      </c>
      <c r="O56" s="147">
        <f>SUBTOTAL(3,O47:O48)</f>
        <v>2</v>
      </c>
      <c r="P56" s="153">
        <f>SUBTOTAL(9,P47:P48)</f>
        <v>2152</v>
      </c>
      <c r="R56" s="147">
        <f t="shared" si="0"/>
        <v>28</v>
      </c>
      <c r="S56" s="153">
        <f t="shared" si="0"/>
        <v>68657</v>
      </c>
    </row>
    <row r="57" spans="2:25" ht="18.75" customHeight="1">
      <c r="B57" s="157" t="s">
        <v>17</v>
      </c>
      <c r="C57" s="154"/>
      <c r="D57" s="158">
        <f>SUM(D54:D56)</f>
        <v>6</v>
      </c>
      <c r="E57" s="159">
        <f>SUM(E54:E56)</f>
        <v>77867</v>
      </c>
      <c r="F57" s="155"/>
      <c r="G57" s="158">
        <f>SUM(G54:G56)</f>
        <v>11</v>
      </c>
      <c r="H57" s="159">
        <f>SUM(H54:H56)</f>
        <v>158987</v>
      </c>
      <c r="I57" s="158">
        <f>SUM(I54:I56)</f>
        <v>3</v>
      </c>
      <c r="J57" s="159">
        <f>SUM(J54:J56)</f>
        <v>103506</v>
      </c>
      <c r="K57" s="154"/>
      <c r="L57" s="158">
        <f>SUM(L54:L56)</f>
        <v>36</v>
      </c>
      <c r="M57" s="159">
        <f>SUM(M54:M56)</f>
        <v>291193</v>
      </c>
      <c r="N57" s="156"/>
      <c r="O57" s="158">
        <f>SUM(O54:O56)</f>
        <v>3</v>
      </c>
      <c r="P57" s="159">
        <f>SUM(P54:P56)</f>
        <v>22152</v>
      </c>
      <c r="R57" s="158">
        <f t="shared" si="0"/>
        <v>59</v>
      </c>
      <c r="S57" s="159">
        <f t="shared" si="0"/>
        <v>653705</v>
      </c>
    </row>
    <row r="60" spans="2:25" ht="13" thickBot="1"/>
    <row r="61" spans="2:25">
      <c r="V61" s="138" t="s">
        <v>110</v>
      </c>
      <c r="W61" s="139">
        <v>62000</v>
      </c>
      <c r="Y61" s="167" t="s">
        <v>546</v>
      </c>
    </row>
    <row r="62" spans="2:25">
      <c r="V62" s="129" t="s">
        <v>37</v>
      </c>
      <c r="W62" s="140">
        <v>32404</v>
      </c>
      <c r="Y62" s="167" t="s">
        <v>547</v>
      </c>
    </row>
    <row r="63" spans="2:25" ht="13" thickBot="1">
      <c r="V63" s="132" t="s">
        <v>21</v>
      </c>
      <c r="W63" s="134">
        <v>9102</v>
      </c>
      <c r="Y63" s="167" t="s">
        <v>548</v>
      </c>
    </row>
    <row r="64" spans="2:25" ht="13" thickBot="1"/>
    <row r="65" spans="22:25">
      <c r="V65" s="138" t="s">
        <v>109</v>
      </c>
      <c r="W65" s="139">
        <v>88200</v>
      </c>
      <c r="Y65" s="167" t="s">
        <v>546</v>
      </c>
    </row>
    <row r="66" spans="22:25" ht="12" customHeight="1">
      <c r="V66" s="129" t="s">
        <v>199</v>
      </c>
      <c r="W66" s="140">
        <v>17000</v>
      </c>
      <c r="Y66" s="167" t="s">
        <v>546</v>
      </c>
    </row>
    <row r="67" spans="22:25">
      <c r="V67" s="129" t="s">
        <v>283</v>
      </c>
      <c r="W67" s="140">
        <v>1690</v>
      </c>
      <c r="Y67" s="167" t="s">
        <v>546</v>
      </c>
    </row>
    <row r="68" spans="22:25">
      <c r="V68" s="129" t="s">
        <v>288</v>
      </c>
      <c r="W68" s="140">
        <v>1690</v>
      </c>
      <c r="Y68" s="167" t="s">
        <v>546</v>
      </c>
    </row>
    <row r="69" spans="22:25">
      <c r="V69" s="130" t="s">
        <v>261</v>
      </c>
      <c r="W69" s="133">
        <v>30604</v>
      </c>
      <c r="Y69" s="167" t="s">
        <v>546</v>
      </c>
    </row>
    <row r="70" spans="22:25">
      <c r="V70" s="130" t="s">
        <v>158</v>
      </c>
      <c r="W70" s="133">
        <v>23940</v>
      </c>
      <c r="Y70" s="167" t="s">
        <v>546</v>
      </c>
    </row>
    <row r="71" spans="22:25">
      <c r="V71" s="130" t="s">
        <v>265</v>
      </c>
      <c r="W71" s="133">
        <v>20000</v>
      </c>
      <c r="Y71" s="167" t="s">
        <v>546</v>
      </c>
    </row>
    <row r="72" spans="22:25">
      <c r="V72" s="130" t="s">
        <v>159</v>
      </c>
      <c r="W72" s="133">
        <v>15871</v>
      </c>
      <c r="Y72" s="168" t="s">
        <v>549</v>
      </c>
    </row>
    <row r="73" spans="22:25">
      <c r="V73" s="130" t="s">
        <v>137</v>
      </c>
      <c r="W73" s="133">
        <v>11530</v>
      </c>
      <c r="Y73" s="167" t="s">
        <v>546</v>
      </c>
    </row>
    <row r="74" spans="22:25">
      <c r="V74" s="130" t="s">
        <v>327</v>
      </c>
      <c r="W74" s="133">
        <v>10097</v>
      </c>
      <c r="Y74" s="167" t="s">
        <v>546</v>
      </c>
    </row>
    <row r="75" spans="22:25">
      <c r="V75" s="130" t="s">
        <v>18</v>
      </c>
      <c r="W75" s="133">
        <v>3142</v>
      </c>
      <c r="Y75" s="167" t="s">
        <v>550</v>
      </c>
    </row>
    <row r="76" spans="22:25">
      <c r="V76" s="130" t="s">
        <v>136</v>
      </c>
      <c r="W76" s="133">
        <v>2500</v>
      </c>
      <c r="Y76" s="168" t="s">
        <v>551</v>
      </c>
    </row>
    <row r="77" spans="22:25">
      <c r="V77" s="128" t="s">
        <v>72</v>
      </c>
      <c r="W77" s="135">
        <v>16128</v>
      </c>
      <c r="Y77" s="167" t="s">
        <v>555</v>
      </c>
    </row>
    <row r="78" spans="22:25">
      <c r="V78" s="128" t="s">
        <v>258</v>
      </c>
      <c r="W78" s="135">
        <v>6700</v>
      </c>
      <c r="Y78" s="168" t="s">
        <v>552</v>
      </c>
    </row>
    <row r="79" spans="22:25">
      <c r="V79" s="128" t="s">
        <v>113</v>
      </c>
      <c r="W79" s="135">
        <v>5700</v>
      </c>
      <c r="Y79" s="167" t="s">
        <v>555</v>
      </c>
    </row>
    <row r="80" spans="22:25">
      <c r="V80" s="128" t="s">
        <v>117</v>
      </c>
      <c r="W80" s="135">
        <v>5000</v>
      </c>
      <c r="Y80" s="167" t="s">
        <v>555</v>
      </c>
    </row>
    <row r="81" spans="22:25">
      <c r="V81" s="128" t="s">
        <v>103</v>
      </c>
      <c r="W81" s="135">
        <v>4320</v>
      </c>
      <c r="Y81" s="167" t="s">
        <v>555</v>
      </c>
    </row>
    <row r="82" spans="22:25">
      <c r="V82" s="128" t="s">
        <v>115</v>
      </c>
      <c r="W82" s="135">
        <v>3500</v>
      </c>
      <c r="Y82" s="168" t="s">
        <v>553</v>
      </c>
    </row>
    <row r="83" spans="22:25">
      <c r="V83" s="128" t="s">
        <v>213</v>
      </c>
      <c r="W83" s="135">
        <v>3228</v>
      </c>
      <c r="Y83" s="167" t="s">
        <v>555</v>
      </c>
    </row>
    <row r="84" spans="22:25">
      <c r="V84" s="128" t="s">
        <v>252</v>
      </c>
      <c r="W84" s="135">
        <v>3000</v>
      </c>
      <c r="Y84" s="167" t="s">
        <v>555</v>
      </c>
    </row>
    <row r="85" spans="22:25">
      <c r="V85" s="128" t="s">
        <v>74</v>
      </c>
      <c r="W85" s="135">
        <v>3000</v>
      </c>
      <c r="Y85" s="167" t="s">
        <v>555</v>
      </c>
    </row>
    <row r="86" spans="22:25">
      <c r="V86" s="128" t="s">
        <v>223</v>
      </c>
      <c r="W86" s="135">
        <v>3000</v>
      </c>
      <c r="Y86" s="168" t="s">
        <v>554</v>
      </c>
    </row>
    <row r="87" spans="22:25">
      <c r="V87" s="128" t="s">
        <v>278</v>
      </c>
      <c r="W87" s="135">
        <v>1800</v>
      </c>
      <c r="Y87" s="167" t="s">
        <v>555</v>
      </c>
    </row>
    <row r="88" spans="22:25">
      <c r="V88" s="128" t="s">
        <v>252</v>
      </c>
      <c r="W88" s="135">
        <v>1500</v>
      </c>
      <c r="Y88" s="167" t="s">
        <v>555</v>
      </c>
    </row>
    <row r="89" spans="22:25">
      <c r="V89" s="128" t="s">
        <v>63</v>
      </c>
      <c r="W89" s="135">
        <v>1500</v>
      </c>
      <c r="Y89" s="167" t="s">
        <v>555</v>
      </c>
    </row>
    <row r="90" spans="22:25">
      <c r="V90" s="128" t="s">
        <v>64</v>
      </c>
      <c r="W90" s="135">
        <v>1500</v>
      </c>
      <c r="Y90" s="167" t="s">
        <v>555</v>
      </c>
    </row>
    <row r="91" spans="22:25">
      <c r="V91" s="128" t="s">
        <v>304</v>
      </c>
      <c r="W91" s="135">
        <v>1076</v>
      </c>
      <c r="Y91" s="167" t="s">
        <v>555</v>
      </c>
    </row>
    <row r="92" spans="22:25">
      <c r="V92" s="128" t="s">
        <v>99</v>
      </c>
      <c r="W92" s="135">
        <v>1076</v>
      </c>
      <c r="Y92" s="167" t="s">
        <v>555</v>
      </c>
    </row>
    <row r="93" spans="22:25">
      <c r="V93" s="128" t="s">
        <v>98</v>
      </c>
      <c r="W93" s="135">
        <v>1076</v>
      </c>
      <c r="Y93" s="167" t="s">
        <v>555</v>
      </c>
    </row>
    <row r="94" spans="22:25">
      <c r="V94" s="128" t="s">
        <v>179</v>
      </c>
      <c r="W94" s="135">
        <v>1076</v>
      </c>
      <c r="Y94" s="167" t="s">
        <v>555</v>
      </c>
    </row>
    <row r="95" spans="22:25">
      <c r="V95" s="128" t="s">
        <v>99</v>
      </c>
      <c r="W95" s="135">
        <v>1076</v>
      </c>
      <c r="Y95" s="167" t="s">
        <v>555</v>
      </c>
    </row>
    <row r="96" spans="22:25">
      <c r="V96" s="128" t="s">
        <v>125</v>
      </c>
      <c r="W96" s="135">
        <v>1000</v>
      </c>
      <c r="Y96" s="168" t="s">
        <v>556</v>
      </c>
    </row>
    <row r="97" spans="22:25">
      <c r="V97" s="128" t="s">
        <v>96</v>
      </c>
      <c r="W97" s="135">
        <v>950</v>
      </c>
      <c r="Y97" s="167" t="s">
        <v>555</v>
      </c>
    </row>
    <row r="98" spans="22:25">
      <c r="V98" s="128" t="s">
        <v>106</v>
      </c>
      <c r="W98" s="135">
        <v>839</v>
      </c>
      <c r="Y98" s="167" t="s">
        <v>555</v>
      </c>
    </row>
    <row r="99" spans="22:25">
      <c r="V99" s="128" t="s">
        <v>227</v>
      </c>
      <c r="W99" s="135">
        <v>753</v>
      </c>
      <c r="Y99" s="167" t="s">
        <v>555</v>
      </c>
    </row>
    <row r="100" spans="22:25">
      <c r="V100" s="128" t="s">
        <v>96</v>
      </c>
      <c r="W100" s="135">
        <v>500</v>
      </c>
      <c r="Y100" s="167" t="s">
        <v>555</v>
      </c>
    </row>
    <row r="101" spans="22:25">
      <c r="V101" s="128" t="s">
        <v>230</v>
      </c>
      <c r="W101" s="135">
        <v>431</v>
      </c>
      <c r="Y101" s="167" t="s">
        <v>555</v>
      </c>
    </row>
    <row r="102" spans="22:25" ht="13" thickBot="1">
      <c r="V102" s="136" t="s">
        <v>78</v>
      </c>
      <c r="W102" s="137"/>
      <c r="Y102" s="167" t="s">
        <v>555</v>
      </c>
    </row>
    <row r="104" spans="22:25" ht="13" thickBot="1">
      <c r="V104" s="132" t="s">
        <v>299</v>
      </c>
      <c r="W104" s="134">
        <v>20000</v>
      </c>
      <c r="Y104" s="169" t="s">
        <v>557</v>
      </c>
    </row>
    <row r="105" spans="22:25">
      <c r="V105" s="128" t="s">
        <v>88</v>
      </c>
      <c r="W105" s="143">
        <v>1076</v>
      </c>
      <c r="Y105" s="167" t="s">
        <v>555</v>
      </c>
    </row>
    <row r="106" spans="22:25" ht="13" thickBot="1">
      <c r="V106" s="136" t="s">
        <v>99</v>
      </c>
      <c r="W106" s="144">
        <v>1076</v>
      </c>
      <c r="Y106" s="167" t="s">
        <v>555</v>
      </c>
    </row>
  </sheetData>
  <sortState ref="D43:E48">
    <sortCondition descending="1" ref="E43:E48"/>
  </sortState>
  <mergeCells count="16">
    <mergeCell ref="D50:E50"/>
    <mergeCell ref="D51:E51"/>
    <mergeCell ref="D52:E52"/>
    <mergeCell ref="R50:S52"/>
    <mergeCell ref="L50:M50"/>
    <mergeCell ref="L51:M51"/>
    <mergeCell ref="L52:M52"/>
    <mergeCell ref="O50:P50"/>
    <mergeCell ref="O51:P51"/>
    <mergeCell ref="O52:P52"/>
    <mergeCell ref="I50:J50"/>
    <mergeCell ref="I51:J51"/>
    <mergeCell ref="G52:H52"/>
    <mergeCell ref="I52:J52"/>
    <mergeCell ref="G50:H50"/>
    <mergeCell ref="G51:H51"/>
  </mergeCells>
  <pageMargins left="0.7" right="0.7" top="0.75" bottom="0.75" header="0.3" footer="0.3"/>
  <pageSetup orientation="portrait" horizontalDpi="4294967293" verticalDpi="0"/>
  <ignoredErrors>
    <ignoredError sqref="H54 H55:H56 M54:M56 J54 P56" formulaRange="1"/>
  </ignoredErrors>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4"/>
  <sheetViews>
    <sheetView workbookViewId="0">
      <selection activeCell="D1" sqref="D1"/>
    </sheetView>
  </sheetViews>
  <sheetFormatPr baseColWidth="10" defaultColWidth="8.83203125" defaultRowHeight="12" x14ac:dyDescent="0"/>
  <cols>
    <col min="3" max="3" width="27.33203125" customWidth="1"/>
    <col min="4" max="4" width="40.33203125" customWidth="1"/>
  </cols>
  <sheetData>
    <row r="1" spans="3:4">
      <c r="D1" s="7" t="s">
        <v>825</v>
      </c>
    </row>
    <row r="3" spans="3:4" ht="13">
      <c r="C3" s="175" t="s">
        <v>573</v>
      </c>
      <c r="D3" s="175" t="s">
        <v>574</v>
      </c>
    </row>
    <row r="4" spans="3:4" ht="13">
      <c r="C4" s="179" t="s">
        <v>13</v>
      </c>
      <c r="D4" s="175"/>
    </row>
    <row r="5" spans="3:4">
      <c r="C5" s="176" t="s">
        <v>560</v>
      </c>
      <c r="D5" t="s">
        <v>564</v>
      </c>
    </row>
    <row r="6" spans="3:4">
      <c r="C6" s="176" t="s">
        <v>582</v>
      </c>
    </row>
    <row r="7" spans="3:4">
      <c r="C7" s="181" t="s">
        <v>583</v>
      </c>
      <c r="D7" t="s">
        <v>571</v>
      </c>
    </row>
    <row r="8" spans="3:4">
      <c r="C8" s="181" t="s">
        <v>584</v>
      </c>
      <c r="D8" t="s">
        <v>565</v>
      </c>
    </row>
    <row r="9" spans="3:4">
      <c r="C9" s="176" t="s">
        <v>561</v>
      </c>
      <c r="D9" t="s">
        <v>566</v>
      </c>
    </row>
    <row r="10" spans="3:4">
      <c r="C10" s="176" t="s">
        <v>68</v>
      </c>
    </row>
    <row r="11" spans="3:4">
      <c r="C11" s="181" t="s">
        <v>568</v>
      </c>
      <c r="D11" s="174">
        <v>2007</v>
      </c>
    </row>
    <row r="12" spans="3:4">
      <c r="C12" s="181" t="s">
        <v>569</v>
      </c>
      <c r="D12" s="174">
        <v>2004</v>
      </c>
    </row>
    <row r="13" spans="3:4">
      <c r="C13" s="181" t="s">
        <v>570</v>
      </c>
      <c r="D13" s="67" t="s">
        <v>575</v>
      </c>
    </row>
    <row r="14" spans="3:4">
      <c r="C14" s="182" t="s">
        <v>327</v>
      </c>
      <c r="D14" s="174">
        <v>2010</v>
      </c>
    </row>
    <row r="15" spans="3:4">
      <c r="C15" s="124"/>
      <c r="D15" s="174"/>
    </row>
    <row r="16" spans="3:4" ht="13">
      <c r="C16" s="179" t="s">
        <v>15</v>
      </c>
    </row>
    <row r="17" spans="3:5">
      <c r="C17" s="182" t="s">
        <v>159</v>
      </c>
    </row>
    <row r="18" spans="3:5">
      <c r="C18" s="182" t="s">
        <v>158</v>
      </c>
    </row>
    <row r="19" spans="3:5">
      <c r="C19" s="182" t="s">
        <v>18</v>
      </c>
    </row>
    <row r="20" spans="3:5">
      <c r="C20" s="124"/>
    </row>
    <row r="21" spans="3:5" ht="13">
      <c r="C21" s="179" t="s">
        <v>14</v>
      </c>
    </row>
    <row r="22" spans="3:5">
      <c r="C22" s="182" t="s">
        <v>21</v>
      </c>
      <c r="D22" s="174">
        <v>2007</v>
      </c>
    </row>
    <row r="23" spans="3:5">
      <c r="C23" s="182" t="s">
        <v>137</v>
      </c>
      <c r="D23" s="174">
        <v>2007</v>
      </c>
    </row>
    <row r="24" spans="3:5">
      <c r="C24" s="180" t="s">
        <v>562</v>
      </c>
      <c r="D24" s="174">
        <v>1988</v>
      </c>
    </row>
    <row r="25" spans="3:5">
      <c r="C25" s="180" t="s">
        <v>563</v>
      </c>
      <c r="D25" t="s">
        <v>572</v>
      </c>
    </row>
    <row r="26" spans="3:5">
      <c r="C26" s="177" t="s">
        <v>787</v>
      </c>
      <c r="D26" t="s">
        <v>567</v>
      </c>
      <c r="E26" s="67" t="s">
        <v>788</v>
      </c>
    </row>
    <row r="27" spans="3:5">
      <c r="C27" s="180"/>
    </row>
    <row r="28" spans="3:5" ht="13">
      <c r="C28" s="179" t="s">
        <v>16</v>
      </c>
    </row>
    <row r="29" spans="3:5">
      <c r="C29" s="178" t="s">
        <v>576</v>
      </c>
    </row>
    <row r="30" spans="3:5">
      <c r="C30" s="183" t="s">
        <v>152</v>
      </c>
      <c r="D30" s="174">
        <v>2008</v>
      </c>
    </row>
    <row r="31" spans="3:5">
      <c r="C31" s="183" t="s">
        <v>579</v>
      </c>
      <c r="D31" s="67" t="s">
        <v>580</v>
      </c>
    </row>
    <row r="32" spans="3:5">
      <c r="C32" s="184" t="s">
        <v>578</v>
      </c>
      <c r="D32" s="67" t="s">
        <v>577</v>
      </c>
    </row>
    <row r="33" spans="3:4">
      <c r="C33" s="177" t="s">
        <v>102</v>
      </c>
      <c r="D33" s="67" t="s">
        <v>581</v>
      </c>
    </row>
    <row r="34" spans="3:4">
      <c r="C34" s="177" t="s">
        <v>7</v>
      </c>
      <c r="D34" s="67" t="s">
        <v>129</v>
      </c>
    </row>
  </sheetData>
  <pageMargins left="0.7" right="0.7" top="0.75" bottom="0.75" header="0.3" footer="0.3"/>
  <pageSetup orientation="portrait" horizontalDpi="4294967293" verticalDpi="0"/>
  <ignoredErrors>
    <ignoredError sqref="D7:D10 D21 D24:D26 D14 D16:D19 D5"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DC Portfolio</vt:lpstr>
      <vt:lpstr>EMEA COLOs</vt:lpstr>
      <vt:lpstr>DC 2014 MQ</vt:lpstr>
      <vt:lpstr>Reports</vt:lpstr>
      <vt:lpstr>Contact Lits</vt:lpstr>
      <vt:lpstr>Data Center Distance Table</vt:lpstr>
      <vt:lpstr>Q9</vt:lpstr>
      <vt:lpstr>SqFT Tables</vt:lpstr>
      <vt:lpstr>Background</vt:lpstr>
      <vt:lpstr>lists</vt:lpstr>
      <vt:lpstr>Cloud</vt:lpstr>
      <vt:lpstr>PUE</vt:lpstr>
      <vt:lpstr>Sheet1</vt:lpstr>
    </vt:vector>
  </TitlesOfParts>
  <Company>CSC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Kosct</dc:creator>
  <cp:lastModifiedBy>Eugene Goldberg</cp:lastModifiedBy>
  <cp:lastPrinted>2006-06-23T17:41:30Z</cp:lastPrinted>
  <dcterms:created xsi:type="dcterms:W3CDTF">2004-05-07T17:09:52Z</dcterms:created>
  <dcterms:modified xsi:type="dcterms:W3CDTF">2015-06-02T00:48:16Z</dcterms:modified>
</cp:coreProperties>
</file>