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0" windowWidth="18135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Sheet1!$B$7:$P$67</definedName>
  </definedNames>
  <calcPr calcId="145621"/>
</workbook>
</file>

<file path=xl/calcChain.xml><?xml version="1.0" encoding="utf-8"?>
<calcChain xmlns="http://schemas.openxmlformats.org/spreadsheetml/2006/main">
  <c r="AF47" i="1" l="1"/>
  <c r="AF48" i="1"/>
  <c r="AF49" i="1"/>
  <c r="AF50" i="1"/>
  <c r="AF51" i="1"/>
  <c r="AF46" i="1"/>
  <c r="AD47" i="1"/>
  <c r="AD48" i="1"/>
  <c r="AD49" i="1"/>
  <c r="AD50" i="1"/>
  <c r="AD51" i="1"/>
  <c r="AD46" i="1"/>
  <c r="AB47" i="1"/>
  <c r="AB48" i="1"/>
  <c r="AB49" i="1"/>
  <c r="AB50" i="1"/>
  <c r="AB51" i="1"/>
  <c r="AB46" i="1"/>
  <c r="Z47" i="1"/>
  <c r="Z48" i="1"/>
  <c r="Z49" i="1"/>
  <c r="Z50" i="1"/>
  <c r="Z51" i="1"/>
  <c r="Z46" i="1"/>
  <c r="X46" i="1"/>
  <c r="X47" i="1"/>
  <c r="X48" i="1"/>
  <c r="X49" i="1"/>
  <c r="X50" i="1"/>
  <c r="X51" i="1"/>
  <c r="AF34" i="1"/>
  <c r="AF35" i="1"/>
  <c r="AF36" i="1"/>
  <c r="AF37" i="1"/>
  <c r="AF38" i="1"/>
  <c r="AF39" i="1"/>
  <c r="AF40" i="1"/>
  <c r="AF41" i="1"/>
  <c r="AF42" i="1"/>
  <c r="AF43" i="1"/>
  <c r="AF33" i="1"/>
  <c r="AD34" i="1"/>
  <c r="AD35" i="1"/>
  <c r="AD36" i="1"/>
  <c r="AD37" i="1"/>
  <c r="AD38" i="1"/>
  <c r="AD39" i="1"/>
  <c r="AD40" i="1"/>
  <c r="AD41" i="1"/>
  <c r="AD42" i="1"/>
  <c r="AD43" i="1"/>
  <c r="AD33" i="1"/>
  <c r="AB34" i="1"/>
  <c r="AB35" i="1"/>
  <c r="AB36" i="1"/>
  <c r="AB37" i="1"/>
  <c r="AB38" i="1"/>
  <c r="AB39" i="1"/>
  <c r="AB40" i="1"/>
  <c r="AB41" i="1"/>
  <c r="AB42" i="1"/>
  <c r="AB43" i="1"/>
  <c r="AB33" i="1"/>
  <c r="Z34" i="1"/>
  <c r="Z35" i="1"/>
  <c r="Z36" i="1"/>
  <c r="Z37" i="1"/>
  <c r="Z38" i="1"/>
  <c r="Z39" i="1"/>
  <c r="Z40" i="1"/>
  <c r="Z41" i="1"/>
  <c r="Z42" i="1"/>
  <c r="Z43" i="1"/>
  <c r="Z33" i="1"/>
  <c r="X34" i="1"/>
  <c r="X35" i="1"/>
  <c r="X36" i="1"/>
  <c r="X37" i="1"/>
  <c r="X38" i="1"/>
  <c r="X39" i="1"/>
  <c r="X40" i="1"/>
  <c r="X41" i="1"/>
  <c r="X42" i="1"/>
  <c r="X43" i="1"/>
  <c r="X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33" i="1"/>
  <c r="N8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AE47" i="1" l="1" a="1"/>
  <c r="AE47" i="1" s="1"/>
  <c r="AE49" i="1" s="1" a="1"/>
  <c r="AE49" i="1" s="1"/>
  <c r="AE51" i="1" s="1" a="1"/>
  <c r="AE51" i="1" s="1"/>
  <c r="N53" i="1"/>
  <c r="O53" i="1" s="1"/>
  <c r="P53" i="1" s="1"/>
  <c r="N54" i="1"/>
  <c r="O54" i="1" s="1"/>
  <c r="N55" i="1"/>
  <c r="O55" i="1" s="1"/>
  <c r="N56" i="1"/>
  <c r="O56" i="1" s="1"/>
  <c r="N57" i="1"/>
  <c r="O57" i="1" s="1"/>
  <c r="N58" i="1"/>
  <c r="O58" i="1" s="1"/>
  <c r="N60" i="1"/>
  <c r="O60" i="1"/>
  <c r="P54" i="1" l="1"/>
  <c r="P56" i="1"/>
  <c r="P55" i="1"/>
  <c r="P57" i="1"/>
  <c r="P58" i="1"/>
  <c r="P60" i="1"/>
  <c r="AD14" i="1"/>
  <c r="AC14" i="1"/>
  <c r="AB14" i="1"/>
  <c r="X20" i="1"/>
  <c r="Y16" i="1" a="1"/>
  <c r="Y16" i="1" s="1"/>
  <c r="AA16" i="1" l="1"/>
  <c r="Y17" i="1" a="1"/>
  <c r="Y17" i="1" s="1"/>
  <c r="AA17" i="1" l="1"/>
  <c r="Y18" i="1" a="1"/>
  <c r="Y18" i="1" s="1"/>
  <c r="AA18" i="1" l="1"/>
  <c r="Y19" i="1" a="1"/>
  <c r="Y19" i="1" s="1"/>
  <c r="AA19" i="1" l="1"/>
  <c r="Y20" i="1" a="1"/>
  <c r="Y20" i="1" s="1"/>
  <c r="AA20" i="1" l="1"/>
  <c r="Y21" i="1" a="1"/>
  <c r="Y21" i="1" s="1"/>
  <c r="AA21" i="1" l="1"/>
  <c r="Y22" i="1" a="1"/>
  <c r="Y22" i="1" s="1"/>
  <c r="AA22" i="1" l="1"/>
  <c r="Y23" i="1" a="1"/>
  <c r="Y23" i="1" s="1"/>
  <c r="AE30" i="1"/>
  <c r="AE36" i="1" l="1" a="1"/>
  <c r="AE36" i="1" s="1"/>
  <c r="AE41" i="1" a="1"/>
  <c r="AE41" i="1" s="1"/>
  <c r="AE33" i="1" a="1"/>
  <c r="AE33" i="1" s="1"/>
  <c r="AE39" i="1" a="1"/>
  <c r="AE39" i="1" s="1"/>
  <c r="AE42" i="1" a="1"/>
  <c r="AE42" i="1" s="1"/>
  <c r="AE34" i="1" a="1"/>
  <c r="AE34" i="1" s="1"/>
  <c r="AE37" i="1" a="1"/>
  <c r="AE37" i="1" s="1"/>
  <c r="AE40" i="1" a="1"/>
  <c r="AE40" i="1" s="1"/>
  <c r="AE35" i="1" a="1"/>
  <c r="AE35" i="1" s="1"/>
  <c r="AE38" i="1" a="1"/>
  <c r="AE38" i="1" s="1"/>
  <c r="AE43" i="1" a="1"/>
  <c r="AE43" i="1" s="1"/>
  <c r="Y24" i="1" a="1"/>
  <c r="Y24" i="1" s="1"/>
  <c r="AA23" i="1"/>
  <c r="W44" i="1"/>
  <c r="W47" i="1" l="1" a="1"/>
  <c r="W47" i="1" s="1"/>
  <c r="W51" i="1" a="1"/>
  <c r="W51" i="1" s="1"/>
  <c r="W48" i="1" a="1"/>
  <c r="W48" i="1" s="1"/>
  <c r="W46" i="1" a="1"/>
  <c r="W46" i="1" s="1"/>
  <c r="W49" i="1" a="1"/>
  <c r="W49" i="1" s="1"/>
  <c r="W50" i="1" a="1"/>
  <c r="W50" i="1" s="1"/>
  <c r="Y25" i="1" a="1"/>
  <c r="Y25" i="1" s="1"/>
  <c r="AA24" i="1"/>
  <c r="Y44" i="1"/>
  <c r="Y49" i="1" l="1" a="1"/>
  <c r="Y49" i="1" s="1"/>
  <c r="Y50" i="1" a="1"/>
  <c r="Y50" i="1" s="1"/>
  <c r="Y47" i="1" a="1"/>
  <c r="Y47" i="1" s="1"/>
  <c r="Y51" i="1" a="1"/>
  <c r="Y51" i="1" s="1"/>
  <c r="Y48" i="1" a="1"/>
  <c r="Y48" i="1" s="1"/>
  <c r="Y46" i="1" a="1"/>
  <c r="Y46" i="1" s="1"/>
  <c r="Y26" i="1" a="1"/>
  <c r="Y26" i="1" s="1"/>
  <c r="AA26" i="1" s="1"/>
  <c r="AA25" i="1"/>
  <c r="AA44" i="1"/>
  <c r="AA47" i="1" l="1" a="1"/>
  <c r="AA47" i="1" s="1"/>
  <c r="AA51" i="1" a="1"/>
  <c r="AA51" i="1" s="1"/>
  <c r="AA48" i="1" a="1"/>
  <c r="AA48" i="1" s="1"/>
  <c r="AA46" i="1" a="1"/>
  <c r="AA46" i="1" s="1"/>
  <c r="AA49" i="1" a="1"/>
  <c r="AA49" i="1" s="1"/>
  <c r="AA50" i="1" a="1"/>
  <c r="AA50" i="1" s="1"/>
  <c r="AF26" i="1"/>
  <c r="AC26" i="1"/>
  <c r="Y27" i="1" a="1"/>
  <c r="Y27" i="1" s="1"/>
  <c r="AA27" i="1" s="1"/>
  <c r="AC44" i="1"/>
  <c r="AC47" i="1" l="1" a="1"/>
  <c r="AC47" i="1" s="1"/>
  <c r="AC46" i="1" a="1"/>
  <c r="AC46" i="1" s="1"/>
  <c r="AC50" i="1" a="1"/>
  <c r="AC50" i="1" s="1"/>
  <c r="AC49" i="1" a="1"/>
  <c r="AC49" i="1" s="1"/>
  <c r="AC51" i="1" a="1"/>
  <c r="AC51" i="1" s="1"/>
  <c r="AC48" i="1" a="1"/>
  <c r="AC48" i="1" s="1"/>
  <c r="AC27" i="1"/>
  <c r="AF27" i="1"/>
  <c r="AB26" i="1"/>
  <c r="AE26" i="1" s="1"/>
  <c r="AE44" i="1"/>
  <c r="AE46" i="1" s="1" a="1"/>
  <c r="AE46" i="1" s="1"/>
  <c r="AE48" i="1" s="1" a="1"/>
  <c r="AE48" i="1" s="1"/>
  <c r="AE50" i="1" s="1" a="1"/>
  <c r="AE50" i="1" s="1"/>
  <c r="AB27" i="1" l="1"/>
  <c r="AE27" i="1" s="1"/>
  <c r="W30" i="1"/>
  <c r="AA30" i="1"/>
  <c r="AC30" i="1"/>
  <c r="Y30" i="1"/>
  <c r="AC40" i="1" l="1" a="1"/>
  <c r="AC40" i="1" s="1"/>
  <c r="AC34" i="1" a="1"/>
  <c r="AC34" i="1" s="1"/>
  <c r="AC37" i="1" a="1"/>
  <c r="AC37" i="1" s="1"/>
  <c r="AC43" i="1" a="1"/>
  <c r="AC43" i="1" s="1"/>
  <c r="AC35" i="1" a="1"/>
  <c r="AC35" i="1" s="1"/>
  <c r="AC38" i="1" a="1"/>
  <c r="AC38" i="1" s="1"/>
  <c r="AC41" i="1" a="1"/>
  <c r="AC41" i="1" s="1"/>
  <c r="AC33" i="1" a="1"/>
  <c r="AC33" i="1" s="1"/>
  <c r="AC36" i="1" a="1"/>
  <c r="AC36" i="1" s="1"/>
  <c r="AC39" i="1" a="1"/>
  <c r="AC39" i="1" s="1"/>
  <c r="AC42" i="1" a="1"/>
  <c r="AC42" i="1" s="1"/>
  <c r="Y36" i="1" a="1"/>
  <c r="Y36" i="1" s="1"/>
  <c r="Y40" i="1" a="1"/>
  <c r="Y40" i="1" s="1"/>
  <c r="Y33" i="1" a="1"/>
  <c r="Y33" i="1" s="1"/>
  <c r="Y37" i="1" a="1"/>
  <c r="Y37" i="1" s="1"/>
  <c r="Y41" i="1" a="1"/>
  <c r="Y41" i="1" s="1"/>
  <c r="Y35" i="1" a="1"/>
  <c r="Y35" i="1" s="1"/>
  <c r="Y43" i="1" a="1"/>
  <c r="Y43" i="1" s="1"/>
  <c r="Y38" i="1" a="1"/>
  <c r="Y38" i="1" s="1"/>
  <c r="Y39" i="1" a="1"/>
  <c r="Y39" i="1" s="1"/>
  <c r="Y34" i="1" a="1"/>
  <c r="Y34" i="1" s="1"/>
  <c r="Y42" i="1" a="1"/>
  <c r="Y42" i="1" s="1"/>
  <c r="AA35" i="1" a="1"/>
  <c r="AA35" i="1" s="1"/>
  <c r="AA39" i="1" a="1"/>
  <c r="AA39" i="1" s="1"/>
  <c r="AA43" i="1" a="1"/>
  <c r="AA43" i="1" s="1"/>
  <c r="AA36" i="1" a="1"/>
  <c r="AA36" i="1" s="1"/>
  <c r="AA40" i="1" a="1"/>
  <c r="AA40" i="1" s="1"/>
  <c r="AA33" i="1" a="1"/>
  <c r="AA33" i="1" s="1"/>
  <c r="AA37" i="1" a="1"/>
  <c r="AA37" i="1" s="1"/>
  <c r="AA41" i="1" a="1"/>
  <c r="AA41" i="1" s="1"/>
  <c r="AA34" i="1" a="1"/>
  <c r="AA34" i="1" s="1"/>
  <c r="AA38" i="1" a="1"/>
  <c r="AA38" i="1" s="1"/>
  <c r="AA42" i="1" a="1"/>
  <c r="AA42" i="1" s="1"/>
  <c r="W37" i="1" a="1"/>
  <c r="W37" i="1" s="1"/>
  <c r="W41" i="1" a="1"/>
  <c r="W41" i="1" s="1"/>
  <c r="W34" i="1" a="1"/>
  <c r="W34" i="1" s="1"/>
  <c r="W38" i="1" a="1"/>
  <c r="W38" i="1" s="1"/>
  <c r="W42" i="1" a="1"/>
  <c r="W42" i="1" s="1"/>
  <c r="W40" i="1" a="1"/>
  <c r="W40" i="1" s="1"/>
  <c r="W39" i="1" a="1"/>
  <c r="W39" i="1" s="1"/>
  <c r="W35" i="1" a="1"/>
  <c r="W35" i="1" s="1"/>
  <c r="W43" i="1" a="1"/>
  <c r="W43" i="1" s="1"/>
  <c r="W36" i="1" a="1"/>
  <c r="W36" i="1" s="1"/>
  <c r="W33" i="1" a="1"/>
  <c r="W33" i="1" s="1"/>
  <c r="N23" i="1"/>
  <c r="N20" i="1"/>
  <c r="N18" i="1"/>
  <c r="U30" i="1"/>
  <c r="X19" i="1"/>
  <c r="X17" i="1"/>
  <c r="T16" i="1"/>
  <c r="T21" i="1"/>
  <c r="T20" i="1"/>
  <c r="T19" i="1"/>
  <c r="T18" i="1"/>
  <c r="T17" i="1"/>
  <c r="AD13" i="1"/>
  <c r="AC13" i="1"/>
  <c r="AD9" i="1"/>
  <c r="AC9" i="1"/>
  <c r="AB9" i="1"/>
  <c r="AA9" i="1"/>
  <c r="Z9" i="1"/>
  <c r="Y9" i="1"/>
  <c r="X9" i="1"/>
  <c r="W9" i="1"/>
  <c r="V9" i="1"/>
  <c r="U9" i="1"/>
  <c r="T9" i="1"/>
  <c r="S9" i="1"/>
  <c r="U37" i="1" l="1" a="1"/>
  <c r="U37" i="1" s="1"/>
  <c r="U41" i="1" a="1"/>
  <c r="U41" i="1" s="1"/>
  <c r="U45" i="1" a="1"/>
  <c r="U45" i="1" s="1"/>
  <c r="U49" i="1" a="1"/>
  <c r="U49" i="1" s="1"/>
  <c r="U34" i="1" a="1"/>
  <c r="U34" i="1" s="1"/>
  <c r="U38" i="1" a="1"/>
  <c r="U38" i="1" s="1"/>
  <c r="U42" i="1" a="1"/>
  <c r="U42" i="1" s="1"/>
  <c r="U46" i="1" a="1"/>
  <c r="U46" i="1" s="1"/>
  <c r="U50" i="1" a="1"/>
  <c r="U50" i="1" s="1"/>
  <c r="U36" i="1" a="1"/>
  <c r="U36" i="1" s="1"/>
  <c r="U44" i="1" a="1"/>
  <c r="U44" i="1" s="1"/>
  <c r="U33" i="1" a="1"/>
  <c r="U33" i="1" s="1"/>
  <c r="U43" i="1" a="1"/>
  <c r="U43" i="1" s="1"/>
  <c r="U39" i="1" a="1"/>
  <c r="U39" i="1" s="1"/>
  <c r="U47" i="1" a="1"/>
  <c r="U47" i="1" s="1"/>
  <c r="U40" i="1" a="1"/>
  <c r="U40" i="1" s="1"/>
  <c r="U48" i="1" a="1"/>
  <c r="U48" i="1" s="1"/>
  <c r="U35" i="1" a="1"/>
  <c r="U35" i="1" s="1"/>
  <c r="U51" i="1" a="1"/>
  <c r="U51" i="1" s="1"/>
  <c r="O20" i="1"/>
  <c r="O18" i="1"/>
  <c r="P18" i="1" s="1"/>
  <c r="O23" i="1"/>
  <c r="P23" i="1" s="1"/>
  <c r="X18" i="1"/>
  <c r="P20" i="1" l="1"/>
  <c r="N67" i="1" l="1"/>
  <c r="N66" i="1"/>
  <c r="N65" i="1"/>
  <c r="N64" i="1"/>
  <c r="N63" i="1"/>
  <c r="N31" i="1"/>
  <c r="N62" i="1"/>
  <c r="N51" i="1"/>
  <c r="AB13" i="1" s="1"/>
  <c r="N50" i="1"/>
  <c r="N49" i="1"/>
  <c r="N48" i="1"/>
  <c r="N47" i="1"/>
  <c r="N42" i="1"/>
  <c r="AB24" i="1" s="1"/>
  <c r="AE24" i="1" s="1"/>
  <c r="N44" i="1"/>
  <c r="N34" i="1"/>
  <c r="N37" i="1"/>
  <c r="N40" i="1"/>
  <c r="N38" i="1"/>
  <c r="N43" i="1"/>
  <c r="N41" i="1"/>
  <c r="N39" i="1"/>
  <c r="N32" i="1"/>
  <c r="N30" i="1"/>
  <c r="N46" i="1"/>
  <c r="N45" i="1"/>
  <c r="N35" i="1"/>
  <c r="N36" i="1"/>
  <c r="N33" i="1"/>
  <c r="N25" i="1"/>
  <c r="N28" i="1"/>
  <c r="N27" i="1"/>
  <c r="N26" i="1"/>
  <c r="N17" i="1"/>
  <c r="N22" i="1"/>
  <c r="N21" i="1"/>
  <c r="N52" i="1"/>
  <c r="N59" i="1"/>
  <c r="N61" i="1"/>
  <c r="Z13" i="1" l="1"/>
  <c r="AA13" i="1"/>
  <c r="N19" i="1" l="1"/>
  <c r="AB22" i="1" s="1"/>
  <c r="AE22" i="1" s="1"/>
  <c r="W13" i="1" l="1"/>
  <c r="O67" i="1"/>
  <c r="O66" i="1"/>
  <c r="O65" i="1"/>
  <c r="O64" i="1"/>
  <c r="O63" i="1"/>
  <c r="O31" i="1"/>
  <c r="O62" i="1"/>
  <c r="O61" i="1"/>
  <c r="O59" i="1"/>
  <c r="O52" i="1"/>
  <c r="O51" i="1"/>
  <c r="O50" i="1"/>
  <c r="O49" i="1"/>
  <c r="O48" i="1"/>
  <c r="O47" i="1"/>
  <c r="P47" i="1" s="1"/>
  <c r="O42" i="1"/>
  <c r="AF24" i="1" s="1"/>
  <c r="O44" i="1"/>
  <c r="O34" i="1"/>
  <c r="O37" i="1"/>
  <c r="O38" i="1"/>
  <c r="O43" i="1"/>
  <c r="O41" i="1"/>
  <c r="O39" i="1"/>
  <c r="O32" i="1"/>
  <c r="O30" i="1"/>
  <c r="O46" i="1"/>
  <c r="O45" i="1"/>
  <c r="O35" i="1"/>
  <c r="O36" i="1"/>
  <c r="O25" i="1"/>
  <c r="O28" i="1"/>
  <c r="O27" i="1"/>
  <c r="O26" i="1"/>
  <c r="O40" i="1"/>
  <c r="O17" i="1"/>
  <c r="O33" i="1"/>
  <c r="N24" i="1"/>
  <c r="N11" i="1"/>
  <c r="N9" i="1"/>
  <c r="N10" i="1"/>
  <c r="N12" i="1"/>
  <c r="N29" i="1"/>
  <c r="N13" i="1"/>
  <c r="N14" i="1"/>
  <c r="N16" i="1"/>
  <c r="N15" i="1"/>
  <c r="AB23" i="1" s="1"/>
  <c r="AE23" i="1" s="1"/>
  <c r="AB16" i="1"/>
  <c r="AE16" i="1" s="1"/>
  <c r="AB21" i="1" l="1"/>
  <c r="AE21" i="1" s="1"/>
  <c r="AB18" i="1"/>
  <c r="AE18" i="1" s="1"/>
  <c r="Z14" i="1"/>
  <c r="AB19" i="1"/>
  <c r="AE19" i="1" s="1"/>
  <c r="AA14" i="1"/>
  <c r="AB20" i="1"/>
  <c r="AE20" i="1" s="1"/>
  <c r="U13" i="1"/>
  <c r="AB17" i="1"/>
  <c r="AE17" i="1" s="1"/>
  <c r="P33" i="1"/>
  <c r="Y13" i="1"/>
  <c r="AB25" i="1"/>
  <c r="AE25" i="1" s="1"/>
  <c r="O24" i="1"/>
  <c r="AF18" i="1" s="1"/>
  <c r="V13" i="1"/>
  <c r="X13" i="1"/>
  <c r="U21" i="1"/>
  <c r="U20" i="1"/>
  <c r="X16" i="1"/>
  <c r="U16" i="1"/>
  <c r="U17" i="1"/>
  <c r="U18" i="1"/>
  <c r="U19" i="1"/>
  <c r="P39" i="1"/>
  <c r="P62" i="1"/>
  <c r="P42" i="1"/>
  <c r="P50" i="1"/>
  <c r="P64" i="1"/>
  <c r="P67" i="1"/>
  <c r="P59" i="1"/>
  <c r="O12" i="1"/>
  <c r="O13" i="1"/>
  <c r="O15" i="1"/>
  <c r="AF23" i="1" s="1"/>
  <c r="O10" i="1"/>
  <c r="P10" i="1" s="1"/>
  <c r="P41" i="1"/>
  <c r="O14" i="1"/>
  <c r="P14" i="1" s="1"/>
  <c r="O22" i="1"/>
  <c r="P22" i="1" s="1"/>
  <c r="O16" i="1"/>
  <c r="P16" i="1" s="1"/>
  <c r="O9" i="1"/>
  <c r="O21" i="1"/>
  <c r="P21" i="1" s="1"/>
  <c r="O11" i="1"/>
  <c r="P11" i="1" s="1"/>
  <c r="P35" i="1"/>
  <c r="P32" i="1"/>
  <c r="P38" i="1"/>
  <c r="P61" i="1"/>
  <c r="P46" i="1"/>
  <c r="P40" i="1"/>
  <c r="P45" i="1"/>
  <c r="P37" i="1"/>
  <c r="P51" i="1"/>
  <c r="P65" i="1"/>
  <c r="P24" i="1"/>
  <c r="P17" i="1"/>
  <c r="P27" i="1"/>
  <c r="P36" i="1"/>
  <c r="P30" i="1"/>
  <c r="P43" i="1"/>
  <c r="P44" i="1"/>
  <c r="P49" i="1"/>
  <c r="P63" i="1"/>
  <c r="P28" i="1"/>
  <c r="P26" i="1"/>
  <c r="P25" i="1"/>
  <c r="P34" i="1"/>
  <c r="P48" i="1"/>
  <c r="P52" i="1"/>
  <c r="P31" i="1"/>
  <c r="P66" i="1"/>
  <c r="O19" i="1"/>
  <c r="O29" i="1"/>
  <c r="P12" i="1"/>
  <c r="O8" i="1"/>
  <c r="AF20" i="1" l="1"/>
  <c r="AF21" i="1"/>
  <c r="AF16" i="1"/>
  <c r="P15" i="1"/>
  <c r="AF25" i="1"/>
  <c r="P13" i="1"/>
  <c r="V14" i="1" s="1"/>
  <c r="P19" i="1"/>
  <c r="AF22" i="1" s="1"/>
  <c r="P29" i="1"/>
  <c r="Y14" i="1"/>
  <c r="X14" i="1"/>
  <c r="P9" i="1"/>
  <c r="AF19" i="1" s="1"/>
  <c r="P8" i="1"/>
  <c r="AF17" i="1" l="1"/>
  <c r="W14" i="1"/>
  <c r="U14" i="1"/>
  <c r="AF8" i="1"/>
  <c r="AC17" i="1"/>
  <c r="AC20" i="1"/>
  <c r="AC25" i="1"/>
  <c r="AC23" i="1"/>
  <c r="AC19" i="1"/>
  <c r="AC21" i="1"/>
  <c r="AC16" i="1"/>
  <c r="AC22" i="1"/>
  <c r="AC24" i="1"/>
  <c r="AC18" i="1"/>
  <c r="S30" i="1"/>
  <c r="S34" i="1" l="1" a="1"/>
  <c r="S34" i="1" s="1"/>
  <c r="S37" i="1" a="1"/>
  <c r="S37" i="1" s="1"/>
  <c r="S40" i="1" a="1"/>
  <c r="S40" i="1" s="1"/>
  <c r="S43" i="1" a="1"/>
  <c r="S43" i="1" s="1"/>
  <c r="S48" i="1" a="1"/>
  <c r="S48" i="1" s="1"/>
  <c r="S51" i="1" a="1"/>
  <c r="S51" i="1" s="1"/>
  <c r="S35" i="1" a="1"/>
  <c r="S35" i="1" s="1"/>
  <c r="S41" i="1" a="1"/>
  <c r="S41" i="1" s="1"/>
  <c r="S46" i="1" a="1"/>
  <c r="S46" i="1" s="1"/>
  <c r="S49" i="1" a="1"/>
  <c r="S49" i="1" s="1"/>
  <c r="S39" i="1" a="1"/>
  <c r="S39" i="1" s="1"/>
  <c r="S45" i="1" a="1"/>
  <c r="S45" i="1" s="1"/>
  <c r="S50" i="1" a="1"/>
  <c r="S50" i="1" s="1"/>
  <c r="S47" i="1" a="1"/>
  <c r="S47" i="1" s="1"/>
  <c r="S33" i="1" a="1"/>
  <c r="S33" i="1" s="1"/>
  <c r="S38" i="1" a="1"/>
  <c r="S38" i="1" s="1"/>
  <c r="S36" i="1" a="1"/>
  <c r="S36" i="1" s="1"/>
  <c r="S42" i="1" a="1"/>
  <c r="S42" i="1" s="1"/>
  <c r="S44" i="1" a="1"/>
  <c r="S44" i="1" s="1"/>
</calcChain>
</file>

<file path=xl/comments1.xml><?xml version="1.0" encoding="utf-8"?>
<comments xmlns="http://schemas.openxmlformats.org/spreadsheetml/2006/main">
  <authors>
    <author>Eugene Chiong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module code here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Type of mod: Core, Science, Breadth, GEM, SS, Specialization. 
The naming convention is up to you to decide!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1000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2000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3000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4000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5000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6000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the semester which you took the module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grade, or NIL if you did not take it
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N if you don't want to S/U the mod, Y if you want, and NIL if you have not taken the mod
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reflects on your transcript
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are actually calculated in your CAP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weight that module has on your CAP
</t>
        </r>
      </text>
    </comment>
    <comment ref="AC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Relative Weight is how much impact the modules you have taken under that particular type have on your overall CAP</t>
        </r>
      </text>
    </comment>
    <comment ref="AE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How much of all the modules in that particular type you have completed</t>
        </r>
      </text>
    </comment>
    <comment ref="AF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Your CAP for each type of module you have taken so far. </t>
        </r>
      </text>
    </comment>
  </commentList>
</comments>
</file>

<file path=xl/sharedStrings.xml><?xml version="1.0" encoding="utf-8"?>
<sst xmlns="http://schemas.openxmlformats.org/spreadsheetml/2006/main" count="145" uniqueCount="95">
  <si>
    <t>Module code</t>
  </si>
  <si>
    <t>Type</t>
  </si>
  <si>
    <t>Level 1000 MCs</t>
  </si>
  <si>
    <t>Level 2000 MCs</t>
  </si>
  <si>
    <t>Level 3000 MCs</t>
  </si>
  <si>
    <t>Level 4000 MCs</t>
  </si>
  <si>
    <t>CS1101S</t>
  </si>
  <si>
    <t>Total</t>
  </si>
  <si>
    <t>CS1231</t>
  </si>
  <si>
    <t>Grade</t>
  </si>
  <si>
    <t>MA1521</t>
  </si>
  <si>
    <t>PC1432</t>
  </si>
  <si>
    <t>Science</t>
  </si>
  <si>
    <t>SC1101E</t>
  </si>
  <si>
    <t>Breadth</t>
  </si>
  <si>
    <t>Taken</t>
  </si>
  <si>
    <t>CS2100</t>
  </si>
  <si>
    <t>MA1101R</t>
  </si>
  <si>
    <t>CS2101</t>
  </si>
  <si>
    <t>CS2103T</t>
  </si>
  <si>
    <t>CS2105</t>
  </si>
  <si>
    <t>CS2106</t>
  </si>
  <si>
    <t>CS3230</t>
  </si>
  <si>
    <t>ST2334</t>
  </si>
  <si>
    <t>GEM</t>
  </si>
  <si>
    <t>CS3241</t>
  </si>
  <si>
    <t>CS3343</t>
  </si>
  <si>
    <t>Level 5000 MCs</t>
  </si>
  <si>
    <t>A</t>
  </si>
  <si>
    <t>B</t>
  </si>
  <si>
    <t>Grade value</t>
  </si>
  <si>
    <t>A-</t>
  </si>
  <si>
    <t>B-</t>
  </si>
  <si>
    <t>S/U</t>
  </si>
  <si>
    <t>Effective MCs</t>
  </si>
  <si>
    <t>D</t>
  </si>
  <si>
    <t>Statistics</t>
  </si>
  <si>
    <t>B+</t>
  </si>
  <si>
    <t>A+</t>
  </si>
  <si>
    <t>C+</t>
  </si>
  <si>
    <t>C</t>
  </si>
  <si>
    <t>D+</t>
  </si>
  <si>
    <t>F</t>
  </si>
  <si>
    <t>Overall CAP</t>
  </si>
  <si>
    <t>MC Footprint</t>
  </si>
  <si>
    <t>Level 6000 MCs</t>
  </si>
  <si>
    <t>Singapore Studies</t>
  </si>
  <si>
    <t>Modules</t>
  </si>
  <si>
    <t>Planned</t>
  </si>
  <si>
    <t>P</t>
  </si>
  <si>
    <t>MCs</t>
  </si>
  <si>
    <t>Level 1000</t>
  </si>
  <si>
    <t xml:space="preserve">Level 2000 </t>
  </si>
  <si>
    <t>Level 3000</t>
  </si>
  <si>
    <t>Level 4000</t>
  </si>
  <si>
    <t>Level 5000</t>
  </si>
  <si>
    <t>Level 6000</t>
  </si>
  <si>
    <t>* Modify only the coloured cells in the main table</t>
  </si>
  <si>
    <t>UE</t>
  </si>
  <si>
    <t>* Mods with a Pass/Fail are to be indicated as SU'ed</t>
  </si>
  <si>
    <t>MCs Taken</t>
  </si>
  <si>
    <t>MCs Planned</t>
  </si>
  <si>
    <t>SSB2216</t>
  </si>
  <si>
    <t>Semester</t>
  </si>
  <si>
    <t>Semesters</t>
  </si>
  <si>
    <t>Module Weight</t>
  </si>
  <si>
    <t>Module</t>
  </si>
  <si>
    <t>Cleared</t>
  </si>
  <si>
    <t>GEK1508</t>
  </si>
  <si>
    <t>PC1431</t>
  </si>
  <si>
    <t>CS2010R</t>
  </si>
  <si>
    <t>LSM1302</t>
  </si>
  <si>
    <t>GEK1055</t>
  </si>
  <si>
    <t>Y</t>
  </si>
  <si>
    <t>SAP</t>
  </si>
  <si>
    <t>Modules Taken</t>
  </si>
  <si>
    <t>Modules Planned</t>
  </si>
  <si>
    <t>Foundation</t>
  </si>
  <si>
    <t>IT Professionalism</t>
  </si>
  <si>
    <t>Focus Area</t>
  </si>
  <si>
    <t>Graduation Criteria</t>
  </si>
  <si>
    <t>Copyright 2013 Eugene Chiong</t>
  </si>
  <si>
    <t>Eugene Chiong</t>
  </si>
  <si>
    <t>School of Computing</t>
  </si>
  <si>
    <t>National University of Singapore</t>
  </si>
  <si>
    <t>Year 3, B.Comp (Honours)</t>
  </si>
  <si>
    <t>S/U Used</t>
  </si>
  <si>
    <t>Progress</t>
  </si>
  <si>
    <t>CAP</t>
  </si>
  <si>
    <t>Relative Weight</t>
  </si>
  <si>
    <t>N</t>
  </si>
  <si>
    <t>https://github.com/eugenecys/NUS-Module-Planner/issues</t>
  </si>
  <si>
    <t xml:space="preserve">Provide feedback/bug reports at: </t>
  </si>
  <si>
    <t xml:space="preserve">Hope you find this tool useful! </t>
  </si>
  <si>
    <t>NUS Module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</si>
</sst>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F4C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9F9F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9" borderId="5" xfId="0" applyFill="1" applyBorder="1"/>
    <xf numFmtId="0" fontId="0" fillId="4" borderId="38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44" xfId="0" applyFill="1" applyBorder="1"/>
    <xf numFmtId="0" fontId="0" fillId="10" borderId="7" xfId="0" applyFill="1" applyBorder="1"/>
    <xf numFmtId="0" fontId="0" fillId="10" borderId="37" xfId="0" applyFill="1" applyBorder="1"/>
    <xf numFmtId="0" fontId="0" fillId="10" borderId="47" xfId="0" applyFill="1" applyBorder="1"/>
    <xf numFmtId="0" fontId="0" fillId="10" borderId="42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5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50" xfId="0" applyFill="1" applyBorder="1"/>
    <xf numFmtId="0" fontId="0" fillId="10" borderId="41" xfId="0" applyFill="1" applyBorder="1"/>
    <xf numFmtId="0" fontId="0" fillId="10" borderId="25" xfId="0" applyFill="1" applyBorder="1"/>
    <xf numFmtId="0" fontId="0" fillId="10" borderId="6" xfId="0" applyFill="1" applyBorder="1"/>
    <xf numFmtId="0" fontId="0" fillId="10" borderId="34" xfId="0" applyFill="1" applyBorder="1"/>
    <xf numFmtId="0" fontId="3" fillId="5" borderId="4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4" borderId="4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9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4" borderId="46" xfId="0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35" xfId="0" applyFill="1" applyBorder="1" applyAlignment="1">
      <alignment horizontal="left"/>
    </xf>
    <xf numFmtId="0" fontId="0" fillId="4" borderId="34" xfId="0" applyFill="1" applyBorder="1" applyAlignment="1"/>
    <xf numFmtId="0" fontId="0" fillId="4" borderId="34" xfId="0" applyFill="1" applyBorder="1"/>
    <xf numFmtId="0" fontId="0" fillId="4" borderId="52" xfId="0" applyFill="1" applyBorder="1"/>
    <xf numFmtId="0" fontId="0" fillId="4" borderId="17" xfId="0" applyFill="1" applyBorder="1"/>
    <xf numFmtId="0" fontId="0" fillId="3" borderId="49" xfId="0" applyFill="1" applyBorder="1" applyAlignment="1"/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left"/>
    </xf>
    <xf numFmtId="0" fontId="0" fillId="9" borderId="45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9" borderId="0" xfId="0" applyNumberFormat="1" applyFill="1" applyBorder="1"/>
    <xf numFmtId="0" fontId="0" fillId="2" borderId="24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5" borderId="4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5" borderId="28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4" borderId="47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10" borderId="55" xfId="0" applyFill="1" applyBorder="1"/>
    <xf numFmtId="164" fontId="0" fillId="4" borderId="52" xfId="0" applyNumberFormat="1" applyFill="1" applyBorder="1"/>
    <xf numFmtId="164" fontId="0" fillId="4" borderId="38" xfId="0" applyNumberFormat="1" applyFill="1" applyBorder="1"/>
    <xf numFmtId="164" fontId="0" fillId="4" borderId="17" xfId="0" applyNumberFormat="1" applyFill="1" applyBorder="1"/>
    <xf numFmtId="0" fontId="0" fillId="0" borderId="0" xfId="0" applyBorder="1" applyAlignment="1">
      <alignment vertical="center"/>
    </xf>
    <xf numFmtId="0" fontId="0" fillId="4" borderId="53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8" fillId="13" borderId="0" xfId="0" applyFont="1" applyFill="1" applyBorder="1" applyAlignment="1">
      <alignment horizontal="left" vertic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left"/>
    </xf>
    <xf numFmtId="0" fontId="0" fillId="9" borderId="51" xfId="0" applyFill="1" applyBorder="1" applyAlignment="1">
      <alignment horizontal="left"/>
    </xf>
    <xf numFmtId="0" fontId="0" fillId="4" borderId="5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9" borderId="19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11" borderId="0" xfId="0" applyFill="1" applyProtection="1"/>
    <xf numFmtId="0" fontId="5" fillId="11" borderId="0" xfId="0" applyFont="1" applyFill="1" applyAlignment="1" applyProtection="1">
      <alignment horizontal="left" wrapText="1"/>
    </xf>
    <xf numFmtId="0" fontId="7" fillId="11" borderId="0" xfId="1" applyFill="1" applyAlignment="1" applyProtection="1">
      <alignment horizontal="left"/>
    </xf>
    <xf numFmtId="0" fontId="6" fillId="11" borderId="0" xfId="0" applyFont="1" applyFill="1" applyProtection="1"/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9F9F9"/>
      <color rgb="FFFFFBEF"/>
      <color rgb="FF99CCFF"/>
      <color rgb="FFFFFFCC"/>
      <color rgb="FFCCFFCC"/>
      <color rgb="FFFFCCCC"/>
      <color rgb="FFCCECFF"/>
      <color rgb="FF66FFFF"/>
      <color rgb="FFA6F4CF"/>
      <color rgb="FF8DF3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Table" displayName="MainTable" ref="B7:P67" totalsRowShown="0" headerRowDxfId="17" headerRowBorderDxfId="16" tableBorderDxfId="15">
  <autoFilter ref="B7:P67"/>
  <sortState ref="B5:P64">
    <sortCondition ref="J4:J64"/>
  </sortState>
  <tableColumns count="15">
    <tableColumn id="1" name="Module code" dataDxfId="14"/>
    <tableColumn id="2" name="Type" dataDxfId="13"/>
    <tableColumn id="3" name="Level 1000 MCs" dataDxfId="12"/>
    <tableColumn id="4" name="Level 2000 MCs" dataDxfId="11"/>
    <tableColumn id="5" name="Level 3000 MCs" dataDxfId="10"/>
    <tableColumn id="6" name="Level 4000 MCs" dataDxfId="9"/>
    <tableColumn id="7" name="Level 5000 MCs" dataDxfId="8"/>
    <tableColumn id="8" name="Level 6000 MCs" dataDxfId="7"/>
    <tableColumn id="9" name="Semester" dataDxfId="6"/>
    <tableColumn id="10" name="Grade" dataDxfId="5"/>
    <tableColumn id="11" name="Grade value" dataDxfId="4">
      <calculatedColumnFormula>IF(K8="A+",5,IF(K8="A",5,IF(K8="A-",4.5,IF(K8="B+",4,IF(K8="B",3.5,IF(K8="B-",3,IF(K8="C+",2.5,IF(K8="C",2,IF(K8="D+",1.5,IF(K8="D",1,IF(K8="F",0,IF(K8="P",0,""))))))))))))</calculatedColumnFormula>
    </tableColumn>
    <tableColumn id="12" name="S/U" dataDxfId="3"/>
    <tableColumn id="13" name="Effective MCs" dataDxfId="2">
      <calculatedColumnFormula>IF(M8="N",SUM(D8:I8),IF(M8="Y",IF(L8&lt;2,0,SUM(D8:I8)),""))</calculatedColumnFormula>
    </tableColumn>
    <tableColumn id="14" name="MC Footprint" dataDxfId="1">
      <calculatedColumnFormula>IF(M8="Y",0,N8)</calculatedColumnFormula>
    </tableColumn>
    <tableColumn id="15" name="Module Weight" dataDxfId="0">
      <calculatedColumnFormula>IF(OR(L8="",O8=""),"",O8*L8)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ugenecys/NUS-Module-Planner/issue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F72"/>
  <sheetViews>
    <sheetView tabSelected="1" topLeftCell="A6" zoomScale="80" zoomScaleNormal="80" workbookViewId="0">
      <selection activeCell="R31" sqref="R31"/>
    </sheetView>
  </sheetViews>
  <sheetFormatPr defaultRowHeight="15" x14ac:dyDescent="0.25"/>
  <cols>
    <col min="2" max="2" width="17.28515625" customWidth="1"/>
    <col min="3" max="3" width="20.7109375" customWidth="1"/>
    <col min="4" max="9" width="17" customWidth="1"/>
    <col min="10" max="10" width="11.5703125" customWidth="1"/>
    <col min="11" max="11" width="8.5703125" customWidth="1"/>
    <col min="12" max="12" width="14" customWidth="1"/>
    <col min="13" max="13" width="7.140625" customWidth="1"/>
    <col min="14" max="14" width="15.42578125" customWidth="1"/>
    <col min="15" max="15" width="14.7109375" customWidth="1"/>
    <col min="16" max="16" width="16.85546875" customWidth="1"/>
    <col min="19" max="32" width="10.7109375" customWidth="1"/>
  </cols>
  <sheetData>
    <row r="2" spans="2:32" x14ac:dyDescent="0.25">
      <c r="B2" s="106" t="s">
        <v>94</v>
      </c>
      <c r="C2" s="106"/>
      <c r="D2" s="106"/>
      <c r="E2" s="106"/>
      <c r="F2" s="106"/>
      <c r="G2" s="106"/>
      <c r="H2" s="106"/>
      <c r="I2" s="106"/>
    </row>
    <row r="3" spans="2:32" x14ac:dyDescent="0.25">
      <c r="B3" s="106"/>
      <c r="C3" s="106"/>
      <c r="D3" s="106"/>
      <c r="E3" s="106"/>
      <c r="F3" s="106"/>
      <c r="G3" s="106"/>
      <c r="H3" s="106"/>
      <c r="I3" s="106"/>
    </row>
    <row r="5" spans="2:32" x14ac:dyDescent="0.25">
      <c r="B5" t="s">
        <v>57</v>
      </c>
    </row>
    <row r="6" spans="2:32" ht="15.75" thickBot="1" x14ac:dyDescent="0.3">
      <c r="B6" t="s">
        <v>59</v>
      </c>
    </row>
    <row r="7" spans="2:32" ht="30.75" customHeight="1" thickBot="1" x14ac:dyDescent="0.3">
      <c r="B7" s="40" t="s">
        <v>0</v>
      </c>
      <c r="C7" s="41" t="s">
        <v>1</v>
      </c>
      <c r="D7" s="42" t="s">
        <v>2</v>
      </c>
      <c r="E7" s="42" t="s">
        <v>3</v>
      </c>
      <c r="F7" s="42" t="s">
        <v>4</v>
      </c>
      <c r="G7" s="42" t="s">
        <v>5</v>
      </c>
      <c r="H7" s="42" t="s">
        <v>27</v>
      </c>
      <c r="I7" s="42" t="s">
        <v>45</v>
      </c>
      <c r="J7" s="43" t="s">
        <v>63</v>
      </c>
      <c r="K7" s="44" t="s">
        <v>9</v>
      </c>
      <c r="L7" s="45" t="s">
        <v>30</v>
      </c>
      <c r="M7" s="46" t="s">
        <v>33</v>
      </c>
      <c r="N7" s="47" t="s">
        <v>34</v>
      </c>
      <c r="O7" s="47" t="s">
        <v>44</v>
      </c>
      <c r="P7" s="47" t="s">
        <v>65</v>
      </c>
      <c r="S7" s="135" t="s">
        <v>36</v>
      </c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7"/>
    </row>
    <row r="8" spans="2:32" ht="15" customHeight="1" x14ac:dyDescent="0.25">
      <c r="B8" s="82" t="s">
        <v>6</v>
      </c>
      <c r="C8" s="83" t="s">
        <v>77</v>
      </c>
      <c r="D8" s="84">
        <v>5</v>
      </c>
      <c r="E8" s="84"/>
      <c r="F8" s="84"/>
      <c r="G8" s="84"/>
      <c r="H8" s="84"/>
      <c r="I8" s="84"/>
      <c r="J8" s="92">
        <v>1</v>
      </c>
      <c r="K8" s="79" t="s">
        <v>28</v>
      </c>
      <c r="L8" s="2">
        <f t="shared" ref="L8:L39" si="0">IF(K8="A+",5,IF(K8="A",5,IF(K8="A-",4.5,IF(K8="B+",4,IF(K8="B",3.5,IF(K8="B-",3,IF(K8="C+",2.5,IF(K8="C",2,IF(K8="D+",1.5,IF(K8="D",1,IF(K8="F",0,IF(K8="P",0,""))))))))))))</f>
        <v>5</v>
      </c>
      <c r="M8" s="77" t="s">
        <v>90</v>
      </c>
      <c r="N8" s="3">
        <f t="shared" ref="N8:N39" si="1">IF(M8="N",SUM(D8:I8),IF(M8="Y",IF(L8&lt;2,0,SUM(D8:I8)),""))</f>
        <v>5</v>
      </c>
      <c r="O8" s="3">
        <f t="shared" ref="O8:O39" si="2">IF(M8="Y",0,N8)</f>
        <v>5</v>
      </c>
      <c r="P8" s="3">
        <f t="shared" ref="P8:P39" si="3">IF(OR(L8="",O8=""),"",O8*L8)</f>
        <v>25</v>
      </c>
      <c r="S8" s="70" t="s">
        <v>38</v>
      </c>
      <c r="T8" s="71" t="s">
        <v>28</v>
      </c>
      <c r="U8" s="71" t="s">
        <v>31</v>
      </c>
      <c r="V8" s="71" t="s">
        <v>37</v>
      </c>
      <c r="W8" s="71" t="s">
        <v>29</v>
      </c>
      <c r="X8" s="71" t="s">
        <v>32</v>
      </c>
      <c r="Y8" s="71" t="s">
        <v>39</v>
      </c>
      <c r="Z8" s="71" t="s">
        <v>40</v>
      </c>
      <c r="AA8" s="71" t="s">
        <v>41</v>
      </c>
      <c r="AB8" s="71" t="s">
        <v>35</v>
      </c>
      <c r="AC8" s="71" t="s">
        <v>42</v>
      </c>
      <c r="AD8" s="72" t="s">
        <v>49</v>
      </c>
      <c r="AE8" s="129" t="s">
        <v>43</v>
      </c>
      <c r="AF8" s="132">
        <f>IF(SUM(O8:O67)=0,0,ROUND(SUM(P8:P67)/SUM(O8:O67),2))</f>
        <v>3.22</v>
      </c>
    </row>
    <row r="9" spans="2:32" ht="15.75" thickBot="1" x14ac:dyDescent="0.3">
      <c r="B9" s="85" t="s">
        <v>10</v>
      </c>
      <c r="C9" s="86" t="s">
        <v>12</v>
      </c>
      <c r="D9" s="87">
        <v>4</v>
      </c>
      <c r="E9" s="87"/>
      <c r="F9" s="87"/>
      <c r="G9" s="87"/>
      <c r="H9" s="87"/>
      <c r="I9" s="87"/>
      <c r="J9" s="93">
        <v>1</v>
      </c>
      <c r="K9" s="80" t="s">
        <v>31</v>
      </c>
      <c r="L9" s="2">
        <f t="shared" si="0"/>
        <v>4.5</v>
      </c>
      <c r="M9" s="77" t="s">
        <v>90</v>
      </c>
      <c r="N9" s="3">
        <f t="shared" si="1"/>
        <v>4</v>
      </c>
      <c r="O9" s="3">
        <f t="shared" si="2"/>
        <v>4</v>
      </c>
      <c r="P9" s="13">
        <f t="shared" si="3"/>
        <v>18</v>
      </c>
      <c r="S9" s="73">
        <f>COUNTIF(MainTable[Grade],S8)</f>
        <v>1</v>
      </c>
      <c r="T9" s="74">
        <f>COUNTIF(MainTable[Grade],T8)</f>
        <v>1</v>
      </c>
      <c r="U9" s="74">
        <f>COUNTIF(MainTable[Grade],U8)</f>
        <v>1</v>
      </c>
      <c r="V9" s="74">
        <f>COUNTIF(MainTable[Grade],V8)</f>
        <v>1</v>
      </c>
      <c r="W9" s="74">
        <f>COUNTIF(MainTable[Grade],W8)</f>
        <v>1</v>
      </c>
      <c r="X9" s="74">
        <f>COUNTIF(MainTable[Grade],X8)</f>
        <v>1</v>
      </c>
      <c r="Y9" s="74">
        <f>COUNTIF(MainTable[Grade],Y8)</f>
        <v>1</v>
      </c>
      <c r="Z9" s="74">
        <f>COUNTIF(MainTable[Grade],Z8)</f>
        <v>1</v>
      </c>
      <c r="AA9" s="74">
        <f>COUNTIF(MainTable[Grade],AA8)</f>
        <v>1</v>
      </c>
      <c r="AB9" s="74">
        <f>COUNTIF(MainTable[Grade],AB8)</f>
        <v>1</v>
      </c>
      <c r="AC9" s="74">
        <f>COUNTIF(MainTable[Grade],AC8)</f>
        <v>1</v>
      </c>
      <c r="AD9" s="75">
        <f>COUNTIF(MainTable[Grade],AD8)</f>
        <v>1</v>
      </c>
      <c r="AE9" s="130"/>
      <c r="AF9" s="133"/>
    </row>
    <row r="10" spans="2:32" x14ac:dyDescent="0.25">
      <c r="B10" s="85" t="s">
        <v>11</v>
      </c>
      <c r="C10" s="86" t="s">
        <v>12</v>
      </c>
      <c r="D10" s="87">
        <v>4</v>
      </c>
      <c r="E10" s="87"/>
      <c r="F10" s="87"/>
      <c r="G10" s="87"/>
      <c r="H10" s="87"/>
      <c r="I10" s="87"/>
      <c r="J10" s="93">
        <v>1</v>
      </c>
      <c r="K10" s="80" t="s">
        <v>38</v>
      </c>
      <c r="L10" s="2">
        <f t="shared" si="0"/>
        <v>5</v>
      </c>
      <c r="M10" s="77" t="s">
        <v>90</v>
      </c>
      <c r="N10" s="3">
        <f t="shared" si="1"/>
        <v>4</v>
      </c>
      <c r="O10" s="3">
        <f t="shared" si="2"/>
        <v>4</v>
      </c>
      <c r="P10" s="13">
        <f t="shared" si="3"/>
        <v>20</v>
      </c>
      <c r="S10" s="143" t="s">
        <v>64</v>
      </c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5"/>
      <c r="AE10" s="130"/>
      <c r="AF10" s="133"/>
    </row>
    <row r="11" spans="2:32" ht="15.75" thickBot="1" x14ac:dyDescent="0.3">
      <c r="B11" s="85" t="s">
        <v>8</v>
      </c>
      <c r="C11" s="86" t="s">
        <v>77</v>
      </c>
      <c r="D11" s="87">
        <v>4</v>
      </c>
      <c r="E11" s="87"/>
      <c r="F11" s="87"/>
      <c r="G11" s="87"/>
      <c r="H11" s="87"/>
      <c r="I11" s="87"/>
      <c r="J11" s="93">
        <v>1</v>
      </c>
      <c r="K11" s="80" t="s">
        <v>37</v>
      </c>
      <c r="L11" s="2">
        <f t="shared" si="0"/>
        <v>4</v>
      </c>
      <c r="M11" s="77" t="s">
        <v>90</v>
      </c>
      <c r="N11" s="3">
        <f t="shared" si="1"/>
        <v>4</v>
      </c>
      <c r="O11" s="3">
        <f t="shared" si="2"/>
        <v>4</v>
      </c>
      <c r="P11" s="13">
        <f t="shared" si="3"/>
        <v>16</v>
      </c>
      <c r="S11" s="146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8"/>
      <c r="AE11" s="130"/>
      <c r="AF11" s="133"/>
    </row>
    <row r="12" spans="2:32" ht="15.75" thickBot="1" x14ac:dyDescent="0.3">
      <c r="B12" s="85" t="s">
        <v>13</v>
      </c>
      <c r="C12" s="86" t="s">
        <v>14</v>
      </c>
      <c r="D12" s="87">
        <v>4</v>
      </c>
      <c r="E12" s="87"/>
      <c r="F12" s="87"/>
      <c r="G12" s="87"/>
      <c r="H12" s="87"/>
      <c r="I12" s="87"/>
      <c r="J12" s="93">
        <v>1</v>
      </c>
      <c r="K12" s="80" t="s">
        <v>32</v>
      </c>
      <c r="L12" s="2">
        <f t="shared" si="0"/>
        <v>3</v>
      </c>
      <c r="M12" s="77" t="s">
        <v>90</v>
      </c>
      <c r="N12" s="3">
        <f t="shared" si="1"/>
        <v>4</v>
      </c>
      <c r="O12" s="3">
        <f t="shared" si="2"/>
        <v>4</v>
      </c>
      <c r="P12" s="13">
        <f t="shared" si="3"/>
        <v>12</v>
      </c>
      <c r="S12" s="149"/>
      <c r="T12" s="150"/>
      <c r="U12" s="7">
        <v>1</v>
      </c>
      <c r="V12" s="7">
        <v>2</v>
      </c>
      <c r="W12" s="7">
        <v>3</v>
      </c>
      <c r="X12" s="7">
        <v>4</v>
      </c>
      <c r="Y12" s="7">
        <v>5</v>
      </c>
      <c r="Z12" s="7">
        <v>6</v>
      </c>
      <c r="AA12" s="7">
        <v>7</v>
      </c>
      <c r="AB12" s="7">
        <v>8</v>
      </c>
      <c r="AC12" s="7">
        <v>9</v>
      </c>
      <c r="AD12" s="10">
        <v>10</v>
      </c>
      <c r="AE12" s="130"/>
      <c r="AF12" s="133"/>
    </row>
    <row r="13" spans="2:32" x14ac:dyDescent="0.25">
      <c r="B13" s="85" t="s">
        <v>16</v>
      </c>
      <c r="C13" s="86" t="s">
        <v>77</v>
      </c>
      <c r="D13" s="87"/>
      <c r="E13" s="87">
        <v>4</v>
      </c>
      <c r="F13" s="87"/>
      <c r="G13" s="87"/>
      <c r="H13" s="87"/>
      <c r="I13" s="87"/>
      <c r="J13" s="93">
        <v>2</v>
      </c>
      <c r="K13" s="80" t="s">
        <v>40</v>
      </c>
      <c r="L13" s="2">
        <f t="shared" si="0"/>
        <v>2</v>
      </c>
      <c r="M13" s="77" t="s">
        <v>90</v>
      </c>
      <c r="N13" s="3">
        <f t="shared" si="1"/>
        <v>4</v>
      </c>
      <c r="O13" s="3">
        <f t="shared" si="2"/>
        <v>4</v>
      </c>
      <c r="P13" s="13">
        <f t="shared" si="3"/>
        <v>8</v>
      </c>
      <c r="S13" s="151" t="s">
        <v>60</v>
      </c>
      <c r="T13" s="152"/>
      <c r="U13" s="8">
        <f>SUMIFS(MainTable[Effective MCs],MainTable[Semester],U12)</f>
        <v>21</v>
      </c>
      <c r="V13" s="8">
        <f>SUMIFS(MainTable[Effective MCs],MainTable[Semester],V12)</f>
        <v>12</v>
      </c>
      <c r="W13" s="8">
        <f>SUMIFS(MainTable[Effective MCs],MainTable[Semester],W12)</f>
        <v>5</v>
      </c>
      <c r="X13" s="8">
        <f>SUMIFS(MainTable[Effective MCs],MainTable[Semester],X12)</f>
        <v>0</v>
      </c>
      <c r="Y13" s="8">
        <f>SUMIFS(MainTable[Effective MCs],MainTable[Semester],Y12)</f>
        <v>0</v>
      </c>
      <c r="Z13" s="8">
        <f>SUMIFS(MainTable[Effective MCs],MainTable[Semester],Z12)</f>
        <v>0</v>
      </c>
      <c r="AA13" s="8">
        <f>SUMIFS(MainTable[Effective MCs],MainTable[Semester],AA12)</f>
        <v>0</v>
      </c>
      <c r="AB13" s="8">
        <f>SUMIFS(MainTable[Effective MCs],MainTable[Semester],AB12)</f>
        <v>0</v>
      </c>
      <c r="AC13" s="8">
        <f>SUMIFS(MainTable[Effective MCs],MainTable[Semester],AC12)</f>
        <v>0</v>
      </c>
      <c r="AD13" s="11">
        <f>SUMIFS(MainTable[Effective MCs],MainTable[Semester],AD12)</f>
        <v>0</v>
      </c>
      <c r="AE13" s="130"/>
      <c r="AF13" s="133"/>
    </row>
    <row r="14" spans="2:32" ht="15.75" thickBot="1" x14ac:dyDescent="0.3">
      <c r="B14" s="85" t="s">
        <v>17</v>
      </c>
      <c r="C14" s="86" t="s">
        <v>12</v>
      </c>
      <c r="D14" s="87">
        <v>4</v>
      </c>
      <c r="E14" s="87"/>
      <c r="F14" s="87"/>
      <c r="G14" s="87"/>
      <c r="H14" s="87"/>
      <c r="I14" s="87"/>
      <c r="J14" s="93">
        <v>2</v>
      </c>
      <c r="K14" s="80" t="s">
        <v>41</v>
      </c>
      <c r="L14" s="2">
        <f t="shared" si="0"/>
        <v>1.5</v>
      </c>
      <c r="M14" s="77" t="s">
        <v>90</v>
      </c>
      <c r="N14" s="3">
        <f t="shared" si="1"/>
        <v>4</v>
      </c>
      <c r="O14" s="3">
        <f t="shared" si="2"/>
        <v>4</v>
      </c>
      <c r="P14" s="13">
        <f t="shared" si="3"/>
        <v>6</v>
      </c>
      <c r="S14" s="153" t="s">
        <v>74</v>
      </c>
      <c r="T14" s="154"/>
      <c r="U14" s="9">
        <f>IF(SUMIFS(MainTable[MC Footprint],MainTable[Semester],U12)=0,0,IF(U13=0,0,ROUND(SUMIFS(MainTable[Module Weight],MainTable[Semester],U12)/SUMIFS(MainTable[MC Footprint],MainTable[Semester],U12),2)))</f>
        <v>4.33</v>
      </c>
      <c r="V14" s="9">
        <f>IF(SUMIFS(MainTable[MC Footprint],MainTable[Semester],V12)=0,0,IF(V13=0,0,ROUND(SUMIFS(MainTable[Module Weight],MainTable[Semester],V12)/SUMIFS(MainTable[MC Footprint],MainTable[Semester],V12),2)))</f>
        <v>1.5</v>
      </c>
      <c r="W14" s="9">
        <f>IF(SUMIFS(MainTable[MC Footprint],MainTable[Semester],W12)=0,0,IF(W13=0,0,ROUND(SUMIFS(MainTable[Module Weight],MainTable[Semester],W12)/SUMIFS(MainTable[MC Footprint],MainTable[Semester],W12),2)))</f>
        <v>2.7</v>
      </c>
      <c r="X14" s="9">
        <f>IF(SUMIFS(MainTable[MC Footprint],MainTable[Semester],X12)=0,0,IF(X13=0,0,ROUND(SUMIFS(MainTable[Module Weight],MainTable[Semester],X12)/SUMIFS(MainTable[MC Footprint],MainTable[Semester],X12),2)))</f>
        <v>0</v>
      </c>
      <c r="Y14" s="9">
        <f>IF(SUMIFS(MainTable[MC Footprint],MainTable[Semester],Y12)=0,0,IF(Y13=0,0,ROUND(SUMIFS(MainTable[Module Weight],MainTable[Semester],Y12)/SUMIFS(MainTable[MC Footprint],MainTable[Semester],Y12),2)))</f>
        <v>0</v>
      </c>
      <c r="Z14" s="9">
        <f>IF(SUMIFS(MainTable[MC Footprint],MainTable[Semester],Z12)=0,0,IF(Z13=0,0,ROUND(SUMIFS(MainTable[Module Weight],MainTable[Semester],Z12)/SUMIFS(MainTable[MC Footprint],MainTable[Semester],Z12),2)))</f>
        <v>0</v>
      </c>
      <c r="AA14" s="9">
        <f>IF(SUMIFS(MainTable[MC Footprint],MainTable[Semester],AA12)=0,0,IF(AA13=0,0,ROUND(SUMIFS(MainTable[Module Weight],MainTable[Semester],AA12)/SUMIFS(MainTable[MC Footprint],MainTable[Semester],AA12),2)))</f>
        <v>0</v>
      </c>
      <c r="AB14" s="9">
        <f>IF(SUMIFS(MainTable[MC Footprint],MainTable[Semester],AB12)=0,0,IF(AB13=0,0,ROUND(SUMIFS(MainTable[Module Weight],MainTable[Semester],AB12)/SUMIFS(MainTable[MC Footprint],MainTable[Semester],AB12),2)))</f>
        <v>0</v>
      </c>
      <c r="AC14" s="9">
        <f>IF(SUMIFS(MainTable[MC Footprint],MainTable[Semester],AC12)=0,0,IF(AC13=0,0,ROUND(SUMIFS(MainTable[Module Weight],MainTable[Semester],AC12)/SUMIFS(MainTable[MC Footprint],MainTable[Semester],AC12),2)))</f>
        <v>0</v>
      </c>
      <c r="AD14" s="12">
        <f>IF(SUMIFS(MainTable[MC Footprint],MainTable[Semester],AD12)=0,0,IF(AD13=0,0,ROUND(SUMIFS(MainTable[Module Weight],MainTable[Semester],AD12)/SUMIFS(MainTable[MC Footprint],MainTable[Semester],AD12),2)))</f>
        <v>0</v>
      </c>
      <c r="AE14" s="131"/>
      <c r="AF14" s="134"/>
    </row>
    <row r="15" spans="2:32" ht="15" customHeight="1" thickBot="1" x14ac:dyDescent="0.3">
      <c r="B15" s="85" t="s">
        <v>62</v>
      </c>
      <c r="C15" s="86" t="s">
        <v>46</v>
      </c>
      <c r="D15" s="88"/>
      <c r="E15" s="87">
        <v>4</v>
      </c>
      <c r="F15" s="87"/>
      <c r="G15" s="87"/>
      <c r="H15" s="87"/>
      <c r="I15" s="87"/>
      <c r="J15" s="93">
        <v>2</v>
      </c>
      <c r="K15" s="80" t="s">
        <v>42</v>
      </c>
      <c r="L15" s="2">
        <f t="shared" si="0"/>
        <v>0</v>
      </c>
      <c r="M15" s="77" t="s">
        <v>73</v>
      </c>
      <c r="N15" s="3">
        <f t="shared" si="1"/>
        <v>0</v>
      </c>
      <c r="O15" s="3">
        <f t="shared" si="2"/>
        <v>0</v>
      </c>
      <c r="P15" s="13">
        <f t="shared" si="3"/>
        <v>0</v>
      </c>
      <c r="S15" s="6" t="s">
        <v>50</v>
      </c>
      <c r="T15" s="18" t="s">
        <v>48</v>
      </c>
      <c r="U15" s="19" t="s">
        <v>15</v>
      </c>
      <c r="V15" s="155" t="s">
        <v>7</v>
      </c>
      <c r="W15" s="156"/>
      <c r="X15" s="21"/>
      <c r="Y15" s="142" t="s">
        <v>47</v>
      </c>
      <c r="Z15" s="141"/>
      <c r="AA15" s="103" t="s">
        <v>48</v>
      </c>
      <c r="AB15" s="102" t="s">
        <v>15</v>
      </c>
      <c r="AC15" s="140" t="s">
        <v>89</v>
      </c>
      <c r="AD15" s="141"/>
      <c r="AE15" s="17" t="s">
        <v>87</v>
      </c>
      <c r="AF15" s="54" t="s">
        <v>88</v>
      </c>
    </row>
    <row r="16" spans="2:32" x14ac:dyDescent="0.25">
      <c r="B16" s="85" t="s">
        <v>23</v>
      </c>
      <c r="C16" s="86" t="s">
        <v>12</v>
      </c>
      <c r="D16" s="88"/>
      <c r="E16" s="87">
        <v>4</v>
      </c>
      <c r="F16" s="87"/>
      <c r="G16" s="87"/>
      <c r="H16" s="87"/>
      <c r="I16" s="87"/>
      <c r="J16" s="93">
        <v>2</v>
      </c>
      <c r="K16" s="80" t="s">
        <v>35</v>
      </c>
      <c r="L16" s="2">
        <f t="shared" si="0"/>
        <v>1</v>
      </c>
      <c r="M16" s="77" t="s">
        <v>90</v>
      </c>
      <c r="N16" s="3">
        <f t="shared" si="1"/>
        <v>4</v>
      </c>
      <c r="O16" s="3">
        <f t="shared" si="2"/>
        <v>4</v>
      </c>
      <c r="P16" s="13">
        <f t="shared" si="3"/>
        <v>4</v>
      </c>
      <c r="S16" s="62" t="s">
        <v>51</v>
      </c>
      <c r="T16" s="63">
        <f>SUM(MainTable[Level 1000 MCs])</f>
        <v>41</v>
      </c>
      <c r="U16" s="65">
        <f>SUMIFS(MainTable[Level 1000 MCs],MainTable[Effective MCs],"&gt;0")</f>
        <v>29</v>
      </c>
      <c r="V16" s="138" t="s">
        <v>60</v>
      </c>
      <c r="W16" s="139"/>
      <c r="X16" s="51">
        <f>SUM(MainTable[Effective MCs])</f>
        <v>38</v>
      </c>
      <c r="Y16" s="49" t="str">
        <f t="array" ref="Y16">IFERROR(INDEX(MainTable[Type], MATCH(MIN(_xlfn.MODE.MULT(IF((MainTable[Type]&lt;&gt;"")*NOT(COUNTIF($Y$15:$Y15, MainTable[Type])), (COUNTIF(MainTable[Type], "&lt;"&amp;MainTable[Type])+1)*{1,1}))), IF((MainTable[Type]&lt;&gt;""),COUNTIF(MainTable[Type], "&lt;"&amp;MainTable[Type])+{1}), 0)), "")</f>
        <v>Foundation</v>
      </c>
      <c r="Z16" s="55"/>
      <c r="AA16" s="60">
        <f>IF(Y16="","",COUNTIF(MainTable[Type],Y16))</f>
        <v>7</v>
      </c>
      <c r="AB16" s="56">
        <f>IF(AA16="","",COUNTIFS(MainTable[Type],Y16,MainTable[Effective MCs],"&gt;0"))</f>
        <v>3</v>
      </c>
      <c r="AC16" s="157">
        <f>IF(Y16="","",IF(SUM(MainTable[Module Weight])=0,0,ROUND(SUMIFS(MainTable[Module Weight],MainTable[Type],Y16)/SUM(MainTable[Module Weight]),2)))</f>
        <v>0.4</v>
      </c>
      <c r="AD16" s="157"/>
      <c r="AE16" s="98">
        <f>IF(AA16="","",AB16/AA16)</f>
        <v>0.42857142857142855</v>
      </c>
      <c r="AF16" s="54">
        <f>IF(Y16="","",IF(SUMIFS(MainTable[MC Footprint],MainTable[Type],Y16)=0,"-",ROUND(SUMIFS(MainTable[Module Weight],MainTable[Type],Y16)/SUMIFS(MainTable[MC Footprint],MainTable[Type],Y16),2)))</f>
        <v>3.77</v>
      </c>
    </row>
    <row r="17" spans="2:32" x14ac:dyDescent="0.25">
      <c r="B17" s="85" t="s">
        <v>70</v>
      </c>
      <c r="C17" s="86" t="s">
        <v>58</v>
      </c>
      <c r="D17" s="87"/>
      <c r="E17" s="87">
        <v>1</v>
      </c>
      <c r="F17" s="87"/>
      <c r="G17" s="87"/>
      <c r="H17" s="87"/>
      <c r="I17" s="87"/>
      <c r="J17" s="93">
        <v>3</v>
      </c>
      <c r="K17" s="80" t="s">
        <v>29</v>
      </c>
      <c r="L17" s="2">
        <f t="shared" si="0"/>
        <v>3.5</v>
      </c>
      <c r="M17" s="77" t="s">
        <v>90</v>
      </c>
      <c r="N17" s="3">
        <f t="shared" si="1"/>
        <v>1</v>
      </c>
      <c r="O17" s="3">
        <f t="shared" si="2"/>
        <v>1</v>
      </c>
      <c r="P17" s="13">
        <f t="shared" si="3"/>
        <v>3.5</v>
      </c>
      <c r="S17" s="50" t="s">
        <v>52</v>
      </c>
      <c r="T17" s="20">
        <f>SUM(MainTable[Level 2000 MCs])</f>
        <v>29</v>
      </c>
      <c r="U17" s="66">
        <f>SUMIFS(MainTable[Level 2000 MCs],MainTable[Effective MCs],"&gt;0")</f>
        <v>9</v>
      </c>
      <c r="V17" s="107" t="s">
        <v>75</v>
      </c>
      <c r="W17" s="108"/>
      <c r="X17" s="51">
        <f>COUNTA(MainTable[Grade])</f>
        <v>12</v>
      </c>
      <c r="Y17" s="48" t="str">
        <f t="array" ref="Y17">IFERROR(INDEX(MainTable[Type], MATCH(MIN(_xlfn.MODE.MULT(IF((MainTable[Type]&lt;&gt;"")*NOT(COUNTIF($Y$15:$Y16, MainTable[Type])), (COUNTIF(MainTable[Type], "&lt;"&amp;MainTable[Type])+1)*{1,1}))), IF((MainTable[Type]&lt;&gt;""),COUNTIF(MainTable[Type], "&lt;"&amp;MainTable[Type])+{1}), 0)), "")</f>
        <v>Science</v>
      </c>
      <c r="Z17" s="52"/>
      <c r="AA17" s="22">
        <f>IF(Y17="","",COUNTIF(MainTable[Type],Y17))</f>
        <v>5</v>
      </c>
      <c r="AB17" s="53">
        <f>IF(AA17="","",COUNTIFS(MainTable[Type],Y17,MainTable[Effective MCs],"&gt;0"))</f>
        <v>5</v>
      </c>
      <c r="AC17" s="115">
        <f>IF(Y17="","",IF(SUM(MainTable[Module Weight])=0,0,ROUND(SUMIFS(MainTable[Module Weight],MainTable[Type],Y17)/SUM(MainTable[Module Weight]),2)))</f>
        <v>0.47</v>
      </c>
      <c r="AD17" s="115"/>
      <c r="AE17" s="99">
        <f t="shared" ref="AE17:AE27" si="4">IF(AA17="","",AB17/AA17)</f>
        <v>1</v>
      </c>
      <c r="AF17" s="95">
        <f>IF(Y17="","",IF(SUMIFS(MainTable[MC Footprint],MainTable[Type],Y17)=0,"-",ROUND(SUMIFS(MainTable[Module Weight],MainTable[Type],Y17)/SUMIFS(MainTable[MC Footprint],MainTable[Type],Y17),2)))</f>
        <v>2.9</v>
      </c>
    </row>
    <row r="18" spans="2:32" x14ac:dyDescent="0.25">
      <c r="B18" s="85" t="s">
        <v>69</v>
      </c>
      <c r="C18" s="86" t="s">
        <v>12</v>
      </c>
      <c r="D18" s="87">
        <v>4</v>
      </c>
      <c r="E18" s="87"/>
      <c r="F18" s="87"/>
      <c r="G18" s="87"/>
      <c r="H18" s="87"/>
      <c r="I18" s="87"/>
      <c r="J18" s="93">
        <v>3</v>
      </c>
      <c r="K18" s="80" t="s">
        <v>39</v>
      </c>
      <c r="L18" s="2">
        <f t="shared" si="0"/>
        <v>2.5</v>
      </c>
      <c r="M18" s="77" t="s">
        <v>90</v>
      </c>
      <c r="N18" s="3">
        <f t="shared" si="1"/>
        <v>4</v>
      </c>
      <c r="O18" s="3">
        <f t="shared" si="2"/>
        <v>4</v>
      </c>
      <c r="P18" s="13">
        <f t="shared" si="3"/>
        <v>10</v>
      </c>
      <c r="S18" s="50" t="s">
        <v>53</v>
      </c>
      <c r="T18" s="20">
        <f>SUM(MainTable[Level 3000 MCs])</f>
        <v>12</v>
      </c>
      <c r="U18" s="66">
        <f>SUMIFS(MainTable[Level 3000 MCs],MainTable[Effective MCs],"&gt;0")</f>
        <v>0</v>
      </c>
      <c r="V18" s="107" t="s">
        <v>61</v>
      </c>
      <c r="W18" s="108"/>
      <c r="X18" s="51">
        <f>SUM(T16:T29)</f>
        <v>82</v>
      </c>
      <c r="Y18" s="48" t="str">
        <f t="array" ref="Y18">IFERROR(INDEX(MainTable[Type], MATCH(MIN(_xlfn.MODE.MULT(IF((MainTable[Type]&lt;&gt;"")*NOT(COUNTIF($Y$15:$Y17, MainTable[Type])), (COUNTIF(MainTable[Type], "&lt;"&amp;MainTable[Type])+1)*{1,1}))), IF((MainTable[Type]&lt;&gt;""),COUNTIF(MainTable[Type], "&lt;"&amp;MainTable[Type])+{1}), 0)), "")</f>
        <v>Focus Area</v>
      </c>
      <c r="Z18" s="52"/>
      <c r="AA18" s="22">
        <f>IF(Y18="","",COUNTIF(MainTable[Type],Y18))</f>
        <v>2</v>
      </c>
      <c r="AB18" s="53">
        <f>IF(AA18="","",COUNTIFS(MainTable[Type],Y18,MainTable[Effective MCs],"&gt;0"))</f>
        <v>0</v>
      </c>
      <c r="AC18" s="115">
        <f>IF(Y18="","",IF(SUM(MainTable[Module Weight])=0,0,ROUND(SUMIFS(MainTable[Module Weight],MainTable[Type],Y18)/SUM(MainTable[Module Weight]),2)))</f>
        <v>0</v>
      </c>
      <c r="AD18" s="115"/>
      <c r="AE18" s="99">
        <f t="shared" si="4"/>
        <v>0</v>
      </c>
      <c r="AF18" s="95" t="str">
        <f>IF(Y18="","",IF(SUMIFS(MainTable[MC Footprint],MainTable[Type],Y18)=0,"-",ROUND(SUMIFS(MainTable[Module Weight],MainTable[Type],Y18)/SUMIFS(MainTable[MC Footprint],MainTable[Type],Y18),2)))</f>
        <v>-</v>
      </c>
    </row>
    <row r="19" spans="2:32" x14ac:dyDescent="0.25">
      <c r="B19" s="85" t="s">
        <v>18</v>
      </c>
      <c r="C19" s="86" t="s">
        <v>78</v>
      </c>
      <c r="D19" s="87"/>
      <c r="E19" s="87">
        <v>4</v>
      </c>
      <c r="F19" s="87"/>
      <c r="G19" s="87"/>
      <c r="H19" s="87"/>
      <c r="I19" s="87"/>
      <c r="J19" s="93">
        <v>3</v>
      </c>
      <c r="K19" s="80" t="s">
        <v>49</v>
      </c>
      <c r="L19" s="2">
        <f t="shared" si="0"/>
        <v>0</v>
      </c>
      <c r="M19" s="77" t="s">
        <v>73</v>
      </c>
      <c r="N19" s="3">
        <f t="shared" si="1"/>
        <v>0</v>
      </c>
      <c r="O19" s="3">
        <f t="shared" si="2"/>
        <v>0</v>
      </c>
      <c r="P19" s="13">
        <f t="shared" si="3"/>
        <v>0</v>
      </c>
      <c r="S19" s="50" t="s">
        <v>54</v>
      </c>
      <c r="T19" s="20">
        <f>SUM(MainTable[Level 4000 MCs])</f>
        <v>0</v>
      </c>
      <c r="U19" s="66">
        <f>SUMIFS(MainTable[Level 4000 MCs],MainTable[Effective MCs],"&gt;0")</f>
        <v>0</v>
      </c>
      <c r="V19" s="107" t="s">
        <v>76</v>
      </c>
      <c r="W19" s="108"/>
      <c r="X19" s="51">
        <f>COUNTA(MainTable[Module code])</f>
        <v>21</v>
      </c>
      <c r="Y19" s="48" t="str">
        <f t="array" ref="Y19">IFERROR(INDEX(MainTable[Type], MATCH(MIN(_xlfn.MODE.MULT(IF((MainTable[Type]&lt;&gt;"")*NOT(COUNTIF($Y$15:$Y18, MainTable[Type])), (COUNTIF(MainTable[Type], "&lt;"&amp;MainTable[Type])+1)*{1,1}))), IF((MainTable[Type]&lt;&gt;""),COUNTIF(MainTable[Type], "&lt;"&amp;MainTable[Type])+{1}), 0)), "")</f>
        <v>GEM</v>
      </c>
      <c r="Z19" s="52"/>
      <c r="AA19" s="22">
        <f>IF(Y19="","",COUNTIF(MainTable[Type],Y19))</f>
        <v>2</v>
      </c>
      <c r="AB19" s="53">
        <f>IF(AA19="","",COUNTIFS(MainTable[Type],Y19,MainTable[Effective MCs],"&gt;0"))</f>
        <v>0</v>
      </c>
      <c r="AC19" s="115">
        <f>IF(Y19="","",IF(SUM(MainTable[Module Weight])=0,0,ROUND(SUMIFS(MainTable[Module Weight],MainTable[Type],Y19)/SUM(MainTable[Module Weight]),2)))</f>
        <v>0</v>
      </c>
      <c r="AD19" s="115"/>
      <c r="AE19" s="99">
        <f t="shared" si="4"/>
        <v>0</v>
      </c>
      <c r="AF19" s="95" t="str">
        <f>IF(Y19="","",IF(SUMIFS(MainTable[MC Footprint],MainTable[Type],Y19)=0,"-",ROUND(SUMIFS(MainTable[Module Weight],MainTable[Type],Y19)/SUMIFS(MainTable[MC Footprint],MainTable[Type],Y19),2)))</f>
        <v>-</v>
      </c>
    </row>
    <row r="20" spans="2:32" x14ac:dyDescent="0.25">
      <c r="B20" s="85" t="s">
        <v>68</v>
      </c>
      <c r="C20" s="86" t="s">
        <v>24</v>
      </c>
      <c r="D20" s="87">
        <v>4</v>
      </c>
      <c r="E20" s="87"/>
      <c r="F20" s="87"/>
      <c r="G20" s="87"/>
      <c r="H20" s="87"/>
      <c r="I20" s="87"/>
      <c r="J20" s="93">
        <v>3</v>
      </c>
      <c r="K20" s="80"/>
      <c r="L20" s="2" t="str">
        <f t="shared" si="0"/>
        <v/>
      </c>
      <c r="M20" s="77"/>
      <c r="N20" s="3" t="str">
        <f t="shared" si="1"/>
        <v/>
      </c>
      <c r="O20" s="3" t="str">
        <f t="shared" si="2"/>
        <v/>
      </c>
      <c r="P20" s="13" t="str">
        <f t="shared" si="3"/>
        <v/>
      </c>
      <c r="S20" s="50" t="s">
        <v>55</v>
      </c>
      <c r="T20" s="20">
        <f>SUM(MainTable[Level 5000 MCs])</f>
        <v>0</v>
      </c>
      <c r="U20" s="66">
        <f>SUMIFS(MainTable[Level 5000 MCs],MainTable[Effective MCs],"&gt;0")</f>
        <v>0</v>
      </c>
      <c r="V20" s="107" t="s">
        <v>86</v>
      </c>
      <c r="W20" s="108"/>
      <c r="X20" s="76">
        <f>COUNTIF(MainTable[S/U],"Y")</f>
        <v>2</v>
      </c>
      <c r="Y20" s="48" t="str">
        <f t="array" ref="Y20">IFERROR(INDEX(MainTable[Type], MATCH(MIN(_xlfn.MODE.MULT(IF((MainTable[Type]&lt;&gt;"")*NOT(COUNTIF($Y$15:$Y19, MainTable[Type])), (COUNTIF(MainTable[Type], "&lt;"&amp;MainTable[Type])+1)*{1,1}))), IF((MainTable[Type]&lt;&gt;""),COUNTIF(MainTable[Type], "&lt;"&amp;MainTable[Type])+{1}), 0)), "")</f>
        <v>UE</v>
      </c>
      <c r="Z20" s="52"/>
      <c r="AA20" s="22">
        <f>IF(Y20="","",COUNTIF(MainTable[Type],Y20))</f>
        <v>2</v>
      </c>
      <c r="AB20" s="53">
        <f>IF(AA20="","",COUNTIFS(MainTable[Type],Y20,MainTable[Effective MCs],"&gt;0"))</f>
        <v>1</v>
      </c>
      <c r="AC20" s="115">
        <f>IF(Y20="","",IF(SUM(MainTable[Module Weight])=0,0,ROUND(SUMIFS(MainTable[Module Weight],MainTable[Type],Y20)/SUM(MainTable[Module Weight]),2)))</f>
        <v>0.03</v>
      </c>
      <c r="AD20" s="115"/>
      <c r="AE20" s="99">
        <f t="shared" si="4"/>
        <v>0.5</v>
      </c>
      <c r="AF20" s="95">
        <f>IF(Y20="","",IF(SUMIFS(MainTable[MC Footprint],MainTable[Type],Y20)=0,"-",ROUND(SUMIFS(MainTable[Module Weight],MainTable[Type],Y20)/SUMIFS(MainTable[MC Footprint],MainTable[Type],Y20),2)))</f>
        <v>3.5</v>
      </c>
    </row>
    <row r="21" spans="2:32" x14ac:dyDescent="0.25">
      <c r="B21" s="85" t="s">
        <v>19</v>
      </c>
      <c r="C21" s="86" t="s">
        <v>77</v>
      </c>
      <c r="D21" s="87"/>
      <c r="E21" s="87">
        <v>4</v>
      </c>
      <c r="F21" s="87"/>
      <c r="G21" s="87"/>
      <c r="H21" s="87"/>
      <c r="I21" s="87"/>
      <c r="J21" s="93">
        <v>3</v>
      </c>
      <c r="K21" s="80"/>
      <c r="L21" s="2" t="str">
        <f t="shared" si="0"/>
        <v/>
      </c>
      <c r="M21" s="77"/>
      <c r="N21" s="3" t="str">
        <f t="shared" si="1"/>
        <v/>
      </c>
      <c r="O21" s="3" t="str">
        <f t="shared" si="2"/>
        <v/>
      </c>
      <c r="P21" s="13" t="str">
        <f t="shared" si="3"/>
        <v/>
      </c>
      <c r="S21" s="50" t="s">
        <v>56</v>
      </c>
      <c r="T21" s="20">
        <f>SUM(MainTable[Level 6000 MCs])</f>
        <v>0</v>
      </c>
      <c r="U21" s="66">
        <f>SUMIFS(MainTable[Level 6000 MCs],MainTable[Effective MCs],"&gt;0")</f>
        <v>0</v>
      </c>
      <c r="V21" s="107"/>
      <c r="W21" s="108"/>
      <c r="X21" s="51"/>
      <c r="Y21" s="48" t="str">
        <f t="array" ref="Y21">IFERROR(INDEX(MainTable[Type], MATCH(MIN(_xlfn.MODE.MULT(IF((MainTable[Type]&lt;&gt;"")*NOT(COUNTIF($Y$15:$Y20, MainTable[Type])), (COUNTIF(MainTable[Type], "&lt;"&amp;MainTable[Type])+1)*{1,1}))), IF((MainTable[Type]&lt;&gt;""),COUNTIF(MainTable[Type], "&lt;"&amp;MainTable[Type])+{1}), 0)), "")</f>
        <v>Breadth</v>
      </c>
      <c r="Z21" s="52"/>
      <c r="AA21" s="22">
        <f>IF(Y21="","",COUNTIF(MainTable[Type],Y21))</f>
        <v>1</v>
      </c>
      <c r="AB21" s="53">
        <f>IF(AA21="","",COUNTIFS(MainTable[Type],Y21,MainTable[Effective MCs],"&gt;0"))</f>
        <v>1</v>
      </c>
      <c r="AC21" s="115">
        <f>IF(Y21="","",IF(SUM(MainTable[Module Weight])=0,0,ROUND(SUMIFS(MainTable[Module Weight],MainTable[Type],Y21)/SUM(MainTable[Module Weight]),2)))</f>
        <v>0.1</v>
      </c>
      <c r="AD21" s="115"/>
      <c r="AE21" s="99">
        <f t="shared" si="4"/>
        <v>1</v>
      </c>
      <c r="AF21" s="95">
        <f>IF(Y21="","",IF(SUMIFS(MainTable[MC Footprint],MainTable[Type],Y21)=0,"-",ROUND(SUMIFS(MainTable[Module Weight],MainTable[Type],Y21)/SUMIFS(MainTable[MC Footprint],MainTable[Type],Y21),2)))</f>
        <v>3</v>
      </c>
    </row>
    <row r="22" spans="2:32" x14ac:dyDescent="0.25">
      <c r="B22" s="85" t="s">
        <v>20</v>
      </c>
      <c r="C22" s="86" t="s">
        <v>77</v>
      </c>
      <c r="D22" s="87"/>
      <c r="E22" s="87">
        <v>4</v>
      </c>
      <c r="F22" s="87"/>
      <c r="G22" s="87"/>
      <c r="H22" s="87"/>
      <c r="I22" s="87"/>
      <c r="J22" s="93">
        <v>3</v>
      </c>
      <c r="K22" s="80"/>
      <c r="L22" s="2" t="str">
        <f t="shared" si="0"/>
        <v/>
      </c>
      <c r="M22" s="77"/>
      <c r="N22" s="3" t="str">
        <f t="shared" si="1"/>
        <v/>
      </c>
      <c r="O22" s="3" t="str">
        <f t="shared" si="2"/>
        <v/>
      </c>
      <c r="P22" s="13" t="str">
        <f t="shared" si="3"/>
        <v/>
      </c>
      <c r="S22" s="50"/>
      <c r="T22" s="20"/>
      <c r="U22" s="66"/>
      <c r="V22" s="104"/>
      <c r="W22" s="105"/>
      <c r="X22" s="51"/>
      <c r="Y22" s="48" t="str">
        <f t="array" ref="Y22">IFERROR(INDEX(MainTable[Type], MATCH(MIN(_xlfn.MODE.MULT(IF((MainTable[Type]&lt;&gt;"")*NOT(COUNTIF($Y$15:$Y21, MainTable[Type])), (COUNTIF(MainTable[Type], "&lt;"&amp;MainTable[Type])+1)*{1,1}))), IF((MainTable[Type]&lt;&gt;""),COUNTIF(MainTable[Type], "&lt;"&amp;MainTable[Type])+{1}), 0)), "")</f>
        <v>IT Professionalism</v>
      </c>
      <c r="Z22" s="52"/>
      <c r="AA22" s="22">
        <f>IF(Y22="","",COUNTIF(MainTable[Type],Y22))</f>
        <v>1</v>
      </c>
      <c r="AB22" s="53">
        <f>IF(AA22="","",COUNTIFS(MainTable[Type],Y22,MainTable[Effective MCs],"&gt;0"))</f>
        <v>0</v>
      </c>
      <c r="AC22" s="115">
        <f>IF(Y22="","",IF(SUM(MainTable[Module Weight])=0,0,ROUND(SUMIFS(MainTable[Module Weight],MainTable[Type],Y22)/SUM(MainTable[Module Weight]),2)))</f>
        <v>0</v>
      </c>
      <c r="AD22" s="115"/>
      <c r="AE22" s="99">
        <f t="shared" si="4"/>
        <v>0</v>
      </c>
      <c r="AF22" s="95" t="str">
        <f>IF(Y22="","",IF(SUMIFS(MainTable[MC Footprint],MainTable[Type],Y22)=0,"-",ROUND(SUMIFS(MainTable[Module Weight],MainTable[Type],Y22)/SUMIFS(MainTable[MC Footprint],MainTable[Type],Y22),2)))</f>
        <v>-</v>
      </c>
    </row>
    <row r="23" spans="2:32" x14ac:dyDescent="0.25">
      <c r="B23" s="85" t="s">
        <v>21</v>
      </c>
      <c r="C23" s="86" t="s">
        <v>77</v>
      </c>
      <c r="D23" s="87"/>
      <c r="E23" s="87">
        <v>4</v>
      </c>
      <c r="F23" s="87"/>
      <c r="G23" s="87"/>
      <c r="H23" s="87"/>
      <c r="I23" s="87"/>
      <c r="J23" s="93">
        <v>3</v>
      </c>
      <c r="K23" s="80"/>
      <c r="L23" s="2" t="str">
        <f t="shared" si="0"/>
        <v/>
      </c>
      <c r="M23" s="77"/>
      <c r="N23" s="3" t="str">
        <f t="shared" si="1"/>
        <v/>
      </c>
      <c r="O23" s="3" t="str">
        <f t="shared" si="2"/>
        <v/>
      </c>
      <c r="P23" s="13" t="str">
        <f t="shared" si="3"/>
        <v/>
      </c>
      <c r="S23" s="50"/>
      <c r="T23" s="20"/>
      <c r="U23" s="66"/>
      <c r="V23" s="104"/>
      <c r="W23" s="105"/>
      <c r="X23" s="51"/>
      <c r="Y23" s="48" t="str">
        <f t="array" ref="Y23">IFERROR(INDEX(MainTable[Type], MATCH(MIN(_xlfn.MODE.MULT(IF((MainTable[Type]&lt;&gt;"")*NOT(COUNTIF($Y$15:$Y22, MainTable[Type])), (COUNTIF(MainTable[Type], "&lt;"&amp;MainTable[Type])+1)*{1,1}))), IF((MainTable[Type]&lt;&gt;""),COUNTIF(MainTable[Type], "&lt;"&amp;MainTable[Type])+{1}), 0)), "")</f>
        <v>Singapore Studies</v>
      </c>
      <c r="Z23" s="52"/>
      <c r="AA23" s="22">
        <f>IF(Y23="","",COUNTIF(MainTable[Type],Y23))</f>
        <v>1</v>
      </c>
      <c r="AB23" s="53">
        <f>IF(AA23="","",COUNTIFS(MainTable[Type],Y23,MainTable[Effective MCs],"&gt;0"))</f>
        <v>0</v>
      </c>
      <c r="AC23" s="115">
        <f>IF(Y23="","",IF(SUM(MainTable[Module Weight])=0,0,ROUND(SUMIFS(MainTable[Module Weight],MainTable[Type],Y23)/SUM(MainTable[Module Weight]),2)))</f>
        <v>0</v>
      </c>
      <c r="AD23" s="115"/>
      <c r="AE23" s="99">
        <f t="shared" si="4"/>
        <v>0</v>
      </c>
      <c r="AF23" s="95" t="str">
        <f>IF(Y23="","",IF(SUMIFS(MainTable[MC Footprint],MainTable[Type],Y23)=0,"-",ROUND(SUMIFS(MainTable[Module Weight],MainTable[Type],Y23)/SUMIFS(MainTable[MC Footprint],MainTable[Type],Y23),2)))</f>
        <v>-</v>
      </c>
    </row>
    <row r="24" spans="2:32" x14ac:dyDescent="0.25">
      <c r="B24" s="85" t="s">
        <v>71</v>
      </c>
      <c r="C24" s="86" t="s">
        <v>58</v>
      </c>
      <c r="D24" s="87">
        <v>4</v>
      </c>
      <c r="E24" s="87"/>
      <c r="F24" s="87"/>
      <c r="G24" s="87"/>
      <c r="H24" s="87"/>
      <c r="I24" s="87"/>
      <c r="J24" s="93">
        <v>4</v>
      </c>
      <c r="K24" s="80"/>
      <c r="L24" s="2" t="str">
        <f t="shared" si="0"/>
        <v/>
      </c>
      <c r="M24" s="77"/>
      <c r="N24" s="3" t="str">
        <f t="shared" si="1"/>
        <v/>
      </c>
      <c r="O24" s="3" t="str">
        <f t="shared" si="2"/>
        <v/>
      </c>
      <c r="P24" s="13" t="str">
        <f t="shared" si="3"/>
        <v/>
      </c>
      <c r="S24" s="50"/>
      <c r="T24" s="20"/>
      <c r="U24" s="66"/>
      <c r="V24" s="104"/>
      <c r="W24" s="105"/>
      <c r="X24" s="51"/>
      <c r="Y24" s="48" t="str">
        <f t="array" ref="Y24">IFERROR(INDEX(MainTable[Type], MATCH(MIN(_xlfn.MODE.MULT(IF((MainTable[Type]&lt;&gt;"")*NOT(COUNTIF($Y$15:$Y23, MainTable[Type])), (COUNTIF(MainTable[Type], "&lt;"&amp;MainTable[Type])+1)*{1,1}))), IF((MainTable[Type]&lt;&gt;""),COUNTIF(MainTable[Type], "&lt;"&amp;MainTable[Type])+{1}), 0)), "")</f>
        <v/>
      </c>
      <c r="Z24" s="52"/>
      <c r="AA24" s="22" t="str">
        <f>IF(Y24="","",COUNTIF(MainTable[Type],Y24))</f>
        <v/>
      </c>
      <c r="AB24" s="53" t="str">
        <f>IF(AA24="","",COUNTIFS(MainTable[Type],Y24,MainTable[Effective MCs],"&gt;0"))</f>
        <v/>
      </c>
      <c r="AC24" s="115" t="str">
        <f>IF(Y24="","",IF(SUM(MainTable[Module Weight])=0,0,ROUND(SUMIFS(MainTable[Module Weight],MainTable[Type],Y24)/SUM(MainTable[Module Weight]),2)))</f>
        <v/>
      </c>
      <c r="AD24" s="115"/>
      <c r="AE24" s="99" t="str">
        <f t="shared" si="4"/>
        <v/>
      </c>
      <c r="AF24" s="95" t="str">
        <f>IF(Y24="","",IF(SUMIFS(MainTable[MC Footprint],MainTable[Type],Y24)=0,"-",ROUND(SUMIFS(MainTable[Module Weight],MainTable[Type],Y24)/SUMIFS(MainTable[MC Footprint],MainTable[Type],Y24),2)))</f>
        <v/>
      </c>
    </row>
    <row r="25" spans="2:32" x14ac:dyDescent="0.25">
      <c r="B25" s="85" t="s">
        <v>72</v>
      </c>
      <c r="C25" s="86" t="s">
        <v>24</v>
      </c>
      <c r="D25" s="87">
        <v>4</v>
      </c>
      <c r="E25" s="87"/>
      <c r="F25" s="87"/>
      <c r="G25" s="87"/>
      <c r="H25" s="87"/>
      <c r="I25" s="87"/>
      <c r="J25" s="93">
        <v>4</v>
      </c>
      <c r="K25" s="80"/>
      <c r="L25" s="2" t="str">
        <f t="shared" si="0"/>
        <v/>
      </c>
      <c r="M25" s="77"/>
      <c r="N25" s="3" t="str">
        <f t="shared" si="1"/>
        <v/>
      </c>
      <c r="O25" s="3" t="str">
        <f t="shared" si="2"/>
        <v/>
      </c>
      <c r="P25" s="13" t="str">
        <f t="shared" si="3"/>
        <v/>
      </c>
      <c r="S25" s="50"/>
      <c r="T25" s="20"/>
      <c r="U25" s="66"/>
      <c r="V25" s="104"/>
      <c r="W25" s="105"/>
      <c r="X25" s="51"/>
      <c r="Y25" s="48" t="str">
        <f t="array" ref="Y25">IFERROR(INDEX(MainTable[Type], MATCH(MIN(_xlfn.MODE.MULT(IF((MainTable[Type]&lt;&gt;"")*NOT(COUNTIF($Y$15:$Y24, MainTable[Type])), (COUNTIF(MainTable[Type], "&lt;"&amp;MainTable[Type])+1)*{1,1}))), IF((MainTable[Type]&lt;&gt;""),COUNTIF(MainTable[Type], "&lt;"&amp;MainTable[Type])+{1}), 0)), "")</f>
        <v/>
      </c>
      <c r="Z25" s="52"/>
      <c r="AA25" s="22" t="str">
        <f>IF(Y25="","",COUNTIF(MainTable[Type],Y25))</f>
        <v/>
      </c>
      <c r="AB25" s="53" t="str">
        <f>IF(AA25="","",COUNTIFS(MainTable[Type],Y25,MainTable[Effective MCs],"&gt;0"))</f>
        <v/>
      </c>
      <c r="AC25" s="115" t="str">
        <f>IF(Y25="","",IF(SUM(MainTable[Module Weight])=0,0,ROUND(SUMIFS(MainTable[Module Weight],MainTable[Type],Y25)/SUM(MainTable[Module Weight]),2)))</f>
        <v/>
      </c>
      <c r="AD25" s="115"/>
      <c r="AE25" s="99" t="str">
        <f t="shared" si="4"/>
        <v/>
      </c>
      <c r="AF25" s="95" t="str">
        <f>IF(Y25="","",IF(SUMIFS(MainTable[MC Footprint],MainTable[Type],Y25)=0,"-",ROUND(SUMIFS(MainTable[Module Weight],MainTable[Type],Y25)/SUMIFS(MainTable[MC Footprint],MainTable[Type],Y25),2)))</f>
        <v/>
      </c>
    </row>
    <row r="26" spans="2:32" x14ac:dyDescent="0.25">
      <c r="B26" s="85" t="s">
        <v>22</v>
      </c>
      <c r="C26" s="86" t="s">
        <v>77</v>
      </c>
      <c r="D26" s="87"/>
      <c r="E26" s="87"/>
      <c r="F26" s="87">
        <v>4</v>
      </c>
      <c r="G26" s="87"/>
      <c r="H26" s="87"/>
      <c r="I26" s="87"/>
      <c r="J26" s="93">
        <v>4</v>
      </c>
      <c r="K26" s="80"/>
      <c r="L26" s="2" t="str">
        <f t="shared" si="0"/>
        <v/>
      </c>
      <c r="M26" s="77"/>
      <c r="N26" s="3" t="str">
        <f t="shared" si="1"/>
        <v/>
      </c>
      <c r="O26" s="3" t="str">
        <f t="shared" si="2"/>
        <v/>
      </c>
      <c r="P26" s="13" t="str">
        <f t="shared" si="3"/>
        <v/>
      </c>
      <c r="S26" s="50"/>
      <c r="T26" s="20"/>
      <c r="U26" s="66"/>
      <c r="V26" s="104"/>
      <c r="W26" s="105"/>
      <c r="X26" s="51"/>
      <c r="Y26" s="48" t="str">
        <f t="array" ref="Y26">IFERROR(INDEX(MainTable[Type], MATCH(MIN(_xlfn.MODE.MULT(IF((MainTable[Type]&lt;&gt;"")*NOT(COUNTIF($Y$15:$Y25, MainTable[Type])), (COUNTIF(MainTable[Type], "&lt;"&amp;MainTable[Type])+1)*{1,1}))), IF((MainTable[Type]&lt;&gt;""),COUNTIF(MainTable[Type], "&lt;"&amp;MainTable[Type])+{1}), 0)), "")</f>
        <v/>
      </c>
      <c r="Z26" s="52"/>
      <c r="AA26" s="22" t="str">
        <f>IF(Y26="","",COUNTIF(MainTable[Type],Y26))</f>
        <v/>
      </c>
      <c r="AB26" s="53" t="str">
        <f>IF(AA26="","",COUNTIFS(MainTable[Type],Y26,MainTable[Effective MCs],"&gt;0"))</f>
        <v/>
      </c>
      <c r="AC26" s="115" t="str">
        <f>IF(Y26="","",IF(SUM(MainTable[Module Weight])=0,0,ROUND(SUMIFS(MainTable[Module Weight],MainTable[Type],Y26)/SUM(MainTable[Module Weight]),2)))</f>
        <v/>
      </c>
      <c r="AD26" s="115"/>
      <c r="AE26" s="99" t="str">
        <f t="shared" si="4"/>
        <v/>
      </c>
      <c r="AF26" s="95" t="str">
        <f>IF(Y26="","",IF(SUMIFS(MainTable[MC Footprint],MainTable[Type],Y26)=0,"-",ROUND(SUMIFS(MainTable[Module Weight],MainTable[Type],Y26)/SUMIFS(MainTable[MC Footprint],MainTable[Type],Y26),2)))</f>
        <v/>
      </c>
    </row>
    <row r="27" spans="2:32" ht="15" customHeight="1" thickBot="1" x14ac:dyDescent="0.3">
      <c r="B27" s="85" t="s">
        <v>25</v>
      </c>
      <c r="C27" s="86" t="s">
        <v>79</v>
      </c>
      <c r="D27" s="87"/>
      <c r="E27" s="87"/>
      <c r="F27" s="87">
        <v>4</v>
      </c>
      <c r="G27" s="87"/>
      <c r="H27" s="87"/>
      <c r="I27" s="87"/>
      <c r="J27" s="93">
        <v>4</v>
      </c>
      <c r="K27" s="80"/>
      <c r="L27" s="2" t="str">
        <f t="shared" si="0"/>
        <v/>
      </c>
      <c r="M27" s="77"/>
      <c r="N27" s="3" t="str">
        <f t="shared" si="1"/>
        <v/>
      </c>
      <c r="O27" s="3" t="str">
        <f t="shared" si="2"/>
        <v/>
      </c>
      <c r="P27" s="13" t="str">
        <f t="shared" si="3"/>
        <v/>
      </c>
      <c r="S27" s="50"/>
      <c r="T27" s="64"/>
      <c r="U27" s="67"/>
      <c r="V27" s="68"/>
      <c r="W27" s="69"/>
      <c r="X27" s="51"/>
      <c r="Y27" s="57" t="str">
        <f t="array" ref="Y27">IFERROR(INDEX(MainTable[Type], MATCH(MIN(_xlfn.MODE.MULT(IF((MainTable[Type]&lt;&gt;"")*NOT(COUNTIF($Y$15:$Y26, MainTable[Type])), (COUNTIF(MainTable[Type], "&lt;"&amp;MainTable[Type])+1)*{1,1}))), IF((MainTable[Type]&lt;&gt;""),COUNTIF(MainTable[Type], "&lt;"&amp;MainTable[Type])+{1}), 0)), "")</f>
        <v/>
      </c>
      <c r="Z27" s="58"/>
      <c r="AA27" s="61" t="str">
        <f>IF(Y27="","",COUNTIF(MainTable[Type],Y27))</f>
        <v/>
      </c>
      <c r="AB27" s="59" t="str">
        <f>IF(AA27="","",COUNTIFS(MainTable[Type],Y27,MainTable[Effective MCs],"&gt;0"))</f>
        <v/>
      </c>
      <c r="AC27" s="158" t="str">
        <f>IF(Y27="","",IF(SUM(MainTable[Module Weight])=0,0,ROUND(SUMIFS(MainTable[Module Weight],MainTable[Type],Y27)/SUM(MainTable[Module Weight]),2)))</f>
        <v/>
      </c>
      <c r="AD27" s="158"/>
      <c r="AE27" s="100" t="str">
        <f t="shared" si="4"/>
        <v/>
      </c>
      <c r="AF27" s="96" t="str">
        <f>IF(Y27="","",IF(SUMIFS(MainTable[MC Footprint],MainTable[Type],Y27)=0,"-",ROUND(SUMIFS(MainTable[Module Weight],MainTable[Type],Y27)/SUMIFS(MainTable[MC Footprint],MainTable[Type],Y27),2)))</f>
        <v/>
      </c>
    </row>
    <row r="28" spans="2:32" x14ac:dyDescent="0.25">
      <c r="B28" s="85" t="s">
        <v>26</v>
      </c>
      <c r="C28" s="86" t="s">
        <v>79</v>
      </c>
      <c r="D28" s="87"/>
      <c r="E28" s="87"/>
      <c r="F28" s="87">
        <v>4</v>
      </c>
      <c r="G28" s="87"/>
      <c r="H28" s="87"/>
      <c r="I28" s="87"/>
      <c r="J28" s="93">
        <v>4</v>
      </c>
      <c r="K28" s="80"/>
      <c r="L28" s="2" t="str">
        <f t="shared" si="0"/>
        <v/>
      </c>
      <c r="M28" s="77"/>
      <c r="N28" s="3" t="str">
        <f t="shared" si="1"/>
        <v/>
      </c>
      <c r="O28" s="3" t="str">
        <f t="shared" si="2"/>
        <v/>
      </c>
      <c r="P28" s="13" t="str">
        <f t="shared" si="3"/>
        <v/>
      </c>
      <c r="S28" s="120" t="s">
        <v>80</v>
      </c>
      <c r="T28" s="121"/>
      <c r="U28" s="121"/>
      <c r="V28" s="122"/>
      <c r="W28" s="122"/>
      <c r="X28" s="121"/>
      <c r="Y28" s="122"/>
      <c r="Z28" s="122"/>
      <c r="AA28" s="122"/>
      <c r="AB28" s="122"/>
      <c r="AC28" s="122"/>
      <c r="AD28" s="122"/>
      <c r="AE28" s="122"/>
      <c r="AF28" s="123"/>
    </row>
    <row r="29" spans="2:32" ht="15.75" thickBot="1" x14ac:dyDescent="0.3">
      <c r="B29" s="85"/>
      <c r="C29" s="86"/>
      <c r="D29" s="87"/>
      <c r="E29" s="87"/>
      <c r="F29" s="87"/>
      <c r="G29" s="87"/>
      <c r="H29" s="87"/>
      <c r="I29" s="87"/>
      <c r="J29" s="93"/>
      <c r="K29" s="80"/>
      <c r="L29" s="2" t="str">
        <f t="shared" si="0"/>
        <v/>
      </c>
      <c r="M29" s="77"/>
      <c r="N29" s="3" t="str">
        <f t="shared" si="1"/>
        <v/>
      </c>
      <c r="O29" s="3" t="str">
        <f t="shared" si="2"/>
        <v/>
      </c>
      <c r="P29" s="13" t="str">
        <f t="shared" si="3"/>
        <v/>
      </c>
      <c r="S29" s="124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6"/>
    </row>
    <row r="30" spans="2:32" x14ac:dyDescent="0.25">
      <c r="B30" s="85"/>
      <c r="C30" s="86"/>
      <c r="D30" s="87"/>
      <c r="E30" s="87"/>
      <c r="F30" s="87"/>
      <c r="G30" s="87"/>
      <c r="H30" s="87"/>
      <c r="I30" s="87"/>
      <c r="J30" s="93"/>
      <c r="K30" s="80"/>
      <c r="L30" s="2" t="str">
        <f t="shared" si="0"/>
        <v/>
      </c>
      <c r="M30" s="77"/>
      <c r="N30" s="3" t="str">
        <f t="shared" si="1"/>
        <v/>
      </c>
      <c r="O30" s="3" t="str">
        <f t="shared" si="2"/>
        <v/>
      </c>
      <c r="P30" s="13" t="str">
        <f t="shared" si="3"/>
        <v/>
      </c>
      <c r="S30" s="109" t="str">
        <f>IF(Y16="","",Y16)</f>
        <v>Foundation</v>
      </c>
      <c r="T30" s="110"/>
      <c r="U30" s="109" t="str">
        <f>IF(Y17="","",Y17)</f>
        <v>Science</v>
      </c>
      <c r="V30" s="110"/>
      <c r="W30" s="109" t="str">
        <f>IF(Y18="","",Y18)</f>
        <v>Focus Area</v>
      </c>
      <c r="X30" s="127"/>
      <c r="Y30" s="109" t="str">
        <f>IF(Y19="","",Y19)</f>
        <v>GEM</v>
      </c>
      <c r="Z30" s="110"/>
      <c r="AA30" s="113" t="str">
        <f>IF(Y20="","",Y20)</f>
        <v>UE</v>
      </c>
      <c r="AB30" s="127"/>
      <c r="AC30" s="109" t="str">
        <f>IF(Y21="","",Y21)</f>
        <v>Breadth</v>
      </c>
      <c r="AD30" s="110"/>
      <c r="AE30" s="113" t="str">
        <f>IF(Y22="","",Y22)</f>
        <v>IT Professionalism</v>
      </c>
      <c r="AF30" s="110"/>
    </row>
    <row r="31" spans="2:32" ht="15.75" thickBot="1" x14ac:dyDescent="0.3">
      <c r="B31" s="85"/>
      <c r="C31" s="86"/>
      <c r="D31" s="87"/>
      <c r="E31" s="87"/>
      <c r="F31" s="87"/>
      <c r="G31" s="87"/>
      <c r="H31" s="87"/>
      <c r="I31" s="87"/>
      <c r="J31" s="93"/>
      <c r="K31" s="80"/>
      <c r="L31" s="2" t="str">
        <f t="shared" si="0"/>
        <v/>
      </c>
      <c r="M31" s="77"/>
      <c r="N31" s="3" t="str">
        <f t="shared" si="1"/>
        <v/>
      </c>
      <c r="O31" s="3" t="str">
        <f t="shared" si="2"/>
        <v/>
      </c>
      <c r="P31" s="13" t="str">
        <f t="shared" si="3"/>
        <v/>
      </c>
      <c r="S31" s="111"/>
      <c r="T31" s="112"/>
      <c r="U31" s="111"/>
      <c r="V31" s="112"/>
      <c r="W31" s="111"/>
      <c r="X31" s="128"/>
      <c r="Y31" s="111"/>
      <c r="Z31" s="112"/>
      <c r="AA31" s="114"/>
      <c r="AB31" s="128"/>
      <c r="AC31" s="111"/>
      <c r="AD31" s="112"/>
      <c r="AE31" s="114"/>
      <c r="AF31" s="112"/>
    </row>
    <row r="32" spans="2:32" x14ac:dyDescent="0.25">
      <c r="B32" s="85"/>
      <c r="C32" s="86"/>
      <c r="D32" s="87"/>
      <c r="E32" s="87"/>
      <c r="F32" s="87"/>
      <c r="G32" s="87"/>
      <c r="H32" s="87"/>
      <c r="I32" s="87"/>
      <c r="J32" s="93"/>
      <c r="K32" s="80"/>
      <c r="L32" s="2" t="str">
        <f t="shared" si="0"/>
        <v/>
      </c>
      <c r="M32" s="77"/>
      <c r="N32" s="3" t="str">
        <f t="shared" si="1"/>
        <v/>
      </c>
      <c r="O32" s="3" t="str">
        <f t="shared" si="2"/>
        <v/>
      </c>
      <c r="P32" s="13" t="str">
        <f t="shared" si="3"/>
        <v/>
      </c>
      <c r="S32" s="23" t="s">
        <v>66</v>
      </c>
      <c r="T32" s="24" t="s">
        <v>67</v>
      </c>
      <c r="U32" s="25" t="s">
        <v>66</v>
      </c>
      <c r="V32" s="33" t="s">
        <v>67</v>
      </c>
      <c r="W32" s="23" t="s">
        <v>66</v>
      </c>
      <c r="X32" s="35" t="s">
        <v>67</v>
      </c>
      <c r="Y32" s="38" t="s">
        <v>66</v>
      </c>
      <c r="Z32" s="26" t="s">
        <v>67</v>
      </c>
      <c r="AA32" s="25" t="s">
        <v>66</v>
      </c>
      <c r="AB32" s="33" t="s">
        <v>67</v>
      </c>
      <c r="AC32" s="38" t="s">
        <v>66</v>
      </c>
      <c r="AD32" s="26" t="s">
        <v>67</v>
      </c>
      <c r="AE32" s="25" t="s">
        <v>66</v>
      </c>
      <c r="AF32" s="26" t="s">
        <v>67</v>
      </c>
    </row>
    <row r="33" spans="2:32" x14ac:dyDescent="0.25">
      <c r="B33" s="85"/>
      <c r="C33" s="86"/>
      <c r="D33" s="87"/>
      <c r="E33" s="87"/>
      <c r="F33" s="87"/>
      <c r="G33" s="87"/>
      <c r="H33" s="87"/>
      <c r="I33" s="87"/>
      <c r="J33" s="93"/>
      <c r="K33" s="80"/>
      <c r="L33" s="2" t="str">
        <f t="shared" si="0"/>
        <v/>
      </c>
      <c r="M33" s="77"/>
      <c r="N33" s="3" t="str">
        <f t="shared" si="1"/>
        <v/>
      </c>
      <c r="O33" s="3" t="str">
        <f t="shared" si="2"/>
        <v/>
      </c>
      <c r="P33" s="13" t="str">
        <f t="shared" si="3"/>
        <v/>
      </c>
      <c r="S33" s="97" t="str">
        <f t="array" ref="S33">IF($S$30="","",IF(ROWS(S$33:S33)&gt;$AA$16,"",INDEX(B$8:B$67,SMALL(IF(MainTable[Type]=$Y$16,ROW(MainTable[Type])-ROW($B$8)+1),ROWS(S$33:S33)))))</f>
        <v>CS1101S</v>
      </c>
      <c r="T33" s="28" t="str">
        <f>IF(S33="","",IF(OR(COUNTIFS(MainTable[Module code],S33,MainTable[Effective MCs],"&gt;0"),COUNTIFS(MainTable[Module code],S33,MainTable[Grade],"P")),"Yes", "No"))</f>
        <v>Yes</v>
      </c>
      <c r="U33" s="29" t="str">
        <f t="array" ref="U33">IF($U$30="","",IF(ROWS(U$33:U33)&gt;$AA$17,"",INDEX(B$8:B$67,SMALL(IF(MainTable[Type]=$Y$17,ROW(MainTable[Type])-ROW($B$8)+1),ROWS(U$33:U33)))))</f>
        <v>MA1521</v>
      </c>
      <c r="V33" s="34" t="str">
        <f>IF(U33="","",IF(OR(COUNTIFS(MainTable[Module code],U33,MainTable[Effective MCs],"&gt;0"),COUNTIFS(MainTable[Module code],U33,MainTable[Grade],"P")),"Yes", "No"))</f>
        <v>Yes</v>
      </c>
      <c r="W33" s="27" t="str">
        <f t="array" ref="W33">IF($W$30="","",IF(ROWS(W$33:W33)&gt;$AA$18,"",INDEX(B$8:B$67,SMALL(IF(MainTable[Type]=$Y$18,ROW(MainTable[Type])-ROW($B$8)+1),ROWS(W$33:W33)))))</f>
        <v>CS3241</v>
      </c>
      <c r="X33" s="36" t="str">
        <f>IF(W33="","",IF(OR(COUNTIFS(MainTable[Module code],W33,MainTable[Effective MCs],"&gt;0"),COUNTIFS(MainTable[Module code],W33,MainTable[Grade],"P")),"Yes", "No"))</f>
        <v>No</v>
      </c>
      <c r="Y33" s="27" t="str">
        <f t="array" ref="Y33">IF($Y$30="","",IF(ROWS(Y$33:Y33)&gt;$AA$19,"",INDEX(B$8:B$67,SMALL(IF(MainTable[Type]=$Y$19,ROW(MainTable[Type])-ROW($B$8)+1),ROWS(Y$33:Y33)))))</f>
        <v>GEK1508</v>
      </c>
      <c r="Z33" s="28" t="str">
        <f>IF(Y33="","",IF(OR(COUNTIFS(MainTable[Module code],Y33,MainTable[Effective MCs],"&gt;0"),COUNTIFS(MainTable[Module code],Y33,MainTable[Grade],"P")),"Yes", "No"))</f>
        <v>No</v>
      </c>
      <c r="AA33" s="29" t="str">
        <f t="array" ref="AA33">IF($AA$30="","",IF(ROWS($AA$33:AA33)&gt;$AA$20,"",INDEX(B$8:B$67,SMALL(IF(MainTable[Type]=$Y$20,ROW(MainTable[Type])-ROW($B$8)+1),ROWS(AA$33:AA33)))))</f>
        <v>CS2010R</v>
      </c>
      <c r="AB33" s="36" t="str">
        <f>IF(AA33="","",IF(OR(COUNTIFS(MainTable[Module code],AA33,MainTable[Effective MCs],"&gt;0"),COUNTIFS(MainTable[Module code],AA33,MainTable[Grade],"P")),"Yes", "No"))</f>
        <v>Yes</v>
      </c>
      <c r="AC33" s="27" t="str">
        <f t="array" ref="AC33">IF($AC$30="","",IF(ROWS($AC$33:AC33)&gt;$AA$21,"",INDEX(B$8:B$67,SMALL(IF(MainTable[Type]=$Y$21,ROW(MainTable[Type])-ROW($B$8)+1),ROWS(AC$33:AC33)))))</f>
        <v>SC1101E</v>
      </c>
      <c r="AD33" s="28" t="str">
        <f>IF(AC33="","",IF(OR(COUNTIFS(MainTable[Module code],AC33,MainTable[Effective MCs],"&gt;0"),COUNTIFS(MainTable[Module code],AC33,MainTable[Grade],"P")),"Yes", "No"))</f>
        <v>Yes</v>
      </c>
      <c r="AE33" s="29" t="str">
        <f t="array" ref="AE33">IF($AE$30="","",IF(ROWS($AE$33:AE33)&gt;$AA$22,"",INDEX(B$8:B$67,SMALL(IF(MainTable[Type]=$Y$22,ROW(MainTable[Type])-ROW($B$8)+1),ROWS(AE$33:AE33)))))</f>
        <v>CS2101</v>
      </c>
      <c r="AF33" s="28" t="str">
        <f>IF(AE33="","",IF(OR(COUNTIFS(MainTable[Module code],AE33,MainTable[Effective MCs],"&gt;0"),COUNTIFS(MainTable[Module code],AE33,MainTable[Grade],"P")),"Yes", "No"))</f>
        <v>Yes</v>
      </c>
    </row>
    <row r="34" spans="2:32" x14ac:dyDescent="0.25">
      <c r="B34" s="85"/>
      <c r="C34" s="86"/>
      <c r="D34" s="87"/>
      <c r="E34" s="87"/>
      <c r="F34" s="87"/>
      <c r="G34" s="87"/>
      <c r="H34" s="87"/>
      <c r="I34" s="87"/>
      <c r="J34" s="93"/>
      <c r="K34" s="80"/>
      <c r="L34" s="2" t="str">
        <f t="shared" si="0"/>
        <v/>
      </c>
      <c r="M34" s="77"/>
      <c r="N34" s="3" t="str">
        <f t="shared" si="1"/>
        <v/>
      </c>
      <c r="O34" s="3" t="str">
        <f t="shared" si="2"/>
        <v/>
      </c>
      <c r="P34" s="13" t="str">
        <f t="shared" si="3"/>
        <v/>
      </c>
      <c r="S34" s="27" t="str">
        <f t="array" ref="S34">IF($S$30="","",IF(ROWS(S$33:S34)&gt;$AA$16,"",INDEX(B$8:B$67,SMALL(IF(MainTable[Type]=$Y$16,ROW(MainTable[Type])-ROW($B$8)+1),ROWS(S$33:S34)))))</f>
        <v>CS1231</v>
      </c>
      <c r="T34" s="28" t="str">
        <f>IF(S34="","",IF(OR(COUNTIFS(MainTable[Module code],S34,MainTable[Effective MCs],"&gt;0"),COUNTIFS(MainTable[Module code],S34,MainTable[Grade],"P")),"Yes", "No"))</f>
        <v>Yes</v>
      </c>
      <c r="U34" s="29" t="str">
        <f t="array" ref="U34">IF($U$30="","",IF(ROWS(U$33:U34)&gt;$AA$17,"",INDEX(B$8:B$67,SMALL(IF(MainTable[Type]=$Y$17,ROW(MainTable[Type])-ROW($B$8)+1),ROWS(U$33:U34)))))</f>
        <v>PC1432</v>
      </c>
      <c r="V34" s="34" t="str">
        <f>IF(U34="","",IF(OR(COUNTIFS(MainTable[Module code],U34,MainTable[Effective MCs],"&gt;0"),COUNTIFS(MainTable[Module code],U34,MainTable[Grade],"P")),"Yes", "No"))</f>
        <v>Yes</v>
      </c>
      <c r="W34" s="27" t="str">
        <f t="array" ref="W34">IF($W$30="","",IF(ROWS(W$33:W34)&gt;$AA$18,"",INDEX(B$8:B$67,SMALL(IF(MainTable[Type]=$Y$18,ROW(MainTable[Type])-ROW($B$8)+1),ROWS(W$33:W34)))))</f>
        <v>CS3343</v>
      </c>
      <c r="X34" s="36" t="str">
        <f>IF(W34="","",IF(OR(COUNTIFS(MainTable[Module code],W34,MainTable[Effective MCs],"&gt;0"),COUNTIFS(MainTable[Module code],W34,MainTable[Grade],"P")),"Yes", "No"))</f>
        <v>No</v>
      </c>
      <c r="Y34" s="27" t="str">
        <f t="array" ref="Y34">IF($Y$30="","",IF(ROWS(Y$33:Y34)&gt;$AA$19,"",INDEX(B$8:B$67,SMALL(IF(MainTable[Type]=$Y$19,ROW(MainTable[Type])-ROW($B$8)+1),ROWS(Y$33:Y34)))))</f>
        <v>GEK1055</v>
      </c>
      <c r="Z34" s="28" t="str">
        <f>IF(Y34="","",IF(OR(COUNTIFS(MainTable[Module code],Y34,MainTable[Effective MCs],"&gt;0"),COUNTIFS(MainTable[Module code],Y34,MainTable[Grade],"P")),"Yes", "No"))</f>
        <v>No</v>
      </c>
      <c r="AA34" s="29" t="str">
        <f t="array" ref="AA34">IF($AA$30="","",IF(ROWS($AA$33:AA34)&gt;$AA$20,"",INDEX(B$8:B$67,SMALL(IF(MainTable[Type]=$Y$20,ROW(MainTable[Type])-ROW($B$8)+1),ROWS(AA$33:AA34)))))</f>
        <v>LSM1302</v>
      </c>
      <c r="AB34" s="36" t="str">
        <f>IF(AA34="","",IF(OR(COUNTIFS(MainTable[Module code],AA34,MainTable[Effective MCs],"&gt;0"),COUNTIFS(MainTable[Module code],AA34,MainTable[Grade],"P")),"Yes", "No"))</f>
        <v>No</v>
      </c>
      <c r="AC34" s="27" t="str">
        <f t="array" ref="AC34">IF($AC$30="","",IF(ROWS($AC$33:AC34)&gt;$AA$21,"",INDEX(B$8:B$67,SMALL(IF(MainTable[Type]=$Y$21,ROW(MainTable[Type])-ROW($B$8)+1),ROWS(AC$33:AC34)))))</f>
        <v/>
      </c>
      <c r="AD34" s="28" t="str">
        <f>IF(AC34="","",IF(OR(COUNTIFS(MainTable[Module code],AC34,MainTable[Effective MCs],"&gt;0"),COUNTIFS(MainTable[Module code],AC34,MainTable[Grade],"P")),"Yes", "No"))</f>
        <v/>
      </c>
      <c r="AE34" s="29" t="str">
        <f t="array" ref="AE34">IF($AE$30="","",IF(ROWS($AE$33:AE34)&gt;$AA$22,"",INDEX(B$8:B$67,SMALL(IF(MainTable[Type]=$Y$22,ROW(MainTable[Type])-ROW($B$8)+1),ROWS(AE$33:AE34)))))</f>
        <v/>
      </c>
      <c r="AF34" s="28" t="str">
        <f>IF(AE34="","",IF(OR(COUNTIFS(MainTable[Module code],AE34,MainTable[Effective MCs],"&gt;0"),COUNTIFS(MainTable[Module code],AE34,MainTable[Grade],"P")),"Yes", "No"))</f>
        <v/>
      </c>
    </row>
    <row r="35" spans="2:32" x14ac:dyDescent="0.25">
      <c r="B35" s="85"/>
      <c r="C35" s="86"/>
      <c r="D35" s="87"/>
      <c r="E35" s="87"/>
      <c r="F35" s="87"/>
      <c r="G35" s="87"/>
      <c r="H35" s="87"/>
      <c r="I35" s="87"/>
      <c r="J35" s="93"/>
      <c r="K35" s="80"/>
      <c r="L35" s="2" t="str">
        <f t="shared" si="0"/>
        <v/>
      </c>
      <c r="M35" s="77"/>
      <c r="N35" s="3" t="str">
        <f t="shared" si="1"/>
        <v/>
      </c>
      <c r="O35" s="3" t="str">
        <f t="shared" si="2"/>
        <v/>
      </c>
      <c r="P35" s="13" t="str">
        <f t="shared" si="3"/>
        <v/>
      </c>
      <c r="S35" s="27" t="str">
        <f t="array" ref="S35">IF($S$30="","",IF(ROWS(S$33:S35)&gt;$AA$16,"",INDEX(B$8:B$67,SMALL(IF(MainTable[Type]=$Y$16,ROW(MainTable[Type])-ROW($B$8)+1),ROWS(S$33:S35)))))</f>
        <v>CS2100</v>
      </c>
      <c r="T35" s="28" t="str">
        <f>IF(S35="","",IF(OR(COUNTIFS(MainTable[Module code],S35,MainTable[Effective MCs],"&gt;0"),COUNTIFS(MainTable[Module code],S35,MainTable[Grade],"P")),"Yes", "No"))</f>
        <v>Yes</v>
      </c>
      <c r="U35" s="29" t="str">
        <f t="array" ref="U35">IF($U$30="","",IF(ROWS(U$33:U35)&gt;$AA$17,"",INDEX(B$8:B$67,SMALL(IF(MainTable[Type]=$Y$17,ROW(MainTable[Type])-ROW($B$8)+1),ROWS(U$33:U35)))))</f>
        <v>MA1101R</v>
      </c>
      <c r="V35" s="34" t="str">
        <f>IF(U35="","",IF(OR(COUNTIFS(MainTable[Module code],U35,MainTable[Effective MCs],"&gt;0"),COUNTIFS(MainTable[Module code],U35,MainTable[Grade],"P")),"Yes", "No"))</f>
        <v>Yes</v>
      </c>
      <c r="W35" s="27" t="str">
        <f t="array" ref="W35">IF($W$30="","",IF(ROWS(W$33:W35)&gt;$AA$18,"",INDEX(B$8:B$67,SMALL(IF(MainTable[Type]=$Y$18,ROW(MainTable[Type])-ROW($B$8)+1),ROWS(W$33:W35)))))</f>
        <v/>
      </c>
      <c r="X35" s="36" t="str">
        <f>IF(W35="","",IF(OR(COUNTIFS(MainTable[Module code],W35,MainTable[Effective MCs],"&gt;0"),COUNTIFS(MainTable[Module code],W35,MainTable[Grade],"P")),"Yes", "No"))</f>
        <v/>
      </c>
      <c r="Y35" s="27" t="str">
        <f t="array" ref="Y35">IF($Y$30="","",IF(ROWS(Y$33:Y35)&gt;$AA$19,"",INDEX(B$8:B$67,SMALL(IF(MainTable[Type]=$Y$19,ROW(MainTable[Type])-ROW($B$8)+1),ROWS(Y$33:Y35)))))</f>
        <v/>
      </c>
      <c r="Z35" s="28" t="str">
        <f>IF(Y35="","",IF(OR(COUNTIFS(MainTable[Module code],Y35,MainTable[Effective MCs],"&gt;0"),COUNTIFS(MainTable[Module code],Y35,MainTable[Grade],"P")),"Yes", "No"))</f>
        <v/>
      </c>
      <c r="AA35" s="29" t="str">
        <f t="array" ref="AA35">IF($AA$30="","",IF(ROWS($AA$33:AA35)&gt;$AA$20,"",INDEX(B$8:B$67,SMALL(IF(MainTable[Type]=$Y$20,ROW(MainTable[Type])-ROW($B$8)+1),ROWS(AA$33:AA35)))))</f>
        <v/>
      </c>
      <c r="AB35" s="36" t="str">
        <f>IF(AA35="","",IF(OR(COUNTIFS(MainTable[Module code],AA35,MainTable[Effective MCs],"&gt;0"),COUNTIFS(MainTable[Module code],AA35,MainTable[Grade],"P")),"Yes", "No"))</f>
        <v/>
      </c>
      <c r="AC35" s="27" t="str">
        <f t="array" ref="AC35">IF($AC$30="","",IF(ROWS($AC$33:AC35)&gt;$AA$21,"",INDEX(B$8:B$67,SMALL(IF(MainTable[Type]=$Y$21,ROW(MainTable[Type])-ROW($B$8)+1),ROWS(AC$33:AC35)))))</f>
        <v/>
      </c>
      <c r="AD35" s="28" t="str">
        <f>IF(AC35="","",IF(OR(COUNTIFS(MainTable[Module code],AC35,MainTable[Effective MCs],"&gt;0"),COUNTIFS(MainTable[Module code],AC35,MainTable[Grade],"P")),"Yes", "No"))</f>
        <v/>
      </c>
      <c r="AE35" s="29" t="str">
        <f t="array" ref="AE35">IF($AE$30="","",IF(ROWS($AE$33:AE35)&gt;$AA$22,"",INDEX(B$8:B$67,SMALL(IF(MainTable[Type]=$Y$22,ROW(MainTable[Type])-ROW($B$8)+1),ROWS(AE$33:AE35)))))</f>
        <v/>
      </c>
      <c r="AF35" s="28" t="str">
        <f>IF(AE35="","",IF(OR(COUNTIFS(MainTable[Module code],AE35,MainTable[Effective MCs],"&gt;0"),COUNTIFS(MainTable[Module code],AE35,MainTable[Grade],"P")),"Yes", "No"))</f>
        <v/>
      </c>
    </row>
    <row r="36" spans="2:32" x14ac:dyDescent="0.25">
      <c r="B36" s="85"/>
      <c r="C36" s="86"/>
      <c r="D36" s="87"/>
      <c r="E36" s="87"/>
      <c r="F36" s="87"/>
      <c r="G36" s="87"/>
      <c r="H36" s="87"/>
      <c r="I36" s="87"/>
      <c r="J36" s="93"/>
      <c r="K36" s="80"/>
      <c r="L36" s="2" t="str">
        <f t="shared" si="0"/>
        <v/>
      </c>
      <c r="M36" s="77"/>
      <c r="N36" s="3" t="str">
        <f t="shared" si="1"/>
        <v/>
      </c>
      <c r="O36" s="3" t="str">
        <f t="shared" si="2"/>
        <v/>
      </c>
      <c r="P36" s="13" t="str">
        <f t="shared" si="3"/>
        <v/>
      </c>
      <c r="S36" s="27" t="str">
        <f t="array" ref="S36">IF($S$30="","",IF(ROWS(S$33:S36)&gt;$AA$16,"",INDEX(B$8:B$67,SMALL(IF(MainTable[Type]=$Y$16,ROW(MainTable[Type])-ROW($B$8)+1),ROWS(S$33:S36)))))</f>
        <v>CS2103T</v>
      </c>
      <c r="T36" s="28" t="str">
        <f>IF(S36="","",IF(OR(COUNTIFS(MainTable[Module code],S36,MainTable[Effective MCs],"&gt;0"),COUNTIFS(MainTable[Module code],S36,MainTable[Grade],"P")),"Yes", "No"))</f>
        <v>No</v>
      </c>
      <c r="U36" s="29" t="str">
        <f t="array" ref="U36">IF($U$30="","",IF(ROWS(U$33:U36)&gt;$AA$17,"",INDEX(B$8:B$67,SMALL(IF(MainTable[Type]=$Y$17,ROW(MainTable[Type])-ROW($B$8)+1),ROWS(U$33:U36)))))</f>
        <v>ST2334</v>
      </c>
      <c r="V36" s="34" t="str">
        <f>IF(U36="","",IF(OR(COUNTIFS(MainTable[Module code],U36,MainTable[Effective MCs],"&gt;0"),COUNTIFS(MainTable[Module code],U36,MainTable[Grade],"P")),"Yes", "No"))</f>
        <v>Yes</v>
      </c>
      <c r="W36" s="27" t="str">
        <f t="array" ref="W36">IF($W$30="","",IF(ROWS(W$33:W36)&gt;$AA$18,"",INDEX(B$8:B$67,SMALL(IF(MainTable[Type]=$Y$18,ROW(MainTable[Type])-ROW($B$8)+1),ROWS(W$33:W36)))))</f>
        <v/>
      </c>
      <c r="X36" s="36" t="str">
        <f>IF(W36="","",IF(OR(COUNTIFS(MainTable[Module code],W36,MainTable[Effective MCs],"&gt;0"),COUNTIFS(MainTable[Module code],W36,MainTable[Grade],"P")),"Yes", "No"))</f>
        <v/>
      </c>
      <c r="Y36" s="27" t="str">
        <f t="array" ref="Y36">IF($Y$30="","",IF(ROWS(Y$33:Y36)&gt;$AA$19,"",INDEX(B$8:B$67,SMALL(IF(MainTable[Type]=$Y$19,ROW(MainTable[Type])-ROW($B$8)+1),ROWS(Y$33:Y36)))))</f>
        <v/>
      </c>
      <c r="Z36" s="28" t="str">
        <f>IF(Y36="","",IF(OR(COUNTIFS(MainTable[Module code],Y36,MainTable[Effective MCs],"&gt;0"),COUNTIFS(MainTable[Module code],Y36,MainTable[Grade],"P")),"Yes", "No"))</f>
        <v/>
      </c>
      <c r="AA36" s="29" t="str">
        <f t="array" ref="AA36">IF($AA$30="","",IF(ROWS($AA$33:AA36)&gt;$AA$20,"",INDEX(B$8:B$67,SMALL(IF(MainTable[Type]=$Y$20,ROW(MainTable[Type])-ROW($B$8)+1),ROWS(AA$33:AA36)))))</f>
        <v/>
      </c>
      <c r="AB36" s="36" t="str">
        <f>IF(AA36="","",IF(OR(COUNTIFS(MainTable[Module code],AA36,MainTable[Effective MCs],"&gt;0"),COUNTIFS(MainTable[Module code],AA36,MainTable[Grade],"P")),"Yes", "No"))</f>
        <v/>
      </c>
      <c r="AC36" s="27" t="str">
        <f t="array" ref="AC36">IF($AC$30="","",IF(ROWS($AC$33:AC36)&gt;$AA$21,"",INDEX(B$8:B$67,SMALL(IF(MainTable[Type]=$Y$21,ROW(MainTable[Type])-ROW($B$8)+1),ROWS(AC$33:AC36)))))</f>
        <v/>
      </c>
      <c r="AD36" s="28" t="str">
        <f>IF(AC36="","",IF(OR(COUNTIFS(MainTable[Module code],AC36,MainTable[Effective MCs],"&gt;0"),COUNTIFS(MainTable[Module code],AC36,MainTable[Grade],"P")),"Yes", "No"))</f>
        <v/>
      </c>
      <c r="AE36" s="29" t="str">
        <f t="array" ref="AE36">IF($AE$30="","",IF(ROWS($AE$33:AE36)&gt;$AA$22,"",INDEX(B$8:B$67,SMALL(IF(MainTable[Type]=$Y$22,ROW(MainTable[Type])-ROW($B$8)+1),ROWS(AE$33:AE36)))))</f>
        <v/>
      </c>
      <c r="AF36" s="28" t="str">
        <f>IF(AE36="","",IF(OR(COUNTIFS(MainTable[Module code],AE36,MainTable[Effective MCs],"&gt;0"),COUNTIFS(MainTable[Module code],AE36,MainTable[Grade],"P")),"Yes", "No"))</f>
        <v/>
      </c>
    </row>
    <row r="37" spans="2:32" x14ac:dyDescent="0.25">
      <c r="B37" s="85"/>
      <c r="C37" s="86"/>
      <c r="D37" s="87"/>
      <c r="E37" s="87"/>
      <c r="F37" s="87"/>
      <c r="G37" s="87"/>
      <c r="H37" s="87"/>
      <c r="I37" s="87"/>
      <c r="J37" s="93"/>
      <c r="K37" s="80"/>
      <c r="L37" s="2" t="str">
        <f t="shared" si="0"/>
        <v/>
      </c>
      <c r="M37" s="77"/>
      <c r="N37" s="3" t="str">
        <f t="shared" si="1"/>
        <v/>
      </c>
      <c r="O37" s="3" t="str">
        <f t="shared" si="2"/>
        <v/>
      </c>
      <c r="P37" s="13" t="str">
        <f t="shared" si="3"/>
        <v/>
      </c>
      <c r="S37" s="27" t="str">
        <f t="array" ref="S37">IF($S$30="","",IF(ROWS(S$33:S37)&gt;$AA$16,"",INDEX(B$8:B$67,SMALL(IF(MainTable[Type]=$Y$16,ROW(MainTable[Type])-ROW($B$8)+1),ROWS(S$33:S37)))))</f>
        <v>CS2105</v>
      </c>
      <c r="T37" s="28" t="str">
        <f>IF(S37="","",IF(OR(COUNTIFS(MainTable[Module code],S37,MainTable[Effective MCs],"&gt;0"),COUNTIFS(MainTable[Module code],S37,MainTable[Grade],"P")),"Yes", "No"))</f>
        <v>No</v>
      </c>
      <c r="U37" s="29" t="str">
        <f t="array" ref="U37">IF($U$30="","",IF(ROWS(U$33:U37)&gt;$AA$17,"",INDEX(B$8:B$67,SMALL(IF(MainTable[Type]=$Y$17,ROW(MainTable[Type])-ROW($B$8)+1),ROWS(U$33:U37)))))</f>
        <v>PC1431</v>
      </c>
      <c r="V37" s="34" t="str">
        <f>IF(U37="","",IF(OR(COUNTIFS(MainTable[Module code],U37,MainTable[Effective MCs],"&gt;0"),COUNTIFS(MainTable[Module code],U37,MainTable[Grade],"P")),"Yes", "No"))</f>
        <v>Yes</v>
      </c>
      <c r="W37" s="27" t="str">
        <f t="array" ref="W37">IF($W$30="","",IF(ROWS(W$33:W37)&gt;$AA$18,"",INDEX(B$8:B$67,SMALL(IF(MainTable[Type]=$Y$18,ROW(MainTable[Type])-ROW($B$8)+1),ROWS(W$33:W37)))))</f>
        <v/>
      </c>
      <c r="X37" s="36" t="str">
        <f>IF(W37="","",IF(OR(COUNTIFS(MainTable[Module code],W37,MainTable[Effective MCs],"&gt;0"),COUNTIFS(MainTable[Module code],W37,MainTable[Grade],"P")),"Yes", "No"))</f>
        <v/>
      </c>
      <c r="Y37" s="27" t="str">
        <f t="array" ref="Y37">IF($Y$30="","",IF(ROWS(Y$33:Y37)&gt;$AA$19,"",INDEX(B$8:B$67,SMALL(IF(MainTable[Type]=$Y$19,ROW(MainTable[Type])-ROW($B$8)+1),ROWS(Y$33:Y37)))))</f>
        <v/>
      </c>
      <c r="Z37" s="28" t="str">
        <f>IF(Y37="","",IF(OR(COUNTIFS(MainTable[Module code],Y37,MainTable[Effective MCs],"&gt;0"),COUNTIFS(MainTable[Module code],Y37,MainTable[Grade],"P")),"Yes", "No"))</f>
        <v/>
      </c>
      <c r="AA37" s="29" t="str">
        <f t="array" ref="AA37">IF($AA$30="","",IF(ROWS($AA$33:AA37)&gt;$AA$20,"",INDEX(B$8:B$67,SMALL(IF(MainTable[Type]=$Y$20,ROW(MainTable[Type])-ROW($B$8)+1),ROWS(AA$33:AA37)))))</f>
        <v/>
      </c>
      <c r="AB37" s="36" t="str">
        <f>IF(AA37="","",IF(OR(COUNTIFS(MainTable[Module code],AA37,MainTable[Effective MCs],"&gt;0"),COUNTIFS(MainTable[Module code],AA37,MainTable[Grade],"P")),"Yes", "No"))</f>
        <v/>
      </c>
      <c r="AC37" s="27" t="str">
        <f t="array" ref="AC37">IF($AC$30="","",IF(ROWS($AC$33:AC37)&gt;$AA$21,"",INDEX(B$8:B$67,SMALL(IF(MainTable[Type]=$Y$21,ROW(MainTable[Type])-ROW($B$8)+1),ROWS(AC$33:AC37)))))</f>
        <v/>
      </c>
      <c r="AD37" s="28" t="str">
        <f>IF(AC37="","",IF(OR(COUNTIFS(MainTable[Module code],AC37,MainTable[Effective MCs],"&gt;0"),COUNTIFS(MainTable[Module code],AC37,MainTable[Grade],"P")),"Yes", "No"))</f>
        <v/>
      </c>
      <c r="AE37" s="29" t="str">
        <f t="array" ref="AE37">IF($AE$30="","",IF(ROWS($AE$33:AE37)&gt;$AA$22,"",INDEX(B$8:B$67,SMALL(IF(MainTable[Type]=$Y$22,ROW(MainTable[Type])-ROW($B$8)+1),ROWS(AE$33:AE37)))))</f>
        <v/>
      </c>
      <c r="AF37" s="28" t="str">
        <f>IF(AE37="","",IF(OR(COUNTIFS(MainTable[Module code],AE37,MainTable[Effective MCs],"&gt;0"),COUNTIFS(MainTable[Module code],AE37,MainTable[Grade],"P")),"Yes", "No"))</f>
        <v/>
      </c>
    </row>
    <row r="38" spans="2:32" x14ac:dyDescent="0.25">
      <c r="B38" s="85"/>
      <c r="C38" s="86"/>
      <c r="D38" s="87"/>
      <c r="E38" s="87"/>
      <c r="F38" s="87"/>
      <c r="G38" s="87"/>
      <c r="H38" s="87"/>
      <c r="I38" s="87"/>
      <c r="J38" s="93"/>
      <c r="K38" s="80"/>
      <c r="L38" s="2" t="str">
        <f t="shared" si="0"/>
        <v/>
      </c>
      <c r="M38" s="77"/>
      <c r="N38" s="3" t="str">
        <f t="shared" si="1"/>
        <v/>
      </c>
      <c r="O38" s="3" t="str">
        <f t="shared" si="2"/>
        <v/>
      </c>
      <c r="P38" s="13" t="str">
        <f t="shared" si="3"/>
        <v/>
      </c>
      <c r="S38" s="27" t="str">
        <f t="array" ref="S38">IF($S$30="","",IF(ROWS(S$33:S38)&gt;$AA$16,"",INDEX(B$8:B$67,SMALL(IF(MainTable[Type]=$Y$16,ROW(MainTable[Type])-ROW($B$8)+1),ROWS(S$33:S38)))))</f>
        <v>CS2106</v>
      </c>
      <c r="T38" s="28" t="str">
        <f>IF(S38="","",IF(OR(COUNTIFS(MainTable[Module code],S38,MainTable[Effective MCs],"&gt;0"),COUNTIFS(MainTable[Module code],S38,MainTable[Grade],"P")),"Yes", "No"))</f>
        <v>No</v>
      </c>
      <c r="U38" s="29" t="str">
        <f t="array" ref="U38">IF($U$30="","",IF(ROWS(U$33:U38)&gt;$AA$17,"",INDEX(B$8:B$67,SMALL(IF(MainTable[Type]=$Y$17,ROW(MainTable[Type])-ROW($B$8)+1),ROWS(U$33:U38)))))</f>
        <v/>
      </c>
      <c r="V38" s="34" t="str">
        <f>IF(U38="","",IF(OR(COUNTIFS(MainTable[Module code],U38,MainTable[Effective MCs],"&gt;0"),COUNTIFS(MainTable[Module code],U38,MainTable[Grade],"P")),"Yes", "No"))</f>
        <v/>
      </c>
      <c r="W38" s="27" t="str">
        <f t="array" ref="W38">IF($W$30="","",IF(ROWS(W$33:W38)&gt;$AA$18,"",INDEX(B$8:B$67,SMALL(IF(MainTable[Type]=$Y$18,ROW(MainTable[Type])-ROW($B$8)+1),ROWS(W$33:W38)))))</f>
        <v/>
      </c>
      <c r="X38" s="36" t="str">
        <f>IF(W38="","",IF(OR(COUNTIFS(MainTable[Module code],W38,MainTable[Effective MCs],"&gt;0"),COUNTIFS(MainTable[Module code],W38,MainTable[Grade],"P")),"Yes", "No"))</f>
        <v/>
      </c>
      <c r="Y38" s="27" t="str">
        <f t="array" ref="Y38">IF($Y$30="","",IF(ROWS(Y$33:Y38)&gt;$AA$19,"",INDEX(B$8:B$67,SMALL(IF(MainTable[Type]=$Y$19,ROW(MainTable[Type])-ROW($B$8)+1),ROWS(Y$33:Y38)))))</f>
        <v/>
      </c>
      <c r="Z38" s="28" t="str">
        <f>IF(Y38="","",IF(OR(COUNTIFS(MainTable[Module code],Y38,MainTable[Effective MCs],"&gt;0"),COUNTIFS(MainTable[Module code],Y38,MainTable[Grade],"P")),"Yes", "No"))</f>
        <v/>
      </c>
      <c r="AA38" s="29" t="str">
        <f t="array" ref="AA38">IF($AA$30="","",IF(ROWS($AA$33:AA38)&gt;$AA$20,"",INDEX(B$8:B$67,SMALL(IF(MainTable[Type]=$Y$20,ROW(MainTable[Type])-ROW($B$8)+1),ROWS(AA$33:AA38)))))</f>
        <v/>
      </c>
      <c r="AB38" s="36" t="str">
        <f>IF(AA38="","",IF(OR(COUNTIFS(MainTable[Module code],AA38,MainTable[Effective MCs],"&gt;0"),COUNTIFS(MainTable[Module code],AA38,MainTable[Grade],"P")),"Yes", "No"))</f>
        <v/>
      </c>
      <c r="AC38" s="27" t="str">
        <f t="array" ref="AC38">IF($AC$30="","",IF(ROWS($AC$33:AC38)&gt;$AA$21,"",INDEX(B$8:B$67,SMALL(IF(MainTable[Type]=$Y$21,ROW(MainTable[Type])-ROW($B$8)+1),ROWS(AC$33:AC38)))))</f>
        <v/>
      </c>
      <c r="AD38" s="28" t="str">
        <f>IF(AC38="","",IF(OR(COUNTIFS(MainTable[Module code],AC38,MainTable[Effective MCs],"&gt;0"),COUNTIFS(MainTable[Module code],AC38,MainTable[Grade],"P")),"Yes", "No"))</f>
        <v/>
      </c>
      <c r="AE38" s="29" t="str">
        <f t="array" ref="AE38">IF($AE$30="","",IF(ROWS($AE$33:AE38)&gt;$AA$22,"",INDEX(B$8:B$67,SMALL(IF(MainTable[Type]=$Y$22,ROW(MainTable[Type])-ROW($B$8)+1),ROWS(AE$33:AE38)))))</f>
        <v/>
      </c>
      <c r="AF38" s="28" t="str">
        <f>IF(AE38="","",IF(OR(COUNTIFS(MainTable[Module code],AE38,MainTable[Effective MCs],"&gt;0"),COUNTIFS(MainTable[Module code],AE38,MainTable[Grade],"P")),"Yes", "No"))</f>
        <v/>
      </c>
    </row>
    <row r="39" spans="2:32" x14ac:dyDescent="0.25">
      <c r="B39" s="85"/>
      <c r="C39" s="86"/>
      <c r="D39" s="87"/>
      <c r="E39" s="87"/>
      <c r="F39" s="87"/>
      <c r="G39" s="87"/>
      <c r="H39" s="87"/>
      <c r="I39" s="87"/>
      <c r="J39" s="93"/>
      <c r="K39" s="80"/>
      <c r="L39" s="2" t="str">
        <f t="shared" si="0"/>
        <v/>
      </c>
      <c r="M39" s="77"/>
      <c r="N39" s="3" t="str">
        <f t="shared" si="1"/>
        <v/>
      </c>
      <c r="O39" s="3" t="str">
        <f t="shared" si="2"/>
        <v/>
      </c>
      <c r="P39" s="13" t="str">
        <f t="shared" si="3"/>
        <v/>
      </c>
      <c r="S39" s="27" t="str">
        <f t="array" ref="S39">IF($S$30="","",IF(ROWS(S$33:S39)&gt;$AA$16,"",INDEX(B$8:B$67,SMALL(IF(MainTable[Type]=$Y$16,ROW(MainTable[Type])-ROW($B$8)+1),ROWS(S$33:S39)))))</f>
        <v>CS3230</v>
      </c>
      <c r="T39" s="28" t="str">
        <f>IF(S39="","",IF(OR(COUNTIFS(MainTable[Module code],S39,MainTable[Effective MCs],"&gt;0"),COUNTIFS(MainTable[Module code],S39,MainTable[Grade],"P")),"Yes", "No"))</f>
        <v>No</v>
      </c>
      <c r="U39" s="29" t="str">
        <f t="array" ref="U39">IF($U$30="","",IF(ROWS(U$33:U39)&gt;$AA$17,"",INDEX(B$8:B$67,SMALL(IF(MainTable[Type]=$Y$17,ROW(MainTable[Type])-ROW($B$8)+1),ROWS(U$33:U39)))))</f>
        <v/>
      </c>
      <c r="V39" s="34" t="str">
        <f>IF(U39="","",IF(OR(COUNTIFS(MainTable[Module code],U39,MainTable[Effective MCs],"&gt;0"),COUNTIFS(MainTable[Module code],U39,MainTable[Grade],"P")),"Yes", "No"))</f>
        <v/>
      </c>
      <c r="W39" s="27" t="str">
        <f t="array" ref="W39">IF($W$30="","",IF(ROWS(W$33:W39)&gt;$AA$18,"",INDEX(B$8:B$67,SMALL(IF(MainTable[Type]=$Y$18,ROW(MainTable[Type])-ROW($B$8)+1),ROWS(W$33:W39)))))</f>
        <v/>
      </c>
      <c r="X39" s="36" t="str">
        <f>IF(W39="","",IF(OR(COUNTIFS(MainTable[Module code],W39,MainTable[Effective MCs],"&gt;0"),COUNTIFS(MainTable[Module code],W39,MainTable[Grade],"P")),"Yes", "No"))</f>
        <v/>
      </c>
      <c r="Y39" s="27" t="str">
        <f t="array" ref="Y39">IF($Y$30="","",IF(ROWS(Y$33:Y39)&gt;$AA$19,"",INDEX(B$8:B$67,SMALL(IF(MainTable[Type]=$Y$19,ROW(MainTable[Type])-ROW($B$8)+1),ROWS(Y$33:Y39)))))</f>
        <v/>
      </c>
      <c r="Z39" s="28" t="str">
        <f>IF(Y39="","",IF(OR(COUNTIFS(MainTable[Module code],Y39,MainTable[Effective MCs],"&gt;0"),COUNTIFS(MainTable[Module code],Y39,MainTable[Grade],"P")),"Yes", "No"))</f>
        <v/>
      </c>
      <c r="AA39" s="29" t="str">
        <f t="array" ref="AA39">IF($AA$30="","",IF(ROWS($AA$33:AA39)&gt;$AA$20,"",INDEX(B$8:B$67,SMALL(IF(MainTable[Type]=$Y$20,ROW(MainTable[Type])-ROW($B$8)+1),ROWS(AA$33:AA39)))))</f>
        <v/>
      </c>
      <c r="AB39" s="36" t="str">
        <f>IF(AA39="","",IF(OR(COUNTIFS(MainTable[Module code],AA39,MainTable[Effective MCs],"&gt;0"),COUNTIFS(MainTable[Module code],AA39,MainTable[Grade],"P")),"Yes", "No"))</f>
        <v/>
      </c>
      <c r="AC39" s="27" t="str">
        <f t="array" ref="AC39">IF($AC$30="","",IF(ROWS($AC$33:AC39)&gt;$AA$21,"",INDEX(B$8:B$67,SMALL(IF(MainTable[Type]=$Y$21,ROW(MainTable[Type])-ROW($B$8)+1),ROWS(AC$33:AC39)))))</f>
        <v/>
      </c>
      <c r="AD39" s="28" t="str">
        <f>IF(AC39="","",IF(OR(COUNTIFS(MainTable[Module code],AC39,MainTable[Effective MCs],"&gt;0"),COUNTIFS(MainTable[Module code],AC39,MainTable[Grade],"P")),"Yes", "No"))</f>
        <v/>
      </c>
      <c r="AE39" s="29" t="str">
        <f t="array" ref="AE39">IF($AE$30="","",IF(ROWS($AE$33:AE39)&gt;$AA$22,"",INDEX(B$8:B$67,SMALL(IF(MainTable[Type]=$Y$22,ROW(MainTable[Type])-ROW($B$8)+1),ROWS(AE$33:AE39)))))</f>
        <v/>
      </c>
      <c r="AF39" s="28" t="str">
        <f>IF(AE39="","",IF(OR(COUNTIFS(MainTable[Module code],AE39,MainTable[Effective MCs],"&gt;0"),COUNTIFS(MainTable[Module code],AE39,MainTable[Grade],"P")),"Yes", "No"))</f>
        <v/>
      </c>
    </row>
    <row r="40" spans="2:32" x14ac:dyDescent="0.25">
      <c r="B40" s="85"/>
      <c r="C40" s="86"/>
      <c r="D40" s="87"/>
      <c r="E40" s="87"/>
      <c r="F40" s="87"/>
      <c r="G40" s="87"/>
      <c r="H40" s="87"/>
      <c r="I40" s="87"/>
      <c r="J40" s="93"/>
      <c r="K40" s="80"/>
      <c r="L40" s="2" t="str">
        <f t="shared" ref="L40:L67" si="5">IF(K40="A+",5,IF(K40="A",5,IF(K40="A-",4.5,IF(K40="B+",4,IF(K40="B",3.5,IF(K40="B-",3,IF(K40="C+",2.5,IF(K40="C",2,IF(K40="D+",1.5,IF(K40="D",1,IF(K40="F",0,IF(K40="P",0,""))))))))))))</f>
        <v/>
      </c>
      <c r="M40" s="77"/>
      <c r="N40" s="3" t="str">
        <f t="shared" ref="N40:N71" si="6">IF(M40="N",SUM(D40:I40),IF(M40="Y",IF(L40&lt;2,0,SUM(D40:I40)),""))</f>
        <v/>
      </c>
      <c r="O40" s="3" t="str">
        <f t="shared" ref="O40:O71" si="7">IF(M40="Y",0,N40)</f>
        <v/>
      </c>
      <c r="P40" s="13" t="str">
        <f t="shared" ref="P40:P71" si="8">IF(OR(L40="",O40=""),"",O40*L40)</f>
        <v/>
      </c>
      <c r="S40" s="27" t="str">
        <f t="array" ref="S40">IF($S$30="","",IF(ROWS(S$33:S40)&gt;$AA$16,"",INDEX(B$8:B$67,SMALL(IF(MainTable[Type]=$Y$16,ROW(MainTable[Type])-ROW($B$8)+1),ROWS(S$33:S40)))))</f>
        <v/>
      </c>
      <c r="T40" s="28" t="str">
        <f>IF(S40="","",IF(OR(COUNTIFS(MainTable[Module code],S40,MainTable[Effective MCs],"&gt;0"),COUNTIFS(MainTable[Module code],S40,MainTable[Grade],"P")),"Yes", "No"))</f>
        <v/>
      </c>
      <c r="U40" s="29" t="str">
        <f t="array" ref="U40">IF($U$30="","",IF(ROWS(U$33:U40)&gt;$AA$17,"",INDEX(B$8:B$67,SMALL(IF(MainTable[Type]=$Y$17,ROW(MainTable[Type])-ROW($B$8)+1),ROWS(U$33:U40)))))</f>
        <v/>
      </c>
      <c r="V40" s="34" t="str">
        <f>IF(U40="","",IF(OR(COUNTIFS(MainTable[Module code],U40,MainTable[Effective MCs],"&gt;0"),COUNTIFS(MainTable[Module code],U40,MainTable[Grade],"P")),"Yes", "No"))</f>
        <v/>
      </c>
      <c r="W40" s="27" t="str">
        <f t="array" ref="W40">IF($W$30="","",IF(ROWS(W$33:W40)&gt;$AA$18,"",INDEX(B$8:B$67,SMALL(IF(MainTable[Type]=$Y$18,ROW(MainTable[Type])-ROW($B$8)+1),ROWS(W$33:W40)))))</f>
        <v/>
      </c>
      <c r="X40" s="36" t="str">
        <f>IF(W40="","",IF(OR(COUNTIFS(MainTable[Module code],W40,MainTable[Effective MCs],"&gt;0"),COUNTIFS(MainTable[Module code],W40,MainTable[Grade],"P")),"Yes", "No"))</f>
        <v/>
      </c>
      <c r="Y40" s="27" t="str">
        <f t="array" ref="Y40">IF($Y$30="","",IF(ROWS(Y$33:Y40)&gt;$AA$19,"",INDEX(B$8:B$67,SMALL(IF(MainTable[Type]=$Y$19,ROW(MainTable[Type])-ROW($B$8)+1),ROWS(Y$33:Y40)))))</f>
        <v/>
      </c>
      <c r="Z40" s="28" t="str">
        <f>IF(Y40="","",IF(OR(COUNTIFS(MainTable[Module code],Y40,MainTable[Effective MCs],"&gt;0"),COUNTIFS(MainTable[Module code],Y40,MainTable[Grade],"P")),"Yes", "No"))</f>
        <v/>
      </c>
      <c r="AA40" s="29" t="str">
        <f t="array" ref="AA40">IF($AA$30="","",IF(ROWS($AA$33:AA40)&gt;$AA$20,"",INDEX(B$8:B$67,SMALL(IF(MainTable[Type]=$Y$20,ROW(MainTable[Type])-ROW($B$8)+1),ROWS(AA$33:AA40)))))</f>
        <v/>
      </c>
      <c r="AB40" s="36" t="str">
        <f>IF(AA40="","",IF(OR(COUNTIFS(MainTable[Module code],AA40,MainTable[Effective MCs],"&gt;0"),COUNTIFS(MainTable[Module code],AA40,MainTable[Grade],"P")),"Yes", "No"))</f>
        <v/>
      </c>
      <c r="AC40" s="27" t="str">
        <f t="array" ref="AC40">IF($AC$30="","",IF(ROWS($AC$33:AC40)&gt;$AA$21,"",INDEX(B$8:B$67,SMALL(IF(MainTable[Type]=$Y$21,ROW(MainTable[Type])-ROW($B$8)+1),ROWS(AC$33:AC40)))))</f>
        <v/>
      </c>
      <c r="AD40" s="28" t="str">
        <f>IF(AC40="","",IF(OR(COUNTIFS(MainTable[Module code],AC40,MainTable[Effective MCs],"&gt;0"),COUNTIFS(MainTable[Module code],AC40,MainTable[Grade],"P")),"Yes", "No"))</f>
        <v/>
      </c>
      <c r="AE40" s="29" t="str">
        <f t="array" ref="AE40">IF($AE$30="","",IF(ROWS($AE$33:AE40)&gt;$AA$22,"",INDEX(B$8:B$67,SMALL(IF(MainTable[Type]=$Y$22,ROW(MainTable[Type])-ROW($B$8)+1),ROWS(AE$33:AE40)))))</f>
        <v/>
      </c>
      <c r="AF40" s="28" t="str">
        <f>IF(AE40="","",IF(OR(COUNTIFS(MainTable[Module code],AE40,MainTable[Effective MCs],"&gt;0"),COUNTIFS(MainTable[Module code],AE40,MainTable[Grade],"P")),"Yes", "No"))</f>
        <v/>
      </c>
    </row>
    <row r="41" spans="2:32" x14ac:dyDescent="0.25">
      <c r="B41" s="85"/>
      <c r="C41" s="86"/>
      <c r="D41" s="87"/>
      <c r="E41" s="87"/>
      <c r="F41" s="87"/>
      <c r="G41" s="87"/>
      <c r="H41" s="87"/>
      <c r="I41" s="87"/>
      <c r="J41" s="93"/>
      <c r="K41" s="80"/>
      <c r="L41" s="2" t="str">
        <f t="shared" si="5"/>
        <v/>
      </c>
      <c r="M41" s="77"/>
      <c r="N41" s="3" t="str">
        <f t="shared" si="6"/>
        <v/>
      </c>
      <c r="O41" s="3" t="str">
        <f t="shared" si="7"/>
        <v/>
      </c>
      <c r="P41" s="13" t="str">
        <f t="shared" si="8"/>
        <v/>
      </c>
      <c r="S41" s="27" t="str">
        <f t="array" ref="S41">IF($S$30="","",IF(ROWS(S$33:S41)&gt;$AA$16,"",INDEX(B$8:B$67,SMALL(IF(MainTable[Type]=$Y$16,ROW(MainTable[Type])-ROW($B$8)+1),ROWS(S$33:S41)))))</f>
        <v/>
      </c>
      <c r="T41" s="28" t="str">
        <f>IF(S41="","",IF(OR(COUNTIFS(MainTable[Module code],S41,MainTable[Effective MCs],"&gt;0"),COUNTIFS(MainTable[Module code],S41,MainTable[Grade],"P")),"Yes", "No"))</f>
        <v/>
      </c>
      <c r="U41" s="29" t="str">
        <f t="array" ref="U41">IF($U$30="","",IF(ROWS(U$33:U41)&gt;$AA$17,"",INDEX(B$8:B$67,SMALL(IF(MainTable[Type]=$Y$17,ROW(MainTable[Type])-ROW($B$8)+1),ROWS(U$33:U41)))))</f>
        <v/>
      </c>
      <c r="V41" s="34" t="str">
        <f>IF(U41="","",IF(OR(COUNTIFS(MainTable[Module code],U41,MainTable[Effective MCs],"&gt;0"),COUNTIFS(MainTable[Module code],U41,MainTable[Grade],"P")),"Yes", "No"))</f>
        <v/>
      </c>
      <c r="W41" s="27" t="str">
        <f t="array" ref="W41">IF($W$30="","",IF(ROWS(W$33:W41)&gt;$AA$18,"",INDEX(B$8:B$67,SMALL(IF(MainTable[Type]=$Y$18,ROW(MainTable[Type])-ROW($B$8)+1),ROWS(W$33:W41)))))</f>
        <v/>
      </c>
      <c r="X41" s="36" t="str">
        <f>IF(W41="","",IF(OR(COUNTIFS(MainTable[Module code],W41,MainTable[Effective MCs],"&gt;0"),COUNTIFS(MainTable[Module code],W41,MainTable[Grade],"P")),"Yes", "No"))</f>
        <v/>
      </c>
      <c r="Y41" s="27" t="str">
        <f t="array" ref="Y41">IF($Y$30="","",IF(ROWS(Y$33:Y41)&gt;$AA$19,"",INDEX(B$8:B$67,SMALL(IF(MainTable[Type]=$Y$19,ROW(MainTable[Type])-ROW($B$8)+1),ROWS(Y$33:Y41)))))</f>
        <v/>
      </c>
      <c r="Z41" s="28" t="str">
        <f>IF(Y41="","",IF(OR(COUNTIFS(MainTable[Module code],Y41,MainTable[Effective MCs],"&gt;0"),COUNTIFS(MainTable[Module code],Y41,MainTable[Grade],"P")),"Yes", "No"))</f>
        <v/>
      </c>
      <c r="AA41" s="29" t="str">
        <f t="array" ref="AA41">IF($AA$30="","",IF(ROWS($AA$33:AA41)&gt;$AA$20,"",INDEX(B$8:B$67,SMALL(IF(MainTable[Type]=$Y$20,ROW(MainTable[Type])-ROW($B$8)+1),ROWS(AA$33:AA41)))))</f>
        <v/>
      </c>
      <c r="AB41" s="36" t="str">
        <f>IF(AA41="","",IF(OR(COUNTIFS(MainTable[Module code],AA41,MainTable[Effective MCs],"&gt;0"),COUNTIFS(MainTable[Module code],AA41,MainTable[Grade],"P")),"Yes", "No"))</f>
        <v/>
      </c>
      <c r="AC41" s="27" t="str">
        <f t="array" ref="AC41">IF($AC$30="","",IF(ROWS($AC$33:AC41)&gt;$AA$21,"",INDEX(B$8:B$67,SMALL(IF(MainTable[Type]=$Y$21,ROW(MainTable[Type])-ROW($B$8)+1),ROWS(AC$33:AC41)))))</f>
        <v/>
      </c>
      <c r="AD41" s="28" t="str">
        <f>IF(AC41="","",IF(OR(COUNTIFS(MainTable[Module code],AC41,MainTable[Effective MCs],"&gt;0"),COUNTIFS(MainTable[Module code],AC41,MainTable[Grade],"P")),"Yes", "No"))</f>
        <v/>
      </c>
      <c r="AE41" s="29" t="str">
        <f t="array" ref="AE41">IF($AE$30="","",IF(ROWS($AE$33:AE41)&gt;$AA$22,"",INDEX(B$8:B$67,SMALL(IF(MainTable[Type]=$Y$22,ROW(MainTable[Type])-ROW($B$8)+1),ROWS(AE$33:AE41)))))</f>
        <v/>
      </c>
      <c r="AF41" s="28" t="str">
        <f>IF(AE41="","",IF(OR(COUNTIFS(MainTable[Module code],AE41,MainTable[Effective MCs],"&gt;0"),COUNTIFS(MainTable[Module code],AE41,MainTable[Grade],"P")),"Yes", "No"))</f>
        <v/>
      </c>
    </row>
    <row r="42" spans="2:32" x14ac:dyDescent="0.25">
      <c r="B42" s="85"/>
      <c r="C42" s="86"/>
      <c r="D42" s="87"/>
      <c r="E42" s="87"/>
      <c r="F42" s="87"/>
      <c r="G42" s="87"/>
      <c r="H42" s="87"/>
      <c r="I42" s="87"/>
      <c r="J42" s="93"/>
      <c r="K42" s="80"/>
      <c r="L42" s="2" t="str">
        <f t="shared" si="5"/>
        <v/>
      </c>
      <c r="M42" s="77"/>
      <c r="N42" s="3" t="str">
        <f t="shared" si="6"/>
        <v/>
      </c>
      <c r="O42" s="3" t="str">
        <f t="shared" si="7"/>
        <v/>
      </c>
      <c r="P42" s="13" t="str">
        <f t="shared" si="8"/>
        <v/>
      </c>
      <c r="S42" s="27" t="str">
        <f t="array" ref="S42">IF($S$30="","",IF(ROWS(S$33:S42)&gt;$AA$16,"",INDEX(B$8:B$67,SMALL(IF(MainTable[Type]=$Y$16,ROW(MainTable[Type])-ROW($B$8)+1),ROWS(S$33:S42)))))</f>
        <v/>
      </c>
      <c r="T42" s="28" t="str">
        <f>IF(S42="","",IF(OR(COUNTIFS(MainTable[Module code],S42,MainTable[Effective MCs],"&gt;0"),COUNTIFS(MainTable[Module code],S42,MainTable[Grade],"P")),"Yes", "No"))</f>
        <v/>
      </c>
      <c r="U42" s="29" t="str">
        <f t="array" ref="U42">IF($U$30="","",IF(ROWS(U$33:U42)&gt;$AA$17,"",INDEX(B$8:B$67,SMALL(IF(MainTable[Type]=$Y$17,ROW(MainTable[Type])-ROW($B$8)+1),ROWS(U$33:U42)))))</f>
        <v/>
      </c>
      <c r="V42" s="34" t="str">
        <f>IF(U42="","",IF(OR(COUNTIFS(MainTable[Module code],U42,MainTable[Effective MCs],"&gt;0"),COUNTIFS(MainTable[Module code],U42,MainTable[Grade],"P")),"Yes", "No"))</f>
        <v/>
      </c>
      <c r="W42" s="27" t="str">
        <f t="array" ref="W42">IF($W$30="","",IF(ROWS(W$33:W42)&gt;$AA$18,"",INDEX(B$8:B$67,SMALL(IF(MainTable[Type]=$Y$18,ROW(MainTable[Type])-ROW($B$8)+1),ROWS(W$33:W42)))))</f>
        <v/>
      </c>
      <c r="X42" s="36" t="str">
        <f>IF(W42="","",IF(OR(COUNTIFS(MainTable[Module code],W42,MainTable[Effective MCs],"&gt;0"),COUNTIFS(MainTable[Module code],W42,MainTable[Grade],"P")),"Yes", "No"))</f>
        <v/>
      </c>
      <c r="Y42" s="27" t="str">
        <f t="array" ref="Y42">IF($Y$30="","",IF(ROWS(Y$33:Y42)&gt;$AA$19,"",INDEX(B$8:B$67,SMALL(IF(MainTable[Type]=$Y$19,ROW(MainTable[Type])-ROW($B$8)+1),ROWS(Y$33:Y42)))))</f>
        <v/>
      </c>
      <c r="Z42" s="28" t="str">
        <f>IF(Y42="","",IF(OR(COUNTIFS(MainTable[Module code],Y42,MainTable[Effective MCs],"&gt;0"),COUNTIFS(MainTable[Module code],Y42,MainTable[Grade],"P")),"Yes", "No"))</f>
        <v/>
      </c>
      <c r="AA42" s="29" t="str">
        <f t="array" ref="AA42">IF($AA$30="","",IF(ROWS($AA$33:AA42)&gt;$AA$20,"",INDEX(B$8:B$67,SMALL(IF(MainTable[Type]=$Y$20,ROW(MainTable[Type])-ROW($B$8)+1),ROWS(AA$33:AA42)))))</f>
        <v/>
      </c>
      <c r="AB42" s="36" t="str">
        <f>IF(AA42="","",IF(OR(COUNTIFS(MainTable[Module code],AA42,MainTable[Effective MCs],"&gt;0"),COUNTIFS(MainTable[Module code],AA42,MainTable[Grade],"P")),"Yes", "No"))</f>
        <v/>
      </c>
      <c r="AC42" s="27" t="str">
        <f t="array" ref="AC42">IF($AC$30="","",IF(ROWS($AC$33:AC42)&gt;$AA$21,"",INDEX(B$8:B$67,SMALL(IF(MainTable[Type]=$Y$21,ROW(MainTable[Type])-ROW($B$8)+1),ROWS(AC$33:AC42)))))</f>
        <v/>
      </c>
      <c r="AD42" s="28" t="str">
        <f>IF(AC42="","",IF(OR(COUNTIFS(MainTable[Module code],AC42,MainTable[Effective MCs],"&gt;0"),COUNTIFS(MainTable[Module code],AC42,MainTable[Grade],"P")),"Yes", "No"))</f>
        <v/>
      </c>
      <c r="AE42" s="29" t="str">
        <f t="array" ref="AE42">IF($AE$30="","",IF(ROWS($AE$33:AE42)&gt;$AA$22,"",INDEX(B$8:B$67,SMALL(IF(MainTable[Type]=$Y$22,ROW(MainTable[Type])-ROW($B$8)+1),ROWS(AE$33:AE42)))))</f>
        <v/>
      </c>
      <c r="AF42" s="28" t="str">
        <f>IF(AE42="","",IF(OR(COUNTIFS(MainTable[Module code],AE42,MainTable[Effective MCs],"&gt;0"),COUNTIFS(MainTable[Module code],AE42,MainTable[Grade],"P")),"Yes", "No"))</f>
        <v/>
      </c>
    </row>
    <row r="43" spans="2:32" ht="15.75" thickBot="1" x14ac:dyDescent="0.3">
      <c r="B43" s="85"/>
      <c r="C43" s="86"/>
      <c r="D43" s="87"/>
      <c r="E43" s="87"/>
      <c r="F43" s="87"/>
      <c r="G43" s="87"/>
      <c r="H43" s="87"/>
      <c r="I43" s="87"/>
      <c r="J43" s="93"/>
      <c r="K43" s="80"/>
      <c r="L43" s="2" t="str">
        <f t="shared" si="5"/>
        <v/>
      </c>
      <c r="M43" s="77"/>
      <c r="N43" s="3" t="str">
        <f t="shared" si="6"/>
        <v/>
      </c>
      <c r="O43" s="3" t="str">
        <f t="shared" si="7"/>
        <v/>
      </c>
      <c r="P43" s="13" t="str">
        <f t="shared" si="8"/>
        <v/>
      </c>
      <c r="S43" s="27" t="str">
        <f t="array" ref="S43">IF($S$30="","",IF(ROWS(S$33:S43)&gt;$AA$16,"",INDEX(B$8:B$67,SMALL(IF(MainTable[Type]=$Y$16,ROW(MainTable[Type])-ROW($B$8)+1),ROWS(S$33:S43)))))</f>
        <v/>
      </c>
      <c r="T43" s="28" t="str">
        <f>IF(S43="","",IF(OR(COUNTIFS(MainTable[Module code],S43,MainTable[Effective MCs],"&gt;0"),COUNTIFS(MainTable[Module code],S43,MainTable[Grade],"P")),"Yes", "No"))</f>
        <v/>
      </c>
      <c r="U43" s="29" t="str">
        <f t="array" ref="U43">IF($U$30="","",IF(ROWS(U$33:U43)&gt;$AA$17,"",INDEX(B$8:B$67,SMALL(IF(MainTable[Type]=$Y$17,ROW(MainTable[Type])-ROW($B$8)+1),ROWS(U$33:U43)))))</f>
        <v/>
      </c>
      <c r="V43" s="34" t="str">
        <f>IF(U43="","",IF(OR(COUNTIFS(MainTable[Module code],U43,MainTable[Effective MCs],"&gt;0"),COUNTIFS(MainTable[Module code],U43,MainTable[Grade],"P")),"Yes", "No"))</f>
        <v/>
      </c>
      <c r="W43" s="27" t="str">
        <f t="array" ref="W43">IF($W$30="","",IF(ROWS(W$33:W43)&gt;$AA$18,"",INDEX(B$8:B$67,SMALL(IF(MainTable[Type]=$Y$18,ROW(MainTable[Type])-ROW($B$8)+1),ROWS(W$33:W43)))))</f>
        <v/>
      </c>
      <c r="X43" s="36" t="str">
        <f>IF(W43="","",IF(OR(COUNTIFS(MainTable[Module code],W43,MainTable[Effective MCs],"&gt;0"),COUNTIFS(MainTable[Module code],W43,MainTable[Grade],"P")),"Yes", "No"))</f>
        <v/>
      </c>
      <c r="Y43" s="27" t="str">
        <f t="array" ref="Y43">IF($Y$30="","",IF(ROWS(Y$33:Y43)&gt;$AA$19,"",INDEX(B$8:B$67,SMALL(IF(MainTable[Type]=$Y$19,ROW(MainTable[Type])-ROW($B$8)+1),ROWS(Y$33:Y43)))))</f>
        <v/>
      </c>
      <c r="Z43" s="28" t="str">
        <f>IF(Y43="","",IF(OR(COUNTIFS(MainTable[Module code],Y43,MainTable[Effective MCs],"&gt;0"),COUNTIFS(MainTable[Module code],Y43,MainTable[Grade],"P")),"Yes", "No"))</f>
        <v/>
      </c>
      <c r="AA43" s="29" t="str">
        <f t="array" ref="AA43">IF($AA$30="","",IF(ROWS($AA$33:AA43)&gt;$AA$20,"",INDEX(B$8:B$67,SMALL(IF(MainTable[Type]=$Y$20,ROW(MainTable[Type])-ROW($B$8)+1),ROWS(AA$33:AA43)))))</f>
        <v/>
      </c>
      <c r="AB43" s="36" t="str">
        <f>IF(AA43="","",IF(OR(COUNTIFS(MainTable[Module code],AA43,MainTable[Effective MCs],"&gt;0"),COUNTIFS(MainTable[Module code],AA43,MainTable[Grade],"P")),"Yes", "No"))</f>
        <v/>
      </c>
      <c r="AC43" s="27" t="str">
        <f t="array" ref="AC43">IF($AC$30="","",IF(ROWS($AC$33:AC43)&gt;$AA$21,"",INDEX(B$8:B$67,SMALL(IF(MainTable[Type]=$Y$21,ROW(MainTable[Type])-ROW($B$8)+1),ROWS(AC$33:AC43)))))</f>
        <v/>
      </c>
      <c r="AD43" s="28" t="str">
        <f>IF(AC43="","",IF(OR(COUNTIFS(MainTable[Module code],AC43,MainTable[Effective MCs],"&gt;0"),COUNTIFS(MainTable[Module code],AC43,MainTable[Grade],"P")),"Yes", "No"))</f>
        <v/>
      </c>
      <c r="AE43" s="29" t="str">
        <f t="array" ref="AE43">IF($AE$30="","",IF(ROWS($AE$33:AE43)&gt;$AA$22,"",INDEX(B$8:B$67,SMALL(IF(MainTable[Type]=$Y$22,ROW(MainTable[Type])-ROW($B$8)+1),ROWS(AE$33:AE43)))))</f>
        <v/>
      </c>
      <c r="AF43" s="28" t="str">
        <f>IF(AE43="","",IF(OR(COUNTIFS(MainTable[Module code],AE43,MainTable[Effective MCs],"&gt;0"),COUNTIFS(MainTable[Module code],AE43,MainTable[Grade],"P")),"Yes", "No"))</f>
        <v/>
      </c>
    </row>
    <row r="44" spans="2:32" x14ac:dyDescent="0.25">
      <c r="B44" s="85"/>
      <c r="C44" s="86"/>
      <c r="D44" s="87"/>
      <c r="E44" s="87"/>
      <c r="F44" s="87"/>
      <c r="G44" s="87"/>
      <c r="H44" s="87"/>
      <c r="I44" s="87"/>
      <c r="J44" s="93"/>
      <c r="K44" s="80"/>
      <c r="L44" s="2" t="str">
        <f t="shared" si="5"/>
        <v/>
      </c>
      <c r="M44" s="77"/>
      <c r="N44" s="3" t="str">
        <f t="shared" si="6"/>
        <v/>
      </c>
      <c r="O44" s="3" t="str">
        <f t="shared" si="7"/>
        <v/>
      </c>
      <c r="P44" s="13" t="str">
        <f t="shared" si="8"/>
        <v/>
      </c>
      <c r="S44" s="27" t="str">
        <f t="array" ref="S44">IF($S$30="","",IF(ROWS(S$33:S44)&gt;$AA$16,"",INDEX(B$8:B$67,SMALL(IF(MainTable[Type]=$Y$16,ROW(MainTable[Type])-ROW($B$8)+1),ROWS(S$33:S44)))))</f>
        <v/>
      </c>
      <c r="T44" s="28" t="str">
        <f>IF(S44="","",IF(OR(COUNTIFS(MainTable[Module code],S44,MainTable[Effective MCs],"&gt;0"),COUNTIFS(MainTable[Module code],S44,MainTable[Grade],"P")),"Yes", "No"))</f>
        <v/>
      </c>
      <c r="U44" s="29" t="str">
        <f t="array" ref="U44">IF($U$30="","",IF(ROWS(U$33:U44)&gt;$AA$17,"",INDEX(B$8:B$67,SMALL(IF(MainTable[Type]=$Y$17,ROW(MainTable[Type])-ROW($B$8)+1),ROWS(U$33:U44)))))</f>
        <v/>
      </c>
      <c r="V44" s="34" t="str">
        <f>IF(U44="","",IF(OR(COUNTIFS(MainTable[Module code],U44,MainTable[Effective MCs],"&gt;0"),COUNTIFS(MainTable[Module code],U44,MainTable[Grade],"P")),"Yes", "No"))</f>
        <v/>
      </c>
      <c r="W44" s="116" t="str">
        <f>IF(Y23="","",Y23)</f>
        <v>Singapore Studies</v>
      </c>
      <c r="X44" s="117"/>
      <c r="Y44" s="116" t="str">
        <f>IF(Y24="","",Y24)</f>
        <v/>
      </c>
      <c r="Z44" s="117"/>
      <c r="AA44" s="116" t="str">
        <f>IF(Y25="","",Y25)</f>
        <v/>
      </c>
      <c r="AB44" s="117"/>
      <c r="AC44" s="116" t="str">
        <f>IF(Y26="","",Y26)</f>
        <v/>
      </c>
      <c r="AD44" s="117"/>
      <c r="AE44" s="116" t="str">
        <f>IF(Y27="","",Y27)</f>
        <v/>
      </c>
      <c r="AF44" s="117"/>
    </row>
    <row r="45" spans="2:32" ht="15.75" thickBot="1" x14ac:dyDescent="0.3">
      <c r="B45" s="85"/>
      <c r="C45" s="86"/>
      <c r="D45" s="87"/>
      <c r="E45" s="87"/>
      <c r="F45" s="87"/>
      <c r="G45" s="87"/>
      <c r="H45" s="87"/>
      <c r="I45" s="87"/>
      <c r="J45" s="93"/>
      <c r="K45" s="80"/>
      <c r="L45" s="2" t="str">
        <f t="shared" si="5"/>
        <v/>
      </c>
      <c r="M45" s="77"/>
      <c r="N45" s="3" t="str">
        <f t="shared" si="6"/>
        <v/>
      </c>
      <c r="O45" s="3" t="str">
        <f t="shared" si="7"/>
        <v/>
      </c>
      <c r="P45" s="13" t="str">
        <f t="shared" si="8"/>
        <v/>
      </c>
      <c r="S45" s="27" t="str">
        <f t="array" ref="S45">IF($S$30="","",IF(ROWS(S$33:S45)&gt;$AA$16,"",INDEX(B$8:B$67,SMALL(IF(MainTable[Type]=$Y$16,ROW(MainTable[Type])-ROW($B$8)+1),ROWS(S$33:S45)))))</f>
        <v/>
      </c>
      <c r="T45" s="28" t="str">
        <f>IF(S45="","",IF(OR(COUNTIFS(MainTable[Module code],S45,MainTable[Effective MCs],"&gt;0"),COUNTIFS(MainTable[Module code],S45,MainTable[Grade],"P")),"Yes", "No"))</f>
        <v/>
      </c>
      <c r="U45" s="29" t="str">
        <f t="array" ref="U45">IF($U$30="","",IF(ROWS(U$33:U45)&gt;$AA$17,"",INDEX(B$8:B$67,SMALL(IF(MainTable[Type]=$Y$17,ROW(MainTable[Type])-ROW($B$8)+1),ROWS(U$33:U45)))))</f>
        <v/>
      </c>
      <c r="V45" s="34" t="str">
        <f>IF(U45="","",IF(OR(COUNTIFS(MainTable[Module code],U45,MainTable[Effective MCs],"&gt;0"),COUNTIFS(MainTable[Module code],U45,MainTable[Grade],"P")),"Yes", "No"))</f>
        <v/>
      </c>
      <c r="W45" s="118"/>
      <c r="X45" s="119"/>
      <c r="Y45" s="118"/>
      <c r="Z45" s="119"/>
      <c r="AA45" s="118"/>
      <c r="AB45" s="119"/>
      <c r="AC45" s="118"/>
      <c r="AD45" s="119"/>
      <c r="AE45" s="118"/>
      <c r="AF45" s="119"/>
    </row>
    <row r="46" spans="2:32" x14ac:dyDescent="0.25">
      <c r="B46" s="85"/>
      <c r="C46" s="86"/>
      <c r="D46" s="87"/>
      <c r="E46" s="87"/>
      <c r="F46" s="87"/>
      <c r="G46" s="87"/>
      <c r="H46" s="87"/>
      <c r="I46" s="87"/>
      <c r="J46" s="93"/>
      <c r="K46" s="80"/>
      <c r="L46" s="2" t="str">
        <f t="shared" si="5"/>
        <v/>
      </c>
      <c r="M46" s="77"/>
      <c r="N46" s="3" t="str">
        <f t="shared" si="6"/>
        <v/>
      </c>
      <c r="O46" s="3" t="str">
        <f t="shared" si="7"/>
        <v/>
      </c>
      <c r="P46" s="13" t="str">
        <f t="shared" si="8"/>
        <v/>
      </c>
      <c r="S46" s="27" t="str">
        <f t="array" ref="S46">IF($S$30="","",IF(ROWS(S$33:S46)&gt;$AA$16,"",INDEX(B$8:B$67,SMALL(IF(MainTable[Type]=$Y$16,ROW(MainTable[Type])-ROW($B$8)+1),ROWS(S$33:S46)))))</f>
        <v/>
      </c>
      <c r="T46" s="28" t="str">
        <f>IF(S46="","",IF(OR(COUNTIFS(MainTable[Module code],S46,MainTable[Effective MCs],"&gt;0"),COUNTIFS(MainTable[Module code],S46,MainTable[Grade],"P")),"Yes", "No"))</f>
        <v/>
      </c>
      <c r="U46" s="29" t="str">
        <f t="array" ref="U46">IF($U$30="","",IF(ROWS(U$33:U46)&gt;$AA$17,"",INDEX(B$8:B$67,SMALL(IF(MainTable[Type]=$Y$17,ROW(MainTable[Type])-ROW($B$8)+1),ROWS(U$33:U46)))))</f>
        <v/>
      </c>
      <c r="V46" s="34" t="str">
        <f>IF(U46="","",IF(OR(COUNTIFS(MainTable[Module code],U46,MainTable[Effective MCs],"&gt;0"),COUNTIFS(MainTable[Module code],U46,MainTable[Grade],"P")),"Yes", "No"))</f>
        <v/>
      </c>
      <c r="W46" s="27" t="str">
        <f t="array" ref="W46">IF($W$44="","",IF(ROWS(W$46:W46)&gt;$AA$23,"",INDEX(B$8:B$67,SMALL(IF(MainTable[Type]=$Y$23,ROW(MainTable[Type])-ROW($B$8)+1),ROWS(W$46:W46)))))</f>
        <v>SSB2216</v>
      </c>
      <c r="X46" s="28" t="str">
        <f>IF(W46="","",IF(OR(COUNTIFS(MainTable[Module code],W46,MainTable[Effective MCs],"&gt;0"),COUNTIFS(MainTable[Module code],W46,MainTable[Grade],"P")),"Yes", "No"))</f>
        <v>No</v>
      </c>
      <c r="Y46" s="27" t="str">
        <f t="array" ref="Y46">IF($Y$44="","",IF(ROWS(Y$46:Y46)&gt;$AA$24,"",INDEX(B$8:B$67,SMALL(IF(MainTable[Type]=$Y$24,ROW(MainTable[Type])-ROW($B$8)+1),ROWS(Y$46:Y46)))))</f>
        <v/>
      </c>
      <c r="Z46" s="28" t="str">
        <f>IF(Y46="","",IF(OR(COUNTIFS(MainTable[Module code],Y46,MainTable[Effective MCs],"&gt;0"),COUNTIFS(MainTable[Module code],Y46,MainTable[Grade],"P")),"Yes", "No"))</f>
        <v/>
      </c>
      <c r="AA46" s="29" t="str">
        <f t="array" ref="AA46">IF($AA$44="","",IF(ROWS(AA$46:AA46)&gt;$AA$25,"",INDEX(B$8:B$67,SMALL(IF(MainTable[Type]=$Y$25,ROW(MainTable[Type])-ROW($B$8)+1),ROWS(AA$46:AA46)))))</f>
        <v/>
      </c>
      <c r="AB46" s="36" t="str">
        <f>IF(AA46="","",IF(OR(COUNTIFS(MainTable[Module code],AA46,MainTable[Effective MCs],"&gt;0"),COUNTIFS(MainTable[Module code],AA46,MainTable[Grade],"P")),"Yes", "No"))</f>
        <v/>
      </c>
      <c r="AC46" s="27" t="str">
        <f t="array" ref="AC46">IF($AC$44="","",IF(ROWS(AC$46:AC46)&gt;$AA$26,"",INDEX(B$8:B$67,SMALL(IF(MainTable[Type]=$Y$26,ROW(MainTable[Type])-ROW($B$8)+1),ROWS(AC$46:AC46)))))</f>
        <v/>
      </c>
      <c r="AD46" s="28" t="str">
        <f>IF(AC46="","",IF(OR(COUNTIFS(MainTable[Module code],AC46,MainTable[Effective MCs],"&gt;0"),COUNTIFS(MainTable[Module code],AC46,MainTable[Grade],"P")),"Yes", "No"))</f>
        <v/>
      </c>
      <c r="AE46" s="29" t="str">
        <f t="array" ref="AE46">IF(AE44="","",IF(ROWS(AE$46:AE46)&gt;$AA$27,"",INDEX(B$8:B$67,SMALL(IF(MainTable[Type]=$Y$27,ROW(MainTable[Type])-ROW($B$8)+1),ROWS(AE$46:AE46)))))</f>
        <v/>
      </c>
      <c r="AF46" s="28" t="str">
        <f>IF(AE46="","",IF(OR(COUNTIFS(MainTable[Module code],AE46,MainTable[Effective MCs],"&gt;0"),COUNTIFS(MainTable[Module code],AE46,MainTable[Grade],"P")),"Yes", "No"))</f>
        <v/>
      </c>
    </row>
    <row r="47" spans="2:32" ht="15" customHeight="1" x14ac:dyDescent="0.25">
      <c r="B47" s="85"/>
      <c r="C47" s="86"/>
      <c r="D47" s="87"/>
      <c r="E47" s="87"/>
      <c r="F47" s="87"/>
      <c r="G47" s="87"/>
      <c r="H47" s="87"/>
      <c r="I47" s="87"/>
      <c r="J47" s="93"/>
      <c r="K47" s="80"/>
      <c r="L47" s="2" t="str">
        <f t="shared" si="5"/>
        <v/>
      </c>
      <c r="M47" s="77"/>
      <c r="N47" s="3" t="str">
        <f t="shared" si="6"/>
        <v/>
      </c>
      <c r="O47" s="3" t="str">
        <f t="shared" si="7"/>
        <v/>
      </c>
      <c r="P47" s="13" t="str">
        <f t="shared" si="8"/>
        <v/>
      </c>
      <c r="S47" s="27" t="str">
        <f t="array" ref="S47">IF($S$30="","",IF(ROWS(S$33:S47)&gt;$AA$16,"",INDEX(B$8:B$67,SMALL(IF(MainTable[Type]=$Y$16,ROW(MainTable[Type])-ROW($B$8)+1),ROWS(S$33:S47)))))</f>
        <v/>
      </c>
      <c r="T47" s="28" t="str">
        <f>IF(S47="","",IF(OR(COUNTIFS(MainTable[Module code],S47,MainTable[Effective MCs],"&gt;0"),COUNTIFS(MainTable[Module code],S47,MainTable[Grade],"P")),"Yes", "No"))</f>
        <v/>
      </c>
      <c r="U47" s="29" t="str">
        <f t="array" ref="U47">IF($U$30="","",IF(ROWS(U$33:U47)&gt;$AA$17,"",INDEX(B$8:B$67,SMALL(IF(MainTable[Type]=$Y$17,ROW(MainTable[Type])-ROW($B$8)+1),ROWS(U$33:U47)))))</f>
        <v/>
      </c>
      <c r="V47" s="34" t="str">
        <f>IF(U47="","",IF(OR(COUNTIFS(MainTable[Module code],U47,MainTable[Effective MCs],"&gt;0"),COUNTIFS(MainTable[Module code],U47,MainTable[Grade],"P")),"Yes", "No"))</f>
        <v/>
      </c>
      <c r="W47" s="27" t="str">
        <f t="array" ref="W47">IF($W$44="","",IF(ROWS(W$46:W47)&gt;$AA$23,"",INDEX(B$8:B$67,SMALL(IF(MainTable[Type]=$Y$23,ROW(MainTable[Type])-ROW($B$8)+1),ROWS(W$46:W47)))))</f>
        <v/>
      </c>
      <c r="X47" s="28" t="str">
        <f>IF(W47="","",IF(OR(COUNTIFS(MainTable[Module code],W47,MainTable[Effective MCs],"&gt;0"),COUNTIFS(MainTable[Module code],W47,MainTable[Grade],"P")),"Yes", "No"))</f>
        <v/>
      </c>
      <c r="Y47" s="27" t="str">
        <f t="array" ref="Y47">IF($Y$44="","",IF(ROWS(Y$46:Y47)&gt;$AA$24,"",INDEX(B$8:B$67,SMALL(IF(MainTable[Type]=$Y$24,ROW(MainTable[Type])-ROW($B$8)+1),ROWS(Y$46:Y47)))))</f>
        <v/>
      </c>
      <c r="Z47" s="28" t="str">
        <f>IF(Y47="","",IF(OR(COUNTIFS(MainTable[Module code],Y47,MainTable[Effective MCs],"&gt;0"),COUNTIFS(MainTable[Module code],Y47,MainTable[Grade],"P")),"Yes", "No"))</f>
        <v/>
      </c>
      <c r="AA47" s="29" t="str">
        <f t="array" ref="AA47">IF($AA$44="","",IF(ROWS(AA$46:AA47)&gt;$AA$25,"",INDEX(B$8:B$67,SMALL(IF(MainTable[Type]=$Y$25,ROW(MainTable[Type])-ROW($B$8)+1),ROWS(AA$46:AA47)))))</f>
        <v/>
      </c>
      <c r="AB47" s="36" t="str">
        <f>IF(AA47="","",IF(OR(COUNTIFS(MainTable[Module code],AA47,MainTable[Effective MCs],"&gt;0"),COUNTIFS(MainTable[Module code],AA47,MainTable[Grade],"P")),"Yes", "No"))</f>
        <v/>
      </c>
      <c r="AC47" s="27" t="str">
        <f t="array" ref="AC47">IF($AC$44="","",IF(ROWS(AC$46:AC47)&gt;$AA$26,"",INDEX(B$8:B$67,SMALL(IF(MainTable[Type]=$Y$26,ROW(MainTable[Type])-ROW($B$8)+1),ROWS(AC$46:AC47)))))</f>
        <v/>
      </c>
      <c r="AD47" s="28" t="str">
        <f>IF(AC47="","",IF(OR(COUNTIFS(MainTable[Module code],AC47,MainTable[Effective MCs],"&gt;0"),COUNTIFS(MainTable[Module code],AC47,MainTable[Grade],"P")),"Yes", "No"))</f>
        <v/>
      </c>
      <c r="AE47" s="29" t="str">
        <f t="array" ref="AE47">IF(AE45="","",IF(ROWS(AE$46:AE47)&gt;$AA$27,"",INDEX(B$8:B$67,SMALL(IF(MainTable[Type]=$Y$27,ROW(MainTable[Type])-ROW($B$8)+1),ROWS(AE$46:AE47)))))</f>
        <v/>
      </c>
      <c r="AF47" s="28" t="str">
        <f>IF(AE47="","",IF(OR(COUNTIFS(MainTable[Module code],AE47,MainTable[Effective MCs],"&gt;0"),COUNTIFS(MainTable[Module code],AE47,MainTable[Grade],"P")),"Yes", "No"))</f>
        <v/>
      </c>
    </row>
    <row r="48" spans="2:32" x14ac:dyDescent="0.25">
      <c r="B48" s="85"/>
      <c r="C48" s="86"/>
      <c r="D48" s="87"/>
      <c r="E48" s="87"/>
      <c r="F48" s="87"/>
      <c r="G48" s="87"/>
      <c r="H48" s="87"/>
      <c r="I48" s="87"/>
      <c r="J48" s="93"/>
      <c r="K48" s="80"/>
      <c r="L48" s="2" t="str">
        <f t="shared" si="5"/>
        <v/>
      </c>
      <c r="M48" s="77"/>
      <c r="N48" s="3" t="str">
        <f t="shared" si="6"/>
        <v/>
      </c>
      <c r="O48" s="3" t="str">
        <f t="shared" si="7"/>
        <v/>
      </c>
      <c r="P48" s="13" t="str">
        <f t="shared" si="8"/>
        <v/>
      </c>
      <c r="S48" s="27" t="str">
        <f t="array" ref="S48">IF($S$30="","",IF(ROWS(S$33:S48)&gt;$AA$16,"",INDEX(B$8:B$67,SMALL(IF(MainTable[Type]=$Y$16,ROW(MainTable[Type])-ROW($B$8)+1),ROWS(S$33:S48)))))</f>
        <v/>
      </c>
      <c r="T48" s="28" t="str">
        <f>IF(S48="","",IF(OR(COUNTIFS(MainTable[Module code],S48,MainTable[Effective MCs],"&gt;0"),COUNTIFS(MainTable[Module code],S48,MainTable[Grade],"P")),"Yes", "No"))</f>
        <v/>
      </c>
      <c r="U48" s="29" t="str">
        <f t="array" ref="U48">IF($U$30="","",IF(ROWS(U$33:U48)&gt;$AA$17,"",INDEX(B$8:B$67,SMALL(IF(MainTable[Type]=$Y$17,ROW(MainTable[Type])-ROW($B$8)+1),ROWS(U$33:U48)))))</f>
        <v/>
      </c>
      <c r="V48" s="34" t="str">
        <f>IF(U48="","",IF(OR(COUNTIFS(MainTable[Module code],U48,MainTable[Effective MCs],"&gt;0"),COUNTIFS(MainTable[Module code],U48,MainTable[Grade],"P")),"Yes", "No"))</f>
        <v/>
      </c>
      <c r="W48" s="27" t="str">
        <f t="array" ref="W48">IF($W$44="","",IF(ROWS(W$46:W48)&gt;$AA$23,"",INDEX(B$8:B$67,SMALL(IF(MainTable[Type]=$Y$23,ROW(MainTable[Type])-ROW($B$8)+1),ROWS(W$46:W48)))))</f>
        <v/>
      </c>
      <c r="X48" s="28" t="str">
        <f>IF(W48="","",IF(OR(COUNTIFS(MainTable[Module code],W48,MainTable[Effective MCs],"&gt;0"),COUNTIFS(MainTable[Module code],W48,MainTable[Grade],"P")),"Yes", "No"))</f>
        <v/>
      </c>
      <c r="Y48" s="27" t="str">
        <f t="array" ref="Y48">IF($Y$44="","",IF(ROWS(Y$46:Y48)&gt;$AA$24,"",INDEX(B$8:B$67,SMALL(IF(MainTable[Type]=$Y$24,ROW(MainTable[Type])-ROW($B$8)+1),ROWS(Y$46:Y48)))))</f>
        <v/>
      </c>
      <c r="Z48" s="28" t="str">
        <f>IF(Y48="","",IF(OR(COUNTIFS(MainTable[Module code],Y48,MainTable[Effective MCs],"&gt;0"),COUNTIFS(MainTable[Module code],Y48,MainTable[Grade],"P")),"Yes", "No"))</f>
        <v/>
      </c>
      <c r="AA48" s="29" t="str">
        <f t="array" ref="AA48">IF($AA$44="","",IF(ROWS(AA$46:AA48)&gt;$AA$25,"",INDEX(B$8:B$67,SMALL(IF(MainTable[Type]=$Y$25,ROW(MainTable[Type])-ROW($B$8)+1),ROWS(AA$46:AA48)))))</f>
        <v/>
      </c>
      <c r="AB48" s="36" t="str">
        <f>IF(AA48="","",IF(OR(COUNTIFS(MainTable[Module code],AA48,MainTable[Effective MCs],"&gt;0"),COUNTIFS(MainTable[Module code],AA48,MainTable[Grade],"P")),"Yes", "No"))</f>
        <v/>
      </c>
      <c r="AC48" s="27" t="str">
        <f t="array" ref="AC48">IF($AC$44="","",IF(ROWS(AC$46:AC48)&gt;$AA$26,"",INDEX(B$8:B$67,SMALL(IF(MainTable[Type]=$Y$26,ROW(MainTable[Type])-ROW($B$8)+1),ROWS(AC$46:AC48)))))</f>
        <v/>
      </c>
      <c r="AD48" s="28" t="str">
        <f>IF(AC48="","",IF(OR(COUNTIFS(MainTable[Module code],AC48,MainTable[Effective MCs],"&gt;0"),COUNTIFS(MainTable[Module code],AC48,MainTable[Grade],"P")),"Yes", "No"))</f>
        <v/>
      </c>
      <c r="AE48" s="29" t="str">
        <f t="array" ref="AE48">IF(AE46="","",IF(ROWS(AE$46:AE48)&gt;$AA$27,"",INDEX(B$8:B$67,SMALL(IF(MainTable[Type]=$Y$27,ROW(MainTable[Type])-ROW($B$8)+1),ROWS(AE$46:AE48)))))</f>
        <v/>
      </c>
      <c r="AF48" s="28" t="str">
        <f>IF(AE48="","",IF(OR(COUNTIFS(MainTable[Module code],AE48,MainTable[Effective MCs],"&gt;0"),COUNTIFS(MainTable[Module code],AE48,MainTable[Grade],"P")),"Yes", "No"))</f>
        <v/>
      </c>
    </row>
    <row r="49" spans="2:32" x14ac:dyDescent="0.25">
      <c r="B49" s="85"/>
      <c r="C49" s="86"/>
      <c r="D49" s="87"/>
      <c r="E49" s="87"/>
      <c r="F49" s="87"/>
      <c r="G49" s="87"/>
      <c r="H49" s="87"/>
      <c r="I49" s="87"/>
      <c r="J49" s="93"/>
      <c r="K49" s="80"/>
      <c r="L49" s="2" t="str">
        <f t="shared" si="5"/>
        <v/>
      </c>
      <c r="M49" s="77"/>
      <c r="N49" s="3" t="str">
        <f t="shared" si="6"/>
        <v/>
      </c>
      <c r="O49" s="3" t="str">
        <f t="shared" si="7"/>
        <v/>
      </c>
      <c r="P49" s="13" t="str">
        <f t="shared" si="8"/>
        <v/>
      </c>
      <c r="S49" s="27" t="str">
        <f t="array" ref="S49">IF($S$30="","",IF(ROWS(S$33:S49)&gt;$AA$16,"",INDEX(B$8:B$67,SMALL(IF(MainTable[Type]=$Y$16,ROW(MainTable[Type])-ROW($B$8)+1),ROWS(S$33:S49)))))</f>
        <v/>
      </c>
      <c r="T49" s="28" t="str">
        <f>IF(S49="","",IF(OR(COUNTIFS(MainTable[Module code],S49,MainTable[Effective MCs],"&gt;0"),COUNTIFS(MainTable[Module code],S49,MainTable[Grade],"P")),"Yes", "No"))</f>
        <v/>
      </c>
      <c r="U49" s="29" t="str">
        <f t="array" ref="U49">IF($U$30="","",IF(ROWS(U$33:U49)&gt;$AA$17,"",INDEX(B$8:B$67,SMALL(IF(MainTable[Type]=$Y$17,ROW(MainTable[Type])-ROW($B$8)+1),ROWS(U$33:U49)))))</f>
        <v/>
      </c>
      <c r="V49" s="34" t="str">
        <f>IF(U49="","",IF(OR(COUNTIFS(MainTable[Module code],U49,MainTable[Effective MCs],"&gt;0"),COUNTIFS(MainTable[Module code],U49,MainTable[Grade],"P")),"Yes", "No"))</f>
        <v/>
      </c>
      <c r="W49" s="27" t="str">
        <f t="array" ref="W49">IF($W$44="","",IF(ROWS(W$46:W49)&gt;$AA$23,"",INDEX(B$8:B$67,SMALL(IF(MainTable[Type]=$Y$23,ROW(MainTable[Type])-ROW($B$8)+1),ROWS(W$46:W49)))))</f>
        <v/>
      </c>
      <c r="X49" s="28" t="str">
        <f>IF(W49="","",IF(OR(COUNTIFS(MainTable[Module code],W49,MainTable[Effective MCs],"&gt;0"),COUNTIFS(MainTable[Module code],W49,MainTable[Grade],"P")),"Yes", "No"))</f>
        <v/>
      </c>
      <c r="Y49" s="27" t="str">
        <f t="array" ref="Y49">IF($Y$44="","",IF(ROWS(Y$46:Y49)&gt;$AA$24,"",INDEX(B$8:B$67,SMALL(IF(MainTable[Type]=$Y$24,ROW(MainTable[Type])-ROW($B$8)+1),ROWS(Y$46:Y49)))))</f>
        <v/>
      </c>
      <c r="Z49" s="28" t="str">
        <f>IF(Y49="","",IF(OR(COUNTIFS(MainTable[Module code],Y49,MainTable[Effective MCs],"&gt;0"),COUNTIFS(MainTable[Module code],Y49,MainTable[Grade],"P")),"Yes", "No"))</f>
        <v/>
      </c>
      <c r="AA49" s="29" t="str">
        <f t="array" ref="AA49">IF($AA$44="","",IF(ROWS(AA$46:AA49)&gt;$AA$25,"",INDEX(B$8:B$67,SMALL(IF(MainTable[Type]=$Y$25,ROW(MainTable[Type])-ROW($B$8)+1),ROWS(AA$46:AA49)))))</f>
        <v/>
      </c>
      <c r="AB49" s="36" t="str">
        <f>IF(AA49="","",IF(OR(COUNTIFS(MainTable[Module code],AA49,MainTable[Effective MCs],"&gt;0"),COUNTIFS(MainTable[Module code],AA49,MainTable[Grade],"P")),"Yes", "No"))</f>
        <v/>
      </c>
      <c r="AC49" s="27" t="str">
        <f t="array" ref="AC49">IF($AC$44="","",IF(ROWS(AC$46:AC49)&gt;$AA$26,"",INDEX(B$8:B$67,SMALL(IF(MainTable[Type]=$Y$26,ROW(MainTable[Type])-ROW($B$8)+1),ROWS(AC$46:AC49)))))</f>
        <v/>
      </c>
      <c r="AD49" s="28" t="str">
        <f>IF(AC49="","",IF(OR(COUNTIFS(MainTable[Module code],AC49,MainTable[Effective MCs],"&gt;0"),COUNTIFS(MainTable[Module code],AC49,MainTable[Grade],"P")),"Yes", "No"))</f>
        <v/>
      </c>
      <c r="AE49" s="29" t="str">
        <f t="array" ref="AE49">IF(AE47="","",IF(ROWS(AE$46:AE49)&gt;$AA$27,"",INDEX(B$8:B$67,SMALL(IF(MainTable[Type]=$Y$27,ROW(MainTable[Type])-ROW($B$8)+1),ROWS(AE$46:AE49)))))</f>
        <v/>
      </c>
      <c r="AF49" s="28" t="str">
        <f>IF(AE49="","",IF(OR(COUNTIFS(MainTable[Module code],AE49,MainTable[Effective MCs],"&gt;0"),COUNTIFS(MainTable[Module code],AE49,MainTable[Grade],"P")),"Yes", "No"))</f>
        <v/>
      </c>
    </row>
    <row r="50" spans="2:32" ht="15" customHeight="1" x14ac:dyDescent="0.25">
      <c r="B50" s="85"/>
      <c r="C50" s="86"/>
      <c r="D50" s="87"/>
      <c r="E50" s="87"/>
      <c r="F50" s="87"/>
      <c r="G50" s="87"/>
      <c r="H50" s="87"/>
      <c r="I50" s="87"/>
      <c r="J50" s="93"/>
      <c r="K50" s="80"/>
      <c r="L50" s="2" t="str">
        <f t="shared" si="5"/>
        <v/>
      </c>
      <c r="M50" s="77"/>
      <c r="N50" s="3" t="str">
        <f t="shared" si="6"/>
        <v/>
      </c>
      <c r="O50" s="3" t="str">
        <f t="shared" si="7"/>
        <v/>
      </c>
      <c r="P50" s="13" t="str">
        <f t="shared" si="8"/>
        <v/>
      </c>
      <c r="S50" s="27" t="str">
        <f t="array" ref="S50">IF($S$30="","",IF(ROWS(S$33:S50)&gt;$AA$16,"",INDEX(B$8:B$67,SMALL(IF(MainTable[Type]=$Y$16,ROW(MainTable[Type])-ROW($B$8)+1),ROWS(S$33:S50)))))</f>
        <v/>
      </c>
      <c r="T50" s="28" t="str">
        <f>IF(S50="","",IF(OR(COUNTIFS(MainTable[Module code],S50,MainTable[Effective MCs],"&gt;0"),COUNTIFS(MainTable[Module code],S50,MainTable[Grade],"P")),"Yes", "No"))</f>
        <v/>
      </c>
      <c r="U50" s="29" t="str">
        <f t="array" ref="U50">IF($U$30="","",IF(ROWS(U$33:U50)&gt;$AA$17,"",INDEX(B$8:B$67,SMALL(IF(MainTable[Type]=$Y$17,ROW(MainTable[Type])-ROW($B$8)+1),ROWS(U$33:U50)))))</f>
        <v/>
      </c>
      <c r="V50" s="34" t="str">
        <f>IF(U50="","",IF(OR(COUNTIFS(MainTable[Module code],U50,MainTable[Effective MCs],"&gt;0"),COUNTIFS(MainTable[Module code],U50,MainTable[Grade],"P")),"Yes", "No"))</f>
        <v/>
      </c>
      <c r="W50" s="27" t="str">
        <f t="array" ref="W50">IF($W$44="","",IF(ROWS(W$46:W50)&gt;$AA$23,"",INDEX(B$8:B$67,SMALL(IF(MainTable[Type]=$Y$23,ROW(MainTable[Type])-ROW($B$8)+1),ROWS(W$46:W50)))))</f>
        <v/>
      </c>
      <c r="X50" s="28" t="str">
        <f>IF(W50="","",IF(OR(COUNTIFS(MainTable[Module code],W50,MainTable[Effective MCs],"&gt;0"),COUNTIFS(MainTable[Module code],W50,MainTable[Grade],"P")),"Yes", "No"))</f>
        <v/>
      </c>
      <c r="Y50" s="27" t="str">
        <f t="array" ref="Y50">IF($Y$44="","",IF(ROWS(Y$46:Y50)&gt;$AA$24,"",INDEX(B$8:B$67,SMALL(IF(MainTable[Type]=$Y$24,ROW(MainTable[Type])-ROW($B$8)+1),ROWS(Y$46:Y50)))))</f>
        <v/>
      </c>
      <c r="Z50" s="28" t="str">
        <f>IF(Y50="","",IF(OR(COUNTIFS(MainTable[Module code],Y50,MainTable[Effective MCs],"&gt;0"),COUNTIFS(MainTable[Module code],Y50,MainTable[Grade],"P")),"Yes", "No"))</f>
        <v/>
      </c>
      <c r="AA50" s="29" t="str">
        <f t="array" ref="AA50">IF($AA$44="","",IF(ROWS(AA$46:AA50)&gt;$AA$25,"",INDEX(B$8:B$67,SMALL(IF(MainTable[Type]=$Y$25,ROW(MainTable[Type])-ROW($B$8)+1),ROWS(AA$46:AA50)))))</f>
        <v/>
      </c>
      <c r="AB50" s="36" t="str">
        <f>IF(AA50="","",IF(OR(COUNTIFS(MainTable[Module code],AA50,MainTable[Effective MCs],"&gt;0"),COUNTIFS(MainTable[Module code],AA50,MainTable[Grade],"P")),"Yes", "No"))</f>
        <v/>
      </c>
      <c r="AC50" s="27" t="str">
        <f t="array" ref="AC50">IF($AC$44="","",IF(ROWS(AC$46:AC50)&gt;$AA$26,"",INDEX(B$8:B$67,SMALL(IF(MainTable[Type]=$Y$26,ROW(MainTable[Type])-ROW($B$8)+1),ROWS(AC$46:AC50)))))</f>
        <v/>
      </c>
      <c r="AD50" s="28" t="str">
        <f>IF(AC50="","",IF(OR(COUNTIFS(MainTable[Module code],AC50,MainTable[Effective MCs],"&gt;0"),COUNTIFS(MainTable[Module code],AC50,MainTable[Grade],"P")),"Yes", "No"))</f>
        <v/>
      </c>
      <c r="AE50" s="29" t="str">
        <f t="array" ref="AE50">IF(AE48="","",IF(ROWS(AE$46:AE50)&gt;$AA$27,"",INDEX(B$8:B$67,SMALL(IF(MainTable[Type]=$Y$27,ROW(MainTable[Type])-ROW($B$8)+1),ROWS(AE$46:AE50)))))</f>
        <v/>
      </c>
      <c r="AF50" s="28" t="str">
        <f>IF(AE50="","",IF(OR(COUNTIFS(MainTable[Module code],AE50,MainTable[Effective MCs],"&gt;0"),COUNTIFS(MainTable[Module code],AE50,MainTable[Grade],"P")),"Yes", "No"))</f>
        <v/>
      </c>
    </row>
    <row r="51" spans="2:32" ht="15.75" thickBot="1" x14ac:dyDescent="0.3">
      <c r="B51" s="85"/>
      <c r="C51" s="86"/>
      <c r="D51" s="87"/>
      <c r="E51" s="87"/>
      <c r="F51" s="87"/>
      <c r="G51" s="87"/>
      <c r="H51" s="87"/>
      <c r="I51" s="87"/>
      <c r="J51" s="93"/>
      <c r="K51" s="80"/>
      <c r="L51" s="2" t="str">
        <f t="shared" si="5"/>
        <v/>
      </c>
      <c r="M51" s="77"/>
      <c r="N51" s="3" t="str">
        <f t="shared" si="6"/>
        <v/>
      </c>
      <c r="O51" s="3" t="str">
        <f t="shared" si="7"/>
        <v/>
      </c>
      <c r="P51" s="13" t="str">
        <f t="shared" si="8"/>
        <v/>
      </c>
      <c r="S51" s="30" t="str">
        <f t="array" ref="S51">IF($S$30="","",IF(ROWS(S$33:S51)&gt;$AA$16,"",INDEX(B$8:B$67,SMALL(IF(MainTable[Type]=$Y$16,ROW(MainTable[Type])-ROW($B$8)+1),ROWS(S$33:S51)))))</f>
        <v/>
      </c>
      <c r="T51" s="31" t="str">
        <f>IF(S51="","",IF(OR(COUNTIFS(MainTable[Module code],S51,MainTable[Effective MCs],"&gt;0"),COUNTIFS(MainTable[Module code],S51,MainTable[Grade],"P")),"Yes", "No"))</f>
        <v/>
      </c>
      <c r="U51" s="32" t="str">
        <f t="array" ref="U51">IF($U$30="","",IF(ROWS(U$33:U51)&gt;$AA$17,"",INDEX(B$8:B$67,SMALL(IF(MainTable[Type]=$Y$17,ROW(MainTable[Type])-ROW($B$8)+1),ROWS(U$33:U51)))))</f>
        <v/>
      </c>
      <c r="V51" s="39" t="str">
        <f>IF(U51="","",IF(OR(COUNTIFS(MainTable[Module code],U51,MainTable[Effective MCs],"&gt;0"),COUNTIFS(MainTable[Module code],U51,MainTable[Grade],"P")),"Yes", "No"))</f>
        <v/>
      </c>
      <c r="W51" s="30" t="str">
        <f t="array" ref="W51">IF($W$44="","",IF(ROWS(W$46:W51)&gt;$AA$23,"",INDEX(B$8:B$67,SMALL(IF(MainTable[Type]=$Y$23,ROW(MainTable[Type])-ROW($B$8)+1),ROWS(W$46:W51)))))</f>
        <v/>
      </c>
      <c r="X51" s="31" t="str">
        <f>IF(W51="","",IF(OR(COUNTIFS(MainTable[Module code],W51,MainTable[Effective MCs],"&gt;0"),COUNTIFS(MainTable[Module code],W51,MainTable[Grade],"P")),"Yes", "No"))</f>
        <v/>
      </c>
      <c r="Y51" s="30" t="str">
        <f t="array" ref="Y51">IF($Y$44="","",IF(ROWS(Y$46:Y51)&gt;$AA$24,"",INDEX(B$8:B$67,SMALL(IF(MainTable[Type]=$Y$24,ROW(MainTable[Type])-ROW($B$8)+1),ROWS(Y$46:Y51)))))</f>
        <v/>
      </c>
      <c r="Z51" s="31" t="str">
        <f>IF(Y51="","",IF(OR(COUNTIFS(MainTable[Module code],Y51,MainTable[Effective MCs],"&gt;0"),COUNTIFS(MainTable[Module code],Y51,MainTable[Grade],"P")),"Yes", "No"))</f>
        <v/>
      </c>
      <c r="AA51" s="32" t="str">
        <f t="array" ref="AA51">IF($AA$44="","",IF(ROWS(AA$46:AA51)&gt;$AA$25,"",INDEX(B$8:B$67,SMALL(IF(MainTable[Type]=$Y$25,ROW(MainTable[Type])-ROW($B$8)+1),ROWS(AA$46:AA51)))))</f>
        <v/>
      </c>
      <c r="AB51" s="37" t="str">
        <f>IF(AA51="","",IF(OR(COUNTIFS(MainTable[Module code],AA51,MainTable[Effective MCs],"&gt;0"),COUNTIFS(MainTable[Module code],AA51,MainTable[Grade],"P")),"Yes", "No"))</f>
        <v/>
      </c>
      <c r="AC51" s="30" t="str">
        <f t="array" ref="AC51">IF($AC$44="","",IF(ROWS(AC$46:AC51)&gt;$AA$26,"",INDEX(B$8:B$67,SMALL(IF(MainTable[Type]=$Y$26,ROW(MainTable[Type])-ROW($B$8)+1),ROWS(AC$46:AC51)))))</f>
        <v/>
      </c>
      <c r="AD51" s="31" t="str">
        <f>IF(AC51="","",IF(OR(COUNTIFS(MainTable[Module code],AC51,MainTable[Effective MCs],"&gt;0"),COUNTIFS(MainTable[Module code],AC51,MainTable[Grade],"P")),"Yes", "No"))</f>
        <v/>
      </c>
      <c r="AE51" s="32" t="str">
        <f t="array" ref="AE51">IF(AE49="","",IF(ROWS(AE$46:AE51)&gt;$AA$27,"",INDEX(B$8:B$67,SMALL(IF(MainTable[Type]=$Y$27,ROW(MainTable[Type])-ROW($B$8)+1),ROWS(AE$46:AE51)))))</f>
        <v/>
      </c>
      <c r="AF51" s="31" t="str">
        <f>IF(AE51="","",IF(OR(COUNTIFS(MainTable[Module code],AE51,MainTable[Effective MCs],"&gt;0"),COUNTIFS(MainTable[Module code],AE51,MainTable[Grade],"P")),"Yes", "No"))</f>
        <v/>
      </c>
    </row>
    <row r="52" spans="2:32" x14ac:dyDescent="0.25">
      <c r="B52" s="85"/>
      <c r="C52" s="86"/>
      <c r="D52" s="87"/>
      <c r="E52" s="87"/>
      <c r="F52" s="87"/>
      <c r="G52" s="87"/>
      <c r="H52" s="87"/>
      <c r="I52" s="87"/>
      <c r="J52" s="93"/>
      <c r="K52" s="80"/>
      <c r="L52" s="2" t="str">
        <f t="shared" si="5"/>
        <v/>
      </c>
      <c r="M52" s="77"/>
      <c r="N52" s="3" t="str">
        <f t="shared" si="6"/>
        <v/>
      </c>
      <c r="O52" s="3" t="str">
        <f t="shared" si="7"/>
        <v/>
      </c>
      <c r="P52" s="13" t="str">
        <f t="shared" si="8"/>
        <v/>
      </c>
    </row>
    <row r="53" spans="2:32" x14ac:dyDescent="0.25">
      <c r="B53" s="85"/>
      <c r="C53" s="86"/>
      <c r="D53" s="87"/>
      <c r="E53" s="87"/>
      <c r="F53" s="87"/>
      <c r="G53" s="87"/>
      <c r="H53" s="87"/>
      <c r="I53" s="87"/>
      <c r="J53" s="93"/>
      <c r="K53" s="80"/>
      <c r="L53" s="2" t="str">
        <f t="shared" si="5"/>
        <v/>
      </c>
      <c r="M53" s="77"/>
      <c r="N53" s="3" t="str">
        <f t="shared" si="6"/>
        <v/>
      </c>
      <c r="O53" s="3" t="str">
        <f t="shared" si="7"/>
        <v/>
      </c>
      <c r="P53" s="13" t="str">
        <f t="shared" si="8"/>
        <v/>
      </c>
    </row>
    <row r="54" spans="2:32" x14ac:dyDescent="0.25">
      <c r="B54" s="85"/>
      <c r="C54" s="86"/>
      <c r="D54" s="87"/>
      <c r="E54" s="87"/>
      <c r="F54" s="87"/>
      <c r="G54" s="87"/>
      <c r="H54" s="87"/>
      <c r="I54" s="87"/>
      <c r="J54" s="93"/>
      <c r="K54" s="80"/>
      <c r="L54" s="2" t="str">
        <f t="shared" si="5"/>
        <v/>
      </c>
      <c r="M54" s="77"/>
      <c r="N54" s="3" t="str">
        <f t="shared" si="6"/>
        <v/>
      </c>
      <c r="O54" s="3" t="str">
        <f t="shared" si="7"/>
        <v/>
      </c>
      <c r="P54" s="13" t="str">
        <f t="shared" si="8"/>
        <v/>
      </c>
    </row>
    <row r="55" spans="2:32" x14ac:dyDescent="0.25">
      <c r="B55" s="85"/>
      <c r="C55" s="86"/>
      <c r="D55" s="87"/>
      <c r="E55" s="87"/>
      <c r="F55" s="87"/>
      <c r="G55" s="87"/>
      <c r="H55" s="87"/>
      <c r="I55" s="87"/>
      <c r="J55" s="93"/>
      <c r="K55" s="80"/>
      <c r="L55" s="2" t="str">
        <f t="shared" si="5"/>
        <v/>
      </c>
      <c r="M55" s="77"/>
      <c r="N55" s="3" t="str">
        <f t="shared" si="6"/>
        <v/>
      </c>
      <c r="O55" s="3" t="str">
        <f t="shared" si="7"/>
        <v/>
      </c>
      <c r="P55" s="13" t="str">
        <f t="shared" si="8"/>
        <v/>
      </c>
      <c r="S55" s="159"/>
      <c r="T55" s="160" t="s">
        <v>82</v>
      </c>
      <c r="U55" s="160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</row>
    <row r="56" spans="2:32" x14ac:dyDescent="0.25">
      <c r="B56" s="85"/>
      <c r="C56" s="86"/>
      <c r="D56" s="87"/>
      <c r="E56" s="87"/>
      <c r="F56" s="87"/>
      <c r="G56" s="87"/>
      <c r="H56" s="87"/>
      <c r="I56" s="87"/>
      <c r="J56" s="93"/>
      <c r="K56" s="80"/>
      <c r="L56" s="2" t="str">
        <f t="shared" si="5"/>
        <v/>
      </c>
      <c r="M56" s="77"/>
      <c r="N56" s="3" t="str">
        <f t="shared" si="6"/>
        <v/>
      </c>
      <c r="O56" s="3" t="str">
        <f t="shared" si="7"/>
        <v/>
      </c>
      <c r="P56" s="13" t="str">
        <f t="shared" si="8"/>
        <v/>
      </c>
      <c r="S56" s="159"/>
      <c r="T56" s="160"/>
      <c r="U56" s="160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</row>
    <row r="57" spans="2:32" x14ac:dyDescent="0.25">
      <c r="B57" s="85"/>
      <c r="C57" s="86"/>
      <c r="D57" s="87"/>
      <c r="E57" s="87"/>
      <c r="F57" s="87"/>
      <c r="G57" s="87"/>
      <c r="H57" s="87"/>
      <c r="I57" s="87"/>
      <c r="J57" s="93"/>
      <c r="K57" s="80"/>
      <c r="L57" s="2" t="str">
        <f t="shared" si="5"/>
        <v/>
      </c>
      <c r="M57" s="77"/>
      <c r="N57" s="3" t="str">
        <f t="shared" si="6"/>
        <v/>
      </c>
      <c r="O57" s="3" t="str">
        <f t="shared" si="7"/>
        <v/>
      </c>
      <c r="P57" s="13" t="str">
        <f t="shared" si="8"/>
        <v/>
      </c>
      <c r="S57" s="159"/>
      <c r="T57" s="159" t="s">
        <v>85</v>
      </c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</row>
    <row r="58" spans="2:32" x14ac:dyDescent="0.25">
      <c r="B58" s="85"/>
      <c r="C58" s="86"/>
      <c r="D58" s="87"/>
      <c r="E58" s="87"/>
      <c r="F58" s="87"/>
      <c r="G58" s="87"/>
      <c r="H58" s="87"/>
      <c r="I58" s="87"/>
      <c r="J58" s="93"/>
      <c r="K58" s="80"/>
      <c r="L58" s="2" t="str">
        <f t="shared" si="5"/>
        <v/>
      </c>
      <c r="M58" s="77"/>
      <c r="N58" s="3" t="str">
        <f t="shared" si="6"/>
        <v/>
      </c>
      <c r="O58" s="3" t="str">
        <f t="shared" si="7"/>
        <v/>
      </c>
      <c r="P58" s="13" t="str">
        <f t="shared" si="8"/>
        <v/>
      </c>
      <c r="S58" s="159"/>
      <c r="T58" s="159" t="s">
        <v>83</v>
      </c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</row>
    <row r="59" spans="2:32" x14ac:dyDescent="0.25">
      <c r="B59" s="85"/>
      <c r="C59" s="86"/>
      <c r="D59" s="87"/>
      <c r="E59" s="87"/>
      <c r="F59" s="87"/>
      <c r="G59" s="87"/>
      <c r="H59" s="87"/>
      <c r="I59" s="87"/>
      <c r="J59" s="93"/>
      <c r="K59" s="80"/>
      <c r="L59" s="2" t="str">
        <f t="shared" si="5"/>
        <v/>
      </c>
      <c r="M59" s="77"/>
      <c r="N59" s="3" t="str">
        <f t="shared" si="6"/>
        <v/>
      </c>
      <c r="O59" s="3" t="str">
        <f t="shared" si="7"/>
        <v/>
      </c>
      <c r="P59" s="13" t="str">
        <f t="shared" si="8"/>
        <v/>
      </c>
      <c r="S59" s="159"/>
      <c r="T59" s="159" t="s">
        <v>84</v>
      </c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</row>
    <row r="60" spans="2:32" x14ac:dyDescent="0.25">
      <c r="B60" s="85"/>
      <c r="C60" s="86"/>
      <c r="D60" s="87"/>
      <c r="E60" s="87"/>
      <c r="F60" s="87"/>
      <c r="G60" s="87"/>
      <c r="H60" s="87"/>
      <c r="I60" s="87"/>
      <c r="J60" s="93"/>
      <c r="K60" s="80"/>
      <c r="L60" s="2" t="str">
        <f t="shared" si="5"/>
        <v/>
      </c>
      <c r="M60" s="77"/>
      <c r="N60" s="3" t="str">
        <f t="shared" si="6"/>
        <v/>
      </c>
      <c r="O60" s="3" t="str">
        <f t="shared" si="7"/>
        <v/>
      </c>
      <c r="P60" s="13" t="str">
        <f t="shared" si="8"/>
        <v/>
      </c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</row>
    <row r="61" spans="2:32" x14ac:dyDescent="0.25">
      <c r="B61" s="85"/>
      <c r="C61" s="86"/>
      <c r="D61" s="87"/>
      <c r="E61" s="87"/>
      <c r="F61" s="87"/>
      <c r="G61" s="87"/>
      <c r="H61" s="87"/>
      <c r="I61" s="87"/>
      <c r="J61" s="93"/>
      <c r="K61" s="80"/>
      <c r="L61" s="2" t="str">
        <f t="shared" si="5"/>
        <v/>
      </c>
      <c r="M61" s="77"/>
      <c r="N61" s="3" t="str">
        <f t="shared" si="6"/>
        <v/>
      </c>
      <c r="O61" s="3" t="str">
        <f t="shared" si="7"/>
        <v/>
      </c>
      <c r="P61" s="13" t="str">
        <f t="shared" si="8"/>
        <v/>
      </c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</row>
    <row r="62" spans="2:32" x14ac:dyDescent="0.25">
      <c r="B62" s="85"/>
      <c r="C62" s="86"/>
      <c r="D62" s="87"/>
      <c r="E62" s="87"/>
      <c r="F62" s="87"/>
      <c r="G62" s="87"/>
      <c r="H62" s="87"/>
      <c r="I62" s="87"/>
      <c r="J62" s="93"/>
      <c r="K62" s="80"/>
      <c r="L62" s="2" t="str">
        <f t="shared" si="5"/>
        <v/>
      </c>
      <c r="M62" s="77"/>
      <c r="N62" s="3" t="str">
        <f t="shared" si="6"/>
        <v/>
      </c>
      <c r="O62" s="3" t="str">
        <f t="shared" si="7"/>
        <v/>
      </c>
      <c r="P62" s="13" t="str">
        <f t="shared" si="8"/>
        <v/>
      </c>
      <c r="S62" s="159"/>
      <c r="T62" s="159" t="s">
        <v>93</v>
      </c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</row>
    <row r="63" spans="2:32" x14ac:dyDescent="0.25">
      <c r="B63" s="85"/>
      <c r="C63" s="86"/>
      <c r="D63" s="87"/>
      <c r="E63" s="87"/>
      <c r="F63" s="87"/>
      <c r="G63" s="87"/>
      <c r="H63" s="87"/>
      <c r="I63" s="87"/>
      <c r="J63" s="93"/>
      <c r="K63" s="80"/>
      <c r="L63" s="2" t="str">
        <f t="shared" si="5"/>
        <v/>
      </c>
      <c r="M63" s="77"/>
      <c r="N63" s="3" t="str">
        <f t="shared" si="6"/>
        <v/>
      </c>
      <c r="O63" s="3" t="str">
        <f t="shared" si="7"/>
        <v/>
      </c>
      <c r="P63" s="13" t="str">
        <f t="shared" si="8"/>
        <v/>
      </c>
      <c r="S63" s="159"/>
      <c r="T63" s="159" t="s">
        <v>92</v>
      </c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</row>
    <row r="64" spans="2:32" x14ac:dyDescent="0.25">
      <c r="B64" s="85"/>
      <c r="C64" s="86"/>
      <c r="D64" s="87"/>
      <c r="E64" s="87"/>
      <c r="F64" s="87"/>
      <c r="G64" s="87"/>
      <c r="H64" s="87"/>
      <c r="I64" s="87"/>
      <c r="J64" s="93"/>
      <c r="K64" s="80"/>
      <c r="L64" s="2" t="str">
        <f t="shared" si="5"/>
        <v/>
      </c>
      <c r="M64" s="77"/>
      <c r="N64" s="3" t="str">
        <f t="shared" si="6"/>
        <v/>
      </c>
      <c r="O64" s="3" t="str">
        <f t="shared" si="7"/>
        <v/>
      </c>
      <c r="P64" s="13" t="str">
        <f t="shared" si="8"/>
        <v/>
      </c>
      <c r="S64" s="159"/>
      <c r="T64" s="161" t="s">
        <v>91</v>
      </c>
      <c r="U64" s="161"/>
      <c r="V64" s="161"/>
      <c r="W64" s="161"/>
      <c r="X64" s="161"/>
      <c r="Y64" s="161"/>
      <c r="Z64" s="159"/>
      <c r="AA64" s="159"/>
      <c r="AB64" s="159"/>
      <c r="AC64" s="159"/>
      <c r="AD64" s="162" t="s">
        <v>81</v>
      </c>
      <c r="AE64" s="159"/>
      <c r="AF64" s="159"/>
    </row>
    <row r="65" spans="1:32" x14ac:dyDescent="0.25">
      <c r="B65" s="85"/>
      <c r="C65" s="86"/>
      <c r="D65" s="87"/>
      <c r="E65" s="87"/>
      <c r="F65" s="87"/>
      <c r="G65" s="87"/>
      <c r="H65" s="87"/>
      <c r="I65" s="87"/>
      <c r="J65" s="93"/>
      <c r="K65" s="80"/>
      <c r="L65" s="2" t="str">
        <f t="shared" si="5"/>
        <v/>
      </c>
      <c r="M65" s="77"/>
      <c r="N65" s="3" t="str">
        <f t="shared" si="6"/>
        <v/>
      </c>
      <c r="O65" s="3" t="str">
        <f t="shared" si="7"/>
        <v/>
      </c>
      <c r="P65" s="13" t="str">
        <f t="shared" si="8"/>
        <v/>
      </c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</row>
    <row r="66" spans="1:32" x14ac:dyDescent="0.25">
      <c r="B66" s="85"/>
      <c r="C66" s="86"/>
      <c r="D66" s="87"/>
      <c r="E66" s="87"/>
      <c r="F66" s="87"/>
      <c r="G66" s="87"/>
      <c r="H66" s="87"/>
      <c r="I66" s="87"/>
      <c r="J66" s="93"/>
      <c r="K66" s="80"/>
      <c r="L66" s="2" t="str">
        <f t="shared" si="5"/>
        <v/>
      </c>
      <c r="M66" s="77"/>
      <c r="N66" s="3" t="str">
        <f t="shared" si="6"/>
        <v/>
      </c>
      <c r="O66" s="3" t="str">
        <f t="shared" si="7"/>
        <v/>
      </c>
      <c r="P66" s="13" t="str">
        <f t="shared" si="8"/>
        <v/>
      </c>
    </row>
    <row r="67" spans="1:32" x14ac:dyDescent="0.25">
      <c r="B67" s="89"/>
      <c r="C67" s="90"/>
      <c r="D67" s="91"/>
      <c r="E67" s="91"/>
      <c r="F67" s="91"/>
      <c r="G67" s="91"/>
      <c r="H67" s="91"/>
      <c r="I67" s="91"/>
      <c r="J67" s="94"/>
      <c r="K67" s="81"/>
      <c r="L67" s="14" t="str">
        <f t="shared" si="5"/>
        <v/>
      </c>
      <c r="M67" s="78"/>
      <c r="N67" s="15" t="str">
        <f t="shared" si="6"/>
        <v/>
      </c>
      <c r="O67" s="15" t="str">
        <f t="shared" si="7"/>
        <v/>
      </c>
      <c r="P67" s="16" t="str">
        <f t="shared" si="8"/>
        <v/>
      </c>
    </row>
    <row r="68" spans="1:32" x14ac:dyDescent="0.25">
      <c r="A68" s="1"/>
      <c r="B68" s="101"/>
      <c r="C68" s="10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</row>
    <row r="69" spans="1:32" x14ac:dyDescent="0.25">
      <c r="A69" s="1"/>
      <c r="B69" s="101"/>
      <c r="C69" s="101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</sheetData>
  <mergeCells count="44">
    <mergeCell ref="T55:U56"/>
    <mergeCell ref="AC22:AD22"/>
    <mergeCell ref="AC23:AD23"/>
    <mergeCell ref="AC24:AD24"/>
    <mergeCell ref="AC25:AD25"/>
    <mergeCell ref="AC26:AD26"/>
    <mergeCell ref="AC27:AD27"/>
    <mergeCell ref="AF8:AF14"/>
    <mergeCell ref="S7:AF7"/>
    <mergeCell ref="V16:W16"/>
    <mergeCell ref="AC15:AD15"/>
    <mergeCell ref="Y15:Z15"/>
    <mergeCell ref="S10:AD11"/>
    <mergeCell ref="S12:T12"/>
    <mergeCell ref="S13:T13"/>
    <mergeCell ref="S14:T14"/>
    <mergeCell ref="V15:W15"/>
    <mergeCell ref="AC16:AD16"/>
    <mergeCell ref="V20:W20"/>
    <mergeCell ref="V17:W17"/>
    <mergeCell ref="V18:W18"/>
    <mergeCell ref="V19:W19"/>
    <mergeCell ref="AE8:AE14"/>
    <mergeCell ref="AA30:AB31"/>
    <mergeCell ref="AC17:AD17"/>
    <mergeCell ref="AC18:AD18"/>
    <mergeCell ref="AC19:AD19"/>
    <mergeCell ref="AC20:AD20"/>
    <mergeCell ref="B2:I3"/>
    <mergeCell ref="T64:Y64"/>
    <mergeCell ref="V21:W21"/>
    <mergeCell ref="AC30:AD31"/>
    <mergeCell ref="AE30:AF31"/>
    <mergeCell ref="AC21:AD21"/>
    <mergeCell ref="Y44:Z45"/>
    <mergeCell ref="AA44:AB45"/>
    <mergeCell ref="AC44:AD45"/>
    <mergeCell ref="AE44:AF45"/>
    <mergeCell ref="S28:AF29"/>
    <mergeCell ref="W44:X45"/>
    <mergeCell ref="S30:T31"/>
    <mergeCell ref="U30:V31"/>
    <mergeCell ref="W30:X31"/>
    <mergeCell ref="Y30:Z31"/>
  </mergeCells>
  <hyperlinks>
    <hyperlink ref="T64" r:id="rId1"/>
  </hyperlinks>
  <pageMargins left="0.7" right="0.7" top="0.75" bottom="0.75" header="0.3" footer="0.3"/>
  <pageSetup orientation="portrait" horizontalDpi="4294967293" r:id="rId2"/>
  <ignoredErrors>
    <ignoredError sqref="U34:U51 U33 W33 W44:AF45 Y33 W34:W43 Y34:Y43 AA33 AA34:AA43 AC33 AC34:AC43 AE33 AE34:AE43 W47:W51 W46 Y46 Y47:Y51 AA46 AA47:AA51 AC46 AC47:AC51 AE46 AE47:AE51" formula="1"/>
  </ignoredError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Chiong</dc:creator>
  <cp:lastModifiedBy>Eugene Chiong</cp:lastModifiedBy>
  <dcterms:created xsi:type="dcterms:W3CDTF">2011-12-30T09:47:03Z</dcterms:created>
  <dcterms:modified xsi:type="dcterms:W3CDTF">2013-09-14T19:25:56Z</dcterms:modified>
</cp:coreProperties>
</file>