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0" windowWidth="18135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Sheet1!$B$4:$P$64</definedName>
  </definedNames>
  <calcPr calcId="145621"/>
</workbook>
</file>

<file path=xl/calcChain.xml><?xml version="1.0" encoding="utf-8"?>
<calcChain xmlns="http://schemas.openxmlformats.org/spreadsheetml/2006/main">
  <c r="AE44" i="1" l="1" a="1"/>
  <c r="AE44" i="1"/>
  <c r="AE46" i="1" a="1"/>
  <c r="AE46" i="1" s="1"/>
  <c r="AE48" i="1" s="1" a="1"/>
  <c r="AE48" i="1" s="1"/>
  <c r="L50" i="1"/>
  <c r="L51" i="1"/>
  <c r="P51" i="1" s="1"/>
  <c r="N50" i="1"/>
  <c r="O50" i="1" s="1"/>
  <c r="P50" i="1" s="1"/>
  <c r="N51" i="1"/>
  <c r="O51" i="1"/>
  <c r="L52" i="1"/>
  <c r="L53" i="1"/>
  <c r="N52" i="1"/>
  <c r="N53" i="1"/>
  <c r="O52" i="1"/>
  <c r="O53" i="1"/>
  <c r="L54" i="1"/>
  <c r="N54" i="1"/>
  <c r="O54" i="1"/>
  <c r="L55" i="1"/>
  <c r="N55" i="1"/>
  <c r="O55" i="1" s="1"/>
  <c r="L57" i="1"/>
  <c r="N57" i="1"/>
  <c r="O57" i="1"/>
  <c r="P53" i="1" l="1"/>
  <c r="P52" i="1"/>
  <c r="P54" i="1"/>
  <c r="P55" i="1"/>
  <c r="P57" i="1"/>
  <c r="AD11" i="1"/>
  <c r="AC11" i="1"/>
  <c r="AB11" i="1"/>
  <c r="X17" i="1"/>
  <c r="Y13" i="1" a="1"/>
  <c r="Y13" i="1" s="1"/>
  <c r="AA13" i="1" l="1"/>
  <c r="Y14" i="1" a="1"/>
  <c r="Y14" i="1" s="1"/>
  <c r="AA14" i="1" l="1"/>
  <c r="Y15" i="1" a="1"/>
  <c r="Y15" i="1" s="1"/>
  <c r="AA15" i="1" l="1"/>
  <c r="Y16" i="1" a="1"/>
  <c r="Y16" i="1" s="1"/>
  <c r="AA16" i="1" l="1"/>
  <c r="Y17" i="1" a="1"/>
  <c r="Y17" i="1" s="1"/>
  <c r="AA17" i="1" l="1"/>
  <c r="Y18" i="1" a="1"/>
  <c r="Y18" i="1" s="1"/>
  <c r="AA18" i="1" l="1"/>
  <c r="Y19" i="1" a="1"/>
  <c r="Y19" i="1" s="1"/>
  <c r="AA19" i="1" l="1"/>
  <c r="Y20" i="1" a="1"/>
  <c r="Y20" i="1" s="1"/>
  <c r="AE27" i="1"/>
  <c r="AE33" i="1" l="1" a="1"/>
  <c r="AE33" i="1" s="1"/>
  <c r="AE38" i="1" a="1"/>
  <c r="AE38" i="1" s="1"/>
  <c r="AE30" i="1" a="1"/>
  <c r="AE30" i="1" s="1"/>
  <c r="AE36" i="1" a="1"/>
  <c r="AE36" i="1" s="1"/>
  <c r="AE39" i="1" a="1"/>
  <c r="AE39" i="1" s="1"/>
  <c r="AE31" i="1" a="1"/>
  <c r="AE31" i="1" s="1"/>
  <c r="AE34" i="1" a="1"/>
  <c r="AE34" i="1" s="1"/>
  <c r="AE37" i="1" a="1"/>
  <c r="AE37" i="1" s="1"/>
  <c r="AE32" i="1" a="1"/>
  <c r="AE32" i="1" s="1"/>
  <c r="AE35" i="1" a="1"/>
  <c r="AE35" i="1" s="1"/>
  <c r="AE40" i="1" a="1"/>
  <c r="AE40" i="1" s="1"/>
  <c r="Y21" i="1" a="1"/>
  <c r="Y21" i="1" s="1"/>
  <c r="AA20" i="1"/>
  <c r="W41" i="1"/>
  <c r="W44" i="1" l="1" a="1"/>
  <c r="W44" i="1" s="1"/>
  <c r="W48" i="1" a="1"/>
  <c r="W48" i="1" s="1"/>
  <c r="W45" i="1" a="1"/>
  <c r="W45" i="1" s="1"/>
  <c r="W43" i="1" a="1"/>
  <c r="W43" i="1" s="1"/>
  <c r="W46" i="1" a="1"/>
  <c r="W46" i="1" s="1"/>
  <c r="W47" i="1" a="1"/>
  <c r="W47" i="1" s="1"/>
  <c r="Y22" i="1" a="1"/>
  <c r="Y22" i="1" s="1"/>
  <c r="AA21" i="1"/>
  <c r="Y41" i="1"/>
  <c r="Y46" i="1" l="1" a="1"/>
  <c r="Y46" i="1" s="1"/>
  <c r="Y47" i="1" a="1"/>
  <c r="Y47" i="1" s="1"/>
  <c r="Y44" i="1" a="1"/>
  <c r="Y44" i="1" s="1"/>
  <c r="Y48" i="1" a="1"/>
  <c r="Y48" i="1" s="1"/>
  <c r="Y45" i="1" a="1"/>
  <c r="Y45" i="1" s="1"/>
  <c r="Y43" i="1" a="1"/>
  <c r="Y43" i="1" s="1"/>
  <c r="Y23" i="1" a="1"/>
  <c r="Y23" i="1" s="1"/>
  <c r="AA23" i="1" s="1"/>
  <c r="AA22" i="1"/>
  <c r="AA41" i="1"/>
  <c r="AA44" i="1" l="1" a="1"/>
  <c r="AA44" i="1" s="1"/>
  <c r="AA48" i="1" a="1"/>
  <c r="AA48" i="1" s="1"/>
  <c r="AA45" i="1" a="1"/>
  <c r="AA45" i="1" s="1"/>
  <c r="AA43" i="1" a="1"/>
  <c r="AA43" i="1" s="1"/>
  <c r="AA46" i="1" a="1"/>
  <c r="AA46" i="1" s="1"/>
  <c r="AA47" i="1" a="1"/>
  <c r="AA47" i="1" s="1"/>
  <c r="AF23" i="1"/>
  <c r="AC23" i="1"/>
  <c r="Y24" i="1" a="1"/>
  <c r="Y24" i="1" s="1"/>
  <c r="AA24" i="1" s="1"/>
  <c r="AC41" i="1"/>
  <c r="AC44" i="1" l="1" a="1"/>
  <c r="AC44" i="1" s="1"/>
  <c r="AC43" i="1" a="1"/>
  <c r="AC43" i="1" s="1"/>
  <c r="AC47" i="1" a="1"/>
  <c r="AC47" i="1" s="1"/>
  <c r="AC46" i="1" a="1"/>
  <c r="AC46" i="1" s="1"/>
  <c r="AC48" i="1" a="1"/>
  <c r="AC48" i="1" s="1"/>
  <c r="AC45" i="1" a="1"/>
  <c r="AC45" i="1" s="1"/>
  <c r="AC24" i="1"/>
  <c r="AF24" i="1"/>
  <c r="AB23" i="1"/>
  <c r="AE23" i="1" s="1"/>
  <c r="AE41" i="1"/>
  <c r="AE43" i="1" s="1" a="1"/>
  <c r="AE43" i="1" s="1"/>
  <c r="AE45" i="1" s="1" a="1"/>
  <c r="AE45" i="1" s="1"/>
  <c r="AE47" i="1" s="1" a="1"/>
  <c r="AE47" i="1" s="1"/>
  <c r="AB24" i="1" l="1"/>
  <c r="AE24" i="1" s="1"/>
  <c r="W27" i="1"/>
  <c r="AA27" i="1"/>
  <c r="AC27" i="1"/>
  <c r="Y27" i="1"/>
  <c r="AC37" i="1" l="1" a="1"/>
  <c r="AC37" i="1" s="1"/>
  <c r="AC31" i="1" a="1"/>
  <c r="AC31" i="1" s="1"/>
  <c r="AC34" i="1" a="1"/>
  <c r="AC34" i="1" s="1"/>
  <c r="AC40" i="1" a="1"/>
  <c r="AC40" i="1" s="1"/>
  <c r="AC32" i="1" a="1"/>
  <c r="AC32" i="1" s="1"/>
  <c r="AC35" i="1" a="1"/>
  <c r="AC35" i="1" s="1"/>
  <c r="AC38" i="1" a="1"/>
  <c r="AC38" i="1" s="1"/>
  <c r="AC30" i="1" a="1"/>
  <c r="AC30" i="1" s="1"/>
  <c r="AC33" i="1" a="1"/>
  <c r="AC33" i="1" s="1"/>
  <c r="AC36" i="1" a="1"/>
  <c r="AC36" i="1" s="1"/>
  <c r="AC39" i="1" a="1"/>
  <c r="AC39" i="1" s="1"/>
  <c r="Y33" i="1" a="1"/>
  <c r="Y33" i="1" s="1"/>
  <c r="Y37" i="1" a="1"/>
  <c r="Y37" i="1" s="1"/>
  <c r="Y30" i="1" a="1"/>
  <c r="Y30" i="1" s="1"/>
  <c r="Y34" i="1" a="1"/>
  <c r="Y34" i="1" s="1"/>
  <c r="Y38" i="1" a="1"/>
  <c r="Y38" i="1" s="1"/>
  <c r="Y32" i="1" a="1"/>
  <c r="Y32" i="1" s="1"/>
  <c r="Y40" i="1" a="1"/>
  <c r="Y40" i="1" s="1"/>
  <c r="Y35" i="1" a="1"/>
  <c r="Y35" i="1" s="1"/>
  <c r="Y36" i="1" a="1"/>
  <c r="Y36" i="1" s="1"/>
  <c r="Y31" i="1" a="1"/>
  <c r="Y31" i="1" s="1"/>
  <c r="Y39" i="1" a="1"/>
  <c r="Y39" i="1" s="1"/>
  <c r="AA32" i="1" a="1"/>
  <c r="AA32" i="1" s="1"/>
  <c r="AA36" i="1" a="1"/>
  <c r="AA36" i="1" s="1"/>
  <c r="AA40" i="1" a="1"/>
  <c r="AA40" i="1" s="1"/>
  <c r="AA33" i="1" a="1"/>
  <c r="AA33" i="1" s="1"/>
  <c r="AA37" i="1" a="1"/>
  <c r="AA37" i="1" s="1"/>
  <c r="AA30" i="1" a="1"/>
  <c r="AA30" i="1" s="1"/>
  <c r="AA34" i="1" a="1"/>
  <c r="AA34" i="1" s="1"/>
  <c r="AA38" i="1" a="1"/>
  <c r="AA38" i="1" s="1"/>
  <c r="AA31" i="1" a="1"/>
  <c r="AA31" i="1" s="1"/>
  <c r="AA35" i="1" a="1"/>
  <c r="AA35" i="1" s="1"/>
  <c r="AA39" i="1" a="1"/>
  <c r="AA39" i="1" s="1"/>
  <c r="W34" i="1" a="1"/>
  <c r="W34" i="1" s="1"/>
  <c r="W38" i="1" a="1"/>
  <c r="W38" i="1" s="1"/>
  <c r="W31" i="1" a="1"/>
  <c r="W31" i="1" s="1"/>
  <c r="W35" i="1" a="1"/>
  <c r="W35" i="1" s="1"/>
  <c r="W39" i="1" a="1"/>
  <c r="W39" i="1" s="1"/>
  <c r="W37" i="1" a="1"/>
  <c r="W37" i="1" s="1"/>
  <c r="W36" i="1" a="1"/>
  <c r="W36" i="1" s="1"/>
  <c r="W32" i="1" a="1"/>
  <c r="W32" i="1" s="1"/>
  <c r="W40" i="1" a="1"/>
  <c r="W40" i="1" s="1"/>
  <c r="W33" i="1" a="1"/>
  <c r="W33" i="1" s="1"/>
  <c r="W30" i="1" a="1"/>
  <c r="W30" i="1" s="1"/>
  <c r="L20" i="1"/>
  <c r="N20" i="1"/>
  <c r="L17" i="1"/>
  <c r="N17" i="1"/>
  <c r="L15" i="1"/>
  <c r="N15" i="1"/>
  <c r="U27" i="1"/>
  <c r="X16" i="1"/>
  <c r="X14" i="1"/>
  <c r="T13" i="1"/>
  <c r="T18" i="1"/>
  <c r="T17" i="1"/>
  <c r="T16" i="1"/>
  <c r="T15" i="1"/>
  <c r="T14" i="1"/>
  <c r="AD10" i="1"/>
  <c r="AC10" i="1"/>
  <c r="AD6" i="1"/>
  <c r="AC6" i="1"/>
  <c r="AB6" i="1"/>
  <c r="AA6" i="1"/>
  <c r="Z6" i="1"/>
  <c r="Y6" i="1"/>
  <c r="X6" i="1"/>
  <c r="W6" i="1"/>
  <c r="V6" i="1"/>
  <c r="U6" i="1"/>
  <c r="T6" i="1"/>
  <c r="S6" i="1"/>
  <c r="U34" i="1" l="1" a="1"/>
  <c r="U34" i="1" s="1"/>
  <c r="U38" i="1" a="1"/>
  <c r="U38" i="1" s="1"/>
  <c r="V38" i="1" s="1"/>
  <c r="U42" i="1" a="1"/>
  <c r="U42" i="1" s="1"/>
  <c r="V42" i="1" s="1"/>
  <c r="U46" i="1" a="1"/>
  <c r="U46" i="1" s="1"/>
  <c r="U31" i="1" a="1"/>
  <c r="U31" i="1" s="1"/>
  <c r="U35" i="1" a="1"/>
  <c r="U35" i="1" s="1"/>
  <c r="U39" i="1" a="1"/>
  <c r="U39" i="1" s="1"/>
  <c r="V39" i="1" s="1"/>
  <c r="U43" i="1" a="1"/>
  <c r="U43" i="1" s="1"/>
  <c r="V43" i="1" s="1"/>
  <c r="U47" i="1" a="1"/>
  <c r="U47" i="1" s="1"/>
  <c r="V47" i="1" s="1"/>
  <c r="U33" i="1" a="1"/>
  <c r="U33" i="1" s="1"/>
  <c r="U41" i="1" a="1"/>
  <c r="U41" i="1" s="1"/>
  <c r="V41" i="1" s="1"/>
  <c r="U30" i="1" a="1"/>
  <c r="U30" i="1" s="1"/>
  <c r="U40" i="1" a="1"/>
  <c r="U40" i="1" s="1"/>
  <c r="V40" i="1" s="1"/>
  <c r="U36" i="1" a="1"/>
  <c r="U36" i="1" s="1"/>
  <c r="U44" i="1" a="1"/>
  <c r="U44" i="1" s="1"/>
  <c r="V44" i="1" s="1"/>
  <c r="U37" i="1" a="1"/>
  <c r="U37" i="1" s="1"/>
  <c r="U45" i="1" a="1"/>
  <c r="U45" i="1" s="1"/>
  <c r="V45" i="1" s="1"/>
  <c r="U32" i="1" a="1"/>
  <c r="U32" i="1" s="1"/>
  <c r="U48" i="1" a="1"/>
  <c r="U48" i="1" s="1"/>
  <c r="V48" i="1" s="1"/>
  <c r="X39" i="1"/>
  <c r="X38" i="1"/>
  <c r="X40" i="1"/>
  <c r="AB39" i="1"/>
  <c r="AB38" i="1"/>
  <c r="AB40" i="1"/>
  <c r="Z39" i="1"/>
  <c r="Z40" i="1"/>
  <c r="Z38" i="1"/>
  <c r="AD39" i="1"/>
  <c r="AD40" i="1"/>
  <c r="AD38" i="1"/>
  <c r="O17" i="1"/>
  <c r="O15" i="1"/>
  <c r="P15" i="1" s="1"/>
  <c r="O20" i="1"/>
  <c r="P20" i="1" s="1"/>
  <c r="X37" i="1"/>
  <c r="V46" i="1"/>
  <c r="Z36" i="1"/>
  <c r="Z37" i="1"/>
  <c r="AD32" i="1"/>
  <c r="AD36" i="1"/>
  <c r="AD33" i="1"/>
  <c r="AD37" i="1"/>
  <c r="AD34" i="1"/>
  <c r="AD35" i="1"/>
  <c r="AB35" i="1"/>
  <c r="AB32" i="1"/>
  <c r="AB36" i="1"/>
  <c r="AB33" i="1"/>
  <c r="AB37" i="1"/>
  <c r="AB34" i="1"/>
  <c r="X15" i="1"/>
  <c r="P17" i="1" l="1"/>
  <c r="Z48" i="1"/>
  <c r="AD48" i="1"/>
  <c r="X48" i="1"/>
  <c r="Z34" i="1"/>
  <c r="AB48" i="1"/>
  <c r="L44" i="1"/>
  <c r="AF43" i="1" l="1"/>
  <c r="AF45" i="1"/>
  <c r="AF46" i="1"/>
  <c r="AF47" i="1"/>
  <c r="AF44" i="1"/>
  <c r="AF48" i="1"/>
  <c r="N64" i="1"/>
  <c r="N63" i="1"/>
  <c r="N62" i="1"/>
  <c r="N61" i="1"/>
  <c r="N60" i="1"/>
  <c r="N29" i="1"/>
  <c r="X34" i="1" s="1"/>
  <c r="N59" i="1"/>
  <c r="N48" i="1"/>
  <c r="AB10" i="1" s="1"/>
  <c r="N47" i="1"/>
  <c r="N46" i="1"/>
  <c r="N45" i="1"/>
  <c r="N44" i="1"/>
  <c r="N40" i="1"/>
  <c r="AB21" i="1" s="1"/>
  <c r="AE21" i="1" s="1"/>
  <c r="N41" i="1"/>
  <c r="X36" i="1" s="1"/>
  <c r="N32" i="1"/>
  <c r="N35" i="1"/>
  <c r="N38" i="1"/>
  <c r="N36" i="1"/>
  <c r="N43" i="1"/>
  <c r="N39" i="1"/>
  <c r="N37" i="1"/>
  <c r="V35" i="1" s="1"/>
  <c r="N30" i="1"/>
  <c r="N27" i="1"/>
  <c r="N28" i="1"/>
  <c r="N42" i="1"/>
  <c r="N33" i="1"/>
  <c r="N34" i="1"/>
  <c r="N31" i="1"/>
  <c r="AB20" i="1" s="1"/>
  <c r="AE20" i="1" s="1"/>
  <c r="N22" i="1"/>
  <c r="AB18" i="1" s="1"/>
  <c r="AE18" i="1" s="1"/>
  <c r="N25" i="1"/>
  <c r="N24" i="1"/>
  <c r="N23" i="1"/>
  <c r="N14" i="1"/>
  <c r="N19" i="1"/>
  <c r="N18" i="1"/>
  <c r="N13" i="1"/>
  <c r="Z33" i="1" s="1"/>
  <c r="N49" i="1"/>
  <c r="N56" i="1"/>
  <c r="N58" i="1"/>
  <c r="AB13" i="1" l="1"/>
  <c r="AE13" i="1" s="1"/>
  <c r="V36" i="1"/>
  <c r="X35" i="1"/>
  <c r="AD44" i="1"/>
  <c r="X44" i="1"/>
  <c r="Z44" i="1"/>
  <c r="AD31" i="1"/>
  <c r="AB44" i="1"/>
  <c r="Z35" i="1"/>
  <c r="X33" i="1"/>
  <c r="AB31" i="1"/>
  <c r="AD43" i="1"/>
  <c r="Z43" i="1"/>
  <c r="X46" i="1"/>
  <c r="AD46" i="1"/>
  <c r="AB46" i="1"/>
  <c r="Z46" i="1"/>
  <c r="V33" i="1"/>
  <c r="X32" i="1"/>
  <c r="X47" i="1"/>
  <c r="Z47" i="1"/>
  <c r="AB47" i="1"/>
  <c r="AD47" i="1"/>
  <c r="V34" i="1"/>
  <c r="AD30" i="1"/>
  <c r="Z10" i="1"/>
  <c r="AA10" i="1"/>
  <c r="L16" i="1" l="1"/>
  <c r="N16" i="1" s="1"/>
  <c r="AB19" i="1" s="1"/>
  <c r="AE19" i="1" s="1"/>
  <c r="L18" i="1"/>
  <c r="L19" i="1"/>
  <c r="X30" i="1" l="1"/>
  <c r="W10" i="1"/>
  <c r="O64" i="1"/>
  <c r="O63" i="1"/>
  <c r="O62" i="1"/>
  <c r="O61" i="1"/>
  <c r="O60" i="1"/>
  <c r="O29" i="1"/>
  <c r="O59" i="1"/>
  <c r="O58" i="1"/>
  <c r="O56" i="1"/>
  <c r="O49" i="1"/>
  <c r="O48" i="1"/>
  <c r="O47" i="1"/>
  <c r="O46" i="1"/>
  <c r="O45" i="1"/>
  <c r="O44" i="1"/>
  <c r="P44" i="1" s="1"/>
  <c r="O40" i="1"/>
  <c r="AF21" i="1" s="1"/>
  <c r="O41" i="1"/>
  <c r="O32" i="1"/>
  <c r="O35" i="1"/>
  <c r="O36" i="1"/>
  <c r="O43" i="1"/>
  <c r="O39" i="1"/>
  <c r="O37" i="1"/>
  <c r="O30" i="1"/>
  <c r="O27" i="1"/>
  <c r="O28" i="1"/>
  <c r="O42" i="1"/>
  <c r="O33" i="1"/>
  <c r="O34" i="1"/>
  <c r="O22" i="1"/>
  <c r="AF18" i="1" s="1"/>
  <c r="O25" i="1"/>
  <c r="O24" i="1"/>
  <c r="O23" i="1"/>
  <c r="O38" i="1"/>
  <c r="O14" i="1"/>
  <c r="L64" i="1"/>
  <c r="L63" i="1"/>
  <c r="L62" i="1"/>
  <c r="L61" i="1"/>
  <c r="L60" i="1"/>
  <c r="L29" i="1"/>
  <c r="L59" i="1"/>
  <c r="L58" i="1"/>
  <c r="L56" i="1"/>
  <c r="L49" i="1"/>
  <c r="L48" i="1"/>
  <c r="L47" i="1"/>
  <c r="L46" i="1"/>
  <c r="L45" i="1"/>
  <c r="L40" i="1"/>
  <c r="L41" i="1"/>
  <c r="L32" i="1"/>
  <c r="L35" i="1"/>
  <c r="L38" i="1"/>
  <c r="L36" i="1"/>
  <c r="L43" i="1"/>
  <c r="L39" i="1"/>
  <c r="L37" i="1"/>
  <c r="L30" i="1"/>
  <c r="L27" i="1"/>
  <c r="L28" i="1"/>
  <c r="L42" i="1"/>
  <c r="L33" i="1"/>
  <c r="L34" i="1"/>
  <c r="L31" i="1"/>
  <c r="O31" i="1" s="1"/>
  <c r="L22" i="1"/>
  <c r="L21" i="1"/>
  <c r="N21" i="1" s="1"/>
  <c r="AB15" i="1" s="1"/>
  <c r="AE15" i="1" s="1"/>
  <c r="L25" i="1"/>
  <c r="L24" i="1"/>
  <c r="L23" i="1"/>
  <c r="L14" i="1"/>
  <c r="L8" i="1"/>
  <c r="N8" i="1" s="1"/>
  <c r="V31" i="1" s="1"/>
  <c r="L6" i="1"/>
  <c r="N6" i="1" s="1"/>
  <c r="Z30" i="1" s="1"/>
  <c r="L7" i="1"/>
  <c r="N7" i="1" s="1"/>
  <c r="Z31" i="1" s="1"/>
  <c r="L9" i="1"/>
  <c r="N9" i="1" s="1"/>
  <c r="L26" i="1"/>
  <c r="N26" i="1" s="1"/>
  <c r="L10" i="1"/>
  <c r="N10" i="1" s="1"/>
  <c r="L11" i="1"/>
  <c r="N11" i="1" s="1"/>
  <c r="L13" i="1"/>
  <c r="L12" i="1"/>
  <c r="N12" i="1" s="1"/>
  <c r="L5" i="1"/>
  <c r="N5" i="1" s="1"/>
  <c r="Z11" i="1" l="1"/>
  <c r="AB16" i="1"/>
  <c r="AE16" i="1" s="1"/>
  <c r="AA11" i="1"/>
  <c r="AB17" i="1"/>
  <c r="AE17" i="1" s="1"/>
  <c r="AB30" i="1"/>
  <c r="V30" i="1"/>
  <c r="U10" i="1"/>
  <c r="AB14" i="1"/>
  <c r="AE14" i="1" s="1"/>
  <c r="P31" i="1"/>
  <c r="AF20" i="1"/>
  <c r="Y10" i="1"/>
  <c r="V37" i="1"/>
  <c r="AB22" i="1"/>
  <c r="AE22" i="1" s="1"/>
  <c r="AB43" i="1"/>
  <c r="AB45" i="1"/>
  <c r="X45" i="1"/>
  <c r="Z45" i="1"/>
  <c r="AD45" i="1"/>
  <c r="V32" i="1"/>
  <c r="O21" i="1"/>
  <c r="AF15" i="1" s="1"/>
  <c r="X31" i="1"/>
  <c r="X43" i="1"/>
  <c r="Z32" i="1"/>
  <c r="V10" i="1"/>
  <c r="X10" i="1"/>
  <c r="U18" i="1"/>
  <c r="U17" i="1"/>
  <c r="X13" i="1"/>
  <c r="U13" i="1"/>
  <c r="U14" i="1"/>
  <c r="U15" i="1"/>
  <c r="U16" i="1"/>
  <c r="P37" i="1"/>
  <c r="P59" i="1"/>
  <c r="P40" i="1"/>
  <c r="P47" i="1"/>
  <c r="P61" i="1"/>
  <c r="P64" i="1"/>
  <c r="P56" i="1"/>
  <c r="O9" i="1"/>
  <c r="AF17" i="1" s="1"/>
  <c r="O10" i="1"/>
  <c r="O12" i="1"/>
  <c r="O7" i="1"/>
  <c r="P7" i="1" s="1"/>
  <c r="P39" i="1"/>
  <c r="O11" i="1"/>
  <c r="P11" i="1" s="1"/>
  <c r="O19" i="1"/>
  <c r="P19" i="1" s="1"/>
  <c r="O13" i="1"/>
  <c r="P13" i="1" s="1"/>
  <c r="O6" i="1"/>
  <c r="O18" i="1"/>
  <c r="P18" i="1" s="1"/>
  <c r="O8" i="1"/>
  <c r="P8" i="1" s="1"/>
  <c r="P33" i="1"/>
  <c r="P30" i="1"/>
  <c r="P36" i="1"/>
  <c r="P58" i="1"/>
  <c r="P28" i="1"/>
  <c r="P38" i="1"/>
  <c r="P42" i="1"/>
  <c r="P35" i="1"/>
  <c r="P48" i="1"/>
  <c r="P62" i="1"/>
  <c r="P21" i="1"/>
  <c r="P14" i="1"/>
  <c r="P24" i="1"/>
  <c r="P34" i="1"/>
  <c r="P27" i="1"/>
  <c r="P43" i="1"/>
  <c r="P41" i="1"/>
  <c r="P46" i="1"/>
  <c r="P60" i="1"/>
  <c r="P25" i="1"/>
  <c r="P23" i="1"/>
  <c r="P22" i="1"/>
  <c r="P32" i="1"/>
  <c r="P45" i="1"/>
  <c r="P49" i="1"/>
  <c r="P29" i="1"/>
  <c r="P63" i="1"/>
  <c r="O16" i="1"/>
  <c r="O26" i="1"/>
  <c r="P9" i="1"/>
  <c r="O5" i="1"/>
  <c r="AF13" i="1" l="1"/>
  <c r="P12" i="1"/>
  <c r="AF22" i="1"/>
  <c r="U11" i="1"/>
  <c r="AF14" i="1"/>
  <c r="P10" i="1"/>
  <c r="V11" i="1"/>
  <c r="AF16" i="1"/>
  <c r="P16" i="1"/>
  <c r="AF19" i="1"/>
  <c r="P26" i="1"/>
  <c r="Y11" i="1"/>
  <c r="W11" i="1"/>
  <c r="X11" i="1"/>
  <c r="P6" i="1"/>
  <c r="P5" i="1"/>
  <c r="AF5" i="1" l="1"/>
  <c r="AC14" i="1"/>
  <c r="AC17" i="1"/>
  <c r="AC22" i="1"/>
  <c r="AC20" i="1"/>
  <c r="AC16" i="1"/>
  <c r="AC18" i="1"/>
  <c r="AC13" i="1"/>
  <c r="AC19" i="1"/>
  <c r="AC21" i="1"/>
  <c r="AC15" i="1"/>
  <c r="S27" i="1"/>
  <c r="S31" i="1" l="1" a="1"/>
  <c r="S31" i="1" s="1"/>
  <c r="T31" i="1" s="1"/>
  <c r="S34" i="1" a="1"/>
  <c r="S34" i="1" s="1"/>
  <c r="T34" i="1" s="1"/>
  <c r="S37" i="1" a="1"/>
  <c r="S37" i="1" s="1"/>
  <c r="T37" i="1" s="1"/>
  <c r="S40" i="1" a="1"/>
  <c r="S40" i="1" s="1"/>
  <c r="S45" i="1" a="1"/>
  <c r="S45" i="1" s="1"/>
  <c r="T45" i="1" s="1"/>
  <c r="S48" i="1" a="1"/>
  <c r="S48" i="1" s="1"/>
  <c r="T48" i="1" s="1"/>
  <c r="S32" i="1" a="1"/>
  <c r="S32" i="1" s="1"/>
  <c r="T32" i="1" s="1"/>
  <c r="S38" i="1" a="1"/>
  <c r="S38" i="1" s="1"/>
  <c r="S43" i="1" a="1"/>
  <c r="S43" i="1" s="1"/>
  <c r="T43" i="1" s="1"/>
  <c r="S46" i="1" a="1"/>
  <c r="S46" i="1" s="1"/>
  <c r="T46" i="1" s="1"/>
  <c r="S36" i="1" a="1"/>
  <c r="S36" i="1" s="1"/>
  <c r="T36" i="1" s="1"/>
  <c r="S42" i="1" a="1"/>
  <c r="S42" i="1" s="1"/>
  <c r="T42" i="1" s="1"/>
  <c r="S47" i="1" a="1"/>
  <c r="S47" i="1" s="1"/>
  <c r="T47" i="1" s="1"/>
  <c r="S44" i="1" a="1"/>
  <c r="S44" i="1" s="1"/>
  <c r="T44" i="1" s="1"/>
  <c r="S30" i="1" a="1"/>
  <c r="S30" i="1" s="1"/>
  <c r="T30" i="1" s="1"/>
  <c r="S35" i="1" a="1"/>
  <c r="S35" i="1" s="1"/>
  <c r="T35" i="1" s="1"/>
  <c r="S33" i="1" a="1"/>
  <c r="S33" i="1" s="1"/>
  <c r="T33" i="1" s="1"/>
  <c r="S39" i="1" a="1"/>
  <c r="S39" i="1" s="1"/>
  <c r="T39" i="1" s="1"/>
  <c r="S41" i="1" a="1"/>
  <c r="S41" i="1" s="1"/>
  <c r="T41" i="1" s="1"/>
  <c r="T38" i="1"/>
  <c r="T40" i="1"/>
  <c r="AF37" i="1"/>
  <c r="AF34" i="1" l="1"/>
  <c r="AF32" i="1"/>
  <c r="AF40" i="1"/>
  <c r="AF31" i="1"/>
  <c r="AF33" i="1"/>
  <c r="AF38" i="1"/>
  <c r="AF35" i="1"/>
  <c r="AF30" i="1"/>
  <c r="AF36" i="1"/>
  <c r="AF39" i="1"/>
</calcChain>
</file>

<file path=xl/comments1.xml><?xml version="1.0" encoding="utf-8"?>
<comments xmlns="http://schemas.openxmlformats.org/spreadsheetml/2006/main">
  <authors>
    <author>Eugene Chiong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module code here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Type of mod: Core, Science, Breadth, GEM, SS, Specialization. 
The naming convention is up to you to decide!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1000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2000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3000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4000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5000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6000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the semester which you took the module
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grade, or NIL if you did not take it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N if you don't want to S/U the mod, Y if you want, and NIL if you have not taken the mod
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reflects on your transcript
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are actually calculated in your CAP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weight that module has on your CAP
</t>
        </r>
      </text>
    </comment>
    <comment ref="AC12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Relative Weight is how much impact the modules you have taken under that particular type have on your overall CAP</t>
        </r>
      </text>
    </comment>
    <comment ref="AE12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How much of all the modules in that particular type you have completed</t>
        </r>
      </text>
    </comment>
    <comment ref="AF12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Your CAP for each type of module you have taken so far. </t>
        </r>
      </text>
    </comment>
  </commentList>
</comments>
</file>

<file path=xl/sharedStrings.xml><?xml version="1.0" encoding="utf-8"?>
<sst xmlns="http://schemas.openxmlformats.org/spreadsheetml/2006/main" count="174" uniqueCount="113">
  <si>
    <t>Module code</t>
  </si>
  <si>
    <t>Type</t>
  </si>
  <si>
    <t>Level 1000 MCs</t>
  </si>
  <si>
    <t>Level 2000 MCs</t>
  </si>
  <si>
    <t>Level 3000 MCs</t>
  </si>
  <si>
    <t>Level 4000 MCs</t>
  </si>
  <si>
    <t>CS1101S</t>
  </si>
  <si>
    <t>Total</t>
  </si>
  <si>
    <t>CS1231</t>
  </si>
  <si>
    <t>Grade</t>
  </si>
  <si>
    <t>MA1521</t>
  </si>
  <si>
    <t>PC1432</t>
  </si>
  <si>
    <t>Science</t>
  </si>
  <si>
    <t>SC1101E</t>
  </si>
  <si>
    <t>Breadth</t>
  </si>
  <si>
    <t>Taken</t>
  </si>
  <si>
    <t>CS2100</t>
  </si>
  <si>
    <t>MA1101R</t>
  </si>
  <si>
    <t>CS2101</t>
  </si>
  <si>
    <t>CS2103T</t>
  </si>
  <si>
    <t>CS2105</t>
  </si>
  <si>
    <t>CS2106</t>
  </si>
  <si>
    <t>CS3230</t>
  </si>
  <si>
    <t>IS1103</t>
  </si>
  <si>
    <t>ST2334</t>
  </si>
  <si>
    <t>GEM</t>
  </si>
  <si>
    <t>CS3241</t>
  </si>
  <si>
    <t>CS4247</t>
  </si>
  <si>
    <t>CS4243</t>
  </si>
  <si>
    <t>CS3343</t>
  </si>
  <si>
    <t>CS4340</t>
  </si>
  <si>
    <t>Level 5000 MCs</t>
  </si>
  <si>
    <t>A</t>
  </si>
  <si>
    <t>B</t>
  </si>
  <si>
    <t>Grade value</t>
  </si>
  <si>
    <t>A-</t>
  </si>
  <si>
    <t>B-</t>
  </si>
  <si>
    <t>S/U</t>
  </si>
  <si>
    <t>Effective MCs</t>
  </si>
  <si>
    <t>D</t>
  </si>
  <si>
    <t>Statistics</t>
  </si>
  <si>
    <t>B+</t>
  </si>
  <si>
    <t>A+</t>
  </si>
  <si>
    <t>C+</t>
  </si>
  <si>
    <t>C</t>
  </si>
  <si>
    <t>D+</t>
  </si>
  <si>
    <t>F</t>
  </si>
  <si>
    <t>Overall CAP</t>
  </si>
  <si>
    <t>MC Footprint</t>
  </si>
  <si>
    <t>Level 6000 MCs</t>
  </si>
  <si>
    <t>Singapore Studies</t>
  </si>
  <si>
    <t>Modules</t>
  </si>
  <si>
    <t>Planned</t>
  </si>
  <si>
    <t>P</t>
  </si>
  <si>
    <t>MCs</t>
  </si>
  <si>
    <t>Level 1000</t>
  </si>
  <si>
    <t xml:space="preserve">Level 2000 </t>
  </si>
  <si>
    <t>Level 3000</t>
  </si>
  <si>
    <t>Level 4000</t>
  </si>
  <si>
    <t>Level 5000</t>
  </si>
  <si>
    <t>Level 6000</t>
  </si>
  <si>
    <t>* Modify only the coloured cells in the main table</t>
  </si>
  <si>
    <t>UE</t>
  </si>
  <si>
    <t>* Mods with a Pass/Fail are to be indicated as SU'ed</t>
  </si>
  <si>
    <t>MCs Taken</t>
  </si>
  <si>
    <t>MCs Planned</t>
  </si>
  <si>
    <t>SSB2216</t>
  </si>
  <si>
    <t>Semester</t>
  </si>
  <si>
    <t>Semesters</t>
  </si>
  <si>
    <t>Module Weight</t>
  </si>
  <si>
    <t>CS3247</t>
  </si>
  <si>
    <t>Module</t>
  </si>
  <si>
    <t>Cleared</t>
  </si>
  <si>
    <t>GEK1508</t>
  </si>
  <si>
    <t>PC1431</t>
  </si>
  <si>
    <t>CS2010R</t>
  </si>
  <si>
    <t>CS5343</t>
  </si>
  <si>
    <t>CS3240</t>
  </si>
  <si>
    <t>CS3242</t>
  </si>
  <si>
    <t>LSM1302</t>
  </si>
  <si>
    <t>CP4101</t>
  </si>
  <si>
    <t>GEK1055</t>
  </si>
  <si>
    <t>CS3283</t>
  </si>
  <si>
    <t>PH2110</t>
  </si>
  <si>
    <t>CS4345</t>
  </si>
  <si>
    <t>CS3246</t>
  </si>
  <si>
    <t>CS3284</t>
  </si>
  <si>
    <t>Y</t>
  </si>
  <si>
    <t>SAP</t>
  </si>
  <si>
    <t>Modules Taken</t>
  </si>
  <si>
    <t>Modules Planned</t>
  </si>
  <si>
    <t>Foundation</t>
  </si>
  <si>
    <t>IT Professionalism</t>
  </si>
  <si>
    <t>Focus Area</t>
  </si>
  <si>
    <t>Media Tech</t>
  </si>
  <si>
    <t>Final Year Project</t>
  </si>
  <si>
    <t>Graduation Criteria</t>
  </si>
  <si>
    <t>CS3244</t>
  </si>
  <si>
    <t>NCC1000</t>
  </si>
  <si>
    <t>IS2104</t>
  </si>
  <si>
    <t>Copyright 2013 Eugene Chiong</t>
  </si>
  <si>
    <t>Eugene Chiong</t>
  </si>
  <si>
    <t>School of Computing</t>
  </si>
  <si>
    <t>National University of Singapore</t>
  </si>
  <si>
    <t>Year 3, B.Comp (Honours)</t>
  </si>
  <si>
    <t>S/U Used</t>
  </si>
  <si>
    <t>Progress</t>
  </si>
  <si>
    <t>CAP</t>
  </si>
  <si>
    <t>Relative Weight</t>
  </si>
  <si>
    <t>N</t>
  </si>
  <si>
    <t>https://github.com/eugenecys/NUS-Module-Planner/issues</t>
  </si>
  <si>
    <t xml:space="preserve">Provide feedback/bug reports at: </t>
  </si>
  <si>
    <t xml:space="preserve">Hope you find this tool useful!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</si>
</sst>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F4C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9" borderId="5" xfId="0" applyFill="1" applyBorder="1"/>
    <xf numFmtId="0" fontId="0" fillId="4" borderId="38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44" xfId="0" applyFill="1" applyBorder="1"/>
    <xf numFmtId="0" fontId="0" fillId="10" borderId="7" xfId="0" applyFill="1" applyBorder="1"/>
    <xf numFmtId="0" fontId="0" fillId="10" borderId="37" xfId="0" applyFill="1" applyBorder="1"/>
    <xf numFmtId="0" fontId="0" fillId="10" borderId="47" xfId="0" applyFill="1" applyBorder="1"/>
    <xf numFmtId="0" fontId="0" fillId="10" borderId="42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5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50" xfId="0" applyFill="1" applyBorder="1"/>
    <xf numFmtId="0" fontId="0" fillId="10" borderId="41" xfId="0" applyFill="1" applyBorder="1"/>
    <xf numFmtId="0" fontId="0" fillId="10" borderId="25" xfId="0" applyFill="1" applyBorder="1"/>
    <xf numFmtId="0" fontId="0" fillId="10" borderId="6" xfId="0" applyFill="1" applyBorder="1"/>
    <xf numFmtId="0" fontId="0" fillId="10" borderId="34" xfId="0" applyFill="1" applyBorder="1"/>
    <xf numFmtId="0" fontId="3" fillId="5" borderId="4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4" borderId="4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9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4" borderId="52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35" xfId="0" applyFill="1" applyBorder="1" applyAlignment="1">
      <alignment horizontal="left"/>
    </xf>
    <xf numFmtId="0" fontId="0" fillId="4" borderId="34" xfId="0" applyFill="1" applyBorder="1" applyAlignment="1"/>
    <xf numFmtId="0" fontId="0" fillId="4" borderId="34" xfId="0" applyFill="1" applyBorder="1"/>
    <xf numFmtId="0" fontId="0" fillId="4" borderId="52" xfId="0" applyFill="1" applyBorder="1"/>
    <xf numFmtId="0" fontId="0" fillId="4" borderId="17" xfId="0" applyFill="1" applyBorder="1"/>
    <xf numFmtId="0" fontId="0" fillId="3" borderId="49" xfId="0" applyFill="1" applyBorder="1" applyAlignment="1"/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left"/>
    </xf>
    <xf numFmtId="0" fontId="0" fillId="9" borderId="45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9" borderId="0" xfId="0" applyNumberFormat="1" applyFill="1" applyBorder="1"/>
    <xf numFmtId="0" fontId="0" fillId="11" borderId="0" xfId="0" applyFill="1"/>
    <xf numFmtId="0" fontId="0" fillId="2" borderId="24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5" borderId="4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5" borderId="28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4" borderId="47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10" borderId="55" xfId="0" applyFill="1" applyBorder="1"/>
    <xf numFmtId="164" fontId="0" fillId="4" borderId="52" xfId="0" applyNumberFormat="1" applyFill="1" applyBorder="1"/>
    <xf numFmtId="164" fontId="0" fillId="4" borderId="38" xfId="0" applyNumberFormat="1" applyFill="1" applyBorder="1"/>
    <xf numFmtId="164" fontId="0" fillId="4" borderId="17" xfId="0" applyNumberFormat="1" applyFill="1" applyBorder="1"/>
    <xf numFmtId="0" fontId="6" fillId="11" borderId="0" xfId="0" applyFont="1" applyFill="1"/>
    <xf numFmtId="0" fontId="7" fillId="11" borderId="0" xfId="1" applyFill="1"/>
    <xf numFmtId="0" fontId="0" fillId="0" borderId="0" xfId="0" applyBorder="1" applyAlignment="1">
      <alignment vertic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left"/>
    </xf>
    <xf numFmtId="0" fontId="0" fillId="9" borderId="51" xfId="0" applyFill="1" applyBorder="1" applyAlignment="1">
      <alignment horizontal="left"/>
    </xf>
    <xf numFmtId="0" fontId="0" fillId="4" borderId="5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9" borderId="19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5" fillId="11" borderId="0" xfId="0" applyFont="1" applyFill="1" applyAlignment="1">
      <alignment horizontal="left" wrapText="1"/>
    </xf>
    <xf numFmtId="0" fontId="0" fillId="4" borderId="1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99CCFF"/>
      <color rgb="FFFFFFCC"/>
      <color rgb="FFCCFFCC"/>
      <color rgb="FFFFCCCC"/>
      <color rgb="FFCCECFF"/>
      <color rgb="FF66FFFF"/>
      <color rgb="FFA6F4CF"/>
      <color rgb="FF8DF3CA"/>
      <color rgb="FFE6E6E6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Table" displayName="MainTable" ref="B4:P64" totalsRowShown="0" headerRowDxfId="17" headerRowBorderDxfId="16" tableBorderDxfId="15">
  <autoFilter ref="B4:P64"/>
  <sortState ref="B5:P57">
    <sortCondition ref="J4:J57"/>
  </sortState>
  <tableColumns count="15">
    <tableColumn id="1" name="Module code" dataDxfId="14"/>
    <tableColumn id="2" name="Type" dataDxfId="13"/>
    <tableColumn id="3" name="Level 1000 MCs" dataDxfId="12"/>
    <tableColumn id="4" name="Level 2000 MCs" dataDxfId="11"/>
    <tableColumn id="5" name="Level 3000 MCs" dataDxfId="10"/>
    <tableColumn id="6" name="Level 4000 MCs" dataDxfId="9"/>
    <tableColumn id="7" name="Level 5000 MCs" dataDxfId="8"/>
    <tableColumn id="8" name="Level 6000 MCs" dataDxfId="7"/>
    <tableColumn id="9" name="Semester" dataDxfId="6"/>
    <tableColumn id="10" name="Grade" dataDxfId="5"/>
    <tableColumn id="11" name="Grade value" dataDxfId="4">
      <calculatedColumnFormula>IF(K5="A+",5,IF(K5="A",5,IF(K5="A-",4.5,IF(K5="B+",4,IF(K5="B",3.5,IF(K5="B-",3,IF(K5="C+",2.5,IF(K5="C",2,IF(K5="D+",1.5,IF(K5="D",1,IF(K5="F",0,"")))))))))))</calculatedColumnFormula>
    </tableColumn>
    <tableColumn id="12" name="S/U" dataDxfId="3"/>
    <tableColumn id="13" name="Effective MCs" dataDxfId="2">
      <calculatedColumnFormula>IF(M5="N",SUM(D5:I5),IF(M5="Y",IF(L5&lt;2,0,SUM(D5:I5)),""))</calculatedColumnFormula>
    </tableColumn>
    <tableColumn id="14" name="MC Footprint" dataDxfId="1">
      <calculatedColumnFormula>IF(M5="Y",0,N5)</calculatedColumnFormula>
    </tableColumn>
    <tableColumn id="15" name="Module Weight" dataDxfId="0">
      <calculatedColumnFormula>IF(OR(L5="",O5=""),"",O5*L5)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ugenecys/NUS-Module-Planner/issue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F69"/>
  <sheetViews>
    <sheetView tabSelected="1" topLeftCell="G22" zoomScale="80" zoomScaleNormal="80" workbookViewId="0">
      <selection activeCell="Q49" sqref="Q49"/>
    </sheetView>
  </sheetViews>
  <sheetFormatPr defaultRowHeight="15" x14ac:dyDescent="0.25"/>
  <cols>
    <col min="2" max="2" width="17.28515625" customWidth="1"/>
    <col min="3" max="3" width="20.7109375" customWidth="1"/>
    <col min="4" max="9" width="17" customWidth="1"/>
    <col min="10" max="10" width="11.5703125" customWidth="1"/>
    <col min="11" max="11" width="8.5703125" customWidth="1"/>
    <col min="12" max="12" width="14" customWidth="1"/>
    <col min="13" max="13" width="7.140625" customWidth="1"/>
    <col min="14" max="14" width="15.42578125" customWidth="1"/>
    <col min="15" max="15" width="14.7109375" customWidth="1"/>
    <col min="16" max="16" width="16.85546875" customWidth="1"/>
    <col min="19" max="32" width="10.7109375" customWidth="1"/>
  </cols>
  <sheetData>
    <row r="2" spans="2:32" x14ac:dyDescent="0.25">
      <c r="B2" t="s">
        <v>61</v>
      </c>
    </row>
    <row r="3" spans="2:32" ht="15.75" thickBot="1" x14ac:dyDescent="0.3">
      <c r="B3" t="s">
        <v>63</v>
      </c>
    </row>
    <row r="4" spans="2:32" ht="30.75" customHeight="1" thickBot="1" x14ac:dyDescent="0.3">
      <c r="B4" s="40" t="s">
        <v>0</v>
      </c>
      <c r="C4" s="41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31</v>
      </c>
      <c r="I4" s="42" t="s">
        <v>49</v>
      </c>
      <c r="J4" s="43" t="s">
        <v>67</v>
      </c>
      <c r="K4" s="44" t="s">
        <v>9</v>
      </c>
      <c r="L4" s="45" t="s">
        <v>34</v>
      </c>
      <c r="M4" s="46" t="s">
        <v>37</v>
      </c>
      <c r="N4" s="47" t="s">
        <v>38</v>
      </c>
      <c r="O4" s="47" t="s">
        <v>48</v>
      </c>
      <c r="P4" s="47" t="s">
        <v>69</v>
      </c>
      <c r="S4" s="137" t="s">
        <v>40</v>
      </c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9"/>
    </row>
    <row r="5" spans="2:32" ht="15" customHeight="1" x14ac:dyDescent="0.25">
      <c r="B5" s="87" t="s">
        <v>6</v>
      </c>
      <c r="C5" s="88" t="s">
        <v>91</v>
      </c>
      <c r="D5" s="89">
        <v>5</v>
      </c>
      <c r="E5" s="89"/>
      <c r="F5" s="89"/>
      <c r="G5" s="89"/>
      <c r="H5" s="89"/>
      <c r="I5" s="89"/>
      <c r="J5" s="97">
        <v>1</v>
      </c>
      <c r="K5" s="84" t="s">
        <v>32</v>
      </c>
      <c r="L5" s="2">
        <f t="shared" ref="L5:L36" si="0">IF(K5="A+",5,IF(K5="A",5,IF(K5="A-",4.5,IF(K5="B+",4,IF(K5="B",3.5,IF(K5="B-",3,IF(K5="C+",2.5,IF(K5="C",2,IF(K5="D+",1.5,IF(K5="D",1,IF(K5="F",0,"")))))))))))</f>
        <v>5</v>
      </c>
      <c r="M5" s="82" t="s">
        <v>87</v>
      </c>
      <c r="N5" s="3">
        <f t="shared" ref="N5:N36" si="1">IF(M5="N",SUM(D5:I5),IF(M5="Y",IF(L5&lt;2,0,SUM(D5:I5)),""))</f>
        <v>5</v>
      </c>
      <c r="O5" s="3">
        <f t="shared" ref="O5:O36" si="2">IF(M5="Y",0,N5)</f>
        <v>0</v>
      </c>
      <c r="P5" s="3">
        <f t="shared" ref="P5:P36" si="3">IF(OR(L5="",O5=""),"",O5*L5)</f>
        <v>0</v>
      </c>
      <c r="S5" s="73" t="s">
        <v>42</v>
      </c>
      <c r="T5" s="74" t="s">
        <v>32</v>
      </c>
      <c r="U5" s="74" t="s">
        <v>35</v>
      </c>
      <c r="V5" s="74" t="s">
        <v>41</v>
      </c>
      <c r="W5" s="74" t="s">
        <v>33</v>
      </c>
      <c r="X5" s="74" t="s">
        <v>36</v>
      </c>
      <c r="Y5" s="74" t="s">
        <v>43</v>
      </c>
      <c r="Z5" s="74" t="s">
        <v>44</v>
      </c>
      <c r="AA5" s="74" t="s">
        <v>45</v>
      </c>
      <c r="AB5" s="74" t="s">
        <v>39</v>
      </c>
      <c r="AC5" s="74" t="s">
        <v>46</v>
      </c>
      <c r="AD5" s="75" t="s">
        <v>53</v>
      </c>
      <c r="AE5" s="131" t="s">
        <v>47</v>
      </c>
      <c r="AF5" s="134">
        <f>IF(SUM(O5:O64)=0,0,ROUND(SUM(P5:P64)/SUM(O5:O64),2))</f>
        <v>5</v>
      </c>
    </row>
    <row r="6" spans="2:32" ht="15.75" thickBot="1" x14ac:dyDescent="0.3">
      <c r="B6" s="90" t="s">
        <v>10</v>
      </c>
      <c r="C6" s="91" t="s">
        <v>12</v>
      </c>
      <c r="D6" s="92">
        <v>4</v>
      </c>
      <c r="E6" s="92"/>
      <c r="F6" s="92"/>
      <c r="G6" s="92"/>
      <c r="H6" s="92"/>
      <c r="I6" s="92"/>
      <c r="J6" s="98">
        <v>1</v>
      </c>
      <c r="K6" s="85" t="s">
        <v>33</v>
      </c>
      <c r="L6" s="2">
        <f t="shared" si="0"/>
        <v>3.5</v>
      </c>
      <c r="M6" s="82" t="s">
        <v>87</v>
      </c>
      <c r="N6" s="3">
        <f t="shared" si="1"/>
        <v>4</v>
      </c>
      <c r="O6" s="3">
        <f t="shared" si="2"/>
        <v>0</v>
      </c>
      <c r="P6" s="13">
        <f t="shared" si="3"/>
        <v>0</v>
      </c>
      <c r="S6" s="76">
        <f>COUNTIF(MainTable[Grade],S5)</f>
        <v>0</v>
      </c>
      <c r="T6" s="77">
        <f>COUNTIF(MainTable[Grade],T5)</f>
        <v>2</v>
      </c>
      <c r="U6" s="77">
        <f>COUNTIF(MainTable[Grade],U5)</f>
        <v>0</v>
      </c>
      <c r="V6" s="77">
        <f>COUNTIF(MainTable[Grade],V5)</f>
        <v>2</v>
      </c>
      <c r="W6" s="77">
        <f>COUNTIF(MainTable[Grade],W5)</f>
        <v>1</v>
      </c>
      <c r="X6" s="77">
        <f>COUNTIF(MainTable[Grade],X5)</f>
        <v>1</v>
      </c>
      <c r="Y6" s="77">
        <f>COUNTIF(MainTable[Grade],Y5)</f>
        <v>1</v>
      </c>
      <c r="Z6" s="77">
        <f>COUNTIF(MainTable[Grade],Z5)</f>
        <v>0</v>
      </c>
      <c r="AA6" s="77">
        <f>COUNTIF(MainTable[Grade],AA5)</f>
        <v>1</v>
      </c>
      <c r="AB6" s="77">
        <f>COUNTIF(MainTable[Grade],AB5)</f>
        <v>1</v>
      </c>
      <c r="AC6" s="77">
        <f>COUNTIF(MainTable[Grade],AC5)</f>
        <v>1</v>
      </c>
      <c r="AD6" s="78">
        <f>COUNTIF(MainTable[Grade],AD5)</f>
        <v>0</v>
      </c>
      <c r="AE6" s="132"/>
      <c r="AF6" s="135"/>
    </row>
    <row r="7" spans="2:32" x14ac:dyDescent="0.25">
      <c r="B7" s="90" t="s">
        <v>11</v>
      </c>
      <c r="C7" s="91" t="s">
        <v>12</v>
      </c>
      <c r="D7" s="92">
        <v>4</v>
      </c>
      <c r="E7" s="92"/>
      <c r="F7" s="92"/>
      <c r="G7" s="92"/>
      <c r="H7" s="92"/>
      <c r="I7" s="92"/>
      <c r="J7" s="98">
        <v>1</v>
      </c>
      <c r="K7" s="85" t="s">
        <v>36</v>
      </c>
      <c r="L7" s="2">
        <f t="shared" si="0"/>
        <v>3</v>
      </c>
      <c r="M7" s="82" t="s">
        <v>87</v>
      </c>
      <c r="N7" s="3">
        <f t="shared" si="1"/>
        <v>4</v>
      </c>
      <c r="O7" s="3">
        <f t="shared" si="2"/>
        <v>0</v>
      </c>
      <c r="P7" s="13">
        <f t="shared" si="3"/>
        <v>0</v>
      </c>
      <c r="S7" s="145" t="s">
        <v>68</v>
      </c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7"/>
      <c r="AE7" s="132"/>
      <c r="AF7" s="135"/>
    </row>
    <row r="8" spans="2:32" ht="15.75" thickBot="1" x14ac:dyDescent="0.3">
      <c r="B8" s="90" t="s">
        <v>8</v>
      </c>
      <c r="C8" s="91" t="s">
        <v>91</v>
      </c>
      <c r="D8" s="92">
        <v>4</v>
      </c>
      <c r="E8" s="92"/>
      <c r="F8" s="92"/>
      <c r="G8" s="92"/>
      <c r="H8" s="92"/>
      <c r="I8" s="92"/>
      <c r="J8" s="98">
        <v>1</v>
      </c>
      <c r="K8" s="85" t="s">
        <v>41</v>
      </c>
      <c r="L8" s="2">
        <f t="shared" si="0"/>
        <v>4</v>
      </c>
      <c r="M8" s="82" t="s">
        <v>87</v>
      </c>
      <c r="N8" s="3">
        <f t="shared" si="1"/>
        <v>4</v>
      </c>
      <c r="O8" s="3">
        <f t="shared" si="2"/>
        <v>0</v>
      </c>
      <c r="P8" s="13">
        <f t="shared" si="3"/>
        <v>0</v>
      </c>
      <c r="S8" s="148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50"/>
      <c r="AE8" s="132"/>
      <c r="AF8" s="135"/>
    </row>
    <row r="9" spans="2:32" ht="15.75" thickBot="1" x14ac:dyDescent="0.3">
      <c r="B9" s="90" t="s">
        <v>13</v>
      </c>
      <c r="C9" s="91" t="s">
        <v>14</v>
      </c>
      <c r="D9" s="92">
        <v>4</v>
      </c>
      <c r="E9" s="92"/>
      <c r="F9" s="92"/>
      <c r="G9" s="92"/>
      <c r="H9" s="92"/>
      <c r="I9" s="92"/>
      <c r="J9" s="98">
        <v>1</v>
      </c>
      <c r="K9" s="85" t="s">
        <v>43</v>
      </c>
      <c r="L9" s="2">
        <f t="shared" si="0"/>
        <v>2.5</v>
      </c>
      <c r="M9" s="82" t="s">
        <v>87</v>
      </c>
      <c r="N9" s="3">
        <f t="shared" si="1"/>
        <v>4</v>
      </c>
      <c r="O9" s="3">
        <f t="shared" si="2"/>
        <v>0</v>
      </c>
      <c r="P9" s="13">
        <f t="shared" si="3"/>
        <v>0</v>
      </c>
      <c r="S9" s="151"/>
      <c r="T9" s="152"/>
      <c r="U9" s="7">
        <v>1</v>
      </c>
      <c r="V9" s="7">
        <v>2</v>
      </c>
      <c r="W9" s="7">
        <v>3</v>
      </c>
      <c r="X9" s="7">
        <v>4</v>
      </c>
      <c r="Y9" s="7">
        <v>5</v>
      </c>
      <c r="Z9" s="7">
        <v>6</v>
      </c>
      <c r="AA9" s="7">
        <v>7</v>
      </c>
      <c r="AB9" s="7">
        <v>8</v>
      </c>
      <c r="AC9" s="7">
        <v>9</v>
      </c>
      <c r="AD9" s="10">
        <v>10</v>
      </c>
      <c r="AE9" s="132"/>
      <c r="AF9" s="135"/>
    </row>
    <row r="10" spans="2:32" x14ac:dyDescent="0.25">
      <c r="B10" s="90" t="s">
        <v>16</v>
      </c>
      <c r="C10" s="91" t="s">
        <v>91</v>
      </c>
      <c r="D10" s="92"/>
      <c r="E10" s="92">
        <v>4</v>
      </c>
      <c r="F10" s="92"/>
      <c r="G10" s="92"/>
      <c r="H10" s="92"/>
      <c r="I10" s="92"/>
      <c r="J10" s="98">
        <v>2</v>
      </c>
      <c r="K10" s="85" t="s">
        <v>39</v>
      </c>
      <c r="L10" s="2">
        <f t="shared" si="0"/>
        <v>1</v>
      </c>
      <c r="M10" s="82" t="s">
        <v>87</v>
      </c>
      <c r="N10" s="3">
        <f t="shared" si="1"/>
        <v>0</v>
      </c>
      <c r="O10" s="3">
        <f t="shared" si="2"/>
        <v>0</v>
      </c>
      <c r="P10" s="13">
        <f t="shared" si="3"/>
        <v>0</v>
      </c>
      <c r="S10" s="153" t="s">
        <v>64</v>
      </c>
      <c r="T10" s="154"/>
      <c r="U10" s="8">
        <f>SUMIFS(MainTable[Effective MCs],MainTable[Semester],U9)</f>
        <v>21</v>
      </c>
      <c r="V10" s="8">
        <f>SUMIFS(MainTable[Effective MCs],MainTable[Semester],V9)</f>
        <v>0</v>
      </c>
      <c r="W10" s="8">
        <f>SUMIFS(MainTable[Effective MCs],MainTable[Semester],W9)</f>
        <v>0</v>
      </c>
      <c r="X10" s="8">
        <f>SUMIFS(MainTable[Effective MCs],MainTable[Semester],X9)</f>
        <v>4</v>
      </c>
      <c r="Y10" s="8">
        <f>SUMIFS(MainTable[Effective MCs],MainTable[Semester],Y9)</f>
        <v>4</v>
      </c>
      <c r="Z10" s="8">
        <f>SUMIFS(MainTable[Effective MCs],MainTable[Semester],Z9)</f>
        <v>0</v>
      </c>
      <c r="AA10" s="8">
        <f>SUMIFS(MainTable[Effective MCs],MainTable[Semester],AA9)</f>
        <v>0</v>
      </c>
      <c r="AB10" s="8">
        <f>SUMIFS(MainTable[Effective MCs],MainTable[Semester],AB9)</f>
        <v>0</v>
      </c>
      <c r="AC10" s="8">
        <f>SUMIFS(MainTable[Effective MCs],MainTable[Semester],AC9)</f>
        <v>0</v>
      </c>
      <c r="AD10" s="11">
        <f>SUMIFS(MainTable[Effective MCs],MainTable[Semester],AD9)</f>
        <v>0</v>
      </c>
      <c r="AE10" s="132"/>
      <c r="AF10" s="135"/>
    </row>
    <row r="11" spans="2:32" ht="15.75" thickBot="1" x14ac:dyDescent="0.3">
      <c r="B11" s="90" t="s">
        <v>17</v>
      </c>
      <c r="C11" s="91" t="s">
        <v>12</v>
      </c>
      <c r="D11" s="92">
        <v>4</v>
      </c>
      <c r="E11" s="92"/>
      <c r="F11" s="92"/>
      <c r="G11" s="92"/>
      <c r="H11" s="92"/>
      <c r="I11" s="92"/>
      <c r="J11" s="98">
        <v>2</v>
      </c>
      <c r="K11" s="85" t="s">
        <v>45</v>
      </c>
      <c r="L11" s="2">
        <f t="shared" si="0"/>
        <v>1.5</v>
      </c>
      <c r="M11" s="82" t="s">
        <v>87</v>
      </c>
      <c r="N11" s="3">
        <f t="shared" si="1"/>
        <v>0</v>
      </c>
      <c r="O11" s="3">
        <f t="shared" si="2"/>
        <v>0</v>
      </c>
      <c r="P11" s="13">
        <f t="shared" si="3"/>
        <v>0</v>
      </c>
      <c r="S11" s="155" t="s">
        <v>88</v>
      </c>
      <c r="T11" s="156"/>
      <c r="U11" s="9">
        <f>IF(SUMIFS(MainTable[MC Footprint],MainTable[Semester],U9)=0,0,IF(U10=0,0,ROUND(SUMIFS(MainTable[Module Weight],MainTable[Semester],U9)/SUMIFS(MainTable[MC Footprint],MainTable[Semester],U9),2)))</f>
        <v>0</v>
      </c>
      <c r="V11" s="9">
        <f>IF(SUMIFS(MainTable[MC Footprint],MainTable[Semester],V9)=0,0,IF(V10=0,0,ROUND(SUMIFS(MainTable[Module Weight],MainTable[Semester],V9)/SUMIFS(MainTable[MC Footprint],MainTable[Semester],V9),2)))</f>
        <v>0</v>
      </c>
      <c r="W11" s="9">
        <f>IF(SUMIFS(MainTable[MC Footprint],MainTable[Semester],W9)=0,0,IF(W10=0,0,ROUND(SUMIFS(MainTable[Module Weight],MainTable[Semester],W9)/SUMIFS(MainTable[MC Footprint],MainTable[Semester],W9),2)))</f>
        <v>0</v>
      </c>
      <c r="X11" s="9">
        <f>IF(SUMIFS(MainTable[MC Footprint],MainTable[Semester],X9)=0,0,IF(X10=0,0,ROUND(SUMIFS(MainTable[Module Weight],MainTable[Semester],X9)/SUMIFS(MainTable[MC Footprint],MainTable[Semester],X9),2)))</f>
        <v>5</v>
      </c>
      <c r="Y11" s="9">
        <f>IF(SUMIFS(MainTable[MC Footprint],MainTable[Semester],Y9)=0,0,IF(Y10=0,0,ROUND(SUMIFS(MainTable[Module Weight],MainTable[Semester],Y9)/SUMIFS(MainTable[MC Footprint],MainTable[Semester],Y9),2)))</f>
        <v>0</v>
      </c>
      <c r="Z11" s="9">
        <f>IF(SUMIFS(MainTable[MC Footprint],MainTable[Semester],Z9)=0,0,IF(Z10=0,0,ROUND(SUMIFS(MainTable[Module Weight],MainTable[Semester],Z9)/SUMIFS(MainTable[MC Footprint],MainTable[Semester],Z9),2)))</f>
        <v>0</v>
      </c>
      <c r="AA11" s="9">
        <f>IF(SUMIFS(MainTable[MC Footprint],MainTable[Semester],AA9)=0,0,IF(AA10=0,0,ROUND(SUMIFS(MainTable[Module Weight],MainTable[Semester],AA9)/SUMIFS(MainTable[MC Footprint],MainTable[Semester],AA9),2)))</f>
        <v>0</v>
      </c>
      <c r="AB11" s="9">
        <f>IF(SUMIFS(MainTable[MC Footprint],MainTable[Semester],AB9)=0,0,IF(AB10=0,0,ROUND(SUMIFS(MainTable[Module Weight],MainTable[Semester],AB9)/SUMIFS(MainTable[MC Footprint],MainTable[Semester],AB9),2)))</f>
        <v>0</v>
      </c>
      <c r="AC11" s="9">
        <f>IF(SUMIFS(MainTable[MC Footprint],MainTable[Semester],AC9)=0,0,IF(AC10=0,0,ROUND(SUMIFS(MainTable[Module Weight],MainTable[Semester],AC9)/SUMIFS(MainTable[MC Footprint],MainTable[Semester],AC9),2)))</f>
        <v>0</v>
      </c>
      <c r="AD11" s="12">
        <f>IF(SUMIFS(MainTable[MC Footprint],MainTable[Semester],AD9)=0,0,IF(AD10=0,0,ROUND(SUMIFS(MainTable[Module Weight],MainTable[Semester],AD9)/SUMIFS(MainTable[MC Footprint],MainTable[Semester],AD9),2)))</f>
        <v>0</v>
      </c>
      <c r="AE11" s="133"/>
      <c r="AF11" s="136"/>
    </row>
    <row r="12" spans="2:32" ht="15" customHeight="1" thickBot="1" x14ac:dyDescent="0.3">
      <c r="B12" s="90" t="s">
        <v>66</v>
      </c>
      <c r="C12" s="91" t="s">
        <v>50</v>
      </c>
      <c r="D12" s="93"/>
      <c r="E12" s="92">
        <v>4</v>
      </c>
      <c r="F12" s="92"/>
      <c r="G12" s="92"/>
      <c r="H12" s="92"/>
      <c r="I12" s="92"/>
      <c r="J12" s="98">
        <v>2</v>
      </c>
      <c r="K12" s="85" t="s">
        <v>46</v>
      </c>
      <c r="L12" s="2">
        <f t="shared" si="0"/>
        <v>0</v>
      </c>
      <c r="M12" s="82" t="s">
        <v>87</v>
      </c>
      <c r="N12" s="3">
        <f t="shared" si="1"/>
        <v>0</v>
      </c>
      <c r="O12" s="3">
        <f t="shared" si="2"/>
        <v>0</v>
      </c>
      <c r="P12" s="13">
        <f t="shared" si="3"/>
        <v>0</v>
      </c>
      <c r="S12" s="6" t="s">
        <v>54</v>
      </c>
      <c r="T12" s="18" t="s">
        <v>52</v>
      </c>
      <c r="U12" s="19" t="s">
        <v>15</v>
      </c>
      <c r="V12" s="157" t="s">
        <v>7</v>
      </c>
      <c r="W12" s="158"/>
      <c r="X12" s="21"/>
      <c r="Y12" s="144" t="s">
        <v>51</v>
      </c>
      <c r="Z12" s="143"/>
      <c r="AA12" s="56" t="s">
        <v>52</v>
      </c>
      <c r="AB12" s="79" t="s">
        <v>15</v>
      </c>
      <c r="AC12" s="142" t="s">
        <v>108</v>
      </c>
      <c r="AD12" s="143"/>
      <c r="AE12" s="17" t="s">
        <v>106</v>
      </c>
      <c r="AF12" s="57" t="s">
        <v>107</v>
      </c>
    </row>
    <row r="13" spans="2:32" x14ac:dyDescent="0.25">
      <c r="B13" s="90" t="s">
        <v>24</v>
      </c>
      <c r="C13" s="91" t="s">
        <v>12</v>
      </c>
      <c r="D13" s="93"/>
      <c r="E13" s="92">
        <v>4</v>
      </c>
      <c r="F13" s="92"/>
      <c r="G13" s="92"/>
      <c r="H13" s="92"/>
      <c r="I13" s="92"/>
      <c r="J13" s="98">
        <v>2</v>
      </c>
      <c r="K13" s="85"/>
      <c r="L13" s="2" t="str">
        <f t="shared" si="0"/>
        <v/>
      </c>
      <c r="M13" s="82"/>
      <c r="N13" s="3" t="str">
        <f t="shared" si="1"/>
        <v/>
      </c>
      <c r="O13" s="3" t="str">
        <f t="shared" si="2"/>
        <v/>
      </c>
      <c r="P13" s="13" t="str">
        <f t="shared" si="3"/>
        <v/>
      </c>
      <c r="S13" s="65" t="s">
        <v>55</v>
      </c>
      <c r="T13" s="66">
        <f>SUM(MainTable[Level 1000 MCs])</f>
        <v>45</v>
      </c>
      <c r="U13" s="68">
        <f>SUMIFS(MainTable[Level 1000 MCs],MainTable[Effective MCs],"&gt;0")</f>
        <v>21</v>
      </c>
      <c r="V13" s="140" t="s">
        <v>64</v>
      </c>
      <c r="W13" s="141"/>
      <c r="X13" s="53">
        <f>SUM(MainTable[Effective MCs])</f>
        <v>29</v>
      </c>
      <c r="Y13" s="51" t="str">
        <f t="array" ref="Y13">IFERROR(INDEX(MainTable[Type], MATCH(MIN(_xlfn.MODE.MULT(IF((MainTable[Type]&lt;&gt;"")*NOT(COUNTIF($Y$12:$Y12, MainTable[Type])), (COUNTIF(MainTable[Type], "&lt;"&amp;MainTable[Type])+1)*{1,1}))), IF((MainTable[Type]&lt;&gt;""),COUNTIF(MainTable[Type], "&lt;"&amp;MainTable[Type])+{1}), 0)), "")</f>
        <v>Focus Area</v>
      </c>
      <c r="Z13" s="58"/>
      <c r="AA13" s="63">
        <f>IF(Y13="","",COUNTIF(MainTable[Type],Y13))</f>
        <v>8</v>
      </c>
      <c r="AB13" s="59">
        <f>IF(AA13="","",COUNTIFS(MainTable[Type],Y13,MainTable[Effective MCs],"&gt;0"))</f>
        <v>1</v>
      </c>
      <c r="AC13" s="159">
        <f>IF(Y13="","",IF(SUM(MainTable[Module Weight])=0,0,ROUND(SUMIFS(MainTable[Module Weight],MainTable[Type],Y13)/SUM(MainTable[Module Weight]),2)))</f>
        <v>1</v>
      </c>
      <c r="AD13" s="159"/>
      <c r="AE13" s="103">
        <f>IF(AA13="","",AB13/AA13)</f>
        <v>0.125</v>
      </c>
      <c r="AF13" s="57">
        <f>IF(Y13="","",IF(SUMIFS(MainTable[MC Footprint],MainTable[Type],Y13)=0,"-",ROUND(SUMIFS(MainTable[Module Weight],MainTable[Type],Y13)/SUMIFS(MainTable[MC Footprint],MainTable[Type],Y13),2)))</f>
        <v>5</v>
      </c>
    </row>
    <row r="14" spans="2:32" x14ac:dyDescent="0.25">
      <c r="B14" s="90" t="s">
        <v>75</v>
      </c>
      <c r="C14" s="91" t="s">
        <v>62</v>
      </c>
      <c r="D14" s="92"/>
      <c r="E14" s="92">
        <v>1</v>
      </c>
      <c r="F14" s="92"/>
      <c r="G14" s="92"/>
      <c r="H14" s="92"/>
      <c r="I14" s="92"/>
      <c r="J14" s="98">
        <v>3</v>
      </c>
      <c r="K14" s="85"/>
      <c r="L14" s="2" t="str">
        <f t="shared" si="0"/>
        <v/>
      </c>
      <c r="M14" s="82"/>
      <c r="N14" s="3" t="str">
        <f t="shared" si="1"/>
        <v/>
      </c>
      <c r="O14" s="3" t="str">
        <f t="shared" si="2"/>
        <v/>
      </c>
      <c r="P14" s="13" t="str">
        <f t="shared" si="3"/>
        <v/>
      </c>
      <c r="S14" s="52" t="s">
        <v>56</v>
      </c>
      <c r="T14" s="20">
        <f>SUM(MainTable[Level 2000 MCs])</f>
        <v>37</v>
      </c>
      <c r="U14" s="69">
        <f>SUMIFS(MainTable[Level 2000 MCs],MainTable[Effective MCs],"&gt;0")</f>
        <v>4</v>
      </c>
      <c r="V14" s="109" t="s">
        <v>89</v>
      </c>
      <c r="W14" s="110"/>
      <c r="X14" s="53">
        <f>COUNTA(MainTable[Grade])</f>
        <v>10</v>
      </c>
      <c r="Y14" s="50" t="str">
        <f t="array" ref="Y14">IFERROR(INDEX(MainTable[Type], MATCH(MIN(_xlfn.MODE.MULT(IF((MainTable[Type]&lt;&gt;"")*NOT(COUNTIF($Y$12:$Y13, MainTable[Type])), (COUNTIF(MainTable[Type], "&lt;"&amp;MainTable[Type])+1)*{1,1}))), IF((MainTable[Type]&lt;&gt;""),COUNTIF(MainTable[Type], "&lt;"&amp;MainTable[Type])+{1}), 0)), "")</f>
        <v>Foundation</v>
      </c>
      <c r="Z14" s="54"/>
      <c r="AA14" s="22">
        <f>IF(Y14="","",COUNTIF(MainTable[Type],Y14))</f>
        <v>8</v>
      </c>
      <c r="AB14" s="55">
        <f>IF(AA14="","",COUNTIFS(MainTable[Type],Y14,MainTable[Effective MCs],"&gt;0"))</f>
        <v>3</v>
      </c>
      <c r="AC14" s="117">
        <f>IF(Y14="","",IF(SUM(MainTable[Module Weight])=0,0,ROUND(SUMIFS(MainTable[Module Weight],MainTable[Type],Y14)/SUM(MainTable[Module Weight]),2)))</f>
        <v>0</v>
      </c>
      <c r="AD14" s="117"/>
      <c r="AE14" s="104">
        <f t="shared" ref="AE14:AE24" si="4">IF(AA14="","",AB14/AA14)</f>
        <v>0.375</v>
      </c>
      <c r="AF14" s="100" t="str">
        <f>IF(Y14="","",IF(SUMIFS(MainTable[MC Footprint],MainTable[Type],Y14)=0,"-",ROUND(SUMIFS(MainTable[Module Weight],MainTable[Type],Y14)/SUMIFS(MainTable[MC Footprint],MainTable[Type],Y14),2)))</f>
        <v>-</v>
      </c>
    </row>
    <row r="15" spans="2:32" x14ac:dyDescent="0.25">
      <c r="B15" s="90" t="s">
        <v>74</v>
      </c>
      <c r="C15" s="91" t="s">
        <v>12</v>
      </c>
      <c r="D15" s="92">
        <v>4</v>
      </c>
      <c r="E15" s="92"/>
      <c r="F15" s="92"/>
      <c r="G15" s="92"/>
      <c r="H15" s="92"/>
      <c r="I15" s="92"/>
      <c r="J15" s="98">
        <v>3</v>
      </c>
      <c r="K15" s="85"/>
      <c r="L15" s="2" t="str">
        <f t="shared" si="0"/>
        <v/>
      </c>
      <c r="M15" s="82"/>
      <c r="N15" s="3" t="str">
        <f t="shared" si="1"/>
        <v/>
      </c>
      <c r="O15" s="3" t="str">
        <f t="shared" si="2"/>
        <v/>
      </c>
      <c r="P15" s="13" t="str">
        <f t="shared" si="3"/>
        <v/>
      </c>
      <c r="S15" s="52" t="s">
        <v>57</v>
      </c>
      <c r="T15" s="20">
        <f>SUM(MainTable[Level 3000 MCs])</f>
        <v>40</v>
      </c>
      <c r="U15" s="69">
        <f>SUMIFS(MainTable[Level 3000 MCs],MainTable[Effective MCs],"&gt;0")</f>
        <v>4</v>
      </c>
      <c r="V15" s="109" t="s">
        <v>65</v>
      </c>
      <c r="W15" s="110"/>
      <c r="X15" s="53">
        <f>SUM(T13:T26)</f>
        <v>154</v>
      </c>
      <c r="Y15" s="50" t="str">
        <f t="array" ref="Y15">IFERROR(INDEX(MainTable[Type], MATCH(MIN(_xlfn.MODE.MULT(IF((MainTable[Type]&lt;&gt;"")*NOT(COUNTIF($Y$12:$Y14, MainTable[Type])), (COUNTIF(MainTable[Type], "&lt;"&amp;MainTable[Type])+1)*{1,1}))), IF((MainTable[Type]&lt;&gt;""),COUNTIF(MainTable[Type], "&lt;"&amp;MainTable[Type])+{1}), 0)), "")</f>
        <v>UE</v>
      </c>
      <c r="Z15" s="54"/>
      <c r="AA15" s="22">
        <f>IF(Y15="","",COUNTIF(MainTable[Type],Y15))</f>
        <v>7</v>
      </c>
      <c r="AB15" s="55">
        <f>IF(AA15="","",COUNTIFS(MainTable[Type],Y15,MainTable[Effective MCs],"&gt;0"))</f>
        <v>0</v>
      </c>
      <c r="AC15" s="117">
        <f>IF(Y15="","",IF(SUM(MainTable[Module Weight])=0,0,ROUND(SUMIFS(MainTable[Module Weight],MainTable[Type],Y15)/SUM(MainTable[Module Weight]),2)))</f>
        <v>0</v>
      </c>
      <c r="AD15" s="117"/>
      <c r="AE15" s="104">
        <f t="shared" si="4"/>
        <v>0</v>
      </c>
      <c r="AF15" s="100" t="str">
        <f>IF(Y15="","",IF(SUMIFS(MainTable[MC Footprint],MainTable[Type],Y15)=0,"-",ROUND(SUMIFS(MainTable[Module Weight],MainTable[Type],Y15)/SUMIFS(MainTable[MC Footprint],MainTable[Type],Y15),2)))</f>
        <v>-</v>
      </c>
    </row>
    <row r="16" spans="2:32" x14ac:dyDescent="0.25">
      <c r="B16" s="90" t="s">
        <v>18</v>
      </c>
      <c r="C16" s="91" t="s">
        <v>92</v>
      </c>
      <c r="D16" s="92"/>
      <c r="E16" s="92">
        <v>4</v>
      </c>
      <c r="F16" s="92"/>
      <c r="G16" s="92"/>
      <c r="H16" s="92"/>
      <c r="I16" s="92"/>
      <c r="J16" s="98">
        <v>3</v>
      </c>
      <c r="K16" s="85"/>
      <c r="L16" s="2" t="str">
        <f t="shared" si="0"/>
        <v/>
      </c>
      <c r="M16" s="82"/>
      <c r="N16" s="3" t="str">
        <f t="shared" si="1"/>
        <v/>
      </c>
      <c r="O16" s="3" t="str">
        <f t="shared" si="2"/>
        <v/>
      </c>
      <c r="P16" s="13" t="str">
        <f t="shared" si="3"/>
        <v/>
      </c>
      <c r="S16" s="52" t="s">
        <v>58</v>
      </c>
      <c r="T16" s="20">
        <f>SUM(MainTable[Level 4000 MCs])</f>
        <v>28</v>
      </c>
      <c r="U16" s="69">
        <f>SUMIFS(MainTable[Level 4000 MCs],MainTable[Effective MCs],"&gt;0")</f>
        <v>0</v>
      </c>
      <c r="V16" s="109" t="s">
        <v>90</v>
      </c>
      <c r="W16" s="110"/>
      <c r="X16" s="53">
        <f>COUNTA(MainTable[Module code])</f>
        <v>38</v>
      </c>
      <c r="Y16" s="50" t="str">
        <f t="array" ref="Y16">IFERROR(INDEX(MainTable[Type], MATCH(MIN(_xlfn.MODE.MULT(IF((MainTable[Type]&lt;&gt;"")*NOT(COUNTIF($Y$12:$Y15, MainTable[Type])), (COUNTIF(MainTable[Type], "&lt;"&amp;MainTable[Type])+1)*{1,1}))), IF((MainTable[Type]&lt;&gt;""),COUNTIF(MainTable[Type], "&lt;"&amp;MainTable[Type])+{1}), 0)), "")</f>
        <v>Science</v>
      </c>
      <c r="Z16" s="54"/>
      <c r="AA16" s="22">
        <f>IF(Y16="","",COUNTIF(MainTable[Type],Y16))</f>
        <v>5</v>
      </c>
      <c r="AB16" s="55">
        <f>IF(AA16="","",COUNTIFS(MainTable[Type],Y16,MainTable[Effective MCs],"&gt;0"))</f>
        <v>2</v>
      </c>
      <c r="AC16" s="117">
        <f>IF(Y16="","",IF(SUM(MainTable[Module Weight])=0,0,ROUND(SUMIFS(MainTable[Module Weight],MainTable[Type],Y16)/SUM(MainTable[Module Weight]),2)))</f>
        <v>0</v>
      </c>
      <c r="AD16" s="117"/>
      <c r="AE16" s="104">
        <f t="shared" si="4"/>
        <v>0.4</v>
      </c>
      <c r="AF16" s="100" t="str">
        <f>IF(Y16="","",IF(SUMIFS(MainTable[MC Footprint],MainTable[Type],Y16)=0,"-",ROUND(SUMIFS(MainTable[Module Weight],MainTable[Type],Y16)/SUMIFS(MainTable[MC Footprint],MainTable[Type],Y16),2)))</f>
        <v>-</v>
      </c>
    </row>
    <row r="17" spans="2:32" x14ac:dyDescent="0.25">
      <c r="B17" s="90" t="s">
        <v>73</v>
      </c>
      <c r="C17" s="91" t="s">
        <v>25</v>
      </c>
      <c r="D17" s="92">
        <v>4</v>
      </c>
      <c r="E17" s="92"/>
      <c r="F17" s="92"/>
      <c r="G17" s="92"/>
      <c r="H17" s="92"/>
      <c r="I17" s="92"/>
      <c r="J17" s="98">
        <v>3</v>
      </c>
      <c r="K17" s="85"/>
      <c r="L17" s="2" t="str">
        <f t="shared" si="0"/>
        <v/>
      </c>
      <c r="M17" s="82"/>
      <c r="N17" s="3" t="str">
        <f t="shared" si="1"/>
        <v/>
      </c>
      <c r="O17" s="3" t="str">
        <f t="shared" si="2"/>
        <v/>
      </c>
      <c r="P17" s="13" t="str">
        <f t="shared" si="3"/>
        <v/>
      </c>
      <c r="S17" s="52" t="s">
        <v>59</v>
      </c>
      <c r="T17" s="20">
        <f>SUM(MainTable[Level 5000 MCs])</f>
        <v>4</v>
      </c>
      <c r="U17" s="69">
        <f>SUMIFS(MainTable[Level 5000 MCs],MainTable[Effective MCs],"&gt;0")</f>
        <v>0</v>
      </c>
      <c r="V17" s="109" t="s">
        <v>105</v>
      </c>
      <c r="W17" s="110"/>
      <c r="X17" s="80">
        <f>COUNTIF(MainTable[S/U],"Y")</f>
        <v>9</v>
      </c>
      <c r="Y17" s="50" t="str">
        <f t="array" ref="Y17">IFERROR(INDEX(MainTable[Type], MATCH(MIN(_xlfn.MODE.MULT(IF((MainTable[Type]&lt;&gt;"")*NOT(COUNTIF($Y$12:$Y16, MainTable[Type])), (COUNTIF(MainTable[Type], "&lt;"&amp;MainTable[Type])+1)*{1,1}))), IF((MainTable[Type]&lt;&gt;""),COUNTIF(MainTable[Type], "&lt;"&amp;MainTable[Type])+{1}), 0)), "")</f>
        <v>Breadth</v>
      </c>
      <c r="Z17" s="54"/>
      <c r="AA17" s="22">
        <f>IF(Y17="","",COUNTIF(MainTable[Type],Y17))</f>
        <v>2</v>
      </c>
      <c r="AB17" s="55">
        <f>IF(AA17="","",COUNTIFS(MainTable[Type],Y17,MainTable[Effective MCs],"&gt;0"))</f>
        <v>1</v>
      </c>
      <c r="AC17" s="117">
        <f>IF(Y17="","",IF(SUM(MainTable[Module Weight])=0,0,ROUND(SUMIFS(MainTable[Module Weight],MainTable[Type],Y17)/SUM(MainTable[Module Weight]),2)))</f>
        <v>0</v>
      </c>
      <c r="AD17" s="117"/>
      <c r="AE17" s="104">
        <f t="shared" si="4"/>
        <v>0.5</v>
      </c>
      <c r="AF17" s="100" t="str">
        <f>IF(Y17="","",IF(SUMIFS(MainTable[MC Footprint],MainTable[Type],Y17)=0,"-",ROUND(SUMIFS(MainTable[Module Weight],MainTable[Type],Y17)/SUMIFS(MainTable[MC Footprint],MainTable[Type],Y17),2)))</f>
        <v>-</v>
      </c>
    </row>
    <row r="18" spans="2:32" x14ac:dyDescent="0.25">
      <c r="B18" s="90" t="s">
        <v>19</v>
      </c>
      <c r="C18" s="91" t="s">
        <v>91</v>
      </c>
      <c r="D18" s="92"/>
      <c r="E18" s="92">
        <v>4</v>
      </c>
      <c r="F18" s="92"/>
      <c r="G18" s="92"/>
      <c r="H18" s="92"/>
      <c r="I18" s="92"/>
      <c r="J18" s="98">
        <v>3</v>
      </c>
      <c r="K18" s="85"/>
      <c r="L18" s="2" t="str">
        <f t="shared" si="0"/>
        <v/>
      </c>
      <c r="M18" s="82"/>
      <c r="N18" s="3" t="str">
        <f t="shared" si="1"/>
        <v/>
      </c>
      <c r="O18" s="3" t="str">
        <f t="shared" si="2"/>
        <v/>
      </c>
      <c r="P18" s="13" t="str">
        <f t="shared" si="3"/>
        <v/>
      </c>
      <c r="S18" s="52" t="s">
        <v>60</v>
      </c>
      <c r="T18" s="20">
        <f>SUM(MainTable[Level 6000 MCs])</f>
        <v>0</v>
      </c>
      <c r="U18" s="69">
        <f>SUMIFS(MainTable[Level 6000 MCs],MainTable[Effective MCs],"&gt;0")</f>
        <v>0</v>
      </c>
      <c r="V18" s="109"/>
      <c r="W18" s="110"/>
      <c r="X18" s="53"/>
      <c r="Y18" s="50" t="str">
        <f t="array" ref="Y18">IFERROR(INDEX(MainTable[Type], MATCH(MIN(_xlfn.MODE.MULT(IF((MainTable[Type]&lt;&gt;"")*NOT(COUNTIF($Y$12:$Y17, MainTable[Type])), (COUNTIF(MainTable[Type], "&lt;"&amp;MainTable[Type])+1)*{1,1}))), IF((MainTable[Type]&lt;&gt;""),COUNTIF(MainTable[Type], "&lt;"&amp;MainTable[Type])+{1}), 0)), "")</f>
        <v>GEM</v>
      </c>
      <c r="Z18" s="54"/>
      <c r="AA18" s="22">
        <f>IF(Y18="","",COUNTIF(MainTable[Type],Y18))</f>
        <v>2</v>
      </c>
      <c r="AB18" s="55">
        <f>IF(AA18="","",COUNTIFS(MainTable[Type],Y18,MainTable[Effective MCs],"&gt;0"))</f>
        <v>0</v>
      </c>
      <c r="AC18" s="117">
        <f>IF(Y18="","",IF(SUM(MainTable[Module Weight])=0,0,ROUND(SUMIFS(MainTable[Module Weight],MainTable[Type],Y18)/SUM(MainTable[Module Weight]),2)))</f>
        <v>0</v>
      </c>
      <c r="AD18" s="117"/>
      <c r="AE18" s="104">
        <f t="shared" si="4"/>
        <v>0</v>
      </c>
      <c r="AF18" s="100" t="str">
        <f>IF(Y18="","",IF(SUMIFS(MainTable[MC Footprint],MainTable[Type],Y18)=0,"-",ROUND(SUMIFS(MainTable[Module Weight],MainTable[Type],Y18)/SUMIFS(MainTable[MC Footprint],MainTable[Type],Y18),2)))</f>
        <v>-</v>
      </c>
    </row>
    <row r="19" spans="2:32" x14ac:dyDescent="0.25">
      <c r="B19" s="90" t="s">
        <v>20</v>
      </c>
      <c r="C19" s="91" t="s">
        <v>91</v>
      </c>
      <c r="D19" s="92"/>
      <c r="E19" s="92">
        <v>4</v>
      </c>
      <c r="F19" s="92"/>
      <c r="G19" s="92"/>
      <c r="H19" s="92"/>
      <c r="I19" s="92"/>
      <c r="J19" s="98">
        <v>3</v>
      </c>
      <c r="K19" s="85"/>
      <c r="L19" s="2" t="str">
        <f t="shared" si="0"/>
        <v/>
      </c>
      <c r="M19" s="82"/>
      <c r="N19" s="3" t="str">
        <f t="shared" si="1"/>
        <v/>
      </c>
      <c r="O19" s="3" t="str">
        <f t="shared" si="2"/>
        <v/>
      </c>
      <c r="P19" s="13" t="str">
        <f t="shared" si="3"/>
        <v/>
      </c>
      <c r="S19" s="52"/>
      <c r="T19" s="20"/>
      <c r="U19" s="69"/>
      <c r="V19" s="48"/>
      <c r="W19" s="49"/>
      <c r="X19" s="53"/>
      <c r="Y19" s="50" t="str">
        <f t="array" ref="Y19">IFERROR(INDEX(MainTable[Type], MATCH(MIN(_xlfn.MODE.MULT(IF((MainTable[Type]&lt;&gt;"")*NOT(COUNTIF($Y$12:$Y18, MainTable[Type])), (COUNTIF(MainTable[Type], "&lt;"&amp;MainTable[Type])+1)*{1,1}))), IF((MainTable[Type]&lt;&gt;""),COUNTIF(MainTable[Type], "&lt;"&amp;MainTable[Type])+{1}), 0)), "")</f>
        <v>IT Professionalism</v>
      </c>
      <c r="Z19" s="54"/>
      <c r="AA19" s="22">
        <f>IF(Y19="","",COUNTIF(MainTable[Type],Y19))</f>
        <v>2</v>
      </c>
      <c r="AB19" s="55">
        <f>IF(AA19="","",COUNTIFS(MainTable[Type],Y19,MainTable[Effective MCs],"&gt;0"))</f>
        <v>0</v>
      </c>
      <c r="AC19" s="117">
        <f>IF(Y19="","",IF(SUM(MainTable[Module Weight])=0,0,ROUND(SUMIFS(MainTable[Module Weight],MainTable[Type],Y19)/SUM(MainTable[Module Weight]),2)))</f>
        <v>0</v>
      </c>
      <c r="AD19" s="117"/>
      <c r="AE19" s="104">
        <f t="shared" si="4"/>
        <v>0</v>
      </c>
      <c r="AF19" s="100" t="str">
        <f>IF(Y19="","",IF(SUMIFS(MainTable[MC Footprint],MainTable[Type],Y19)=0,"-",ROUND(SUMIFS(MainTable[Module Weight],MainTable[Type],Y19)/SUMIFS(MainTable[MC Footprint],MainTable[Type],Y19),2)))</f>
        <v>-</v>
      </c>
    </row>
    <row r="20" spans="2:32" x14ac:dyDescent="0.25">
      <c r="B20" s="90" t="s">
        <v>21</v>
      </c>
      <c r="C20" s="91" t="s">
        <v>91</v>
      </c>
      <c r="D20" s="92"/>
      <c r="E20" s="92">
        <v>4</v>
      </c>
      <c r="F20" s="92"/>
      <c r="G20" s="92"/>
      <c r="H20" s="92"/>
      <c r="I20" s="92"/>
      <c r="J20" s="98">
        <v>3</v>
      </c>
      <c r="K20" s="85"/>
      <c r="L20" s="2" t="str">
        <f t="shared" si="0"/>
        <v/>
      </c>
      <c r="M20" s="82"/>
      <c r="N20" s="3" t="str">
        <f t="shared" si="1"/>
        <v/>
      </c>
      <c r="O20" s="3" t="str">
        <f t="shared" si="2"/>
        <v/>
      </c>
      <c r="P20" s="13" t="str">
        <f t="shared" si="3"/>
        <v/>
      </c>
      <c r="S20" s="52"/>
      <c r="T20" s="20"/>
      <c r="U20" s="69"/>
      <c r="V20" s="48"/>
      <c r="W20" s="49"/>
      <c r="X20" s="53"/>
      <c r="Y20" s="50" t="str">
        <f t="array" ref="Y20">IFERROR(INDEX(MainTable[Type], MATCH(MIN(_xlfn.MODE.MULT(IF((MainTable[Type]&lt;&gt;"")*NOT(COUNTIF($Y$12:$Y19, MainTable[Type])), (COUNTIF(MainTable[Type], "&lt;"&amp;MainTable[Type])+1)*{1,1}))), IF((MainTable[Type]&lt;&gt;""),COUNTIF(MainTable[Type], "&lt;"&amp;MainTable[Type])+{1}), 0)), "")</f>
        <v>Media Tech</v>
      </c>
      <c r="Z20" s="54"/>
      <c r="AA20" s="22">
        <f>IF(Y20="","",COUNTIF(MainTable[Type],Y20))</f>
        <v>2</v>
      </c>
      <c r="AB20" s="55">
        <f>IF(AA20="","",COUNTIFS(MainTable[Type],Y20,MainTable[Effective MCs],"&gt;0"))</f>
        <v>0</v>
      </c>
      <c r="AC20" s="117">
        <f>IF(Y20="","",IF(SUM(MainTable[Module Weight])=0,0,ROUND(SUMIFS(MainTable[Module Weight],MainTable[Type],Y20)/SUM(MainTable[Module Weight]),2)))</f>
        <v>0</v>
      </c>
      <c r="AD20" s="117"/>
      <c r="AE20" s="104">
        <f t="shared" si="4"/>
        <v>0</v>
      </c>
      <c r="AF20" s="100" t="str">
        <f>IF(Y20="","",IF(SUMIFS(MainTable[MC Footprint],MainTable[Type],Y20)=0,"-",ROUND(SUMIFS(MainTable[Module Weight],MainTable[Type],Y20)/SUMIFS(MainTable[MC Footprint],MainTable[Type],Y20),2)))</f>
        <v>-</v>
      </c>
    </row>
    <row r="21" spans="2:32" x14ac:dyDescent="0.25">
      <c r="B21" s="90" t="s">
        <v>79</v>
      </c>
      <c r="C21" s="91" t="s">
        <v>62</v>
      </c>
      <c r="D21" s="92">
        <v>4</v>
      </c>
      <c r="E21" s="92"/>
      <c r="F21" s="92"/>
      <c r="G21" s="92"/>
      <c r="H21" s="92"/>
      <c r="I21" s="92"/>
      <c r="J21" s="98">
        <v>4</v>
      </c>
      <c r="K21" s="85"/>
      <c r="L21" s="2" t="str">
        <f t="shared" si="0"/>
        <v/>
      </c>
      <c r="M21" s="82"/>
      <c r="N21" s="3" t="str">
        <f t="shared" si="1"/>
        <v/>
      </c>
      <c r="O21" s="3" t="str">
        <f t="shared" si="2"/>
        <v/>
      </c>
      <c r="P21" s="13" t="str">
        <f t="shared" si="3"/>
        <v/>
      </c>
      <c r="S21" s="52"/>
      <c r="T21" s="20"/>
      <c r="U21" s="69"/>
      <c r="V21" s="48"/>
      <c r="W21" s="49"/>
      <c r="X21" s="53"/>
      <c r="Y21" s="50" t="str">
        <f t="array" ref="Y21">IFERROR(INDEX(MainTable[Type], MATCH(MIN(_xlfn.MODE.MULT(IF((MainTable[Type]&lt;&gt;"")*NOT(COUNTIF($Y$12:$Y20, MainTable[Type])), (COUNTIF(MainTable[Type], "&lt;"&amp;MainTable[Type])+1)*{1,1}))), IF((MainTable[Type]&lt;&gt;""),COUNTIF(MainTable[Type], "&lt;"&amp;MainTable[Type])+{1}), 0)), "")</f>
        <v>Final Year Project</v>
      </c>
      <c r="Z21" s="54"/>
      <c r="AA21" s="22">
        <f>IF(Y21="","",COUNTIF(MainTable[Type],Y21))</f>
        <v>1</v>
      </c>
      <c r="AB21" s="55">
        <f>IF(AA21="","",COUNTIFS(MainTable[Type],Y21,MainTable[Effective MCs],"&gt;0"))</f>
        <v>0</v>
      </c>
      <c r="AC21" s="117">
        <f>IF(Y21="","",IF(SUM(MainTable[Module Weight])=0,0,ROUND(SUMIFS(MainTable[Module Weight],MainTable[Type],Y21)/SUM(MainTable[Module Weight]),2)))</f>
        <v>0</v>
      </c>
      <c r="AD21" s="117"/>
      <c r="AE21" s="104">
        <f t="shared" si="4"/>
        <v>0</v>
      </c>
      <c r="AF21" s="100" t="str">
        <f>IF(Y21="","",IF(SUMIFS(MainTable[MC Footprint],MainTable[Type],Y21)=0,"-",ROUND(SUMIFS(MainTable[Module Weight],MainTable[Type],Y21)/SUMIFS(MainTable[MC Footprint],MainTable[Type],Y21),2)))</f>
        <v>-</v>
      </c>
    </row>
    <row r="22" spans="2:32" x14ac:dyDescent="0.25">
      <c r="B22" s="90" t="s">
        <v>81</v>
      </c>
      <c r="C22" s="91" t="s">
        <v>25</v>
      </c>
      <c r="D22" s="92">
        <v>4</v>
      </c>
      <c r="E22" s="92"/>
      <c r="F22" s="92"/>
      <c r="G22" s="92"/>
      <c r="H22" s="92"/>
      <c r="I22" s="92"/>
      <c r="J22" s="98">
        <v>4</v>
      </c>
      <c r="K22" s="85"/>
      <c r="L22" s="2" t="str">
        <f t="shared" si="0"/>
        <v/>
      </c>
      <c r="M22" s="82"/>
      <c r="N22" s="3" t="str">
        <f t="shared" si="1"/>
        <v/>
      </c>
      <c r="O22" s="3" t="str">
        <f t="shared" si="2"/>
        <v/>
      </c>
      <c r="P22" s="13" t="str">
        <f t="shared" si="3"/>
        <v/>
      </c>
      <c r="S22" s="52"/>
      <c r="T22" s="20"/>
      <c r="U22" s="69"/>
      <c r="V22" s="48"/>
      <c r="W22" s="49"/>
      <c r="X22" s="53"/>
      <c r="Y22" s="50" t="str">
        <f t="array" ref="Y22">IFERROR(INDEX(MainTable[Type], MATCH(MIN(_xlfn.MODE.MULT(IF((MainTable[Type]&lt;&gt;"")*NOT(COUNTIF($Y$12:$Y21, MainTable[Type])), (COUNTIF(MainTable[Type], "&lt;"&amp;MainTable[Type])+1)*{1,1}))), IF((MainTable[Type]&lt;&gt;""),COUNTIF(MainTable[Type], "&lt;"&amp;MainTable[Type])+{1}), 0)), "")</f>
        <v>Singapore Studies</v>
      </c>
      <c r="Z22" s="54"/>
      <c r="AA22" s="22">
        <f>IF(Y22="","",COUNTIF(MainTable[Type],Y22))</f>
        <v>1</v>
      </c>
      <c r="AB22" s="55">
        <f>IF(AA22="","",COUNTIFS(MainTable[Type],Y22,MainTable[Effective MCs],"&gt;0"))</f>
        <v>0</v>
      </c>
      <c r="AC22" s="117">
        <f>IF(Y22="","",IF(SUM(MainTable[Module Weight])=0,0,ROUND(SUMIFS(MainTable[Module Weight],MainTable[Type],Y22)/SUM(MainTable[Module Weight]),2)))</f>
        <v>0</v>
      </c>
      <c r="AD22" s="117"/>
      <c r="AE22" s="104">
        <f t="shared" si="4"/>
        <v>0</v>
      </c>
      <c r="AF22" s="100" t="str">
        <f>IF(Y22="","",IF(SUMIFS(MainTable[MC Footprint],MainTable[Type],Y22)=0,"-",ROUND(SUMIFS(MainTable[Module Weight],MainTable[Type],Y22)/SUMIFS(MainTable[MC Footprint],MainTable[Type],Y22),2)))</f>
        <v>-</v>
      </c>
    </row>
    <row r="23" spans="2:32" x14ac:dyDescent="0.25">
      <c r="B23" s="90" t="s">
        <v>22</v>
      </c>
      <c r="C23" s="91" t="s">
        <v>91</v>
      </c>
      <c r="D23" s="92"/>
      <c r="E23" s="92"/>
      <c r="F23" s="92">
        <v>4</v>
      </c>
      <c r="G23" s="92"/>
      <c r="H23" s="92"/>
      <c r="I23" s="92"/>
      <c r="J23" s="98">
        <v>4</v>
      </c>
      <c r="K23" s="85"/>
      <c r="L23" s="2" t="str">
        <f t="shared" si="0"/>
        <v/>
      </c>
      <c r="M23" s="82"/>
      <c r="N23" s="3" t="str">
        <f t="shared" si="1"/>
        <v/>
      </c>
      <c r="O23" s="3" t="str">
        <f t="shared" si="2"/>
        <v/>
      </c>
      <c r="P23" s="13" t="str">
        <f t="shared" si="3"/>
        <v/>
      </c>
      <c r="S23" s="52"/>
      <c r="T23" s="20"/>
      <c r="U23" s="69"/>
      <c r="V23" s="48"/>
      <c r="W23" s="49"/>
      <c r="X23" s="53"/>
      <c r="Y23" s="50" t="str">
        <f t="array" ref="Y23">IFERROR(INDEX(MainTable[Type], MATCH(MIN(_xlfn.MODE.MULT(IF((MainTable[Type]&lt;&gt;"")*NOT(COUNTIF($Y$12:$Y22, MainTable[Type])), (COUNTIF(MainTable[Type], "&lt;"&amp;MainTable[Type])+1)*{1,1}))), IF((MainTable[Type]&lt;&gt;""),COUNTIF(MainTable[Type], "&lt;"&amp;MainTable[Type])+{1}), 0)), "")</f>
        <v/>
      </c>
      <c r="Z23" s="54"/>
      <c r="AA23" s="22" t="str">
        <f>IF(Y23="","",COUNTIF(MainTable[Type],Y23))</f>
        <v/>
      </c>
      <c r="AB23" s="55" t="str">
        <f>IF(AA23="","",COUNTIFS(MainTable[Type],Y23,MainTable[Effective MCs],"&gt;0"))</f>
        <v/>
      </c>
      <c r="AC23" s="117" t="str">
        <f>IF(Y23="","",IF(SUM(MainTable[Module Weight])=0,0,ROUND(SUMIFS(MainTable[Module Weight],MainTable[Type],Y23)/SUM(MainTable[Module Weight]),2)))</f>
        <v/>
      </c>
      <c r="AD23" s="117"/>
      <c r="AE23" s="104" t="str">
        <f t="shared" si="4"/>
        <v/>
      </c>
      <c r="AF23" s="100" t="str">
        <f>IF(Y23="","",IF(SUMIFS(MainTable[MC Footprint],MainTable[Type],Y23)=0,"-",ROUND(SUMIFS(MainTable[Module Weight],MainTable[Type],Y23)/SUMIFS(MainTable[MC Footprint],MainTable[Type],Y23),2)))</f>
        <v/>
      </c>
    </row>
    <row r="24" spans="2:32" ht="15" customHeight="1" thickBot="1" x14ac:dyDescent="0.3">
      <c r="B24" s="90" t="s">
        <v>26</v>
      </c>
      <c r="C24" s="91" t="s">
        <v>93</v>
      </c>
      <c r="D24" s="92"/>
      <c r="E24" s="92"/>
      <c r="F24" s="92">
        <v>4</v>
      </c>
      <c r="G24" s="92"/>
      <c r="H24" s="92"/>
      <c r="I24" s="92"/>
      <c r="J24" s="98">
        <v>4</v>
      </c>
      <c r="K24" s="85" t="s">
        <v>32</v>
      </c>
      <c r="L24" s="2">
        <f t="shared" si="0"/>
        <v>5</v>
      </c>
      <c r="M24" s="82" t="s">
        <v>109</v>
      </c>
      <c r="N24" s="3">
        <f t="shared" si="1"/>
        <v>4</v>
      </c>
      <c r="O24" s="3">
        <f t="shared" si="2"/>
        <v>4</v>
      </c>
      <c r="P24" s="13">
        <f t="shared" si="3"/>
        <v>20</v>
      </c>
      <c r="S24" s="52"/>
      <c r="T24" s="67"/>
      <c r="U24" s="70"/>
      <c r="V24" s="71"/>
      <c r="W24" s="72"/>
      <c r="X24" s="53"/>
      <c r="Y24" s="60" t="str">
        <f t="array" ref="Y24">IFERROR(INDEX(MainTable[Type], MATCH(MIN(_xlfn.MODE.MULT(IF((MainTable[Type]&lt;&gt;"")*NOT(COUNTIF($Y$12:$Y23, MainTable[Type])), (COUNTIF(MainTable[Type], "&lt;"&amp;MainTable[Type])+1)*{1,1}))), IF((MainTable[Type]&lt;&gt;""),COUNTIF(MainTable[Type], "&lt;"&amp;MainTable[Type])+{1}), 0)), "")</f>
        <v/>
      </c>
      <c r="Z24" s="61"/>
      <c r="AA24" s="64" t="str">
        <f>IF(Y24="","",COUNTIF(MainTable[Type],Y24))</f>
        <v/>
      </c>
      <c r="AB24" s="62" t="str">
        <f>IF(AA24="","",COUNTIFS(MainTable[Type],Y24,MainTable[Effective MCs],"&gt;0"))</f>
        <v/>
      </c>
      <c r="AC24" s="161" t="str">
        <f>IF(Y24="","",IF(SUM(MainTable[Module Weight])=0,0,ROUND(SUMIFS(MainTable[Module Weight],MainTable[Type],Y24)/SUM(MainTable[Module Weight]),2)))</f>
        <v/>
      </c>
      <c r="AD24" s="161"/>
      <c r="AE24" s="105" t="str">
        <f t="shared" si="4"/>
        <v/>
      </c>
      <c r="AF24" s="101" t="str">
        <f>IF(Y24="","",IF(SUMIFS(MainTable[MC Footprint],MainTable[Type],Y24)=0,"-",ROUND(SUMIFS(MainTable[Module Weight],MainTable[Type],Y24)/SUMIFS(MainTable[MC Footprint],MainTable[Type],Y24),2)))</f>
        <v/>
      </c>
    </row>
    <row r="25" spans="2:32" x14ac:dyDescent="0.25">
      <c r="B25" s="90" t="s">
        <v>29</v>
      </c>
      <c r="C25" s="91" t="s">
        <v>93</v>
      </c>
      <c r="D25" s="92"/>
      <c r="E25" s="92"/>
      <c r="F25" s="92">
        <v>4</v>
      </c>
      <c r="G25" s="92"/>
      <c r="H25" s="92"/>
      <c r="I25" s="92"/>
      <c r="J25" s="98">
        <v>4</v>
      </c>
      <c r="K25" s="85"/>
      <c r="L25" s="2" t="str">
        <f t="shared" si="0"/>
        <v/>
      </c>
      <c r="M25" s="82"/>
      <c r="N25" s="3" t="str">
        <f t="shared" si="1"/>
        <v/>
      </c>
      <c r="O25" s="3" t="str">
        <f t="shared" si="2"/>
        <v/>
      </c>
      <c r="P25" s="13" t="str">
        <f t="shared" si="3"/>
        <v/>
      </c>
      <c r="S25" s="122" t="s">
        <v>96</v>
      </c>
      <c r="T25" s="123"/>
      <c r="U25" s="123"/>
      <c r="V25" s="124"/>
      <c r="W25" s="124"/>
      <c r="X25" s="123"/>
      <c r="Y25" s="124"/>
      <c r="Z25" s="124"/>
      <c r="AA25" s="124"/>
      <c r="AB25" s="124"/>
      <c r="AC25" s="124"/>
      <c r="AD25" s="124"/>
      <c r="AE25" s="124"/>
      <c r="AF25" s="125"/>
    </row>
    <row r="26" spans="2:32" ht="15.75" thickBot="1" x14ac:dyDescent="0.3">
      <c r="B26" s="90" t="s">
        <v>99</v>
      </c>
      <c r="C26" s="91" t="s">
        <v>91</v>
      </c>
      <c r="D26" s="92"/>
      <c r="E26" s="92">
        <v>4</v>
      </c>
      <c r="F26" s="92"/>
      <c r="G26" s="92"/>
      <c r="H26" s="92"/>
      <c r="I26" s="92"/>
      <c r="J26" s="98">
        <v>5</v>
      </c>
      <c r="K26" s="85" t="s">
        <v>41</v>
      </c>
      <c r="L26" s="2">
        <f t="shared" si="0"/>
        <v>4</v>
      </c>
      <c r="M26" s="82" t="s">
        <v>87</v>
      </c>
      <c r="N26" s="3">
        <f t="shared" si="1"/>
        <v>4</v>
      </c>
      <c r="O26" s="3">
        <f t="shared" si="2"/>
        <v>0</v>
      </c>
      <c r="P26" s="13">
        <f t="shared" si="3"/>
        <v>0</v>
      </c>
      <c r="S26" s="126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7"/>
      <c r="AF26" s="128"/>
    </row>
    <row r="27" spans="2:32" x14ac:dyDescent="0.25">
      <c r="B27" s="90" t="s">
        <v>84</v>
      </c>
      <c r="C27" s="91" t="s">
        <v>62</v>
      </c>
      <c r="D27" s="92"/>
      <c r="E27" s="92"/>
      <c r="F27" s="92"/>
      <c r="G27" s="92">
        <v>4</v>
      </c>
      <c r="H27" s="92"/>
      <c r="I27" s="92"/>
      <c r="J27" s="98">
        <v>5</v>
      </c>
      <c r="K27" s="85"/>
      <c r="L27" s="2" t="str">
        <f t="shared" si="0"/>
        <v/>
      </c>
      <c r="M27" s="82"/>
      <c r="N27" s="3" t="str">
        <f t="shared" si="1"/>
        <v/>
      </c>
      <c r="O27" s="3" t="str">
        <f t="shared" si="2"/>
        <v/>
      </c>
      <c r="P27" s="13" t="str">
        <f t="shared" si="3"/>
        <v/>
      </c>
      <c r="S27" s="111" t="str">
        <f>IF(Y13="","",Y13)</f>
        <v>Focus Area</v>
      </c>
      <c r="T27" s="112"/>
      <c r="U27" s="111" t="str">
        <f>IF(Y14="","",Y14)</f>
        <v>Foundation</v>
      </c>
      <c r="V27" s="112"/>
      <c r="W27" s="111" t="str">
        <f>IF(Y15="","",Y15)</f>
        <v>UE</v>
      </c>
      <c r="X27" s="129"/>
      <c r="Y27" s="111" t="str">
        <f>IF(Y16="","",Y16)</f>
        <v>Science</v>
      </c>
      <c r="Z27" s="112"/>
      <c r="AA27" s="115" t="str">
        <f>IF(Y17="","",Y17)</f>
        <v>Breadth</v>
      </c>
      <c r="AB27" s="129"/>
      <c r="AC27" s="111" t="str">
        <f>IF(Y18="","",Y18)</f>
        <v>GEM</v>
      </c>
      <c r="AD27" s="112"/>
      <c r="AE27" s="115" t="str">
        <f>IF(Y19="","",Y19)</f>
        <v>IT Professionalism</v>
      </c>
      <c r="AF27" s="112"/>
    </row>
    <row r="28" spans="2:32" ht="15.75" thickBot="1" x14ac:dyDescent="0.3">
      <c r="B28" s="90" t="s">
        <v>98</v>
      </c>
      <c r="C28" s="91" t="s">
        <v>62</v>
      </c>
      <c r="D28" s="92">
        <v>0</v>
      </c>
      <c r="E28" s="92"/>
      <c r="F28" s="92"/>
      <c r="G28" s="92"/>
      <c r="H28" s="92"/>
      <c r="I28" s="92"/>
      <c r="J28" s="98">
        <v>5</v>
      </c>
      <c r="K28" s="85"/>
      <c r="L28" s="2" t="str">
        <f t="shared" si="0"/>
        <v/>
      </c>
      <c r="M28" s="82"/>
      <c r="N28" s="3" t="str">
        <f t="shared" si="1"/>
        <v/>
      </c>
      <c r="O28" s="3" t="str">
        <f t="shared" si="2"/>
        <v/>
      </c>
      <c r="P28" s="13" t="str">
        <f t="shared" si="3"/>
        <v/>
      </c>
      <c r="S28" s="113"/>
      <c r="T28" s="114"/>
      <c r="U28" s="113"/>
      <c r="V28" s="114"/>
      <c r="W28" s="113"/>
      <c r="X28" s="130"/>
      <c r="Y28" s="113"/>
      <c r="Z28" s="114"/>
      <c r="AA28" s="116"/>
      <c r="AB28" s="130"/>
      <c r="AC28" s="113"/>
      <c r="AD28" s="114"/>
      <c r="AE28" s="116"/>
      <c r="AF28" s="114"/>
    </row>
    <row r="29" spans="2:32" x14ac:dyDescent="0.25">
      <c r="B29" s="90" t="s">
        <v>97</v>
      </c>
      <c r="C29" s="91" t="s">
        <v>62</v>
      </c>
      <c r="D29" s="92"/>
      <c r="E29" s="92"/>
      <c r="F29" s="92">
        <v>4</v>
      </c>
      <c r="G29" s="92"/>
      <c r="H29" s="92"/>
      <c r="I29" s="92"/>
      <c r="J29" s="98">
        <v>5</v>
      </c>
      <c r="K29" s="85"/>
      <c r="L29" s="2" t="str">
        <f t="shared" si="0"/>
        <v/>
      </c>
      <c r="M29" s="82"/>
      <c r="N29" s="3" t="str">
        <f t="shared" si="1"/>
        <v/>
      </c>
      <c r="O29" s="3" t="str">
        <f t="shared" si="2"/>
        <v/>
      </c>
      <c r="P29" s="13" t="str">
        <f t="shared" si="3"/>
        <v/>
      </c>
      <c r="S29" s="23" t="s">
        <v>71</v>
      </c>
      <c r="T29" s="24" t="s">
        <v>72</v>
      </c>
      <c r="U29" s="25" t="s">
        <v>71</v>
      </c>
      <c r="V29" s="33" t="s">
        <v>72</v>
      </c>
      <c r="W29" s="23" t="s">
        <v>71</v>
      </c>
      <c r="X29" s="35" t="s">
        <v>72</v>
      </c>
      <c r="Y29" s="38" t="s">
        <v>71</v>
      </c>
      <c r="Z29" s="26" t="s">
        <v>72</v>
      </c>
      <c r="AA29" s="25" t="s">
        <v>71</v>
      </c>
      <c r="AB29" s="33" t="s">
        <v>72</v>
      </c>
      <c r="AC29" s="38" t="s">
        <v>71</v>
      </c>
      <c r="AD29" s="26" t="s">
        <v>72</v>
      </c>
      <c r="AE29" s="25" t="s">
        <v>71</v>
      </c>
      <c r="AF29" s="26" t="s">
        <v>72</v>
      </c>
    </row>
    <row r="30" spans="2:32" x14ac:dyDescent="0.25">
      <c r="B30" s="90" t="s">
        <v>85</v>
      </c>
      <c r="C30" s="91" t="s">
        <v>62</v>
      </c>
      <c r="D30" s="92"/>
      <c r="E30" s="92"/>
      <c r="F30" s="92">
        <v>4</v>
      </c>
      <c r="G30" s="92"/>
      <c r="H30" s="92"/>
      <c r="I30" s="92"/>
      <c r="J30" s="98">
        <v>5</v>
      </c>
      <c r="K30" s="85"/>
      <c r="L30" s="2" t="str">
        <f t="shared" si="0"/>
        <v/>
      </c>
      <c r="M30" s="82"/>
      <c r="N30" s="3" t="str">
        <f t="shared" si="1"/>
        <v/>
      </c>
      <c r="O30" s="3" t="str">
        <f t="shared" si="2"/>
        <v/>
      </c>
      <c r="P30" s="13" t="str">
        <f t="shared" si="3"/>
        <v/>
      </c>
      <c r="S30" s="102" t="str">
        <f t="array" ref="S30">IF($S$27="","",IF(ROWS(S$30:S30)&gt;$AA$13,"",INDEX(B$5:B$64,SMALL(IF(MainTable[Type]=$Y$13,ROW(MainTable[Type])-ROW($B$5)+1),ROWS(S$30:S30)))))</f>
        <v>CS3241</v>
      </c>
      <c r="T30" s="28" t="str">
        <f>IF(S30="","",IF(COUNTIFS(MainTable[Module code],S30,MainTable[Effective MCs],"&gt;0"),"Yes", "No"))</f>
        <v>Yes</v>
      </c>
      <c r="U30" s="29" t="str">
        <f t="array" ref="U30">IF($U$27="","",IF(ROWS(U$30:U30)&gt;$AA$14,"",INDEX(B$5:B$64,SMALL(IF(MainTable[Type]=$Y$14,ROW(MainTable[Type])-ROW($B$5)+1),ROWS(U$30:U30)))))</f>
        <v>CS1101S</v>
      </c>
      <c r="V30" s="34" t="str">
        <f>IF(U30="","",IF(COUNTIFS(MainTable[Module code],U30,MainTable[Effective MCs],"&gt;0"),"Yes", "No"))</f>
        <v>Yes</v>
      </c>
      <c r="W30" s="27" t="str">
        <f t="array" ref="W30">IF($W$27="","",IF(ROWS(W$30:W30)&gt;$AA$15,"",INDEX(B$5:B$64,SMALL(IF(MainTable[Type]=$Y$15,ROW(MainTable[Type])-ROW($B$5)+1),ROWS(W$30:W30)))))</f>
        <v>CS2010R</v>
      </c>
      <c r="X30" s="36" t="str">
        <f>IF(W30="","",IF(COUNTIFS(MainTable[Module code],W30,MainTable[Effective MCs],"&gt;0"),"Yes", "No"))</f>
        <v>No</v>
      </c>
      <c r="Y30" s="27" t="str">
        <f t="array" ref="Y30">IF($Y$27="","",IF(ROWS(Y$30:Y30)&gt;$AA$16,"",INDEX(B$5:B$64,SMALL(IF(MainTable[Type]=$Y$16,ROW(MainTable[Type])-ROW($B$5)+1),ROWS(Y$30:Y30)))))</f>
        <v>MA1521</v>
      </c>
      <c r="Z30" s="28" t="str">
        <f>IF(Y30="","",IF(COUNTIFS(MainTable[Module code],Y30,MainTable[Effective MCs],"&gt;0"),"Yes", "No"))</f>
        <v>Yes</v>
      </c>
      <c r="AA30" s="29" t="str">
        <f t="array" ref="AA30">IF($AA$27="","",IF(ROWS($AA$30:AA30)&gt;$AA$17,"",INDEX(B$5:B$64,SMALL(IF(MainTable[Type]=$Y$17,ROW(MainTable[Type])-ROW($B$5)+1),ROWS(AA$30:AA30)))))</f>
        <v>SC1101E</v>
      </c>
      <c r="AB30" s="36" t="str">
        <f>IF(AA30="","",IF(COUNTIFS(MainTable[Module code],AA30,MainTable[Effective MCs],"&gt;0"),"Yes", "No"))</f>
        <v>Yes</v>
      </c>
      <c r="AC30" s="27" t="str">
        <f t="array" ref="AC30">IF($AC$27="","",IF(ROWS($AC$30:AC30)&gt;$AA$18,"",INDEX(B$5:B$64,SMALL(IF(MainTable[Type]=$Y$18,ROW(MainTable[Type])-ROW($B$5)+1),ROWS(AC$30:AC30)))))</f>
        <v>GEK1508</v>
      </c>
      <c r="AD30" s="28" t="str">
        <f>IF(AC30="","",IF(COUNTIFS(MainTable[Module code],AC30,MainTable[Effective MCs],"&gt;0"),"Yes", "No"))</f>
        <v>No</v>
      </c>
      <c r="AE30" s="29" t="str">
        <f t="array" ref="AE30">IF($AE$27="","",IF(ROWS($AE$30:AE30)&gt;$AA$19,"",INDEX(B$5:B$64,SMALL(IF(MainTable[Type]=$Y$19,ROW(MainTable[Type])-ROW($B$5)+1),ROWS(AE$30:AE30)))))</f>
        <v>CS2101</v>
      </c>
      <c r="AF30" s="28" t="str">
        <f>IF(AE30="","",IF(COUNTIFS(MainTable[Module code],AE30,MainTable[Effective MCs],"&gt;0"),"Yes", "No"))</f>
        <v>No</v>
      </c>
    </row>
    <row r="31" spans="2:32" x14ac:dyDescent="0.25">
      <c r="B31" s="90" t="s">
        <v>82</v>
      </c>
      <c r="C31" s="91" t="s">
        <v>94</v>
      </c>
      <c r="D31" s="92"/>
      <c r="E31" s="92"/>
      <c r="F31" s="92">
        <v>4</v>
      </c>
      <c r="G31" s="92"/>
      <c r="H31" s="92"/>
      <c r="I31" s="92"/>
      <c r="J31" s="98">
        <v>5</v>
      </c>
      <c r="K31" s="85"/>
      <c r="L31" s="2" t="str">
        <f t="shared" si="0"/>
        <v/>
      </c>
      <c r="M31" s="82"/>
      <c r="N31" s="3" t="str">
        <f t="shared" si="1"/>
        <v/>
      </c>
      <c r="O31" s="3" t="str">
        <f t="shared" si="2"/>
        <v/>
      </c>
      <c r="P31" s="13" t="str">
        <f t="shared" si="3"/>
        <v/>
      </c>
      <c r="S31" s="27" t="str">
        <f t="array" ref="S31">IF($S$27="","",IF(ROWS(S$30:S31)&gt;$AA$13,"",INDEX(B$5:B$64,SMALL(IF(MainTable[Type]=$Y$13,ROW(MainTable[Type])-ROW($B$5)+1),ROWS(S$30:S31)))))</f>
        <v>CS3343</v>
      </c>
      <c r="T31" s="28" t="str">
        <f>IF(S31="","",IF(COUNTIFS(MainTable[Module code],S31,MainTable[Effective MCs],"&gt;0"),"Yes", "No"))</f>
        <v>No</v>
      </c>
      <c r="U31" s="29" t="str">
        <f t="array" ref="U31">IF($U$27="","",IF(ROWS(U$30:U31)&gt;$AA$14,"",INDEX(B$5:B$64,SMALL(IF(MainTable[Type]=$Y$14,ROW(MainTable[Type])-ROW($B$5)+1),ROWS(U$30:U31)))))</f>
        <v>CS1231</v>
      </c>
      <c r="V31" s="34" t="str">
        <f>IF(U31="","",IF(COUNTIFS(MainTable[Module code],U31,MainTable[Effective MCs],"&gt;0"),"Yes", "No"))</f>
        <v>Yes</v>
      </c>
      <c r="W31" s="27" t="str">
        <f t="array" ref="W31">IF($W$27="","",IF(ROWS(W$30:W31)&gt;$AA$15,"",INDEX(B$5:B$64,SMALL(IF(MainTable[Type]=$Y$15,ROW(MainTable[Type])-ROW($B$5)+1),ROWS(W$30:W31)))))</f>
        <v>LSM1302</v>
      </c>
      <c r="X31" s="36" t="str">
        <f>IF(W31="","",IF(COUNTIFS(MainTable[Module code],W31,MainTable[Effective MCs],"&gt;0"),"Yes", "No"))</f>
        <v>No</v>
      </c>
      <c r="Y31" s="27" t="str">
        <f t="array" ref="Y31">IF($Y$27="","",IF(ROWS(Y$30:Y31)&gt;$AA$16,"",INDEX(B$5:B$64,SMALL(IF(MainTable[Type]=$Y$16,ROW(MainTable[Type])-ROW($B$5)+1),ROWS(Y$30:Y31)))))</f>
        <v>PC1432</v>
      </c>
      <c r="Z31" s="28" t="str">
        <f>IF(Y31="","",IF(COUNTIFS(MainTable[Module code],Y31,MainTable[Effective MCs],"&gt;0"),"Yes", "No"))</f>
        <v>Yes</v>
      </c>
      <c r="AA31" s="29" t="str">
        <f t="array" ref="AA31">IF($AA$27="","",IF(ROWS($AA$30:AA31)&gt;$AA$17,"",INDEX(B$5:B$64,SMALL(IF(MainTable[Type]=$Y$17,ROW(MainTable[Type])-ROW($B$5)+1),ROWS(AA$30:AA31)))))</f>
        <v>PH2110</v>
      </c>
      <c r="AB31" s="36" t="str">
        <f>IF(AA31="","",IF(COUNTIFS(MainTable[Module code],AA31,MainTable[Effective MCs],"&gt;0"),"Yes", "No"))</f>
        <v>No</v>
      </c>
      <c r="AC31" s="27" t="str">
        <f t="array" ref="AC31">IF($AC$27="","",IF(ROWS($AC$30:AC31)&gt;$AA$18,"",INDEX(B$5:B$64,SMALL(IF(MainTable[Type]=$Y$18,ROW(MainTable[Type])-ROW($B$5)+1),ROWS(AC$30:AC31)))))</f>
        <v>GEK1055</v>
      </c>
      <c r="AD31" s="28" t="str">
        <f>IF(AC31="","",IF(COUNTIFS(MainTable[Module code],AC31,MainTable[Effective MCs],"&gt;0"),"Yes", "No"))</f>
        <v>No</v>
      </c>
      <c r="AE31" s="29" t="str">
        <f t="array" ref="AE31">IF($AE$27="","",IF(ROWS($AE$30:AE31)&gt;$AA$19,"",INDEX(B$5:B$64,SMALL(IF(MainTable[Type]=$Y$19,ROW(MainTable[Type])-ROW($B$5)+1),ROWS(AE$30:AE31)))))</f>
        <v>IS1103</v>
      </c>
      <c r="AF31" s="28" t="str">
        <f>IF(AE31="","",IF(COUNTIFS(MainTable[Module code],AE31,MainTable[Effective MCs],"&gt;0"),"Yes", "No"))</f>
        <v>No</v>
      </c>
    </row>
    <row r="32" spans="2:32" x14ac:dyDescent="0.25">
      <c r="B32" s="90" t="s">
        <v>23</v>
      </c>
      <c r="C32" s="91" t="s">
        <v>92</v>
      </c>
      <c r="D32" s="92">
        <v>4</v>
      </c>
      <c r="E32" s="92"/>
      <c r="F32" s="92"/>
      <c r="G32" s="92"/>
      <c r="H32" s="92"/>
      <c r="I32" s="92"/>
      <c r="J32" s="98">
        <v>5</v>
      </c>
      <c r="K32" s="85"/>
      <c r="L32" s="2" t="str">
        <f t="shared" si="0"/>
        <v/>
      </c>
      <c r="M32" s="82"/>
      <c r="N32" s="3" t="str">
        <f t="shared" si="1"/>
        <v/>
      </c>
      <c r="O32" s="3" t="str">
        <f t="shared" si="2"/>
        <v/>
      </c>
      <c r="P32" s="13" t="str">
        <f t="shared" si="3"/>
        <v/>
      </c>
      <c r="S32" s="27" t="str">
        <f t="array" ref="S32">IF($S$27="","",IF(ROWS(S$30:S32)&gt;$AA$13,"",INDEX(B$5:B$64,SMALL(IF(MainTable[Type]=$Y$13,ROW(MainTable[Type])-ROW($B$5)+1),ROWS(S$30:S32)))))</f>
        <v>CS3240</v>
      </c>
      <c r="T32" s="28" t="str">
        <f>IF(S32="","",IF(COUNTIFS(MainTable[Module code],S32,MainTable[Effective MCs],"&gt;0"),"Yes", "No"))</f>
        <v>No</v>
      </c>
      <c r="U32" s="29" t="str">
        <f t="array" ref="U32">IF($U$27="","",IF(ROWS(U$30:U32)&gt;$AA$14,"",INDEX(B$5:B$64,SMALL(IF(MainTable[Type]=$Y$14,ROW(MainTable[Type])-ROW($B$5)+1),ROWS(U$30:U32)))))</f>
        <v>CS2100</v>
      </c>
      <c r="V32" s="34" t="str">
        <f>IF(U32="","",IF(COUNTIFS(MainTable[Module code],U32,MainTable[Effective MCs],"&gt;0"),"Yes", "No"))</f>
        <v>No</v>
      </c>
      <c r="W32" s="27" t="str">
        <f t="array" ref="W32">IF($W$27="","",IF(ROWS(W$30:W32)&gt;$AA$15,"",INDEX(B$5:B$64,SMALL(IF(MainTable[Type]=$Y$15,ROW(MainTable[Type])-ROW($B$5)+1),ROWS(W$30:W32)))))</f>
        <v>CS4345</v>
      </c>
      <c r="X32" s="36" t="str">
        <f>IF(W32="","",IF(COUNTIFS(MainTable[Module code],W32,MainTable[Effective MCs],"&gt;0"),"Yes", "No"))</f>
        <v>No</v>
      </c>
      <c r="Y32" s="27" t="str">
        <f t="array" ref="Y32">IF($Y$27="","",IF(ROWS(Y$30:Y32)&gt;$AA$16,"",INDEX(B$5:B$64,SMALL(IF(MainTable[Type]=$Y$16,ROW(MainTable[Type])-ROW($B$5)+1),ROWS(Y$30:Y32)))))</f>
        <v>MA1101R</v>
      </c>
      <c r="Z32" s="28" t="str">
        <f>IF(Y32="","",IF(COUNTIFS(MainTable[Module code],Y32,MainTable[Effective MCs],"&gt;0"),"Yes", "No"))</f>
        <v>No</v>
      </c>
      <c r="AA32" s="29" t="str">
        <f t="array" ref="AA32">IF($AA$27="","",IF(ROWS($AA$30:AA32)&gt;$AA$17,"",INDEX(B$5:B$64,SMALL(IF(MainTable[Type]=$Y$17,ROW(MainTable[Type])-ROW($B$5)+1),ROWS(AA$30:AA32)))))</f>
        <v/>
      </c>
      <c r="AB32" s="36" t="str">
        <f>IF(AA32="","",IF(COUNTIFS(MainTable[Module code],AA32,MainTable[Effective MCs],"&gt;0"),"Yes", "No"))</f>
        <v/>
      </c>
      <c r="AC32" s="27" t="str">
        <f t="array" ref="AC32">IF($AC$27="","",IF(ROWS($AC$30:AC32)&gt;$AA$18,"",INDEX(B$5:B$64,SMALL(IF(MainTable[Type]=$Y$18,ROW(MainTable[Type])-ROW($B$5)+1),ROWS(AC$30:AC32)))))</f>
        <v/>
      </c>
      <c r="AD32" s="28" t="str">
        <f>IF(AC32="","",IF(COUNTIFS(MainTable[Module code],AC32,MainTable[Effective MCs],"&gt;0"),"Yes", "No"))</f>
        <v/>
      </c>
      <c r="AE32" s="29" t="str">
        <f t="array" ref="AE32">IF($AE$27="","",IF(ROWS($AE$30:AE32)&gt;$AA$19,"",INDEX(B$5:B$64,SMALL(IF(MainTable[Type]=$Y$19,ROW(MainTable[Type])-ROW($B$5)+1),ROWS(AE$30:AE32)))))</f>
        <v/>
      </c>
      <c r="AF32" s="28" t="str">
        <f>IF(AE32="","",IF(COUNTIFS(MainTable[Module code],AE32,MainTable[Effective MCs],"&gt;0"),"Yes", "No"))</f>
        <v/>
      </c>
    </row>
    <row r="33" spans="2:32" x14ac:dyDescent="0.25">
      <c r="B33" s="90" t="s">
        <v>77</v>
      </c>
      <c r="C33" s="91" t="s">
        <v>93</v>
      </c>
      <c r="D33" s="92"/>
      <c r="E33" s="92"/>
      <c r="F33" s="92">
        <v>4</v>
      </c>
      <c r="G33" s="92"/>
      <c r="H33" s="92"/>
      <c r="I33" s="92"/>
      <c r="J33" s="98">
        <v>5</v>
      </c>
      <c r="K33" s="85"/>
      <c r="L33" s="2" t="str">
        <f t="shared" si="0"/>
        <v/>
      </c>
      <c r="M33" s="82"/>
      <c r="N33" s="3" t="str">
        <f t="shared" si="1"/>
        <v/>
      </c>
      <c r="O33" s="3" t="str">
        <f t="shared" si="2"/>
        <v/>
      </c>
      <c r="P33" s="13" t="str">
        <f t="shared" si="3"/>
        <v/>
      </c>
      <c r="S33" s="27" t="str">
        <f t="array" ref="S33">IF($S$27="","",IF(ROWS(S$30:S33)&gt;$AA$13,"",INDEX(B$5:B$64,SMALL(IF(MainTable[Type]=$Y$13,ROW(MainTable[Type])-ROW($B$5)+1),ROWS(S$30:S33)))))</f>
        <v>CS4243</v>
      </c>
      <c r="T33" s="28" t="str">
        <f>IF(S33="","",IF(COUNTIFS(MainTable[Module code],S33,MainTable[Effective MCs],"&gt;0"),"Yes", "No"))</f>
        <v>No</v>
      </c>
      <c r="U33" s="29" t="str">
        <f t="array" ref="U33">IF($U$27="","",IF(ROWS(U$30:U33)&gt;$AA$14,"",INDEX(B$5:B$64,SMALL(IF(MainTable[Type]=$Y$14,ROW(MainTable[Type])-ROW($B$5)+1),ROWS(U$30:U33)))))</f>
        <v>CS2103T</v>
      </c>
      <c r="V33" s="34" t="str">
        <f>IF(U33="","",IF(COUNTIFS(MainTable[Module code],U33,MainTable[Effective MCs],"&gt;0"),"Yes", "No"))</f>
        <v>No</v>
      </c>
      <c r="W33" s="27" t="str">
        <f t="array" ref="W33">IF($W$27="","",IF(ROWS(W$30:W33)&gt;$AA$15,"",INDEX(B$5:B$64,SMALL(IF(MainTable[Type]=$Y$15,ROW(MainTable[Type])-ROW($B$5)+1),ROWS(W$30:W33)))))</f>
        <v>NCC1000</v>
      </c>
      <c r="X33" s="36" t="str">
        <f>IF(W33="","",IF(COUNTIFS(MainTable[Module code],W33,MainTable[Effective MCs],"&gt;0"),"Yes", "No"))</f>
        <v>No</v>
      </c>
      <c r="Y33" s="27" t="str">
        <f t="array" ref="Y33">IF($Y$27="","",IF(ROWS(Y$30:Y33)&gt;$AA$16,"",INDEX(B$5:B$64,SMALL(IF(MainTable[Type]=$Y$16,ROW(MainTable[Type])-ROW($B$5)+1),ROWS(Y$30:Y33)))))</f>
        <v>ST2334</v>
      </c>
      <c r="Z33" s="28" t="str">
        <f>IF(Y33="","",IF(COUNTIFS(MainTable[Module code],Y33,MainTable[Effective MCs],"&gt;0"),"Yes", "No"))</f>
        <v>No</v>
      </c>
      <c r="AA33" s="29" t="str">
        <f t="array" ref="AA33">IF($AA$27="","",IF(ROWS($AA$30:AA33)&gt;$AA$17,"",INDEX(B$5:B$64,SMALL(IF(MainTable[Type]=$Y$17,ROW(MainTable[Type])-ROW($B$5)+1),ROWS(AA$30:AA33)))))</f>
        <v/>
      </c>
      <c r="AB33" s="36" t="str">
        <f>IF(AA33="","",IF(COUNTIFS(MainTable[Module code],AA33,MainTable[Effective MCs],"&gt;0"),"Yes", "No"))</f>
        <v/>
      </c>
      <c r="AC33" s="27" t="str">
        <f t="array" ref="AC33">IF($AC$27="","",IF(ROWS($AC$30:AC33)&gt;$AA$18,"",INDEX(B$5:B$64,SMALL(IF(MainTable[Type]=$Y$18,ROW(MainTable[Type])-ROW($B$5)+1),ROWS(AC$30:AC33)))))</f>
        <v/>
      </c>
      <c r="AD33" s="28" t="str">
        <f>IF(AC33="","",IF(COUNTIFS(MainTable[Module code],AC33,MainTable[Effective MCs],"&gt;0"),"Yes", "No"))</f>
        <v/>
      </c>
      <c r="AE33" s="29" t="str">
        <f t="array" ref="AE33">IF($AE$27="","",IF(ROWS($AE$30:AE33)&gt;$AA$19,"",INDEX(B$5:B$64,SMALL(IF(MainTable[Type]=$Y$19,ROW(MainTable[Type])-ROW($B$5)+1),ROWS(AE$30:AE33)))))</f>
        <v/>
      </c>
      <c r="AF33" s="28" t="str">
        <f>IF(AE33="","",IF(COUNTIFS(MainTable[Module code],AE33,MainTable[Effective MCs],"&gt;0"),"Yes", "No"))</f>
        <v/>
      </c>
    </row>
    <row r="34" spans="2:32" x14ac:dyDescent="0.25">
      <c r="B34" s="90" t="s">
        <v>28</v>
      </c>
      <c r="C34" s="91" t="s">
        <v>93</v>
      </c>
      <c r="D34" s="92"/>
      <c r="E34" s="92"/>
      <c r="F34" s="92"/>
      <c r="G34" s="92">
        <v>4</v>
      </c>
      <c r="H34" s="92"/>
      <c r="I34" s="92"/>
      <c r="J34" s="98">
        <v>5</v>
      </c>
      <c r="K34" s="85"/>
      <c r="L34" s="2" t="str">
        <f t="shared" si="0"/>
        <v/>
      </c>
      <c r="M34" s="82"/>
      <c r="N34" s="3" t="str">
        <f t="shared" si="1"/>
        <v/>
      </c>
      <c r="O34" s="3" t="str">
        <f t="shared" si="2"/>
        <v/>
      </c>
      <c r="P34" s="13" t="str">
        <f t="shared" si="3"/>
        <v/>
      </c>
      <c r="S34" s="27" t="str">
        <f t="array" ref="S34">IF($S$27="","",IF(ROWS(S$30:S34)&gt;$AA$13,"",INDEX(B$5:B$64,SMALL(IF(MainTable[Type]=$Y$13,ROW(MainTable[Type])-ROW($B$5)+1),ROWS(S$30:S34)))))</f>
        <v>CS3242</v>
      </c>
      <c r="T34" s="28" t="str">
        <f>IF(S34="","",IF(COUNTIFS(MainTable[Module code],S34,MainTable[Effective MCs],"&gt;0"),"Yes", "No"))</f>
        <v>No</v>
      </c>
      <c r="U34" s="29" t="str">
        <f t="array" ref="U34">IF($U$27="","",IF(ROWS(U$30:U34)&gt;$AA$14,"",INDEX(B$5:B$64,SMALL(IF(MainTable[Type]=$Y$14,ROW(MainTable[Type])-ROW($B$5)+1),ROWS(U$30:U34)))))</f>
        <v>CS2105</v>
      </c>
      <c r="V34" s="34" t="str">
        <f>IF(U34="","",IF(COUNTIFS(MainTable[Module code],U34,MainTable[Effective MCs],"&gt;0"),"Yes", "No"))</f>
        <v>No</v>
      </c>
      <c r="W34" s="27" t="str">
        <f t="array" ref="W34">IF($W$27="","",IF(ROWS(W$30:W34)&gt;$AA$15,"",INDEX(B$5:B$64,SMALL(IF(MainTable[Type]=$Y$15,ROW(MainTable[Type])-ROW($B$5)+1),ROWS(W$30:W34)))))</f>
        <v>CS3244</v>
      </c>
      <c r="X34" s="36" t="str">
        <f>IF(W34="","",IF(COUNTIFS(MainTable[Module code],W34,MainTable[Effective MCs],"&gt;0"),"Yes", "No"))</f>
        <v>No</v>
      </c>
      <c r="Y34" s="27" t="str">
        <f t="array" ref="Y34">IF($Y$27="","",IF(ROWS(Y$30:Y34)&gt;$AA$16,"",INDEX(B$5:B$64,SMALL(IF(MainTable[Type]=$Y$16,ROW(MainTable[Type])-ROW($B$5)+1),ROWS(Y$30:Y34)))))</f>
        <v>PC1431</v>
      </c>
      <c r="Z34" s="28" t="str">
        <f>IF(Y34="","",IF(COUNTIFS(MainTable[Module code],Y34,MainTable[Effective MCs],"&gt;0"),"Yes", "No"))</f>
        <v>No</v>
      </c>
      <c r="AA34" s="29" t="str">
        <f t="array" ref="AA34">IF($AA$27="","",IF(ROWS($AA$30:AA34)&gt;$AA$17,"",INDEX(B$5:B$64,SMALL(IF(MainTable[Type]=$Y$17,ROW(MainTable[Type])-ROW($B$5)+1),ROWS(AA$30:AA34)))))</f>
        <v/>
      </c>
      <c r="AB34" s="36" t="str">
        <f>IF(AA34="","",IF(COUNTIFS(MainTable[Module code],AA34,MainTable[Effective MCs],"&gt;0"),"Yes", "No"))</f>
        <v/>
      </c>
      <c r="AC34" s="27" t="str">
        <f t="array" ref="AC34">IF($AC$27="","",IF(ROWS($AC$30:AC34)&gt;$AA$18,"",INDEX(B$5:B$64,SMALL(IF(MainTable[Type]=$Y$18,ROW(MainTable[Type])-ROW($B$5)+1),ROWS(AC$30:AC34)))))</f>
        <v/>
      </c>
      <c r="AD34" s="28" t="str">
        <f>IF(AC34="","",IF(COUNTIFS(MainTable[Module code],AC34,MainTable[Effective MCs],"&gt;0"),"Yes", "No"))</f>
        <v/>
      </c>
      <c r="AE34" s="29" t="str">
        <f t="array" ref="AE34">IF($AE$27="","",IF(ROWS($AE$30:AE34)&gt;$AA$19,"",INDEX(B$5:B$64,SMALL(IF(MainTable[Type]=$Y$19,ROW(MainTable[Type])-ROW($B$5)+1),ROWS(AE$30:AE34)))))</f>
        <v/>
      </c>
      <c r="AF34" s="28" t="str">
        <f>IF(AE34="","",IF(COUNTIFS(MainTable[Module code],AE34,MainTable[Effective MCs],"&gt;0"),"Yes", "No"))</f>
        <v/>
      </c>
    </row>
    <row r="35" spans="2:32" x14ac:dyDescent="0.25">
      <c r="B35" s="90" t="s">
        <v>86</v>
      </c>
      <c r="C35" s="91" t="s">
        <v>94</v>
      </c>
      <c r="D35" s="92"/>
      <c r="E35" s="92"/>
      <c r="F35" s="92">
        <v>4</v>
      </c>
      <c r="G35" s="92"/>
      <c r="H35" s="92"/>
      <c r="I35" s="92"/>
      <c r="J35" s="98">
        <v>6</v>
      </c>
      <c r="K35" s="85"/>
      <c r="L35" s="2" t="str">
        <f t="shared" si="0"/>
        <v/>
      </c>
      <c r="M35" s="82"/>
      <c r="N35" s="3" t="str">
        <f t="shared" si="1"/>
        <v/>
      </c>
      <c r="O35" s="3" t="str">
        <f t="shared" si="2"/>
        <v/>
      </c>
      <c r="P35" s="13" t="str">
        <f t="shared" si="3"/>
        <v/>
      </c>
      <c r="S35" s="27" t="str">
        <f t="array" ref="S35">IF($S$27="","",IF(ROWS(S$30:S35)&gt;$AA$13,"",INDEX(B$5:B$64,SMALL(IF(MainTable[Type]=$Y$13,ROW(MainTable[Type])-ROW($B$5)+1),ROWS(S$30:S35)))))</f>
        <v>CS3247</v>
      </c>
      <c r="T35" s="28" t="str">
        <f>IF(S35="","",IF(COUNTIFS(MainTable[Module code],S35,MainTable[Effective MCs],"&gt;0"),"Yes", "No"))</f>
        <v>No</v>
      </c>
      <c r="U35" s="29" t="str">
        <f t="array" ref="U35">IF($U$27="","",IF(ROWS(U$30:U35)&gt;$AA$14,"",INDEX(B$5:B$64,SMALL(IF(MainTable[Type]=$Y$14,ROW(MainTable[Type])-ROW($B$5)+1),ROWS(U$30:U35)))))</f>
        <v>CS2106</v>
      </c>
      <c r="V35" s="34" t="str">
        <f>IF(U35="","",IF(COUNTIFS(MainTable[Module code],U35,MainTable[Effective MCs],"&gt;0"),"Yes", "No"))</f>
        <v>No</v>
      </c>
      <c r="W35" s="27" t="str">
        <f t="array" ref="W35">IF($W$27="","",IF(ROWS(W$30:W35)&gt;$AA$15,"",INDEX(B$5:B$64,SMALL(IF(MainTable[Type]=$Y$15,ROW(MainTable[Type])-ROW($B$5)+1),ROWS(W$30:W35)))))</f>
        <v>CS3246</v>
      </c>
      <c r="X35" s="36" t="str">
        <f>IF(W35="","",IF(COUNTIFS(MainTable[Module code],W35,MainTable[Effective MCs],"&gt;0"),"Yes", "No"))</f>
        <v>No</v>
      </c>
      <c r="Y35" s="27" t="str">
        <f t="array" ref="Y35">IF($Y$27="","",IF(ROWS(Y$30:Y35)&gt;$AA$16,"",INDEX(B$5:B$64,SMALL(IF(MainTable[Type]=$Y$16,ROW(MainTable[Type])-ROW($B$5)+1),ROWS(Y$30:Y35)))))</f>
        <v/>
      </c>
      <c r="Z35" s="28" t="str">
        <f>IF(Y35="","",IF(COUNTIFS(MainTable[Module code],Y35,MainTable[Effective MCs],"&gt;0"),"Yes", "No"))</f>
        <v/>
      </c>
      <c r="AA35" s="29" t="str">
        <f t="array" ref="AA35">IF($AA$27="","",IF(ROWS($AA$30:AA35)&gt;$AA$17,"",INDEX(B$5:B$64,SMALL(IF(MainTable[Type]=$Y$17,ROW(MainTable[Type])-ROW($B$5)+1),ROWS(AA$30:AA35)))))</f>
        <v/>
      </c>
      <c r="AB35" s="36" t="str">
        <f>IF(AA35="","",IF(COUNTIFS(MainTable[Module code],AA35,MainTable[Effective MCs],"&gt;0"),"Yes", "No"))</f>
        <v/>
      </c>
      <c r="AC35" s="27" t="str">
        <f t="array" ref="AC35">IF($AC$27="","",IF(ROWS($AC$30:AC35)&gt;$AA$18,"",INDEX(B$5:B$64,SMALL(IF(MainTable[Type]=$Y$18,ROW(MainTable[Type])-ROW($B$5)+1),ROWS(AC$30:AC35)))))</f>
        <v/>
      </c>
      <c r="AD35" s="28" t="str">
        <f>IF(AC35="","",IF(COUNTIFS(MainTable[Module code],AC35,MainTable[Effective MCs],"&gt;0"),"Yes", "No"))</f>
        <v/>
      </c>
      <c r="AE35" s="29" t="str">
        <f t="array" ref="AE35">IF($AE$27="","",IF(ROWS($AE$30:AE35)&gt;$AA$19,"",INDEX(B$5:B$64,SMALL(IF(MainTable[Type]=$Y$19,ROW(MainTable[Type])-ROW($B$5)+1),ROWS(AE$30:AE35)))))</f>
        <v/>
      </c>
      <c r="AF35" s="28" t="str">
        <f>IF(AE35="","",IF(COUNTIFS(MainTable[Module code],AE35,MainTable[Effective MCs],"&gt;0"),"Yes", "No"))</f>
        <v/>
      </c>
    </row>
    <row r="36" spans="2:32" x14ac:dyDescent="0.25">
      <c r="B36" s="90" t="s">
        <v>78</v>
      </c>
      <c r="C36" s="91" t="s">
        <v>93</v>
      </c>
      <c r="D36" s="92"/>
      <c r="E36" s="92"/>
      <c r="F36" s="92">
        <v>4</v>
      </c>
      <c r="G36" s="92"/>
      <c r="H36" s="92"/>
      <c r="I36" s="92"/>
      <c r="J36" s="98">
        <v>6</v>
      </c>
      <c r="K36" s="85"/>
      <c r="L36" s="2" t="str">
        <f t="shared" si="0"/>
        <v/>
      </c>
      <c r="M36" s="82"/>
      <c r="N36" s="3" t="str">
        <f t="shared" si="1"/>
        <v/>
      </c>
      <c r="O36" s="3" t="str">
        <f t="shared" si="2"/>
        <v/>
      </c>
      <c r="P36" s="13" t="str">
        <f t="shared" si="3"/>
        <v/>
      </c>
      <c r="S36" s="27" t="str">
        <f t="array" ref="S36">IF($S$27="","",IF(ROWS(S$30:S36)&gt;$AA$13,"",INDEX(B$5:B$64,SMALL(IF(MainTable[Type]=$Y$13,ROW(MainTable[Type])-ROW($B$5)+1),ROWS(S$30:S36)))))</f>
        <v>CS4247</v>
      </c>
      <c r="T36" s="28" t="str">
        <f>IF(S36="","",IF(COUNTIFS(MainTable[Module code],S36,MainTable[Effective MCs],"&gt;0"),"Yes", "No"))</f>
        <v>No</v>
      </c>
      <c r="U36" s="29" t="str">
        <f t="array" ref="U36">IF($U$27="","",IF(ROWS(U$30:U36)&gt;$AA$14,"",INDEX(B$5:B$64,SMALL(IF(MainTable[Type]=$Y$14,ROW(MainTable[Type])-ROW($B$5)+1),ROWS(U$30:U36)))))</f>
        <v>CS3230</v>
      </c>
      <c r="V36" s="34" t="str">
        <f>IF(U36="","",IF(COUNTIFS(MainTable[Module code],U36,MainTable[Effective MCs],"&gt;0"),"Yes", "No"))</f>
        <v>No</v>
      </c>
      <c r="W36" s="27" t="str">
        <f t="array" ref="W36">IF($W$27="","",IF(ROWS(W$30:W36)&gt;$AA$15,"",INDEX(B$5:B$64,SMALL(IF(MainTable[Type]=$Y$15,ROW(MainTable[Type])-ROW($B$5)+1),ROWS(W$30:W36)))))</f>
        <v>CS5343</v>
      </c>
      <c r="X36" s="36" t="str">
        <f>IF(W36="","",IF(COUNTIFS(MainTable[Module code],W36,MainTable[Effective MCs],"&gt;0"),"Yes", "No"))</f>
        <v>No</v>
      </c>
      <c r="Y36" s="27" t="str">
        <f t="array" ref="Y36">IF($Y$27="","",IF(ROWS(Y$30:Y36)&gt;$AA$16,"",INDEX(B$5:B$64,SMALL(IF(MainTable[Type]=$Y$16,ROW(MainTable[Type])-ROW($B$5)+1),ROWS(Y$30:Y36)))))</f>
        <v/>
      </c>
      <c r="Z36" s="28" t="str">
        <f>IF(Y36="","",IF(COUNTIFS(MainTable[Module code],Y36,MainTable[Effective MCs],"&gt;0"),"Yes", "No"))</f>
        <v/>
      </c>
      <c r="AA36" s="29" t="str">
        <f t="array" ref="AA36">IF($AA$27="","",IF(ROWS($AA$30:AA36)&gt;$AA$17,"",INDEX(B$5:B$64,SMALL(IF(MainTable[Type]=$Y$17,ROW(MainTable[Type])-ROW($B$5)+1),ROWS(AA$30:AA36)))))</f>
        <v/>
      </c>
      <c r="AB36" s="36" t="str">
        <f>IF(AA36="","",IF(COUNTIFS(MainTable[Module code],AA36,MainTable[Effective MCs],"&gt;0"),"Yes", "No"))</f>
        <v/>
      </c>
      <c r="AC36" s="27" t="str">
        <f t="array" ref="AC36">IF($AC$27="","",IF(ROWS($AC$30:AC36)&gt;$AA$18,"",INDEX(B$5:B$64,SMALL(IF(MainTable[Type]=$Y$18,ROW(MainTable[Type])-ROW($B$5)+1),ROWS(AC$30:AC36)))))</f>
        <v/>
      </c>
      <c r="AD36" s="28" t="str">
        <f>IF(AC36="","",IF(COUNTIFS(MainTable[Module code],AC36,MainTable[Effective MCs],"&gt;0"),"Yes", "No"))</f>
        <v/>
      </c>
      <c r="AE36" s="29" t="str">
        <f t="array" ref="AE36">IF($AE$27="","",IF(ROWS($AE$30:AE36)&gt;$AA$19,"",INDEX(B$5:B$64,SMALL(IF(MainTable[Type]=$Y$19,ROW(MainTable[Type])-ROW($B$5)+1),ROWS(AE$30:AE36)))))</f>
        <v/>
      </c>
      <c r="AF36" s="28" t="str">
        <f>IF(AE36="","",IF(COUNTIFS(MainTable[Module code],AE36,MainTable[Effective MCs],"&gt;0"),"Yes", "No"))</f>
        <v/>
      </c>
    </row>
    <row r="37" spans="2:32" x14ac:dyDescent="0.25">
      <c r="B37" s="90" t="s">
        <v>70</v>
      </c>
      <c r="C37" s="91" t="s">
        <v>93</v>
      </c>
      <c r="D37" s="92"/>
      <c r="E37" s="92"/>
      <c r="F37" s="92">
        <v>4</v>
      </c>
      <c r="G37" s="92"/>
      <c r="H37" s="92"/>
      <c r="I37" s="92"/>
      <c r="J37" s="98">
        <v>6</v>
      </c>
      <c r="K37" s="85"/>
      <c r="L37" s="2" t="str">
        <f t="shared" ref="L37:L64" si="5">IF(K37="A+",5,IF(K37="A",5,IF(K37="A-",4.5,IF(K37="B+",4,IF(K37="B",3.5,IF(K37="B-",3,IF(K37="C+",2.5,IF(K37="C",2,IF(K37="D+",1.5,IF(K37="D",1,IF(K37="F",0,"")))))))))))</f>
        <v/>
      </c>
      <c r="M37" s="82"/>
      <c r="N37" s="3" t="str">
        <f t="shared" ref="N37:N64" si="6">IF(M37="N",SUM(D37:I37),IF(M37="Y",IF(L37&lt;2,0,SUM(D37:I37)),""))</f>
        <v/>
      </c>
      <c r="O37" s="3" t="str">
        <f t="shared" ref="O37:O64" si="7">IF(M37="Y",0,N37)</f>
        <v/>
      </c>
      <c r="P37" s="13" t="str">
        <f t="shared" ref="P37:P64" si="8">IF(OR(L37="",O37=""),"",O37*L37)</f>
        <v/>
      </c>
      <c r="S37" s="27" t="str">
        <f t="array" ref="S37">IF($S$27="","",IF(ROWS(S$30:S37)&gt;$AA$13,"",INDEX(B$5:B$64,SMALL(IF(MainTable[Type]=$Y$13,ROW(MainTable[Type])-ROW($B$5)+1),ROWS(S$30:S37)))))</f>
        <v>CS4340</v>
      </c>
      <c r="T37" s="28" t="str">
        <f>IF(S37="","",IF(COUNTIFS(MainTable[Module code],S37,MainTable[Effective MCs],"&gt;0"),"Yes", "No"))</f>
        <v>No</v>
      </c>
      <c r="U37" s="29" t="str">
        <f t="array" ref="U37">IF($U$27="","",IF(ROWS(U$30:U37)&gt;$AA$14,"",INDEX(B$5:B$64,SMALL(IF(MainTable[Type]=$Y$14,ROW(MainTable[Type])-ROW($B$5)+1),ROWS(U$30:U37)))))</f>
        <v>IS2104</v>
      </c>
      <c r="V37" s="34" t="str">
        <f>IF(U37="","",IF(COUNTIFS(MainTable[Module code],U37,MainTable[Effective MCs],"&gt;0"),"Yes", "No"))</f>
        <v>Yes</v>
      </c>
      <c r="W37" s="27" t="str">
        <f t="array" ref="W37">IF($W$27="","",IF(ROWS(W$30:W37)&gt;$AA$15,"",INDEX(B$5:B$64,SMALL(IF(MainTable[Type]=$Y$15,ROW(MainTable[Type])-ROW($B$5)+1),ROWS(W$30:W37)))))</f>
        <v/>
      </c>
      <c r="X37" s="28" t="str">
        <f>IF(W37="","",IF(COUNTIFS(MainTable[Module code],W37,MainTable[Effective MCs],"&gt;0"),"Yes", "No"))</f>
        <v/>
      </c>
      <c r="Y37" s="27" t="str">
        <f t="array" ref="Y37">IF($Y$27="","",IF(ROWS(Y$30:Y37)&gt;$AA$16,"",INDEX(B$5:B$64,SMALL(IF(MainTable[Type]=$Y$16,ROW(MainTable[Type])-ROW($B$5)+1),ROWS(Y$30:Y37)))))</f>
        <v/>
      </c>
      <c r="Z37" s="28" t="str">
        <f>IF(Y37="","",IF(COUNTIFS(MainTable[Module code],Y37,MainTable[Effective MCs],"&gt;0"),"Yes", "No"))</f>
        <v/>
      </c>
      <c r="AA37" s="29" t="str">
        <f t="array" ref="AA37">IF($AA$27="","",IF(ROWS($AA$30:AA37)&gt;$AA$17,"",INDEX(B$5:B$64,SMALL(IF(MainTable[Type]=$Y$17,ROW(MainTable[Type])-ROW($B$5)+1),ROWS(AA$30:AA37)))))</f>
        <v/>
      </c>
      <c r="AB37" s="36" t="str">
        <f>IF(AA37="","",IF(COUNTIFS(MainTable[Module code],AA37,MainTable[Effective MCs],"&gt;0"),"Yes", "No"))</f>
        <v/>
      </c>
      <c r="AC37" s="27" t="str">
        <f t="array" ref="AC37">IF($AC$27="","",IF(ROWS($AC$30:AC37)&gt;$AA$18,"",INDEX(B$5:B$64,SMALL(IF(MainTable[Type]=$Y$18,ROW(MainTable[Type])-ROW($B$5)+1),ROWS(AC$30:AC37)))))</f>
        <v/>
      </c>
      <c r="AD37" s="28" t="str">
        <f>IF(AC37="","",IF(COUNTIFS(MainTable[Module code],AC37,MainTable[Effective MCs],"&gt;0"),"Yes", "No"))</f>
        <v/>
      </c>
      <c r="AE37" s="29" t="str">
        <f t="array" ref="AE37">IF($AE$27="","",IF(ROWS($AE$30:AE37)&gt;$AA$19,"",INDEX(B$5:B$64,SMALL(IF(MainTable[Type]=$Y$19,ROW(MainTable[Type])-ROW($B$5)+1),ROWS(AE$30:AE37)))))</f>
        <v/>
      </c>
      <c r="AF37" s="28" t="str">
        <f>IF(AE37="","",IF(COUNTIFS(MainTable[Module code],AE37,MainTable[Effective MCs],"&gt;0"),"Yes", "No"))</f>
        <v/>
      </c>
    </row>
    <row r="38" spans="2:32" x14ac:dyDescent="0.25">
      <c r="B38" s="90" t="s">
        <v>27</v>
      </c>
      <c r="C38" s="91" t="s">
        <v>93</v>
      </c>
      <c r="D38" s="92"/>
      <c r="E38" s="92"/>
      <c r="F38" s="92"/>
      <c r="G38" s="92">
        <v>4</v>
      </c>
      <c r="H38" s="92"/>
      <c r="I38" s="92"/>
      <c r="J38" s="98">
        <v>6</v>
      </c>
      <c r="K38" s="85"/>
      <c r="L38" s="2" t="str">
        <f t="shared" si="5"/>
        <v/>
      </c>
      <c r="M38" s="82"/>
      <c r="N38" s="3" t="str">
        <f t="shared" si="6"/>
        <v/>
      </c>
      <c r="O38" s="3" t="str">
        <f t="shared" si="7"/>
        <v/>
      </c>
      <c r="P38" s="13" t="str">
        <f t="shared" si="8"/>
        <v/>
      </c>
      <c r="S38" s="27" t="str">
        <f t="array" ref="S38">IF($S$27="","",IF(ROWS(S$30:S38)&gt;$AA$13,"",INDEX(B$5:B$64,SMALL(IF(MainTable[Type]=$Y$13,ROW(MainTable[Type])-ROW($B$5)+1),ROWS(S$30:S38)))))</f>
        <v/>
      </c>
      <c r="T38" s="28" t="str">
        <f>IF(S38="","",IF(COUNTIFS(MainTable[Module code],S38,MainTable[Effective MCs],"&gt;0"),"Yes", "No"))</f>
        <v/>
      </c>
      <c r="U38" s="29" t="str">
        <f t="array" ref="U38">IF($U$27="","",IF(ROWS(U$30:U38)&gt;$AA$14,"",INDEX(B$5:B$64,SMALL(IF(MainTable[Type]=$Y$14,ROW(MainTable[Type])-ROW($B$5)+1),ROWS(U$30:U38)))))</f>
        <v/>
      </c>
      <c r="V38" s="34" t="str">
        <f>IF(U38="","",IF(COUNTIFS(MainTable[Module code],U38,MainTable[Effective MCs],"&gt;0"),"Yes", "No"))</f>
        <v/>
      </c>
      <c r="W38" s="27" t="str">
        <f t="array" ref="W38">IF($W$27="","",IF(ROWS(W$30:W38)&gt;$AA$15,"",INDEX(B$5:B$64,SMALL(IF(MainTable[Type]=$Y$15,ROW(MainTable[Type])-ROW($B$5)+1),ROWS(W$30:W38)))))</f>
        <v/>
      </c>
      <c r="X38" s="36" t="str">
        <f>IF(W38="","",IF(COUNTIFS(MainTable[Module code],W38,MainTable[Effective MCs],"&gt;0"),"Yes", "No"))</f>
        <v/>
      </c>
      <c r="Y38" s="27" t="str">
        <f t="array" ref="Y38">IF($Y$27="","",IF(ROWS(Y$30:Y38)&gt;$AA$16,"",INDEX(B$5:B$64,SMALL(IF(MainTable[Type]=$Y$16,ROW(MainTable[Type])-ROW($B$5)+1),ROWS(Y$30:Y38)))))</f>
        <v/>
      </c>
      <c r="Z38" s="28" t="str">
        <f>IF(Y38="","",IF(COUNTIFS(MainTable[Module code],Y38,MainTable[Effective MCs],"&gt;0"),"Yes", "No"))</f>
        <v/>
      </c>
      <c r="AA38" s="29" t="str">
        <f t="array" ref="AA38">IF($AA$27="","",IF(ROWS($AA$30:AA38)&gt;$AA$17,"",INDEX(B$5:B$64,SMALL(IF(MainTable[Type]=$Y$17,ROW(MainTable[Type])-ROW($B$5)+1),ROWS(AA$30:AA38)))))</f>
        <v/>
      </c>
      <c r="AB38" s="36" t="str">
        <f>IF(AA38="","",IF(COUNTIFS(MainTable[Module code],AA38,MainTable[Effective MCs],"&gt;0"),"Yes", "No"))</f>
        <v/>
      </c>
      <c r="AC38" s="27" t="str">
        <f t="array" ref="AC38">IF($AC$27="","",IF(ROWS($AC$30:AC38)&gt;$AA$18,"",INDEX(B$5:B$64,SMALL(IF(MainTable[Type]=$Y$18,ROW(MainTable[Type])-ROW($B$5)+1),ROWS(AC$30:AC38)))))</f>
        <v/>
      </c>
      <c r="AD38" s="28" t="str">
        <f>IF(AC38="","",IF(COUNTIFS(MainTable[Module code],AC38,MainTable[Effective MCs],"&gt;0"),"Yes", "No"))</f>
        <v/>
      </c>
      <c r="AE38" s="29" t="str">
        <f t="array" ref="AE38">IF($AE$27="","",IF(ROWS($AE$30:AE38)&gt;$AA$19,"",INDEX(B$5:B$64,SMALL(IF(MainTable[Type]=$Y$19,ROW(MainTable[Type])-ROW($B$5)+1),ROWS(AE$30:AE38)))))</f>
        <v/>
      </c>
      <c r="AF38" s="28" t="str">
        <f>IF(AE38="","",IF(COUNTIFS(MainTable[Module code],AE38,MainTable[Effective MCs],"&gt;0"),"Yes", "No"))</f>
        <v/>
      </c>
    </row>
    <row r="39" spans="2:32" x14ac:dyDescent="0.25">
      <c r="B39" s="90" t="s">
        <v>30</v>
      </c>
      <c r="C39" s="91" t="s">
        <v>93</v>
      </c>
      <c r="D39" s="92"/>
      <c r="E39" s="92"/>
      <c r="F39" s="92"/>
      <c r="G39" s="92">
        <v>4</v>
      </c>
      <c r="H39" s="92"/>
      <c r="I39" s="92"/>
      <c r="J39" s="98">
        <v>6</v>
      </c>
      <c r="K39" s="85"/>
      <c r="L39" s="2" t="str">
        <f t="shared" si="5"/>
        <v/>
      </c>
      <c r="M39" s="82"/>
      <c r="N39" s="3" t="str">
        <f t="shared" si="6"/>
        <v/>
      </c>
      <c r="O39" s="3" t="str">
        <f t="shared" si="7"/>
        <v/>
      </c>
      <c r="P39" s="13" t="str">
        <f t="shared" si="8"/>
        <v/>
      </c>
      <c r="S39" s="27" t="str">
        <f t="array" ref="S39">IF($S$27="","",IF(ROWS(S$30:S39)&gt;$AA$13,"",INDEX(B$5:B$64,SMALL(IF(MainTable[Type]=$Y$13,ROW(MainTable[Type])-ROW($B$5)+1),ROWS(S$30:S39)))))</f>
        <v/>
      </c>
      <c r="T39" s="28" t="str">
        <f>IF(S39="","",IF(COUNTIFS(MainTable[Module code],S39,MainTable[Effective MCs],"&gt;0"),"Yes", "No"))</f>
        <v/>
      </c>
      <c r="U39" s="29" t="str">
        <f t="array" ref="U39">IF($U$27="","",IF(ROWS(U$30:U39)&gt;$AA$14,"",INDEX(B$5:B$64,SMALL(IF(MainTable[Type]=$Y$14,ROW(MainTable[Type])-ROW($B$5)+1),ROWS(U$30:U39)))))</f>
        <v/>
      </c>
      <c r="V39" s="34" t="str">
        <f>IF(U39="","",IF(COUNTIFS(MainTable[Module code],U39,MainTable[Effective MCs],"&gt;0"),"Yes", "No"))</f>
        <v/>
      </c>
      <c r="W39" s="27" t="str">
        <f t="array" ref="W39">IF($W$27="","",IF(ROWS(W$30:W39)&gt;$AA$15,"",INDEX(B$5:B$64,SMALL(IF(MainTable[Type]=$Y$15,ROW(MainTable[Type])-ROW($B$5)+1),ROWS(W$30:W39)))))</f>
        <v/>
      </c>
      <c r="X39" s="36" t="str">
        <f>IF(W39="","",IF(COUNTIFS(MainTable[Module code],W39,MainTable[Effective MCs],"&gt;0"),"Yes", "No"))</f>
        <v/>
      </c>
      <c r="Y39" s="27" t="str">
        <f t="array" ref="Y39">IF($Y$27="","",IF(ROWS(Y$30:Y39)&gt;$AA$16,"",INDEX(B$5:B$64,SMALL(IF(MainTable[Type]=$Y$16,ROW(MainTable[Type])-ROW($B$5)+1),ROWS(Y$30:Y39)))))</f>
        <v/>
      </c>
      <c r="Z39" s="28" t="str">
        <f>IF(Y39="","",IF(COUNTIFS(MainTable[Module code],Y39,MainTable[Effective MCs],"&gt;0"),"Yes", "No"))</f>
        <v/>
      </c>
      <c r="AA39" s="29" t="str">
        <f t="array" ref="AA39">IF($AA$27="","",IF(ROWS($AA$30:AA39)&gt;$AA$17,"",INDEX(B$5:B$64,SMALL(IF(MainTable[Type]=$Y$17,ROW(MainTable[Type])-ROW($B$5)+1),ROWS(AA$30:AA39)))))</f>
        <v/>
      </c>
      <c r="AB39" s="36" t="str">
        <f>IF(AA39="","",IF(COUNTIFS(MainTable[Module code],AA39,MainTable[Effective MCs],"&gt;0"),"Yes", "No"))</f>
        <v/>
      </c>
      <c r="AC39" s="27" t="str">
        <f t="array" ref="AC39">IF($AC$27="","",IF(ROWS($AC$30:AC39)&gt;$AA$18,"",INDEX(B$5:B$64,SMALL(IF(MainTable[Type]=$Y$18,ROW(MainTable[Type])-ROW($B$5)+1),ROWS(AC$30:AC39)))))</f>
        <v/>
      </c>
      <c r="AD39" s="28" t="str">
        <f>IF(AC39="","",IF(COUNTIFS(MainTable[Module code],AC39,MainTable[Effective MCs],"&gt;0"),"Yes", "No"))</f>
        <v/>
      </c>
      <c r="AE39" s="29" t="str">
        <f t="array" ref="AE39">IF($AE$27="","",IF(ROWS($AE$30:AE39)&gt;$AA$19,"",INDEX(B$5:B$64,SMALL(IF(MainTable[Type]=$Y$19,ROW(MainTable[Type])-ROW($B$5)+1),ROWS(AE$30:AE39)))))</f>
        <v/>
      </c>
      <c r="AF39" s="28" t="str">
        <f>IF(AE39="","",IF(COUNTIFS(MainTable[Module code],AE39,MainTable[Effective MCs],"&gt;0"),"Yes", "No"))</f>
        <v/>
      </c>
    </row>
    <row r="40" spans="2:32" ht="15.75" thickBot="1" x14ac:dyDescent="0.3">
      <c r="B40" s="90" t="s">
        <v>80</v>
      </c>
      <c r="C40" s="91" t="s">
        <v>95</v>
      </c>
      <c r="D40" s="92"/>
      <c r="E40" s="92"/>
      <c r="F40" s="92"/>
      <c r="G40" s="92">
        <v>12</v>
      </c>
      <c r="H40" s="92"/>
      <c r="I40" s="92"/>
      <c r="J40" s="98">
        <v>6</v>
      </c>
      <c r="K40" s="85"/>
      <c r="L40" s="2" t="str">
        <f t="shared" si="5"/>
        <v/>
      </c>
      <c r="M40" s="82"/>
      <c r="N40" s="3" t="str">
        <f t="shared" si="6"/>
        <v/>
      </c>
      <c r="O40" s="3" t="str">
        <f t="shared" si="7"/>
        <v/>
      </c>
      <c r="P40" s="13" t="str">
        <f t="shared" si="8"/>
        <v/>
      </c>
      <c r="S40" s="27" t="str">
        <f t="array" ref="S40">IF($S$27="","",IF(ROWS(S$30:S40)&gt;$AA$13,"",INDEX(B$5:B$64,SMALL(IF(MainTable[Type]=$Y$13,ROW(MainTable[Type])-ROW($B$5)+1),ROWS(S$30:S40)))))</f>
        <v/>
      </c>
      <c r="T40" s="28" t="str">
        <f>IF(S40="","",IF(COUNTIFS(MainTable[Module code],S40,MainTable[Effective MCs],"&gt;0"),"Yes", "No"))</f>
        <v/>
      </c>
      <c r="U40" s="29" t="str">
        <f t="array" ref="U40">IF($U$27="","",IF(ROWS(U$30:U40)&gt;$AA$14,"",INDEX(B$5:B$64,SMALL(IF(MainTable[Type]=$Y$14,ROW(MainTable[Type])-ROW($B$5)+1),ROWS(U$30:U40)))))</f>
        <v/>
      </c>
      <c r="V40" s="34" t="str">
        <f>IF(U40="","",IF(COUNTIFS(MainTable[Module code],U40,MainTable[Effective MCs],"&gt;0"),"Yes", "No"))</f>
        <v/>
      </c>
      <c r="W40" s="27" t="str">
        <f t="array" ref="W40">IF($W$27="","",IF(ROWS(W$30:W40)&gt;$AA$15,"",INDEX(B$5:B$64,SMALL(IF(MainTable[Type]=$Y$15,ROW(MainTable[Type])-ROW($B$5)+1),ROWS(W$30:W40)))))</f>
        <v/>
      </c>
      <c r="X40" s="36" t="str">
        <f>IF(W40="","",IF(COUNTIFS(MainTable[Module code],W40,MainTable[Effective MCs],"&gt;0"),"Yes", "No"))</f>
        <v/>
      </c>
      <c r="Y40" s="27" t="str">
        <f t="array" ref="Y40">IF($Y$27="","",IF(ROWS(Y$30:Y40)&gt;$AA$16,"",INDEX(B$5:B$64,SMALL(IF(MainTable[Type]=$Y$16,ROW(MainTable[Type])-ROW($B$5)+1),ROWS(Y$30:Y40)))))</f>
        <v/>
      </c>
      <c r="Z40" s="28" t="str">
        <f>IF(Y40="","",IF(COUNTIFS(MainTable[Module code],Y40,MainTable[Effective MCs],"&gt;0"),"Yes", "No"))</f>
        <v/>
      </c>
      <c r="AA40" s="29" t="str">
        <f t="array" ref="AA40">IF($AA$27="","",IF(ROWS($AA$30:AA40)&gt;$AA$17,"",INDEX(B$5:B$64,SMALL(IF(MainTable[Type]=$Y$17,ROW(MainTable[Type])-ROW($B$5)+1),ROWS(AA$30:AA40)))))</f>
        <v/>
      </c>
      <c r="AB40" s="36" t="str">
        <f>IF(AA40="","",IF(COUNTIFS(MainTable[Module code],AA40,MainTable[Effective MCs],"&gt;0"),"Yes", "No"))</f>
        <v/>
      </c>
      <c r="AC40" s="27" t="str">
        <f t="array" ref="AC40">IF($AC$27="","",IF(ROWS($AC$30:AC40)&gt;$AA$18,"",INDEX(B$5:B$64,SMALL(IF(MainTable[Type]=$Y$18,ROW(MainTable[Type])-ROW($B$5)+1),ROWS(AC$30:AC40)))))</f>
        <v/>
      </c>
      <c r="AD40" s="28" t="str">
        <f>IF(AC40="","",IF(COUNTIFS(MainTable[Module code],AC40,MainTable[Effective MCs],"&gt;0"),"Yes", "No"))</f>
        <v/>
      </c>
      <c r="AE40" s="29" t="str">
        <f t="array" ref="AE40">IF($AE$27="","",IF(ROWS($AE$30:AE40)&gt;$AA$19,"",INDEX(B$5:B$64,SMALL(IF(MainTable[Type]=$Y$19,ROW(MainTable[Type])-ROW($B$5)+1),ROWS(AE$30:AE40)))))</f>
        <v/>
      </c>
      <c r="AF40" s="28" t="str">
        <f>IF(AE40="","",IF(COUNTIFS(MainTable[Module code],AE40,MainTable[Effective MCs],"&gt;0"),"Yes", "No"))</f>
        <v/>
      </c>
    </row>
    <row r="41" spans="2:32" x14ac:dyDescent="0.25">
      <c r="B41" s="90" t="s">
        <v>76</v>
      </c>
      <c r="C41" s="91" t="s">
        <v>62</v>
      </c>
      <c r="D41" s="92"/>
      <c r="E41" s="92"/>
      <c r="F41" s="92"/>
      <c r="G41" s="92"/>
      <c r="H41" s="92">
        <v>4</v>
      </c>
      <c r="I41" s="92"/>
      <c r="J41" s="98">
        <v>7</v>
      </c>
      <c r="K41" s="85"/>
      <c r="L41" s="2" t="str">
        <f t="shared" si="5"/>
        <v/>
      </c>
      <c r="M41" s="82"/>
      <c r="N41" s="3" t="str">
        <f t="shared" si="6"/>
        <v/>
      </c>
      <c r="O41" s="3" t="str">
        <f t="shared" si="7"/>
        <v/>
      </c>
      <c r="P41" s="13" t="str">
        <f t="shared" si="8"/>
        <v/>
      </c>
      <c r="S41" s="27" t="str">
        <f t="array" ref="S41">IF($S$27="","",IF(ROWS(S$30:S41)&gt;$AA$13,"",INDEX(B$5:B$64,SMALL(IF(MainTable[Type]=$Y$13,ROW(MainTable[Type])-ROW($B$5)+1),ROWS(S$30:S41)))))</f>
        <v/>
      </c>
      <c r="T41" s="28" t="str">
        <f>IF(S41="","",IF(COUNTIFS(MainTable[Module code],S41,MainTable[Effective MCs],"&gt;0"),"Yes", "No"))</f>
        <v/>
      </c>
      <c r="U41" s="29" t="str">
        <f t="array" ref="U41">IF($U$27="","",IF(ROWS(U$30:U41)&gt;$AA$14,"",INDEX(B$5:B$64,SMALL(IF(MainTable[Type]=$Y$14,ROW(MainTable[Type])-ROW($B$5)+1),ROWS(U$30:U41)))))</f>
        <v/>
      </c>
      <c r="V41" s="34" t="str">
        <f>IF(U41="","",IF(COUNTIFS(MainTable[Module code],U41,MainTable[Effective MCs],"&gt;0"),"Yes", "No"))</f>
        <v/>
      </c>
      <c r="W41" s="118" t="str">
        <f>IF(Y20="","",Y20)</f>
        <v>Media Tech</v>
      </c>
      <c r="X41" s="119"/>
      <c r="Y41" s="118" t="str">
        <f>IF(Y21="","",Y21)</f>
        <v>Final Year Project</v>
      </c>
      <c r="Z41" s="119"/>
      <c r="AA41" s="118" t="str">
        <f>IF(Y22="","",Y22)</f>
        <v>Singapore Studies</v>
      </c>
      <c r="AB41" s="119"/>
      <c r="AC41" s="118" t="str">
        <f>IF(Y23="","",Y23)</f>
        <v/>
      </c>
      <c r="AD41" s="119"/>
      <c r="AE41" s="118" t="str">
        <f>IF(Y24="","",Y24)</f>
        <v/>
      </c>
      <c r="AF41" s="119"/>
    </row>
    <row r="42" spans="2:32" ht="15.75" thickBot="1" x14ac:dyDescent="0.3">
      <c r="B42" s="90" t="s">
        <v>83</v>
      </c>
      <c r="C42" s="91" t="s">
        <v>14</v>
      </c>
      <c r="D42" s="92"/>
      <c r="E42" s="92">
        <v>4</v>
      </c>
      <c r="F42" s="92"/>
      <c r="G42" s="92"/>
      <c r="H42" s="92"/>
      <c r="I42" s="92"/>
      <c r="J42" s="98">
        <v>7</v>
      </c>
      <c r="K42" s="85"/>
      <c r="L42" s="2" t="str">
        <f t="shared" si="5"/>
        <v/>
      </c>
      <c r="M42" s="82"/>
      <c r="N42" s="3" t="str">
        <f t="shared" si="6"/>
        <v/>
      </c>
      <c r="O42" s="3" t="str">
        <f t="shared" si="7"/>
        <v/>
      </c>
      <c r="P42" s="13" t="str">
        <f t="shared" si="8"/>
        <v/>
      </c>
      <c r="S42" s="27" t="str">
        <f t="array" ref="S42">IF($S$27="","",IF(ROWS(S$30:S42)&gt;$AA$13,"",INDEX(B$5:B$64,SMALL(IF(MainTable[Type]=$Y$13,ROW(MainTable[Type])-ROW($B$5)+1),ROWS(S$30:S42)))))</f>
        <v/>
      </c>
      <c r="T42" s="28" t="str">
        <f>IF(S42="","",IF(COUNTIFS(MainTable[Module code],S42,MainTable[Effective MCs],"&gt;0"),"Yes", "No"))</f>
        <v/>
      </c>
      <c r="U42" s="29" t="str">
        <f t="array" ref="U42">IF($U$27="","",IF(ROWS(U$30:U42)&gt;$AA$14,"",INDEX(B$5:B$64,SMALL(IF(MainTable[Type]=$Y$14,ROW(MainTable[Type])-ROW($B$5)+1),ROWS(U$30:U42)))))</f>
        <v/>
      </c>
      <c r="V42" s="34" t="str">
        <f>IF(U42="","",IF(COUNTIFS(MainTable[Module code],U42,MainTable[Effective MCs],"&gt;0"),"Yes", "No"))</f>
        <v/>
      </c>
      <c r="W42" s="120"/>
      <c r="X42" s="121"/>
      <c r="Y42" s="120"/>
      <c r="Z42" s="121"/>
      <c r="AA42" s="120"/>
      <c r="AB42" s="121"/>
      <c r="AC42" s="120"/>
      <c r="AD42" s="121"/>
      <c r="AE42" s="120"/>
      <c r="AF42" s="121"/>
    </row>
    <row r="43" spans="2:32" x14ac:dyDescent="0.25">
      <c r="B43" s="90"/>
      <c r="C43" s="91"/>
      <c r="D43" s="92"/>
      <c r="E43" s="92"/>
      <c r="F43" s="92"/>
      <c r="G43" s="92"/>
      <c r="H43" s="92"/>
      <c r="I43" s="92"/>
      <c r="J43" s="98"/>
      <c r="K43" s="85"/>
      <c r="L43" s="2" t="str">
        <f t="shared" si="5"/>
        <v/>
      </c>
      <c r="M43" s="82"/>
      <c r="N43" s="3" t="str">
        <f t="shared" si="6"/>
        <v/>
      </c>
      <c r="O43" s="3" t="str">
        <f t="shared" si="7"/>
        <v/>
      </c>
      <c r="P43" s="13" t="str">
        <f t="shared" si="8"/>
        <v/>
      </c>
      <c r="S43" s="27" t="str">
        <f t="array" ref="S43">IF($S$27="","",IF(ROWS(S$30:S43)&gt;$AA$13,"",INDEX(B$5:B$64,SMALL(IF(MainTable[Type]=$Y$13,ROW(MainTable[Type])-ROW($B$5)+1),ROWS(S$30:S43)))))</f>
        <v/>
      </c>
      <c r="T43" s="28" t="str">
        <f>IF(S43="","",IF(COUNTIFS(MainTable[Module code],S43,MainTable[Effective MCs],"&gt;0"),"Yes", "No"))</f>
        <v/>
      </c>
      <c r="U43" s="29" t="str">
        <f t="array" ref="U43">IF($U$27="","",IF(ROWS(U$30:U43)&gt;$AA$14,"",INDEX(B$5:B$64,SMALL(IF(MainTable[Type]=$Y$14,ROW(MainTable[Type])-ROW($B$5)+1),ROWS(U$30:U43)))))</f>
        <v/>
      </c>
      <c r="V43" s="34" t="str">
        <f>IF(U43="","",IF(COUNTIFS(MainTable[Module code],U43,MainTable[Effective MCs],"&gt;0"),"Yes", "No"))</f>
        <v/>
      </c>
      <c r="W43" s="27" t="str">
        <f t="array" ref="W43">IF($W$41="","",IF(ROWS(W$43:W43)&gt;$AA$20,"",INDEX(B$5:B$64,SMALL(IF(MainTable[Type]=$Y$20,ROW(MainTable[Type])-ROW($B$5)+1),ROWS(W$43:W43)))))</f>
        <v>CS3283</v>
      </c>
      <c r="X43" s="28" t="str">
        <f>IF(W43="","",IF(COUNTIFS(MainTable[Module code],W43,MainTable[Effective MCs],"&gt;0"),"Yes", "No"))</f>
        <v>No</v>
      </c>
      <c r="Y43" s="27" t="str">
        <f t="array" ref="Y43">IF($Y$41="","",IF(ROWS(Y$43:Y43)&gt;$AA$21,"",INDEX(B$5:B$64,SMALL(IF(MainTable[Type]=$Y$21,ROW(MainTable[Type])-ROW($B$5)+1),ROWS(Y$43:Y43)))))</f>
        <v>CP4101</v>
      </c>
      <c r="Z43" s="28" t="str">
        <f>IF(Y43="","",IF(COUNTIFS(MainTable[Module code],Y43,MainTable[Effective MCs],"&gt;0"),"Yes", "No"))</f>
        <v>No</v>
      </c>
      <c r="AA43" s="29" t="str">
        <f t="array" ref="AA43">IF($AA$41="","",IF(ROWS(AA$43:AA43)&gt;$AA$22,"",INDEX(B$5:B$64,SMALL(IF(MainTable[Type]=$Y$22,ROW(MainTable[Type])-ROW($B$5)+1),ROWS(AA$43:AA43)))))</f>
        <v>SSB2216</v>
      </c>
      <c r="AB43" s="36" t="str">
        <f>IF(AA43="","",IF(COUNTIFS(MainTable[Module code],AA43,MainTable[Effective MCs],"&gt;0"),"Yes", "No"))</f>
        <v>No</v>
      </c>
      <c r="AC43" s="27" t="str">
        <f t="array" ref="AC43">IF($AC$41="","",IF(ROWS(AC$43:AC43)&gt;$AA$23,"",INDEX(B$5:B$64,SMALL(IF(MainTable[Type]=$Y$23,ROW(MainTable[Type])-ROW($B$5)+1),ROWS(AC$43:AC43)))))</f>
        <v/>
      </c>
      <c r="AD43" s="28" t="str">
        <f>IF(AC43="","",IF(COUNTIFS(MainTable[Module code],AC43,MainTable[Effective MCs],"&gt;0"),"Yes", "No"))</f>
        <v/>
      </c>
      <c r="AE43" s="29" t="str">
        <f t="array" ref="AE43">IF(AE41="","",IF(ROWS(AE$43:AE43)&gt;$AA$24,"",INDEX(B$5:B$64,SMALL(IF(MainTable[Type]=$Y$24,ROW(MainTable[Type])-ROW($B$5)+1),ROWS(AE$43:AE43)))))</f>
        <v/>
      </c>
      <c r="AF43" s="28" t="str">
        <f>IF(AE43="","",IF(COUNTIFS(MainTable[Module code],AE43,MainTable[Effective MCs],"&gt;0"),"Yes", "No"))</f>
        <v/>
      </c>
    </row>
    <row r="44" spans="2:32" ht="15" customHeight="1" x14ac:dyDescent="0.25">
      <c r="B44" s="90"/>
      <c r="C44" s="91"/>
      <c r="D44" s="92"/>
      <c r="E44" s="92"/>
      <c r="F44" s="92"/>
      <c r="G44" s="92"/>
      <c r="H44" s="92"/>
      <c r="I44" s="92"/>
      <c r="J44" s="98"/>
      <c r="K44" s="85"/>
      <c r="L44" s="2" t="str">
        <f t="shared" si="5"/>
        <v/>
      </c>
      <c r="M44" s="82"/>
      <c r="N44" s="3" t="str">
        <f t="shared" si="6"/>
        <v/>
      </c>
      <c r="O44" s="3" t="str">
        <f t="shared" si="7"/>
        <v/>
      </c>
      <c r="P44" s="13" t="str">
        <f t="shared" si="8"/>
        <v/>
      </c>
      <c r="S44" s="27" t="str">
        <f t="array" ref="S44">IF($S$27="","",IF(ROWS(S$30:S44)&gt;$AA$13,"",INDEX(B$5:B$64,SMALL(IF(MainTable[Type]=$Y$13,ROW(MainTable[Type])-ROW($B$5)+1),ROWS(S$30:S44)))))</f>
        <v/>
      </c>
      <c r="T44" s="28" t="str">
        <f>IF(S44="","",IF(COUNTIFS(MainTable[Module code],S44,MainTable[Effective MCs],"&gt;0"),"Yes", "No"))</f>
        <v/>
      </c>
      <c r="U44" s="29" t="str">
        <f t="array" ref="U44">IF($U$27="","",IF(ROWS(U$30:U44)&gt;$AA$14,"",INDEX(B$5:B$64,SMALL(IF(MainTable[Type]=$Y$14,ROW(MainTable[Type])-ROW($B$5)+1),ROWS(U$30:U44)))))</f>
        <v/>
      </c>
      <c r="V44" s="34" t="str">
        <f>IF(U44="","",IF(COUNTIFS(MainTable[Module code],U44,MainTable[Effective MCs],"&gt;0"),"Yes", "No"))</f>
        <v/>
      </c>
      <c r="W44" s="27" t="str">
        <f t="array" ref="W44">IF($W$41="","",IF(ROWS(W$43:W44)&gt;$AA$20,"",INDEX(B$5:B$64,SMALL(IF(MainTable[Type]=$Y$20,ROW(MainTable[Type])-ROW($B$5)+1),ROWS(W$43:W44)))))</f>
        <v>CS3284</v>
      </c>
      <c r="X44" s="28" t="str">
        <f>IF(W44="","",IF(COUNTIFS(MainTable[Module code],W44,MainTable[Effective MCs],"&gt;0"),"Yes", "No"))</f>
        <v>No</v>
      </c>
      <c r="Y44" s="27" t="str">
        <f t="array" ref="Y44">IF($Y$41="","",IF(ROWS(Y$43:Y44)&gt;$AA$21,"",INDEX(B$5:B$64,SMALL(IF(MainTable[Type]=$Y$21,ROW(MainTable[Type])-ROW($B$5)+1),ROWS(Y$43:Y44)))))</f>
        <v/>
      </c>
      <c r="Z44" s="28" t="str">
        <f>IF(Y44="","",IF(COUNTIFS(MainTable[Module code],Y44,MainTable[Effective MCs],"&gt;0"),"Yes", "No"))</f>
        <v/>
      </c>
      <c r="AA44" s="29" t="str">
        <f t="array" ref="AA44">IF($AA$41="","",IF(ROWS(AA$43:AA44)&gt;$AA$22,"",INDEX(B$5:B$64,SMALL(IF(MainTable[Type]=$Y$22,ROW(MainTable[Type])-ROW($B$5)+1),ROWS(AA$43:AA44)))))</f>
        <v/>
      </c>
      <c r="AB44" s="36" t="str">
        <f>IF(AA44="","",IF(COUNTIFS(MainTable[Module code],AA44,MainTable[Effective MCs],"&gt;0"),"Yes", "No"))</f>
        <v/>
      </c>
      <c r="AC44" s="27" t="str">
        <f t="array" ref="AC44">IF($AC$41="","",IF(ROWS(AC$43:AC44)&gt;$AA$23,"",INDEX(B$5:B$64,SMALL(IF(MainTable[Type]=$Y$23,ROW(MainTable[Type])-ROW($B$5)+1),ROWS(AC$43:AC44)))))</f>
        <v/>
      </c>
      <c r="AD44" s="28" t="str">
        <f>IF(AC44="","",IF(COUNTIFS(MainTable[Module code],AC44,MainTable[Effective MCs],"&gt;0"),"Yes", "No"))</f>
        <v/>
      </c>
      <c r="AE44" s="29" t="str">
        <f t="array" ref="AE44">IF(AE42="","",IF(ROWS(AE$43:AE44)&gt;$AA$24,"",INDEX(B$5:B$64,SMALL(IF(MainTable[Type]=$Y$24,ROW(MainTable[Type])-ROW($B$5)+1),ROWS(AE$43:AE44)))))</f>
        <v/>
      </c>
      <c r="AF44" s="28" t="str">
        <f>IF(AE44="","",IF(COUNTIFS(MainTable[Module code],AE44,MainTable[Effective MCs],"&gt;0"),"Yes", "No"))</f>
        <v/>
      </c>
    </row>
    <row r="45" spans="2:32" x14ac:dyDescent="0.25">
      <c r="B45" s="90"/>
      <c r="C45" s="91"/>
      <c r="D45" s="92"/>
      <c r="E45" s="92"/>
      <c r="F45" s="92"/>
      <c r="G45" s="92"/>
      <c r="H45" s="92"/>
      <c r="I45" s="92"/>
      <c r="J45" s="98"/>
      <c r="K45" s="85"/>
      <c r="L45" s="2" t="str">
        <f t="shared" si="5"/>
        <v/>
      </c>
      <c r="M45" s="82"/>
      <c r="N45" s="3" t="str">
        <f t="shared" si="6"/>
        <v/>
      </c>
      <c r="O45" s="3" t="str">
        <f t="shared" si="7"/>
        <v/>
      </c>
      <c r="P45" s="13" t="str">
        <f t="shared" si="8"/>
        <v/>
      </c>
      <c r="S45" s="27" t="str">
        <f t="array" ref="S45">IF($S$27="","",IF(ROWS(S$30:S45)&gt;$AA$13,"",INDEX(B$5:B$64,SMALL(IF(MainTable[Type]=$Y$13,ROW(MainTable[Type])-ROW($B$5)+1),ROWS(S$30:S45)))))</f>
        <v/>
      </c>
      <c r="T45" s="28" t="str">
        <f>IF(S45="","",IF(COUNTIFS(MainTable[Module code],S45,MainTable[Effective MCs],"&gt;0"),"Yes", "No"))</f>
        <v/>
      </c>
      <c r="U45" s="29" t="str">
        <f t="array" ref="U45">IF($U$27="","",IF(ROWS(U$30:U45)&gt;$AA$14,"",INDEX(B$5:B$64,SMALL(IF(MainTable[Type]=$Y$14,ROW(MainTable[Type])-ROW($B$5)+1),ROWS(U$30:U45)))))</f>
        <v/>
      </c>
      <c r="V45" s="34" t="str">
        <f>IF(U45="","",IF(COUNTIFS(MainTable[Module code],U45,MainTable[Effective MCs],"&gt;0"),"Yes", "No"))</f>
        <v/>
      </c>
      <c r="W45" s="27" t="str">
        <f t="array" ref="W45">IF($W$41="","",IF(ROWS(W$43:W45)&gt;$AA$20,"",INDEX(B$5:B$64,SMALL(IF(MainTable[Type]=$Y$20,ROW(MainTable[Type])-ROW($B$5)+1),ROWS(W$43:W45)))))</f>
        <v/>
      </c>
      <c r="X45" s="28" t="str">
        <f>IF(W45="","",IF(COUNTIFS(MainTable[Module code],W45,MainTable[Effective MCs],"&gt;0"),"Yes", "No"))</f>
        <v/>
      </c>
      <c r="Y45" s="27" t="str">
        <f t="array" ref="Y45">IF($Y$41="","",IF(ROWS(Y$43:Y45)&gt;$AA$21,"",INDEX(B$5:B$64,SMALL(IF(MainTable[Type]=$Y$21,ROW(MainTable[Type])-ROW($B$5)+1),ROWS(Y$43:Y45)))))</f>
        <v/>
      </c>
      <c r="Z45" s="28" t="str">
        <f>IF(Y45="","",IF(COUNTIFS(MainTable[Module code],Y45,MainTable[Effective MCs],"&gt;0"),"Yes", "No"))</f>
        <v/>
      </c>
      <c r="AA45" s="29" t="str">
        <f t="array" ref="AA45">IF($AA$41="","",IF(ROWS(AA$43:AA45)&gt;$AA$22,"",INDEX(B$5:B$64,SMALL(IF(MainTable[Type]=$Y$22,ROW(MainTable[Type])-ROW($B$5)+1),ROWS(AA$43:AA45)))))</f>
        <v/>
      </c>
      <c r="AB45" s="36" t="str">
        <f>IF(AA45="","",IF(COUNTIFS(MainTable[Module code],AA45,MainTable[Effective MCs],"&gt;0"),"Yes", "No"))</f>
        <v/>
      </c>
      <c r="AC45" s="27" t="str">
        <f t="array" ref="AC45">IF($AC$41="","",IF(ROWS(AC$43:AC45)&gt;$AA$23,"",INDEX(B$5:B$64,SMALL(IF(MainTable[Type]=$Y$23,ROW(MainTable[Type])-ROW($B$5)+1),ROWS(AC$43:AC45)))))</f>
        <v/>
      </c>
      <c r="AD45" s="28" t="str">
        <f>IF(AC45="","",IF(COUNTIFS(MainTable[Module code],AC45,MainTable[Effective MCs],"&gt;0"),"Yes", "No"))</f>
        <v/>
      </c>
      <c r="AE45" s="29" t="str">
        <f t="array" ref="AE45">IF(AE43="","",IF(ROWS(AE$43:AE45)&gt;$AA$24,"",INDEX(B$5:B$64,SMALL(IF(MainTable[Type]=$Y$24,ROW(MainTable[Type])-ROW($B$5)+1),ROWS(AE$43:AE45)))))</f>
        <v/>
      </c>
      <c r="AF45" s="28" t="str">
        <f>IF(AE45="","",IF(COUNTIFS(MainTable[Module code],AE45,MainTable[Effective MCs],"&gt;0"),"Yes", "No"))</f>
        <v/>
      </c>
    </row>
    <row r="46" spans="2:32" x14ac:dyDescent="0.25">
      <c r="B46" s="90"/>
      <c r="C46" s="91"/>
      <c r="D46" s="92"/>
      <c r="E46" s="92"/>
      <c r="F46" s="92"/>
      <c r="G46" s="92"/>
      <c r="H46" s="92"/>
      <c r="I46" s="92"/>
      <c r="J46" s="98"/>
      <c r="K46" s="85"/>
      <c r="L46" s="2" t="str">
        <f t="shared" si="5"/>
        <v/>
      </c>
      <c r="M46" s="82"/>
      <c r="N46" s="3" t="str">
        <f t="shared" si="6"/>
        <v/>
      </c>
      <c r="O46" s="3" t="str">
        <f t="shared" si="7"/>
        <v/>
      </c>
      <c r="P46" s="13" t="str">
        <f t="shared" si="8"/>
        <v/>
      </c>
      <c r="S46" s="27" t="str">
        <f t="array" ref="S46">IF($S$27="","",IF(ROWS(S$30:S46)&gt;$AA$13,"",INDEX(B$5:B$64,SMALL(IF(MainTable[Type]=$Y$13,ROW(MainTable[Type])-ROW($B$5)+1),ROWS(S$30:S46)))))</f>
        <v/>
      </c>
      <c r="T46" s="28" t="str">
        <f>IF(S46="","",IF(COUNTIFS(MainTable[Module code],S46,MainTable[Effective MCs],"&gt;0"),"Yes", "No"))</f>
        <v/>
      </c>
      <c r="U46" s="29" t="str">
        <f t="array" ref="U46">IF($U$27="","",IF(ROWS(U$30:U46)&gt;$AA$14,"",INDEX(B$5:B$64,SMALL(IF(MainTable[Type]=$Y$14,ROW(MainTable[Type])-ROW($B$5)+1),ROWS(U$30:U46)))))</f>
        <v/>
      </c>
      <c r="V46" s="34" t="str">
        <f>IF(U46="","",IF(COUNTIFS(MainTable[Module code],U46,MainTable[Effective MCs],"&gt;0"),"Yes", "No"))</f>
        <v/>
      </c>
      <c r="W46" s="27" t="str">
        <f t="array" ref="W46">IF($W$41="","",IF(ROWS(W$43:W46)&gt;$AA$20,"",INDEX(B$5:B$64,SMALL(IF(MainTable[Type]=$Y$20,ROW(MainTable[Type])-ROW($B$5)+1),ROWS(W$43:W46)))))</f>
        <v/>
      </c>
      <c r="X46" s="28" t="str">
        <f>IF(W46="","",IF(COUNTIFS(MainTable[Module code],W46,MainTable[Effective MCs],"&gt;0"),"Yes", "No"))</f>
        <v/>
      </c>
      <c r="Y46" s="27" t="str">
        <f t="array" ref="Y46">IF($Y$41="","",IF(ROWS(Y$43:Y46)&gt;$AA$21,"",INDEX(B$5:B$64,SMALL(IF(MainTable[Type]=$Y$21,ROW(MainTable[Type])-ROW($B$5)+1),ROWS(Y$43:Y46)))))</f>
        <v/>
      </c>
      <c r="Z46" s="28" t="str">
        <f>IF(Y46="","",IF(COUNTIFS(MainTable[Module code],Y46,MainTable[Effective MCs],"&gt;0"),"Yes", "No"))</f>
        <v/>
      </c>
      <c r="AA46" s="29" t="str">
        <f t="array" ref="AA46">IF($AA$41="","",IF(ROWS(AA$43:AA46)&gt;$AA$22,"",INDEX(B$5:B$64,SMALL(IF(MainTable[Type]=$Y$22,ROW(MainTable[Type])-ROW($B$5)+1),ROWS(AA$43:AA46)))))</f>
        <v/>
      </c>
      <c r="AB46" s="36" t="str">
        <f>IF(AA46="","",IF(COUNTIFS(MainTable[Module code],AA46,MainTable[Effective MCs],"&gt;0"),"Yes", "No"))</f>
        <v/>
      </c>
      <c r="AC46" s="27" t="str">
        <f t="array" ref="AC46">IF($AC$41="","",IF(ROWS(AC$43:AC46)&gt;$AA$23,"",INDEX(B$5:B$64,SMALL(IF(MainTable[Type]=$Y$23,ROW(MainTable[Type])-ROW($B$5)+1),ROWS(AC$43:AC46)))))</f>
        <v/>
      </c>
      <c r="AD46" s="28" t="str">
        <f>IF(AC46="","",IF(COUNTIFS(MainTable[Module code],AC46,MainTable[Effective MCs],"&gt;0"),"Yes", "No"))</f>
        <v/>
      </c>
      <c r="AE46" s="29" t="str">
        <f t="array" ref="AE46">IF(AE44="","",IF(ROWS(AE$43:AE46)&gt;$AA$24,"",INDEX(B$5:B$64,SMALL(IF(MainTable[Type]=$Y$24,ROW(MainTable[Type])-ROW($B$5)+1),ROWS(AE$43:AE46)))))</f>
        <v/>
      </c>
      <c r="AF46" s="28" t="str">
        <f>IF(AE46="","",IF(COUNTIFS(MainTable[Module code],AE46,MainTable[Effective MCs],"&gt;0"),"Yes", "No"))</f>
        <v/>
      </c>
    </row>
    <row r="47" spans="2:32" ht="15" customHeight="1" x14ac:dyDescent="0.25">
      <c r="B47" s="90"/>
      <c r="C47" s="91"/>
      <c r="D47" s="92"/>
      <c r="E47" s="92"/>
      <c r="F47" s="92"/>
      <c r="G47" s="92"/>
      <c r="H47" s="92"/>
      <c r="I47" s="92"/>
      <c r="J47" s="98"/>
      <c r="K47" s="85"/>
      <c r="L47" s="2" t="str">
        <f t="shared" si="5"/>
        <v/>
      </c>
      <c r="M47" s="82"/>
      <c r="N47" s="3" t="str">
        <f t="shared" si="6"/>
        <v/>
      </c>
      <c r="O47" s="3" t="str">
        <f t="shared" si="7"/>
        <v/>
      </c>
      <c r="P47" s="13" t="str">
        <f t="shared" si="8"/>
        <v/>
      </c>
      <c r="S47" s="27" t="str">
        <f t="array" ref="S47">IF($S$27="","",IF(ROWS(S$30:S47)&gt;$AA$13,"",INDEX(B$5:B$64,SMALL(IF(MainTable[Type]=$Y$13,ROW(MainTable[Type])-ROW($B$5)+1),ROWS(S$30:S47)))))</f>
        <v/>
      </c>
      <c r="T47" s="28" t="str">
        <f>IF(S47="","",IF(COUNTIFS(MainTable[Module code],S47,MainTable[Effective MCs],"&gt;0"),"Yes", "No"))</f>
        <v/>
      </c>
      <c r="U47" s="29" t="str">
        <f t="array" ref="U47">IF($U$27="","",IF(ROWS(U$30:U47)&gt;$AA$14,"",INDEX(B$5:B$64,SMALL(IF(MainTable[Type]=$Y$14,ROW(MainTable[Type])-ROW($B$5)+1),ROWS(U$30:U47)))))</f>
        <v/>
      </c>
      <c r="V47" s="34" t="str">
        <f>IF(U47="","",IF(COUNTIFS(MainTable[Module code],U47,MainTable[Effective MCs],"&gt;0"),"Yes", "No"))</f>
        <v/>
      </c>
      <c r="W47" s="27" t="str">
        <f t="array" ref="W47">IF($W$41="","",IF(ROWS(W$43:W47)&gt;$AA$20,"",INDEX(B$5:B$64,SMALL(IF(MainTable[Type]=$Y$20,ROW(MainTable[Type])-ROW($B$5)+1),ROWS(W$43:W47)))))</f>
        <v/>
      </c>
      <c r="X47" s="28" t="str">
        <f>IF(W47="","",IF(COUNTIFS(MainTable[Module code],W47,MainTable[Effective MCs],"&gt;0"),"Yes", "No"))</f>
        <v/>
      </c>
      <c r="Y47" s="27" t="str">
        <f t="array" ref="Y47">IF($Y$41="","",IF(ROWS(Y$43:Y47)&gt;$AA$21,"",INDEX(B$5:B$64,SMALL(IF(MainTable[Type]=$Y$21,ROW(MainTable[Type])-ROW($B$5)+1),ROWS(Y$43:Y47)))))</f>
        <v/>
      </c>
      <c r="Z47" s="28" t="str">
        <f>IF(Y47="","",IF(COUNTIFS(MainTable[Module code],Y47,MainTable[Effective MCs],"&gt;0"),"Yes", "No"))</f>
        <v/>
      </c>
      <c r="AA47" s="29" t="str">
        <f t="array" ref="AA47">IF($AA$41="","",IF(ROWS(AA$43:AA47)&gt;$AA$22,"",INDEX(B$5:B$64,SMALL(IF(MainTable[Type]=$Y$22,ROW(MainTable[Type])-ROW($B$5)+1),ROWS(AA$43:AA47)))))</f>
        <v/>
      </c>
      <c r="AB47" s="36" t="str">
        <f>IF(AA47="","",IF(COUNTIFS(MainTable[Module code],AA47,MainTable[Effective MCs],"&gt;0"),"Yes", "No"))</f>
        <v/>
      </c>
      <c r="AC47" s="27" t="str">
        <f t="array" ref="AC47">IF($AC$41="","",IF(ROWS(AC$43:AC47)&gt;$AA$23,"",INDEX(B$5:B$64,SMALL(IF(MainTable[Type]=$Y$23,ROW(MainTable[Type])-ROW($B$5)+1),ROWS(AC$43:AC47)))))</f>
        <v/>
      </c>
      <c r="AD47" s="28" t="str">
        <f>IF(AC47="","",IF(COUNTIFS(MainTable[Module code],AC47,MainTable[Effective MCs],"&gt;0"),"Yes", "No"))</f>
        <v/>
      </c>
      <c r="AE47" s="29" t="str">
        <f t="array" ref="AE47">IF(AE45="","",IF(ROWS(AE$43:AE47)&gt;$AA$24,"",INDEX(B$5:B$64,SMALL(IF(MainTable[Type]=$Y$24,ROW(MainTable[Type])-ROW($B$5)+1),ROWS(AE$43:AE47)))))</f>
        <v/>
      </c>
      <c r="AF47" s="28" t="str">
        <f>IF(AE47="","",IF(COUNTIFS(MainTable[Module code],AE47,MainTable[Effective MCs],"&gt;0"),"Yes", "No"))</f>
        <v/>
      </c>
    </row>
    <row r="48" spans="2:32" ht="15.75" thickBot="1" x14ac:dyDescent="0.3">
      <c r="B48" s="90"/>
      <c r="C48" s="91"/>
      <c r="D48" s="92"/>
      <c r="E48" s="92"/>
      <c r="F48" s="92"/>
      <c r="G48" s="92"/>
      <c r="H48" s="92"/>
      <c r="I48" s="92"/>
      <c r="J48" s="98"/>
      <c r="K48" s="85"/>
      <c r="L48" s="2" t="str">
        <f t="shared" si="5"/>
        <v/>
      </c>
      <c r="M48" s="82"/>
      <c r="N48" s="3" t="str">
        <f t="shared" si="6"/>
        <v/>
      </c>
      <c r="O48" s="3" t="str">
        <f t="shared" si="7"/>
        <v/>
      </c>
      <c r="P48" s="13" t="str">
        <f t="shared" si="8"/>
        <v/>
      </c>
      <c r="S48" s="30" t="str">
        <f t="array" ref="S48">IF($S$27="","",IF(ROWS(S$30:S48)&gt;$AA$13,"",INDEX(B$5:B$64,SMALL(IF(MainTable[Type]=$Y$13,ROW(MainTable[Type])-ROW($B$5)+1),ROWS(S$30:S48)))))</f>
        <v/>
      </c>
      <c r="T48" s="31" t="str">
        <f>IF(S48="","",IF(COUNTIFS(MainTable[Module code],S48,MainTable[Effective MCs],"&gt;0"),"Yes", "No"))</f>
        <v/>
      </c>
      <c r="U48" s="32" t="str">
        <f t="array" ref="U48">IF($U$27="","",IF(ROWS(U$30:U48)&gt;$AA$14,"",INDEX(B$5:B$64,SMALL(IF(MainTable[Type]=$Y$14,ROW(MainTable[Type])-ROW($B$5)+1),ROWS(U$30:U48)))))</f>
        <v/>
      </c>
      <c r="V48" s="39" t="str">
        <f>IF(U48="","",IF(COUNTIFS(MainTable[Module code],U48,MainTable[Effective MCs],"&gt;0"),"Yes", "No"))</f>
        <v/>
      </c>
      <c r="W48" s="30" t="str">
        <f t="array" ref="W48">IF($W$41="","",IF(ROWS(W$43:W48)&gt;$AA$20,"",INDEX(B$5:B$64,SMALL(IF(MainTable[Type]=$Y$20,ROW(MainTable[Type])-ROW($B$5)+1),ROWS(W$43:W48)))))</f>
        <v/>
      </c>
      <c r="X48" s="31" t="str">
        <f>IF(W48="","",IF(COUNTIFS(MainTable[Module code],W48,MainTable[Effective MCs],"&gt;0"),"Yes", "No"))</f>
        <v/>
      </c>
      <c r="Y48" s="30" t="str">
        <f t="array" ref="Y48">IF($Y$41="","",IF(ROWS(Y$43:Y48)&gt;$AA$21,"",INDEX(B$5:B$64,SMALL(IF(MainTable[Type]=$Y$21,ROW(MainTable[Type])-ROW($B$5)+1),ROWS(Y$43:Y48)))))</f>
        <v/>
      </c>
      <c r="Z48" s="31" t="str">
        <f>IF(Y48="","",IF(COUNTIFS(MainTable[Module code],Y48,MainTable[Effective MCs],"&gt;0"),"Yes", "No"))</f>
        <v/>
      </c>
      <c r="AA48" s="32" t="str">
        <f t="array" ref="AA48">IF($AA$41="","",IF(ROWS(AA$43:AA48)&gt;$AA$22,"",INDEX(B$5:B$64,SMALL(IF(MainTable[Type]=$Y$22,ROW(MainTable[Type])-ROW($B$5)+1),ROWS(AA$43:AA48)))))</f>
        <v/>
      </c>
      <c r="AB48" s="37" t="str">
        <f>IF(AA48="","",IF(COUNTIFS(MainTable[Module code],AA48,MainTable[Effective MCs],"&gt;0"),"Yes", "No"))</f>
        <v/>
      </c>
      <c r="AC48" s="30" t="str">
        <f t="array" ref="AC48">IF($AC$41="","",IF(ROWS(AC$43:AC48)&gt;$AA$23,"",INDEX(B$5:B$64,SMALL(IF(MainTable[Type]=$Y$23,ROW(MainTable[Type])-ROW($B$5)+1),ROWS(AC$43:AC48)))))</f>
        <v/>
      </c>
      <c r="AD48" s="31" t="str">
        <f>IF(AC48="","",IF(COUNTIFS(MainTable[Module code],AC48,MainTable[Effective MCs],"&gt;0"),"Yes", "No"))</f>
        <v/>
      </c>
      <c r="AE48" s="32" t="str">
        <f t="array" ref="AE48">IF(AE46="","",IF(ROWS(AE$43:AE48)&gt;$AA$24,"",INDEX(B$5:B$64,SMALL(IF(MainTable[Type]=$Y$24,ROW(MainTable[Type])-ROW($B$5)+1),ROWS(AE$43:AE48)))))</f>
        <v/>
      </c>
      <c r="AF48" s="31" t="str">
        <f>IF(AE48="","",IF(COUNTIFS(MainTable[Module code],AE48,MainTable[Effective MCs],"&gt;0"),"Yes", "No"))</f>
        <v/>
      </c>
    </row>
    <row r="49" spans="2:32" x14ac:dyDescent="0.25">
      <c r="B49" s="90"/>
      <c r="C49" s="91"/>
      <c r="D49" s="92"/>
      <c r="E49" s="92"/>
      <c r="F49" s="92"/>
      <c r="G49" s="92"/>
      <c r="H49" s="92"/>
      <c r="I49" s="92"/>
      <c r="J49" s="98"/>
      <c r="K49" s="85"/>
      <c r="L49" s="2" t="str">
        <f t="shared" si="5"/>
        <v/>
      </c>
      <c r="M49" s="82"/>
      <c r="N49" s="3" t="str">
        <f t="shared" si="6"/>
        <v/>
      </c>
      <c r="O49" s="3" t="str">
        <f t="shared" si="7"/>
        <v/>
      </c>
      <c r="P49" s="13" t="str">
        <f t="shared" si="8"/>
        <v/>
      </c>
    </row>
    <row r="50" spans="2:32" x14ac:dyDescent="0.25">
      <c r="B50" s="90"/>
      <c r="C50" s="91"/>
      <c r="D50" s="92"/>
      <c r="E50" s="92"/>
      <c r="F50" s="92"/>
      <c r="G50" s="92"/>
      <c r="H50" s="92"/>
      <c r="I50" s="92"/>
      <c r="J50" s="98"/>
      <c r="K50" s="85"/>
      <c r="L50" s="2" t="str">
        <f t="shared" ref="L50:L51" si="9">IF(K50="A+",5,IF(K50="A",5,IF(K50="A-",4.5,IF(K50="B+",4,IF(K50="B",3.5,IF(K50="B-",3,IF(K50="C+",2.5,IF(K50="C",2,IF(K50="D+",1.5,IF(K50="D",1,IF(K50="F",0,"")))))))))))</f>
        <v/>
      </c>
      <c r="M50" s="82"/>
      <c r="N50" s="3" t="str">
        <f t="shared" ref="N50:N51" si="10">IF(M50="N",SUM(D50:I50),IF(M50="Y",IF(L50&lt;2,0,SUM(D50:I50)),""))</f>
        <v/>
      </c>
      <c r="O50" s="3" t="str">
        <f t="shared" ref="O50:O51" si="11">IF(M50="Y",0,N50)</f>
        <v/>
      </c>
      <c r="P50" s="13" t="str">
        <f t="shared" ref="P50:P51" si="12">IF(OR(L50="",O50=""),"",O50*L50)</f>
        <v/>
      </c>
    </row>
    <row r="51" spans="2:32" x14ac:dyDescent="0.25">
      <c r="B51" s="90"/>
      <c r="C51" s="91"/>
      <c r="D51" s="92"/>
      <c r="E51" s="92"/>
      <c r="F51" s="92"/>
      <c r="G51" s="92"/>
      <c r="H51" s="92"/>
      <c r="I51" s="92"/>
      <c r="J51" s="98"/>
      <c r="K51" s="85"/>
      <c r="L51" s="2" t="str">
        <f t="shared" si="9"/>
        <v/>
      </c>
      <c r="M51" s="82"/>
      <c r="N51" s="3" t="str">
        <f t="shared" si="10"/>
        <v/>
      </c>
      <c r="O51" s="3" t="str">
        <f t="shared" si="11"/>
        <v/>
      </c>
      <c r="P51" s="13" t="str">
        <f t="shared" si="12"/>
        <v/>
      </c>
    </row>
    <row r="52" spans="2:32" x14ac:dyDescent="0.25">
      <c r="B52" s="90"/>
      <c r="C52" s="91"/>
      <c r="D52" s="92"/>
      <c r="E52" s="92"/>
      <c r="F52" s="92"/>
      <c r="G52" s="92"/>
      <c r="H52" s="92"/>
      <c r="I52" s="92"/>
      <c r="J52" s="98"/>
      <c r="K52" s="85"/>
      <c r="L52" s="2" t="str">
        <f t="shared" ref="L52:L53" si="13">IF(K52="A+",5,IF(K52="A",5,IF(K52="A-",4.5,IF(K52="B+",4,IF(K52="B",3.5,IF(K52="B-",3,IF(K52="C+",2.5,IF(K52="C",2,IF(K52="D+",1.5,IF(K52="D",1,IF(K52="F",0,"")))))))))))</f>
        <v/>
      </c>
      <c r="M52" s="82"/>
      <c r="N52" s="3" t="str">
        <f t="shared" ref="N52:N53" si="14">IF(M52="N",SUM(D52:I52),IF(M52="Y",IF(L52&lt;2,0,SUM(D52:I52)),""))</f>
        <v/>
      </c>
      <c r="O52" s="3" t="str">
        <f t="shared" ref="O52:O53" si="15">IF(M52="Y",0,N52)</f>
        <v/>
      </c>
      <c r="P52" s="13" t="str">
        <f t="shared" ref="P52:P53" si="16">IF(OR(L52="",O52=""),"",O52*L52)</f>
        <v/>
      </c>
      <c r="S52" s="81"/>
      <c r="T52" s="160" t="s">
        <v>101</v>
      </c>
      <c r="U52" s="160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</row>
    <row r="53" spans="2:32" x14ac:dyDescent="0.25">
      <c r="B53" s="90"/>
      <c r="C53" s="91"/>
      <c r="D53" s="92"/>
      <c r="E53" s="92"/>
      <c r="F53" s="92"/>
      <c r="G53" s="92"/>
      <c r="H53" s="92"/>
      <c r="I53" s="92"/>
      <c r="J53" s="98"/>
      <c r="K53" s="85"/>
      <c r="L53" s="2" t="str">
        <f t="shared" si="13"/>
        <v/>
      </c>
      <c r="M53" s="82"/>
      <c r="N53" s="3" t="str">
        <f t="shared" si="14"/>
        <v/>
      </c>
      <c r="O53" s="3" t="str">
        <f t="shared" si="15"/>
        <v/>
      </c>
      <c r="P53" s="13" t="str">
        <f t="shared" si="16"/>
        <v/>
      </c>
      <c r="S53" s="81"/>
      <c r="T53" s="160"/>
      <c r="U53" s="160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</row>
    <row r="54" spans="2:32" x14ac:dyDescent="0.25">
      <c r="B54" s="90"/>
      <c r="C54" s="91"/>
      <c r="D54" s="92"/>
      <c r="E54" s="92"/>
      <c r="F54" s="92"/>
      <c r="G54" s="92"/>
      <c r="H54" s="92"/>
      <c r="I54" s="92"/>
      <c r="J54" s="98"/>
      <c r="K54" s="85"/>
      <c r="L54" s="2" t="str">
        <f>IF(K54="A+",5,IF(K54="A",5,IF(K54="A-",4.5,IF(K54="B+",4,IF(K54="B",3.5,IF(K54="B-",3,IF(K54="C+",2.5,IF(K54="C",2,IF(K54="D+",1.5,IF(K54="D",1,IF(K54="F",0,"")))))))))))</f>
        <v/>
      </c>
      <c r="M54" s="82"/>
      <c r="N54" s="3" t="str">
        <f>IF(M54="N",SUM(D54:I54),IF(M54="Y",IF(L54&lt;2,0,SUM(D54:I54)),""))</f>
        <v/>
      </c>
      <c r="O54" s="3" t="str">
        <f>IF(M54="Y",0,N54)</f>
        <v/>
      </c>
      <c r="P54" s="13" t="str">
        <f>IF(OR(L54="",O54=""),"",O54*L54)</f>
        <v/>
      </c>
      <c r="S54" s="81"/>
      <c r="T54" s="81" t="s">
        <v>104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</row>
    <row r="55" spans="2:32" x14ac:dyDescent="0.25">
      <c r="B55" s="90"/>
      <c r="C55" s="91"/>
      <c r="D55" s="92"/>
      <c r="E55" s="92"/>
      <c r="F55" s="92"/>
      <c r="G55" s="92"/>
      <c r="H55" s="92"/>
      <c r="I55" s="92"/>
      <c r="J55" s="98"/>
      <c r="K55" s="85"/>
      <c r="L55" s="2" t="str">
        <f>IF(K55="A+",5,IF(K55="A",5,IF(K55="A-",4.5,IF(K55="B+",4,IF(K55="B",3.5,IF(K55="B-",3,IF(K55="C+",2.5,IF(K55="C",2,IF(K55="D+",1.5,IF(K55="D",1,IF(K55="F",0,"")))))))))))</f>
        <v/>
      </c>
      <c r="M55" s="82"/>
      <c r="N55" s="3" t="str">
        <f>IF(M55="N",SUM(D55:I55),IF(M55="Y",IF(L55&lt;2,0,SUM(D55:I55)),""))</f>
        <v/>
      </c>
      <c r="O55" s="3" t="str">
        <f>IF(M55="Y",0,N55)</f>
        <v/>
      </c>
      <c r="P55" s="13" t="str">
        <f>IF(OR(L55="",O55=""),"",O55*L55)</f>
        <v/>
      </c>
      <c r="S55" s="81"/>
      <c r="T55" s="81" t="s">
        <v>102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</row>
    <row r="56" spans="2:32" x14ac:dyDescent="0.25">
      <c r="B56" s="90"/>
      <c r="C56" s="91"/>
      <c r="D56" s="92"/>
      <c r="E56" s="92"/>
      <c r="F56" s="92"/>
      <c r="G56" s="92"/>
      <c r="H56" s="92"/>
      <c r="I56" s="92"/>
      <c r="J56" s="98"/>
      <c r="K56" s="85"/>
      <c r="L56" s="2" t="str">
        <f t="shared" si="5"/>
        <v/>
      </c>
      <c r="M56" s="82"/>
      <c r="N56" s="3" t="str">
        <f t="shared" si="6"/>
        <v/>
      </c>
      <c r="O56" s="3" t="str">
        <f t="shared" si="7"/>
        <v/>
      </c>
      <c r="P56" s="13" t="str">
        <f t="shared" si="8"/>
        <v/>
      </c>
      <c r="S56" s="81"/>
      <c r="T56" s="81" t="s">
        <v>103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</row>
    <row r="57" spans="2:32" x14ac:dyDescent="0.25">
      <c r="B57" s="90"/>
      <c r="C57" s="91"/>
      <c r="D57" s="92"/>
      <c r="E57" s="92"/>
      <c r="F57" s="92"/>
      <c r="G57" s="92"/>
      <c r="H57" s="92"/>
      <c r="I57" s="92"/>
      <c r="J57" s="98"/>
      <c r="K57" s="85"/>
      <c r="L57" s="2" t="str">
        <f>IF(K57="A+",5,IF(K57="A",5,IF(K57="A-",4.5,IF(K57="B+",4,IF(K57="B",3.5,IF(K57="B-",3,IF(K57="C+",2.5,IF(K57="C",2,IF(K57="D+",1.5,IF(K57="D",1,IF(K57="F",0,"")))))))))))</f>
        <v/>
      </c>
      <c r="M57" s="82"/>
      <c r="N57" s="3" t="str">
        <f>IF(M57="N",SUM(D57:I57),IF(M57="Y",IF(L57&lt;2,0,SUM(D57:I57)),""))</f>
        <v/>
      </c>
      <c r="O57" s="3" t="str">
        <f>IF(M57="Y",0,N57)</f>
        <v/>
      </c>
      <c r="P57" s="13" t="str">
        <f>IF(OR(L57="",O57=""),"",O57*L57)</f>
        <v/>
      </c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2:32" x14ac:dyDescent="0.25">
      <c r="B58" s="90"/>
      <c r="C58" s="91"/>
      <c r="D58" s="92"/>
      <c r="E58" s="92"/>
      <c r="F58" s="92"/>
      <c r="G58" s="92"/>
      <c r="H58" s="92"/>
      <c r="I58" s="92"/>
      <c r="J58" s="98"/>
      <c r="K58" s="85"/>
      <c r="L58" s="2" t="str">
        <f t="shared" si="5"/>
        <v/>
      </c>
      <c r="M58" s="82"/>
      <c r="N58" s="3" t="str">
        <f t="shared" si="6"/>
        <v/>
      </c>
      <c r="O58" s="3" t="str">
        <f t="shared" si="7"/>
        <v/>
      </c>
      <c r="P58" s="13" t="str">
        <f t="shared" si="8"/>
        <v/>
      </c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</row>
    <row r="59" spans="2:32" x14ac:dyDescent="0.25">
      <c r="B59" s="90"/>
      <c r="C59" s="91"/>
      <c r="D59" s="92"/>
      <c r="E59" s="92"/>
      <c r="F59" s="92"/>
      <c r="G59" s="92"/>
      <c r="H59" s="92"/>
      <c r="I59" s="92"/>
      <c r="J59" s="98"/>
      <c r="K59" s="85"/>
      <c r="L59" s="2" t="str">
        <f t="shared" si="5"/>
        <v/>
      </c>
      <c r="M59" s="82"/>
      <c r="N59" s="3" t="str">
        <f t="shared" si="6"/>
        <v/>
      </c>
      <c r="O59" s="3" t="str">
        <f t="shared" si="7"/>
        <v/>
      </c>
      <c r="P59" s="13" t="str">
        <f t="shared" si="8"/>
        <v/>
      </c>
      <c r="S59" s="81"/>
      <c r="T59" s="81" t="s">
        <v>112</v>
      </c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</row>
    <row r="60" spans="2:32" x14ac:dyDescent="0.25">
      <c r="B60" s="90"/>
      <c r="C60" s="91"/>
      <c r="D60" s="92"/>
      <c r="E60" s="92"/>
      <c r="F60" s="92"/>
      <c r="G60" s="92"/>
      <c r="H60" s="92"/>
      <c r="I60" s="92"/>
      <c r="J60" s="98"/>
      <c r="K60" s="85"/>
      <c r="L60" s="2" t="str">
        <f t="shared" si="5"/>
        <v/>
      </c>
      <c r="M60" s="82"/>
      <c r="N60" s="3" t="str">
        <f t="shared" si="6"/>
        <v/>
      </c>
      <c r="O60" s="3" t="str">
        <f t="shared" si="7"/>
        <v/>
      </c>
      <c r="P60" s="13" t="str">
        <f t="shared" si="8"/>
        <v/>
      </c>
      <c r="S60" s="81"/>
      <c r="T60" s="81" t="s">
        <v>111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</row>
    <row r="61" spans="2:32" x14ac:dyDescent="0.25">
      <c r="B61" s="90"/>
      <c r="C61" s="91"/>
      <c r="D61" s="92"/>
      <c r="E61" s="92"/>
      <c r="F61" s="92"/>
      <c r="G61" s="92"/>
      <c r="H61" s="92"/>
      <c r="I61" s="92"/>
      <c r="J61" s="98"/>
      <c r="K61" s="85"/>
      <c r="L61" s="2" t="str">
        <f t="shared" si="5"/>
        <v/>
      </c>
      <c r="M61" s="82"/>
      <c r="N61" s="3" t="str">
        <f t="shared" si="6"/>
        <v/>
      </c>
      <c r="O61" s="3" t="str">
        <f t="shared" si="7"/>
        <v/>
      </c>
      <c r="P61" s="13" t="str">
        <f t="shared" si="8"/>
        <v/>
      </c>
      <c r="S61" s="81"/>
      <c r="T61" s="107" t="s">
        <v>110</v>
      </c>
      <c r="U61" s="81"/>
      <c r="V61" s="81"/>
      <c r="W61" s="81"/>
      <c r="X61" s="81"/>
      <c r="Y61" s="81"/>
      <c r="Z61" s="81"/>
      <c r="AA61" s="81"/>
      <c r="AB61" s="81"/>
      <c r="AC61" s="81"/>
      <c r="AD61" s="106" t="s">
        <v>100</v>
      </c>
      <c r="AE61" s="81"/>
      <c r="AF61" s="81"/>
    </row>
    <row r="62" spans="2:32" x14ac:dyDescent="0.25">
      <c r="B62" s="90"/>
      <c r="C62" s="91"/>
      <c r="D62" s="92"/>
      <c r="E62" s="92"/>
      <c r="F62" s="92"/>
      <c r="G62" s="92"/>
      <c r="H62" s="92"/>
      <c r="I62" s="92"/>
      <c r="J62" s="98"/>
      <c r="K62" s="85"/>
      <c r="L62" s="2" t="str">
        <f t="shared" si="5"/>
        <v/>
      </c>
      <c r="M62" s="82"/>
      <c r="N62" s="3" t="str">
        <f t="shared" si="6"/>
        <v/>
      </c>
      <c r="O62" s="3" t="str">
        <f t="shared" si="7"/>
        <v/>
      </c>
      <c r="P62" s="13" t="str">
        <f t="shared" si="8"/>
        <v/>
      </c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</row>
    <row r="63" spans="2:32" x14ac:dyDescent="0.25">
      <c r="B63" s="90"/>
      <c r="C63" s="91"/>
      <c r="D63" s="92"/>
      <c r="E63" s="92"/>
      <c r="F63" s="92"/>
      <c r="G63" s="92"/>
      <c r="H63" s="92"/>
      <c r="I63" s="92"/>
      <c r="J63" s="98"/>
      <c r="K63" s="85"/>
      <c r="L63" s="2" t="str">
        <f t="shared" si="5"/>
        <v/>
      </c>
      <c r="M63" s="82"/>
      <c r="N63" s="3" t="str">
        <f t="shared" si="6"/>
        <v/>
      </c>
      <c r="O63" s="3" t="str">
        <f t="shared" si="7"/>
        <v/>
      </c>
      <c r="P63" s="13" t="str">
        <f t="shared" si="8"/>
        <v/>
      </c>
    </row>
    <row r="64" spans="2:32" x14ac:dyDescent="0.25">
      <c r="B64" s="94"/>
      <c r="C64" s="95"/>
      <c r="D64" s="96"/>
      <c r="E64" s="96"/>
      <c r="F64" s="96"/>
      <c r="G64" s="96"/>
      <c r="H64" s="96"/>
      <c r="I64" s="96"/>
      <c r="J64" s="99"/>
      <c r="K64" s="86"/>
      <c r="L64" s="14" t="str">
        <f t="shared" si="5"/>
        <v/>
      </c>
      <c r="M64" s="83"/>
      <c r="N64" s="15" t="str">
        <f t="shared" si="6"/>
        <v/>
      </c>
      <c r="O64" s="15" t="str">
        <f t="shared" si="7"/>
        <v/>
      </c>
      <c r="P64" s="16" t="str">
        <f t="shared" si="8"/>
        <v/>
      </c>
    </row>
    <row r="65" spans="1:17" x14ac:dyDescent="0.25">
      <c r="A65" s="1"/>
      <c r="B65" s="108"/>
      <c r="C65" s="10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"/>
    </row>
    <row r="66" spans="1:17" x14ac:dyDescent="0.25">
      <c r="A66" s="1"/>
      <c r="B66" s="108"/>
      <c r="C66" s="108"/>
      <c r="D66" s="4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mergeCells count="42">
    <mergeCell ref="T52:U53"/>
    <mergeCell ref="AC19:AD19"/>
    <mergeCell ref="AC20:AD20"/>
    <mergeCell ref="AC21:AD21"/>
    <mergeCell ref="AC22:AD22"/>
    <mergeCell ref="AC23:AD23"/>
    <mergeCell ref="AC24:AD24"/>
    <mergeCell ref="AE5:AE11"/>
    <mergeCell ref="AF5:AF11"/>
    <mergeCell ref="S4:AF4"/>
    <mergeCell ref="V13:W13"/>
    <mergeCell ref="AC12:AD12"/>
    <mergeCell ref="Y12:Z12"/>
    <mergeCell ref="S7:AD8"/>
    <mergeCell ref="S9:T9"/>
    <mergeCell ref="S10:T10"/>
    <mergeCell ref="S11:T11"/>
    <mergeCell ref="V12:W12"/>
    <mergeCell ref="AC13:AD13"/>
    <mergeCell ref="AC14:AD14"/>
    <mergeCell ref="AC15:AD15"/>
    <mergeCell ref="AC16:AD16"/>
    <mergeCell ref="AC17:AD17"/>
    <mergeCell ref="V17:W17"/>
    <mergeCell ref="V14:W14"/>
    <mergeCell ref="V15:W15"/>
    <mergeCell ref="V16:W16"/>
    <mergeCell ref="V18:W18"/>
    <mergeCell ref="AC27:AD28"/>
    <mergeCell ref="AE27:AF28"/>
    <mergeCell ref="AC18:AD18"/>
    <mergeCell ref="Y41:Z42"/>
    <mergeCell ref="AA41:AB42"/>
    <mergeCell ref="AC41:AD42"/>
    <mergeCell ref="AE41:AF42"/>
    <mergeCell ref="S25:AF26"/>
    <mergeCell ref="W41:X42"/>
    <mergeCell ref="S27:T28"/>
    <mergeCell ref="U27:V28"/>
    <mergeCell ref="W27:X28"/>
    <mergeCell ref="Y27:Z28"/>
    <mergeCell ref="AA27:AB28"/>
  </mergeCells>
  <hyperlinks>
    <hyperlink ref="T61" r:id="rId1"/>
  </hyperlinks>
  <pageMargins left="0.7" right="0.7" top="0.75" bottom="0.75" header="0.3" footer="0.3"/>
  <pageSetup orientation="portrait" horizontalDpi="4294967293" r:id="rId2"/>
  <ignoredErrors>
    <ignoredError sqref="U30:AF48" formula="1"/>
    <ignoredError sqref="N5:N42" formulaRange="1"/>
  </ignoredError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Chiong</dc:creator>
  <cp:lastModifiedBy>Eugene Chiong</cp:lastModifiedBy>
  <dcterms:created xsi:type="dcterms:W3CDTF">2011-12-30T09:47:03Z</dcterms:created>
  <dcterms:modified xsi:type="dcterms:W3CDTF">2013-09-14T18:39:28Z</dcterms:modified>
</cp:coreProperties>
</file>